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codeName="ThisWorkbook"/>
  <bookViews>
    <workbookView xWindow="630" yWindow="735" windowWidth="27495" windowHeight="11070"/>
  </bookViews>
  <sheets>
    <sheet name="Table of Contents" sheetId="1" r:id="rId1"/>
    <sheet name="CC104101" sheetId="2" r:id="rId2"/>
    <sheet name="CC104102" sheetId="3" r:id="rId3"/>
    <sheet name="CC104103" sheetId="4" r:id="rId4"/>
    <sheet name="CC104104" sheetId="5" r:id="rId5"/>
    <sheet name="CC104105" sheetId="6" r:id="rId6"/>
    <sheet name="CC104106" sheetId="7" r:id="rId7"/>
    <sheet name="CC104107" sheetId="8" r:id="rId8"/>
    <sheet name="CC104201" sheetId="9" r:id="rId9"/>
    <sheet name="CC104202" sheetId="10" r:id="rId10"/>
    <sheet name="CC104203" sheetId="11" r:id="rId11"/>
    <sheet name="CC104204" sheetId="12" r:id="rId12"/>
    <sheet name="CC104205" sheetId="13" r:id="rId13"/>
    <sheet name="CC104206" sheetId="14" r:id="rId14"/>
    <sheet name="CC104301C" sheetId="15" r:id="rId15"/>
    <sheet name="CC104303" sheetId="16" r:id="rId16"/>
    <sheet name="CC104305" sheetId="17" r:id="rId17"/>
    <sheet name="CC104306" sheetId="18" r:id="rId18"/>
    <sheet name="CC106101" sheetId="19" r:id="rId19"/>
    <sheet name="CC106102" sheetId="20" r:id="rId20"/>
    <sheet name="CC106103" sheetId="21" r:id="rId21"/>
    <sheet name="CC106104" sheetId="22" r:id="rId22"/>
    <sheet name="CC106105" sheetId="23" r:id="rId23"/>
    <sheet name="CC106106" sheetId="24" r:id="rId24"/>
    <sheet name="CC106107C" sheetId="25" r:id="rId25"/>
    <sheet name="CC106201" sheetId="26" r:id="rId26"/>
    <sheet name="CC106202" sheetId="27" r:id="rId27"/>
    <sheet name="CC106203" sheetId="28" r:id="rId28"/>
    <sheet name="CC106204" sheetId="29" r:id="rId29"/>
    <sheet name="CC106205" sheetId="30" r:id="rId30"/>
    <sheet name="CC106206" sheetId="31" r:id="rId31"/>
    <sheet name="CC106207" sheetId="32" r:id="rId32"/>
    <sheet name="CC106208" sheetId="33" r:id="rId33"/>
    <sheet name="CC106209" sheetId="34" r:id="rId34"/>
    <sheet name="CC106301" sheetId="35" r:id="rId35"/>
    <sheet name="CC106302" sheetId="36" r:id="rId36"/>
    <sheet name="CC106303" sheetId="37" r:id="rId37"/>
    <sheet name="CC106304" sheetId="38" r:id="rId38"/>
    <sheet name="CC106305" sheetId="39" r:id="rId39"/>
    <sheet name="CC106306" sheetId="40" r:id="rId40"/>
    <sheet name="CC106307" sheetId="41" r:id="rId41"/>
    <sheet name="CC102101" sheetId="42" r:id="rId42"/>
    <sheet name="CC102102C" sheetId="43" r:id="rId43"/>
    <sheet name="CC102201" sheetId="44" r:id="rId44"/>
    <sheet name="CC102202" sheetId="45" r:id="rId45"/>
    <sheet name="CC102203" sheetId="46" r:id="rId46"/>
    <sheet name="CC102204" sheetId="47" r:id="rId47"/>
    <sheet name="CC102205" sheetId="48" r:id="rId48"/>
    <sheet name="CC102206" sheetId="49" r:id="rId49"/>
    <sheet name="CC102207" sheetId="50" r:id="rId50"/>
    <sheet name="CC102208" sheetId="51" r:id="rId51"/>
    <sheet name="CC102209C" sheetId="52" r:id="rId52"/>
    <sheet name="CC102212" sheetId="53" r:id="rId53"/>
    <sheet name="CC102213" sheetId="54" r:id="rId54"/>
    <sheet name="CC103101" sheetId="55" r:id="rId55"/>
    <sheet name="CC103102" sheetId="56" r:id="rId56"/>
    <sheet name="CC103103" sheetId="57" r:id="rId57"/>
    <sheet name="CC103104" sheetId="58" r:id="rId58"/>
    <sheet name="CC103105" sheetId="59" r:id="rId59"/>
    <sheet name="CC103106" sheetId="60" r:id="rId60"/>
    <sheet name="CC103107" sheetId="61" r:id="rId61"/>
    <sheet name="CC103108C" sheetId="62" r:id="rId62"/>
    <sheet name="CC103201" sheetId="63" r:id="rId63"/>
    <sheet name="CC103202" sheetId="64" r:id="rId64"/>
    <sheet name="CC103203" sheetId="65" r:id="rId65"/>
    <sheet name="CC103204" sheetId="66" r:id="rId66"/>
    <sheet name="CC103205" sheetId="67" r:id="rId67"/>
    <sheet name="CC103206" sheetId="68" r:id="rId68"/>
    <sheet name="CC103207" sheetId="69" r:id="rId69"/>
    <sheet name="CC103209" sheetId="70" r:id="rId70"/>
    <sheet name="CC103210" sheetId="71" r:id="rId71"/>
    <sheet name="CC103211" sheetId="72" r:id="rId72"/>
    <sheet name="CC103301" sheetId="73" r:id="rId73"/>
    <sheet name="CC103302" sheetId="74" r:id="rId74"/>
    <sheet name="CC103303" sheetId="75" r:id="rId75"/>
    <sheet name="CC103304" sheetId="76" r:id="rId76"/>
    <sheet name="CC103305" sheetId="77" r:id="rId77"/>
    <sheet name="CC103306" sheetId="78" r:id="rId78"/>
    <sheet name="CC103307" sheetId="79" r:id="rId79"/>
    <sheet name="CC103308" sheetId="80" r:id="rId80"/>
    <sheet name="CC103309" sheetId="81" r:id="rId81"/>
    <sheet name="CC100101" sheetId="82" r:id="rId82"/>
    <sheet name="CC100102" sheetId="83" r:id="rId83"/>
    <sheet name="CC100103" sheetId="84" r:id="rId84"/>
    <sheet name="CC100104" sheetId="85" r:id="rId85"/>
    <sheet name="CC100105" sheetId="86" r:id="rId86"/>
    <sheet name="CC100201" sheetId="87" r:id="rId87"/>
    <sheet name="CC100202" sheetId="88" r:id="rId88"/>
    <sheet name="CC100203" sheetId="89" r:id="rId89"/>
    <sheet name="CC100301" sheetId="90" r:id="rId90"/>
    <sheet name="CC100302" sheetId="91" r:id="rId91"/>
    <sheet name="CC100401" sheetId="92" r:id="rId92"/>
    <sheet name="CC100402" sheetId="93" r:id="rId93"/>
    <sheet name="CC105101" sheetId="94" r:id="rId94"/>
    <sheet name="CC105102" sheetId="95" r:id="rId95"/>
    <sheet name="CC105103C" sheetId="96" r:id="rId96"/>
    <sheet name="CC105105C" sheetId="97" r:id="rId97"/>
    <sheet name="CC105108C" sheetId="98" r:id="rId98"/>
    <sheet name="CC105201C" sheetId="99" r:id="rId99"/>
    <sheet name="CC105203C" sheetId="100" r:id="rId100"/>
    <sheet name="CC105205" sheetId="101" r:id="rId101"/>
    <sheet name="CC105206" sheetId="102" r:id="rId102"/>
    <sheet name="CC105207" sheetId="103" r:id="rId103"/>
    <sheet name="CC105208C" sheetId="104" r:id="rId104"/>
    <sheet name="CC105211" sheetId="105" r:id="rId105"/>
    <sheet name="CC105212C" sheetId="106" r:id="rId106"/>
    <sheet name="CC105214" sheetId="107" r:id="rId107"/>
    <sheet name="CC105301" sheetId="108" r:id="rId108"/>
    <sheet name="CC105302" sheetId="109" r:id="rId109"/>
    <sheet name="CC105303" sheetId="110" r:id="rId110"/>
    <sheet name="CC105304C" sheetId="111" r:id="rId111"/>
    <sheet name="CC105306" sheetId="112" r:id="rId112"/>
    <sheet name="CC105307" sheetId="113" r:id="rId113"/>
    <sheet name="CC105308C" sheetId="114" r:id="rId114"/>
    <sheet name="CC105401" sheetId="115" r:id="rId115"/>
    <sheet name="CC105402" sheetId="116" r:id="rId116"/>
    <sheet name="CC105403" sheetId="117" r:id="rId117"/>
    <sheet name="CC105404" sheetId="118" r:id="rId118"/>
    <sheet name="CC105405" sheetId="119" r:id="rId119"/>
    <sheet name="CC105406" sheetId="120" r:id="rId120"/>
    <sheet name="CC105407" sheetId="121" r:id="rId121"/>
    <sheet name="CC105408C" sheetId="122" r:id="rId122"/>
  </sheets>
  <calcPr calcId="145621"/>
</workbook>
</file>

<file path=xl/calcChain.xml><?xml version="1.0" encoding="utf-8"?>
<calcChain xmlns="http://schemas.openxmlformats.org/spreadsheetml/2006/main">
  <c r="C81" i="122" l="1"/>
  <c r="C77" i="122"/>
  <c r="C76" i="122"/>
  <c r="C75" i="122"/>
  <c r="C73" i="122"/>
  <c r="C72" i="122"/>
  <c r="C70" i="122"/>
  <c r="C67" i="122"/>
  <c r="C66" i="122"/>
  <c r="C62" i="122"/>
  <c r="C61" i="122"/>
  <c r="C56" i="122"/>
  <c r="C53" i="122"/>
  <c r="C52" i="122"/>
  <c r="C51" i="122"/>
  <c r="C50" i="122"/>
  <c r="C48" i="122"/>
  <c r="C47" i="122"/>
  <c r="C46" i="122"/>
  <c r="T42" i="122"/>
  <c r="S42" i="122"/>
  <c r="R42" i="122"/>
  <c r="Q42" i="122"/>
  <c r="P42" i="122"/>
  <c r="O42" i="122"/>
  <c r="N42" i="122"/>
  <c r="M42" i="122"/>
  <c r="L42" i="122"/>
  <c r="K42" i="122"/>
  <c r="J42" i="122"/>
  <c r="I42" i="122"/>
  <c r="H42" i="122"/>
  <c r="G42" i="122"/>
  <c r="F42" i="122"/>
  <c r="E42" i="122"/>
  <c r="D42" i="122"/>
  <c r="B42" i="122"/>
  <c r="C41" i="122"/>
  <c r="C40" i="122"/>
  <c r="C39" i="122"/>
  <c r="C37" i="122"/>
  <c r="C36" i="122"/>
  <c r="C35" i="122"/>
  <c r="C34" i="122"/>
  <c r="C33" i="122"/>
  <c r="C31" i="122"/>
  <c r="C30" i="122"/>
  <c r="C29" i="122"/>
  <c r="C28" i="122"/>
  <c r="C27" i="122"/>
  <c r="C26" i="122"/>
  <c r="C25" i="122"/>
  <c r="C24" i="122"/>
  <c r="C23" i="122"/>
  <c r="C22" i="122"/>
  <c r="C20" i="122"/>
  <c r="C19" i="122"/>
  <c r="C18" i="122"/>
  <c r="C17" i="122"/>
  <c r="C16" i="122"/>
  <c r="C15" i="122"/>
  <c r="C14" i="122"/>
  <c r="C13" i="122"/>
  <c r="C12" i="122"/>
  <c r="C11" i="122"/>
  <c r="C10" i="122"/>
  <c r="C9" i="122"/>
  <c r="C8" i="122"/>
  <c r="C7" i="122"/>
  <c r="C42" i="122" s="1"/>
  <c r="C81" i="121"/>
  <c r="C77" i="121"/>
  <c r="C76" i="121"/>
  <c r="C75" i="121"/>
  <c r="C73" i="121"/>
  <c r="C72" i="121"/>
  <c r="C70" i="121"/>
  <c r="C67" i="121"/>
  <c r="C66" i="121"/>
  <c r="C62" i="121"/>
  <c r="C61" i="121"/>
  <c r="C56" i="121"/>
  <c r="C53" i="121"/>
  <c r="C52" i="121"/>
  <c r="C51" i="121"/>
  <c r="C50" i="121"/>
  <c r="C48" i="121"/>
  <c r="C47" i="121"/>
  <c r="C46" i="121"/>
  <c r="R42" i="121"/>
  <c r="Q42" i="121"/>
  <c r="P42" i="121"/>
  <c r="O42" i="121"/>
  <c r="N42" i="121"/>
  <c r="M42" i="121"/>
  <c r="L42" i="121"/>
  <c r="K42" i="121"/>
  <c r="J42" i="121"/>
  <c r="I42" i="121"/>
  <c r="H42" i="121"/>
  <c r="G42" i="121"/>
  <c r="F42" i="121"/>
  <c r="E42" i="121"/>
  <c r="D42" i="121"/>
  <c r="B42" i="121"/>
  <c r="C41" i="121"/>
  <c r="C40" i="121"/>
  <c r="C39" i="121"/>
  <c r="C37" i="121"/>
  <c r="C36" i="121"/>
  <c r="C35" i="121"/>
  <c r="C34" i="121"/>
  <c r="C33" i="121"/>
  <c r="C31" i="121"/>
  <c r="C30" i="121"/>
  <c r="C29" i="121"/>
  <c r="C28" i="121"/>
  <c r="C27" i="121"/>
  <c r="C26" i="121"/>
  <c r="C25" i="121"/>
  <c r="C24" i="121"/>
  <c r="C23" i="121"/>
  <c r="C22" i="121"/>
  <c r="C20" i="121"/>
  <c r="C19" i="121"/>
  <c r="C18" i="121"/>
  <c r="C17" i="121"/>
  <c r="C16" i="121"/>
  <c r="C15" i="121"/>
  <c r="C14" i="121"/>
  <c r="C13" i="121"/>
  <c r="C12" i="121"/>
  <c r="C11" i="121"/>
  <c r="C10" i="121"/>
  <c r="C9" i="121"/>
  <c r="C8" i="121"/>
  <c r="C7" i="121"/>
  <c r="C42" i="121" s="1"/>
  <c r="C81" i="120"/>
  <c r="C77" i="120"/>
  <c r="C76" i="120"/>
  <c r="C75" i="120"/>
  <c r="C73" i="120"/>
  <c r="C72" i="120"/>
  <c r="C70" i="120"/>
  <c r="C67" i="120"/>
  <c r="C66" i="120"/>
  <c r="C62" i="120"/>
  <c r="C61" i="120"/>
  <c r="C56" i="120"/>
  <c r="C53" i="120"/>
  <c r="C52" i="120"/>
  <c r="C51" i="120"/>
  <c r="C50" i="120"/>
  <c r="C48" i="120"/>
  <c r="C47" i="120"/>
  <c r="C46" i="120"/>
  <c r="R42" i="120"/>
  <c r="Q42" i="120"/>
  <c r="P42" i="120"/>
  <c r="O42" i="120"/>
  <c r="N42" i="120"/>
  <c r="M42" i="120"/>
  <c r="L42" i="120"/>
  <c r="K42" i="120"/>
  <c r="J42" i="120"/>
  <c r="I42" i="120"/>
  <c r="H42" i="120"/>
  <c r="G42" i="120"/>
  <c r="F42" i="120"/>
  <c r="E42" i="120"/>
  <c r="D42" i="120"/>
  <c r="B42" i="120"/>
  <c r="C41" i="120"/>
  <c r="C40" i="120"/>
  <c r="C39" i="120"/>
  <c r="C37" i="120"/>
  <c r="C36" i="120"/>
  <c r="C35" i="120"/>
  <c r="C34" i="120"/>
  <c r="C33" i="120"/>
  <c r="C31" i="120"/>
  <c r="C30" i="120"/>
  <c r="C29" i="120"/>
  <c r="C28" i="120"/>
  <c r="C27" i="120"/>
  <c r="C26" i="120"/>
  <c r="C25" i="120"/>
  <c r="C24" i="120"/>
  <c r="C23" i="120"/>
  <c r="C22" i="120"/>
  <c r="C20" i="120"/>
  <c r="C19" i="120"/>
  <c r="C18" i="120"/>
  <c r="C17" i="120"/>
  <c r="C16" i="120"/>
  <c r="C15" i="120"/>
  <c r="C14" i="120"/>
  <c r="C13" i="120"/>
  <c r="C12" i="120"/>
  <c r="C11" i="120"/>
  <c r="C10" i="120"/>
  <c r="C9" i="120"/>
  <c r="C8" i="120"/>
  <c r="C7" i="120"/>
  <c r="C42" i="120" s="1"/>
  <c r="C81" i="119"/>
  <c r="C77" i="119"/>
  <c r="C76" i="119"/>
  <c r="C75" i="119"/>
  <c r="C73" i="119"/>
  <c r="C72" i="119"/>
  <c r="C70" i="119"/>
  <c r="C67" i="119"/>
  <c r="C66" i="119"/>
  <c r="C62" i="119"/>
  <c r="C61" i="119"/>
  <c r="C56" i="119"/>
  <c r="C53" i="119"/>
  <c r="C52" i="119"/>
  <c r="C51" i="119"/>
  <c r="C50" i="119"/>
  <c r="C48" i="119"/>
  <c r="C47" i="119"/>
  <c r="C46" i="119"/>
  <c r="R42" i="119"/>
  <c r="Q42" i="119"/>
  <c r="P42" i="119"/>
  <c r="O42" i="119"/>
  <c r="N42" i="119"/>
  <c r="M42" i="119"/>
  <c r="L42" i="119"/>
  <c r="K42" i="119"/>
  <c r="J42" i="119"/>
  <c r="I42" i="119"/>
  <c r="H42" i="119"/>
  <c r="G42" i="119"/>
  <c r="F42" i="119"/>
  <c r="E42" i="119"/>
  <c r="D42" i="119"/>
  <c r="B42" i="119"/>
  <c r="C41" i="119"/>
  <c r="C40" i="119"/>
  <c r="C39" i="119"/>
  <c r="C37" i="119"/>
  <c r="C36" i="119"/>
  <c r="C35" i="119"/>
  <c r="C34" i="119"/>
  <c r="C33" i="119"/>
  <c r="C31" i="119"/>
  <c r="C30" i="119"/>
  <c r="C29" i="119"/>
  <c r="C28" i="119"/>
  <c r="C27" i="119"/>
  <c r="C26" i="119"/>
  <c r="C25" i="119"/>
  <c r="C24" i="119"/>
  <c r="C23" i="119"/>
  <c r="C22" i="119"/>
  <c r="C20" i="119"/>
  <c r="C19" i="119"/>
  <c r="C18" i="119"/>
  <c r="C17" i="119"/>
  <c r="C16" i="119"/>
  <c r="C15" i="119"/>
  <c r="C14" i="119"/>
  <c r="C13" i="119"/>
  <c r="C12" i="119"/>
  <c r="C11" i="119"/>
  <c r="C10" i="119"/>
  <c r="C9" i="119"/>
  <c r="C8" i="119"/>
  <c r="C7" i="119"/>
  <c r="C42" i="119" s="1"/>
  <c r="C81" i="118"/>
  <c r="C77" i="118"/>
  <c r="C76" i="118"/>
  <c r="C75" i="118"/>
  <c r="C73" i="118"/>
  <c r="C72" i="118"/>
  <c r="C70" i="118"/>
  <c r="C67" i="118"/>
  <c r="C66" i="118"/>
  <c r="C62" i="118"/>
  <c r="C61" i="118"/>
  <c r="C56" i="118"/>
  <c r="C53" i="118"/>
  <c r="C52" i="118"/>
  <c r="C51" i="118"/>
  <c r="C50" i="118"/>
  <c r="C48" i="118"/>
  <c r="C47" i="118"/>
  <c r="C46" i="118"/>
  <c r="R42" i="118"/>
  <c r="Q42" i="118"/>
  <c r="P42" i="118"/>
  <c r="O42" i="118"/>
  <c r="N42" i="118"/>
  <c r="M42" i="118"/>
  <c r="L42" i="118"/>
  <c r="K42" i="118"/>
  <c r="J42" i="118"/>
  <c r="I42" i="118"/>
  <c r="H42" i="118"/>
  <c r="G42" i="118"/>
  <c r="F42" i="118"/>
  <c r="E42" i="118"/>
  <c r="D42" i="118"/>
  <c r="B42" i="118"/>
  <c r="C41" i="118"/>
  <c r="C40" i="118"/>
  <c r="C39" i="118"/>
  <c r="C37" i="118"/>
  <c r="C36" i="118"/>
  <c r="C35" i="118"/>
  <c r="C34" i="118"/>
  <c r="C33" i="118"/>
  <c r="C31" i="118"/>
  <c r="C30" i="118"/>
  <c r="C29" i="118"/>
  <c r="C28" i="118"/>
  <c r="C27" i="118"/>
  <c r="C26" i="118"/>
  <c r="C25" i="118"/>
  <c r="C24" i="118"/>
  <c r="C23" i="118"/>
  <c r="C22" i="118"/>
  <c r="C20" i="118"/>
  <c r="C19" i="118"/>
  <c r="C18" i="118"/>
  <c r="C17" i="118"/>
  <c r="C16" i="118"/>
  <c r="C15" i="118"/>
  <c r="C14" i="118"/>
  <c r="C13" i="118"/>
  <c r="C12" i="118"/>
  <c r="C11" i="118"/>
  <c r="C10" i="118"/>
  <c r="C9" i="118"/>
  <c r="C8" i="118"/>
  <c r="C7" i="118"/>
  <c r="C42" i="118" s="1"/>
  <c r="C81" i="117"/>
  <c r="C77" i="117"/>
  <c r="C76" i="117"/>
  <c r="C75" i="117"/>
  <c r="C73" i="117"/>
  <c r="C72" i="117"/>
  <c r="C70" i="117"/>
  <c r="C67" i="117"/>
  <c r="C66" i="117"/>
  <c r="C62" i="117"/>
  <c r="C61" i="117"/>
  <c r="C56" i="117"/>
  <c r="C53" i="117"/>
  <c r="C52" i="117"/>
  <c r="C51" i="117"/>
  <c r="C50" i="117"/>
  <c r="C48" i="117"/>
  <c r="C47" i="117"/>
  <c r="C46" i="117"/>
  <c r="R42" i="117"/>
  <c r="Q42" i="117"/>
  <c r="P42" i="117"/>
  <c r="O42" i="117"/>
  <c r="N42" i="117"/>
  <c r="M42" i="117"/>
  <c r="L42" i="117"/>
  <c r="K42" i="117"/>
  <c r="J42" i="117"/>
  <c r="I42" i="117"/>
  <c r="H42" i="117"/>
  <c r="G42" i="117"/>
  <c r="F42" i="117"/>
  <c r="E42" i="117"/>
  <c r="D42" i="117"/>
  <c r="B42" i="117"/>
  <c r="C41" i="117"/>
  <c r="C40" i="117"/>
  <c r="C39" i="117"/>
  <c r="C37" i="117"/>
  <c r="C36" i="117"/>
  <c r="C35" i="117"/>
  <c r="C34" i="117"/>
  <c r="C33" i="117"/>
  <c r="C31" i="117"/>
  <c r="C30" i="117"/>
  <c r="C29" i="117"/>
  <c r="C28" i="117"/>
  <c r="C27" i="117"/>
  <c r="C26" i="117"/>
  <c r="C25" i="117"/>
  <c r="C24" i="117"/>
  <c r="C23" i="117"/>
  <c r="C22" i="117"/>
  <c r="C20" i="117"/>
  <c r="C19" i="117"/>
  <c r="C18" i="117"/>
  <c r="C17" i="117"/>
  <c r="C16" i="117"/>
  <c r="C15" i="117"/>
  <c r="C14" i="117"/>
  <c r="C13" i="117"/>
  <c r="C12" i="117"/>
  <c r="C11" i="117"/>
  <c r="C10" i="117"/>
  <c r="C9" i="117"/>
  <c r="C8" i="117"/>
  <c r="C7" i="117"/>
  <c r="C42" i="117" s="1"/>
  <c r="C81" i="116"/>
  <c r="C77" i="116"/>
  <c r="C76" i="116"/>
  <c r="C75" i="116"/>
  <c r="C73" i="116"/>
  <c r="C72" i="116"/>
  <c r="C70" i="116"/>
  <c r="C67" i="116"/>
  <c r="C66" i="116"/>
  <c r="C62" i="116"/>
  <c r="C61" i="116"/>
  <c r="C56" i="116"/>
  <c r="C53" i="116"/>
  <c r="C52" i="116"/>
  <c r="C51" i="116"/>
  <c r="C50" i="116"/>
  <c r="C48" i="116"/>
  <c r="C47" i="116"/>
  <c r="C46" i="116"/>
  <c r="R42" i="116"/>
  <c r="Q42" i="116"/>
  <c r="P42" i="116"/>
  <c r="O42" i="116"/>
  <c r="N42" i="116"/>
  <c r="M42" i="116"/>
  <c r="L42" i="116"/>
  <c r="K42" i="116"/>
  <c r="J42" i="116"/>
  <c r="I42" i="116"/>
  <c r="H42" i="116"/>
  <c r="G42" i="116"/>
  <c r="F42" i="116"/>
  <c r="E42" i="116"/>
  <c r="D42" i="116"/>
  <c r="B42" i="116"/>
  <c r="C41" i="116"/>
  <c r="C40" i="116"/>
  <c r="C39" i="116"/>
  <c r="C37" i="116"/>
  <c r="C36" i="116"/>
  <c r="C35" i="116"/>
  <c r="C34" i="116"/>
  <c r="C33" i="116"/>
  <c r="C31" i="116"/>
  <c r="C30" i="116"/>
  <c r="C29" i="116"/>
  <c r="C28" i="116"/>
  <c r="C27" i="116"/>
  <c r="C26" i="116"/>
  <c r="C25" i="116"/>
  <c r="C24" i="116"/>
  <c r="C23" i="116"/>
  <c r="C22" i="116"/>
  <c r="C20" i="116"/>
  <c r="C19" i="116"/>
  <c r="C18" i="116"/>
  <c r="C17" i="116"/>
  <c r="C16" i="116"/>
  <c r="C15" i="116"/>
  <c r="C14" i="116"/>
  <c r="C13" i="116"/>
  <c r="C12" i="116"/>
  <c r="C11" i="116"/>
  <c r="C10" i="116"/>
  <c r="C9" i="116"/>
  <c r="C8" i="116"/>
  <c r="C7" i="116"/>
  <c r="C42" i="116" s="1"/>
  <c r="C81" i="115"/>
  <c r="C77" i="115"/>
  <c r="C76" i="115"/>
  <c r="C75" i="115"/>
  <c r="C73" i="115"/>
  <c r="C72" i="115"/>
  <c r="C70" i="115"/>
  <c r="C67" i="115"/>
  <c r="C66" i="115"/>
  <c r="C62" i="115"/>
  <c r="C61" i="115"/>
  <c r="C56" i="115"/>
  <c r="C53" i="115"/>
  <c r="C52" i="115"/>
  <c r="C51" i="115"/>
  <c r="C50" i="115"/>
  <c r="C48" i="115"/>
  <c r="C47" i="115"/>
  <c r="C46" i="115"/>
  <c r="R42" i="115"/>
  <c r="Q42" i="115"/>
  <c r="P42" i="115"/>
  <c r="O42" i="115"/>
  <c r="N42" i="115"/>
  <c r="M42" i="115"/>
  <c r="L42" i="115"/>
  <c r="K42" i="115"/>
  <c r="J42" i="115"/>
  <c r="I42" i="115"/>
  <c r="H42" i="115"/>
  <c r="G42" i="115"/>
  <c r="F42" i="115"/>
  <c r="E42" i="115"/>
  <c r="D42" i="115"/>
  <c r="B42" i="115"/>
  <c r="C41" i="115"/>
  <c r="C40" i="115"/>
  <c r="C39" i="115"/>
  <c r="C37" i="115"/>
  <c r="C36" i="115"/>
  <c r="C35" i="115"/>
  <c r="C34" i="115"/>
  <c r="C33" i="115"/>
  <c r="C31" i="115"/>
  <c r="C30" i="115"/>
  <c r="C29" i="115"/>
  <c r="C28" i="115"/>
  <c r="C27" i="115"/>
  <c r="C26" i="115"/>
  <c r="C25" i="115"/>
  <c r="C24" i="115"/>
  <c r="C23" i="115"/>
  <c r="C22" i="115"/>
  <c r="C20" i="115"/>
  <c r="C19" i="115"/>
  <c r="C18" i="115"/>
  <c r="C17" i="115"/>
  <c r="C16" i="115"/>
  <c r="C15" i="115"/>
  <c r="C14" i="115"/>
  <c r="C13" i="115"/>
  <c r="C12" i="115"/>
  <c r="C11" i="115"/>
  <c r="C10" i="115"/>
  <c r="C9" i="115"/>
  <c r="C8" i="115"/>
  <c r="C7" i="115"/>
  <c r="C42" i="115" s="1"/>
  <c r="C81" i="114"/>
  <c r="C77" i="114"/>
  <c r="C76" i="114"/>
  <c r="C75" i="114"/>
  <c r="C73" i="114"/>
  <c r="C72" i="114"/>
  <c r="C70" i="114"/>
  <c r="C67" i="114"/>
  <c r="C66" i="114"/>
  <c r="C62" i="114"/>
  <c r="C61" i="114"/>
  <c r="C56" i="114"/>
  <c r="C53" i="114"/>
  <c r="C52" i="114"/>
  <c r="C51" i="114"/>
  <c r="C50" i="114"/>
  <c r="C48" i="114"/>
  <c r="C47" i="114"/>
  <c r="C46" i="114"/>
  <c r="V42" i="114"/>
  <c r="U42" i="114"/>
  <c r="T42" i="114"/>
  <c r="S42" i="114"/>
  <c r="R42" i="114"/>
  <c r="Q42" i="114"/>
  <c r="P42" i="114"/>
  <c r="O42" i="114"/>
  <c r="N42" i="114"/>
  <c r="M42" i="114"/>
  <c r="L42" i="114"/>
  <c r="K42" i="114"/>
  <c r="J42" i="114"/>
  <c r="I42" i="114"/>
  <c r="H42" i="114"/>
  <c r="G42" i="114"/>
  <c r="F42" i="114"/>
  <c r="E42" i="114"/>
  <c r="D42" i="114"/>
  <c r="B42" i="114"/>
  <c r="C41" i="114"/>
  <c r="C40" i="114"/>
  <c r="C39" i="114"/>
  <c r="C37" i="114"/>
  <c r="C36" i="114"/>
  <c r="C35" i="114"/>
  <c r="C34" i="114"/>
  <c r="C33" i="114"/>
  <c r="C31" i="114"/>
  <c r="C30" i="114"/>
  <c r="C29" i="114"/>
  <c r="C28" i="114"/>
  <c r="C27" i="114"/>
  <c r="C26" i="114"/>
  <c r="C25" i="114"/>
  <c r="C24" i="114"/>
  <c r="C23" i="114"/>
  <c r="C22" i="114"/>
  <c r="C20" i="114"/>
  <c r="C19" i="114"/>
  <c r="C18" i="114"/>
  <c r="C17" i="114"/>
  <c r="C16" i="114"/>
  <c r="C15" i="114"/>
  <c r="C14" i="114"/>
  <c r="C13" i="114"/>
  <c r="C12" i="114"/>
  <c r="C11" i="114"/>
  <c r="C10" i="114"/>
  <c r="C9" i="114"/>
  <c r="C8" i="114"/>
  <c r="C7" i="114"/>
  <c r="C42" i="114" s="1"/>
  <c r="C81" i="113"/>
  <c r="C77" i="113"/>
  <c r="C76" i="113"/>
  <c r="C75" i="113"/>
  <c r="C73" i="113"/>
  <c r="C72" i="113"/>
  <c r="C70" i="113"/>
  <c r="C67" i="113"/>
  <c r="C66" i="113"/>
  <c r="C62" i="113"/>
  <c r="C61" i="113"/>
  <c r="C56" i="113"/>
  <c r="C53" i="113"/>
  <c r="C52" i="113"/>
  <c r="C51" i="113"/>
  <c r="C50" i="113"/>
  <c r="C48" i="113"/>
  <c r="C47" i="113"/>
  <c r="C46" i="113"/>
  <c r="T42" i="113"/>
  <c r="S42" i="113"/>
  <c r="R42" i="113"/>
  <c r="Q42" i="113"/>
  <c r="P42" i="113"/>
  <c r="O42" i="113"/>
  <c r="N42" i="113"/>
  <c r="M42" i="113"/>
  <c r="L42" i="113"/>
  <c r="K42" i="113"/>
  <c r="J42" i="113"/>
  <c r="I42" i="113"/>
  <c r="H42" i="113"/>
  <c r="G42" i="113"/>
  <c r="F42" i="113"/>
  <c r="E42" i="113"/>
  <c r="D42" i="113"/>
  <c r="B42" i="113"/>
  <c r="C41" i="113"/>
  <c r="C40" i="113"/>
  <c r="C39" i="113"/>
  <c r="C37" i="113"/>
  <c r="C36" i="113"/>
  <c r="C35" i="113"/>
  <c r="C34" i="113"/>
  <c r="C33" i="113"/>
  <c r="C31" i="113"/>
  <c r="C30" i="113"/>
  <c r="C29" i="113"/>
  <c r="C28" i="113"/>
  <c r="C27" i="113"/>
  <c r="C26" i="113"/>
  <c r="C25" i="113"/>
  <c r="C24" i="113"/>
  <c r="C23" i="113"/>
  <c r="C22" i="113"/>
  <c r="C20" i="113"/>
  <c r="C19" i="113"/>
  <c r="C18" i="113"/>
  <c r="C17" i="113"/>
  <c r="C16" i="113"/>
  <c r="C15" i="113"/>
  <c r="C14" i="113"/>
  <c r="C13" i="113"/>
  <c r="C12" i="113"/>
  <c r="C11" i="113"/>
  <c r="C10" i="113"/>
  <c r="C9" i="113"/>
  <c r="C8" i="113"/>
  <c r="C7" i="113"/>
  <c r="C42" i="113" s="1"/>
  <c r="C81" i="112"/>
  <c r="C77" i="112"/>
  <c r="C76" i="112"/>
  <c r="C75" i="112"/>
  <c r="C73" i="112"/>
  <c r="C72" i="112"/>
  <c r="C70" i="112"/>
  <c r="C67" i="112"/>
  <c r="C66" i="112"/>
  <c r="C62" i="112"/>
  <c r="C61" i="112"/>
  <c r="C56" i="112"/>
  <c r="C53" i="112"/>
  <c r="C52" i="112"/>
  <c r="C51" i="112"/>
  <c r="C50" i="112"/>
  <c r="C48" i="112"/>
  <c r="C47" i="112"/>
  <c r="C46" i="112"/>
  <c r="R42" i="112"/>
  <c r="Q42" i="112"/>
  <c r="P42" i="112"/>
  <c r="O42" i="112"/>
  <c r="N42" i="112"/>
  <c r="M42" i="112"/>
  <c r="L42" i="112"/>
  <c r="K42" i="112"/>
  <c r="J42" i="112"/>
  <c r="I42" i="112"/>
  <c r="H42" i="112"/>
  <c r="G42" i="112"/>
  <c r="F42" i="112"/>
  <c r="E42" i="112"/>
  <c r="D42" i="112"/>
  <c r="B42" i="112"/>
  <c r="C41" i="112"/>
  <c r="C40" i="112"/>
  <c r="C39" i="112"/>
  <c r="C37" i="112"/>
  <c r="C36" i="112"/>
  <c r="C35" i="112"/>
  <c r="C34" i="112"/>
  <c r="C33" i="112"/>
  <c r="C31" i="112"/>
  <c r="C30" i="112"/>
  <c r="C29" i="112"/>
  <c r="C28" i="112"/>
  <c r="C27" i="112"/>
  <c r="C26" i="112"/>
  <c r="C25" i="112"/>
  <c r="C24" i="112"/>
  <c r="C23" i="112"/>
  <c r="C22" i="112"/>
  <c r="C20" i="112"/>
  <c r="C19" i="112"/>
  <c r="C18" i="112"/>
  <c r="C17" i="112"/>
  <c r="C16" i="112"/>
  <c r="C15" i="112"/>
  <c r="C14" i="112"/>
  <c r="C13" i="112"/>
  <c r="C12" i="112"/>
  <c r="C11" i="112"/>
  <c r="C10" i="112"/>
  <c r="C9" i="112"/>
  <c r="C8" i="112"/>
  <c r="C7" i="112"/>
  <c r="C42" i="112" s="1"/>
  <c r="C81" i="111"/>
  <c r="C77" i="111"/>
  <c r="C76" i="111"/>
  <c r="C75" i="111"/>
  <c r="C73" i="111"/>
  <c r="C72" i="111"/>
  <c r="C70" i="111"/>
  <c r="C67" i="111"/>
  <c r="C66" i="111"/>
  <c r="C62" i="111"/>
  <c r="C61" i="111"/>
  <c r="C56" i="111"/>
  <c r="C53" i="111"/>
  <c r="C52" i="111"/>
  <c r="C51" i="111"/>
  <c r="C50" i="111"/>
  <c r="C48" i="111"/>
  <c r="C47" i="111"/>
  <c r="C46" i="111"/>
  <c r="R42" i="111"/>
  <c r="Q42" i="111"/>
  <c r="P42" i="111"/>
  <c r="O42" i="111"/>
  <c r="N42" i="111"/>
  <c r="M42" i="111"/>
  <c r="L42" i="111"/>
  <c r="K42" i="111"/>
  <c r="J42" i="111"/>
  <c r="I42" i="111"/>
  <c r="H42" i="111"/>
  <c r="G42" i="111"/>
  <c r="F42" i="111"/>
  <c r="E42" i="111"/>
  <c r="D42" i="111"/>
  <c r="B42" i="111"/>
  <c r="C41" i="111"/>
  <c r="C40" i="111"/>
  <c r="C39" i="111"/>
  <c r="C37" i="111"/>
  <c r="C36" i="111"/>
  <c r="C35" i="111"/>
  <c r="C34" i="111"/>
  <c r="C33" i="111"/>
  <c r="C31" i="111"/>
  <c r="C30" i="111"/>
  <c r="C29" i="111"/>
  <c r="C28" i="111"/>
  <c r="C27" i="111"/>
  <c r="C26" i="111"/>
  <c r="C25" i="111"/>
  <c r="C24" i="111"/>
  <c r="C23" i="111"/>
  <c r="C22" i="111"/>
  <c r="C20" i="111"/>
  <c r="C19" i="111"/>
  <c r="C18" i="111"/>
  <c r="C17" i="111"/>
  <c r="C16" i="111"/>
  <c r="C15" i="111"/>
  <c r="C14" i="111"/>
  <c r="C13" i="111"/>
  <c r="C12" i="111"/>
  <c r="C11" i="111"/>
  <c r="C10" i="111"/>
  <c r="C9" i="111"/>
  <c r="C8" i="111"/>
  <c r="C7" i="111"/>
  <c r="C42" i="111" s="1"/>
  <c r="C81" i="110"/>
  <c r="C77" i="110"/>
  <c r="C76" i="110"/>
  <c r="C75" i="110"/>
  <c r="C73" i="110"/>
  <c r="C72" i="110"/>
  <c r="C70" i="110"/>
  <c r="C67" i="110"/>
  <c r="C66" i="110"/>
  <c r="C62" i="110"/>
  <c r="C61" i="110"/>
  <c r="C56" i="110"/>
  <c r="C53" i="110"/>
  <c r="C52" i="110"/>
  <c r="C51" i="110"/>
  <c r="C50" i="110"/>
  <c r="C48" i="110"/>
  <c r="C47" i="110"/>
  <c r="C46" i="110"/>
  <c r="R42" i="110"/>
  <c r="Q42" i="110"/>
  <c r="P42" i="110"/>
  <c r="O42" i="110"/>
  <c r="N42" i="110"/>
  <c r="M42" i="110"/>
  <c r="L42" i="110"/>
  <c r="K42" i="110"/>
  <c r="J42" i="110"/>
  <c r="I42" i="110"/>
  <c r="H42" i="110"/>
  <c r="G42" i="110"/>
  <c r="F42" i="110"/>
  <c r="E42" i="110"/>
  <c r="D42" i="110"/>
  <c r="B42" i="110"/>
  <c r="C41" i="110"/>
  <c r="C40" i="110"/>
  <c r="C39" i="110"/>
  <c r="C37" i="110"/>
  <c r="C36" i="110"/>
  <c r="C35" i="110"/>
  <c r="C34" i="110"/>
  <c r="C33" i="110"/>
  <c r="C31" i="110"/>
  <c r="C30" i="110"/>
  <c r="C29" i="110"/>
  <c r="C28" i="110"/>
  <c r="C27" i="110"/>
  <c r="C26" i="110"/>
  <c r="C25" i="110"/>
  <c r="C24" i="110"/>
  <c r="C23" i="110"/>
  <c r="C22" i="110"/>
  <c r="C20" i="110"/>
  <c r="C19" i="110"/>
  <c r="C18" i="110"/>
  <c r="C17" i="110"/>
  <c r="C16" i="110"/>
  <c r="C15" i="110"/>
  <c r="C14" i="110"/>
  <c r="C13" i="110"/>
  <c r="C12" i="110"/>
  <c r="C11" i="110"/>
  <c r="C10" i="110"/>
  <c r="C9" i="110"/>
  <c r="C8" i="110"/>
  <c r="C7" i="110"/>
  <c r="C42" i="110" s="1"/>
  <c r="C81" i="109"/>
  <c r="C77" i="109"/>
  <c r="C76" i="109"/>
  <c r="C75" i="109"/>
  <c r="C73" i="109"/>
  <c r="C72" i="109"/>
  <c r="C70" i="109"/>
  <c r="C67" i="109"/>
  <c r="C66" i="109"/>
  <c r="C62" i="109"/>
  <c r="C61" i="109"/>
  <c r="C56" i="109"/>
  <c r="C53" i="109"/>
  <c r="C52" i="109"/>
  <c r="C51" i="109"/>
  <c r="C50" i="109"/>
  <c r="C48" i="109"/>
  <c r="C47" i="109"/>
  <c r="C46" i="109"/>
  <c r="R42" i="109"/>
  <c r="Q42" i="109"/>
  <c r="P42" i="109"/>
  <c r="O42" i="109"/>
  <c r="N42" i="109"/>
  <c r="M42" i="109"/>
  <c r="L42" i="109"/>
  <c r="K42" i="109"/>
  <c r="J42" i="109"/>
  <c r="I42" i="109"/>
  <c r="H42" i="109"/>
  <c r="G42" i="109"/>
  <c r="F42" i="109"/>
  <c r="E42" i="109"/>
  <c r="D42" i="109"/>
  <c r="B42" i="109"/>
  <c r="C41" i="109"/>
  <c r="C40" i="109"/>
  <c r="C39" i="109"/>
  <c r="C37" i="109"/>
  <c r="C36" i="109"/>
  <c r="C35" i="109"/>
  <c r="C34" i="109"/>
  <c r="C33" i="109"/>
  <c r="C31" i="109"/>
  <c r="C30" i="109"/>
  <c r="C29" i="109"/>
  <c r="C28" i="109"/>
  <c r="C27" i="109"/>
  <c r="C26" i="109"/>
  <c r="C25" i="109"/>
  <c r="C24" i="109"/>
  <c r="C23" i="109"/>
  <c r="C22" i="109"/>
  <c r="C20" i="109"/>
  <c r="C19" i="109"/>
  <c r="C18" i="109"/>
  <c r="C17" i="109"/>
  <c r="C16" i="109"/>
  <c r="C15" i="109"/>
  <c r="C14" i="109"/>
  <c r="C13" i="109"/>
  <c r="C12" i="109"/>
  <c r="C11" i="109"/>
  <c r="C10" i="109"/>
  <c r="C9" i="109"/>
  <c r="C8" i="109"/>
  <c r="C7" i="109"/>
  <c r="C42" i="109" s="1"/>
  <c r="C81" i="108"/>
  <c r="C77" i="108"/>
  <c r="C76" i="108"/>
  <c r="C75" i="108"/>
  <c r="C73" i="108"/>
  <c r="C72" i="108"/>
  <c r="C70" i="108"/>
  <c r="C67" i="108"/>
  <c r="C66" i="108"/>
  <c r="C62" i="108"/>
  <c r="C61" i="108"/>
  <c r="C56" i="108"/>
  <c r="C53" i="108"/>
  <c r="C52" i="108"/>
  <c r="C51" i="108"/>
  <c r="C50" i="108"/>
  <c r="C48" i="108"/>
  <c r="C47" i="108"/>
  <c r="C46" i="108"/>
  <c r="R42" i="108"/>
  <c r="Q42" i="108"/>
  <c r="P42" i="108"/>
  <c r="O42" i="108"/>
  <c r="N42" i="108"/>
  <c r="M42" i="108"/>
  <c r="L42" i="108"/>
  <c r="K42" i="108"/>
  <c r="J42" i="108"/>
  <c r="I42" i="108"/>
  <c r="H42" i="108"/>
  <c r="G42" i="108"/>
  <c r="F42" i="108"/>
  <c r="E42" i="108"/>
  <c r="D42" i="108"/>
  <c r="B42" i="108"/>
  <c r="C41" i="108"/>
  <c r="C40" i="108"/>
  <c r="C39" i="108"/>
  <c r="C37" i="108"/>
  <c r="C36" i="108"/>
  <c r="C35" i="108"/>
  <c r="C34" i="108"/>
  <c r="C33" i="108"/>
  <c r="C31" i="108"/>
  <c r="C30" i="108"/>
  <c r="C29" i="108"/>
  <c r="C28" i="108"/>
  <c r="C27" i="108"/>
  <c r="C26" i="108"/>
  <c r="C25" i="108"/>
  <c r="C24" i="108"/>
  <c r="C23" i="108"/>
  <c r="C22" i="108"/>
  <c r="C20" i="108"/>
  <c r="C19" i="108"/>
  <c r="C18" i="108"/>
  <c r="C17" i="108"/>
  <c r="C16" i="108"/>
  <c r="C15" i="108"/>
  <c r="C14" i="108"/>
  <c r="C13" i="108"/>
  <c r="C12" i="108"/>
  <c r="C11" i="108"/>
  <c r="C10" i="108"/>
  <c r="C9" i="108"/>
  <c r="C8" i="108"/>
  <c r="C7" i="108"/>
  <c r="C42" i="108" s="1"/>
  <c r="C81" i="107"/>
  <c r="C77" i="107"/>
  <c r="C76" i="107"/>
  <c r="C75" i="107"/>
  <c r="C73" i="107"/>
  <c r="C72" i="107"/>
  <c r="C70" i="107"/>
  <c r="C67" i="107"/>
  <c r="C66" i="107"/>
  <c r="C62" i="107"/>
  <c r="C61" i="107"/>
  <c r="C56" i="107"/>
  <c r="C53" i="107"/>
  <c r="C52" i="107"/>
  <c r="C51" i="107"/>
  <c r="C50" i="107"/>
  <c r="C48" i="107"/>
  <c r="C47" i="107"/>
  <c r="C46" i="107"/>
  <c r="R42" i="107"/>
  <c r="Q42" i="107"/>
  <c r="P42" i="107"/>
  <c r="O42" i="107"/>
  <c r="N42" i="107"/>
  <c r="M42" i="107"/>
  <c r="L42" i="107"/>
  <c r="K42" i="107"/>
  <c r="J42" i="107"/>
  <c r="I42" i="107"/>
  <c r="H42" i="107"/>
  <c r="G42" i="107"/>
  <c r="F42" i="107"/>
  <c r="E42" i="107"/>
  <c r="D42" i="107"/>
  <c r="B42" i="107"/>
  <c r="C41" i="107"/>
  <c r="C40" i="107"/>
  <c r="C39" i="107"/>
  <c r="C37" i="107"/>
  <c r="C36" i="107"/>
  <c r="C35" i="107"/>
  <c r="C34" i="107"/>
  <c r="C33" i="107"/>
  <c r="C31" i="107"/>
  <c r="C30" i="107"/>
  <c r="C29" i="107"/>
  <c r="C28" i="107"/>
  <c r="C27" i="107"/>
  <c r="C26" i="107"/>
  <c r="C25" i="107"/>
  <c r="C24" i="107"/>
  <c r="C23" i="107"/>
  <c r="C22" i="107"/>
  <c r="C20" i="107"/>
  <c r="C19" i="107"/>
  <c r="C18" i="107"/>
  <c r="C17" i="107"/>
  <c r="C16" i="107"/>
  <c r="C15" i="107"/>
  <c r="C14" i="107"/>
  <c r="C13" i="107"/>
  <c r="C12" i="107"/>
  <c r="C11" i="107"/>
  <c r="C10" i="107"/>
  <c r="C9" i="107"/>
  <c r="C8" i="107"/>
  <c r="C7" i="107"/>
  <c r="C42" i="107" s="1"/>
  <c r="C81" i="106"/>
  <c r="C77" i="106"/>
  <c r="C76" i="106"/>
  <c r="C75" i="106"/>
  <c r="C73" i="106"/>
  <c r="C72" i="106"/>
  <c r="C70" i="106"/>
  <c r="C67" i="106"/>
  <c r="C66" i="106"/>
  <c r="C62" i="106"/>
  <c r="C61" i="106"/>
  <c r="C56" i="106"/>
  <c r="C53" i="106"/>
  <c r="C52" i="106"/>
  <c r="C51" i="106"/>
  <c r="C50" i="106"/>
  <c r="C48" i="106"/>
  <c r="C47" i="106"/>
  <c r="C46" i="106"/>
  <c r="T42" i="106"/>
  <c r="S42" i="106"/>
  <c r="R42" i="106"/>
  <c r="Q42" i="106"/>
  <c r="P42" i="106"/>
  <c r="O42" i="106"/>
  <c r="N42" i="106"/>
  <c r="M42" i="106"/>
  <c r="L42" i="106"/>
  <c r="K42" i="106"/>
  <c r="J42" i="106"/>
  <c r="I42" i="106"/>
  <c r="H42" i="106"/>
  <c r="G42" i="106"/>
  <c r="F42" i="106"/>
  <c r="E42" i="106"/>
  <c r="D42" i="106"/>
  <c r="B42" i="106"/>
  <c r="C41" i="106"/>
  <c r="C40" i="106"/>
  <c r="C39" i="106"/>
  <c r="C37" i="106"/>
  <c r="C36" i="106"/>
  <c r="C35" i="106"/>
  <c r="C34" i="106"/>
  <c r="C33" i="106"/>
  <c r="C31" i="106"/>
  <c r="C30" i="106"/>
  <c r="C29" i="106"/>
  <c r="C28" i="106"/>
  <c r="C27" i="106"/>
  <c r="C26" i="106"/>
  <c r="C25" i="106"/>
  <c r="C24" i="106"/>
  <c r="C23" i="106"/>
  <c r="C22" i="106"/>
  <c r="C20" i="106"/>
  <c r="C19" i="106"/>
  <c r="C18" i="106"/>
  <c r="C17" i="106"/>
  <c r="C16" i="106"/>
  <c r="C15" i="106"/>
  <c r="C14" i="106"/>
  <c r="C13" i="106"/>
  <c r="C12" i="106"/>
  <c r="C11" i="106"/>
  <c r="C10" i="106"/>
  <c r="C9" i="106"/>
  <c r="C8" i="106"/>
  <c r="C42" i="106" s="1"/>
  <c r="C7" i="106"/>
  <c r="C81" i="105"/>
  <c r="C77" i="105"/>
  <c r="C76" i="105"/>
  <c r="C75" i="105"/>
  <c r="C73" i="105"/>
  <c r="C72" i="105"/>
  <c r="C70" i="105"/>
  <c r="C67" i="105"/>
  <c r="C66" i="105"/>
  <c r="C62" i="105"/>
  <c r="C61" i="105"/>
  <c r="C56" i="105"/>
  <c r="C53" i="105"/>
  <c r="C52" i="105"/>
  <c r="C51" i="105"/>
  <c r="C50" i="105"/>
  <c r="C48" i="105"/>
  <c r="C47" i="105"/>
  <c r="C46" i="105"/>
  <c r="R42" i="105"/>
  <c r="Q42" i="105"/>
  <c r="P42" i="105"/>
  <c r="O42" i="105"/>
  <c r="N42" i="105"/>
  <c r="M42" i="105"/>
  <c r="L42" i="105"/>
  <c r="K42" i="105"/>
  <c r="J42" i="105"/>
  <c r="I42" i="105"/>
  <c r="H42" i="105"/>
  <c r="G42" i="105"/>
  <c r="F42" i="105"/>
  <c r="E42" i="105"/>
  <c r="D42" i="105"/>
  <c r="B42" i="105"/>
  <c r="C41" i="105"/>
  <c r="C40" i="105"/>
  <c r="C39" i="105"/>
  <c r="C37" i="105"/>
  <c r="C36" i="105"/>
  <c r="C35" i="105"/>
  <c r="C34" i="105"/>
  <c r="C33" i="105"/>
  <c r="C31" i="105"/>
  <c r="C30" i="105"/>
  <c r="C29" i="105"/>
  <c r="C28" i="105"/>
  <c r="C27" i="105"/>
  <c r="C26" i="105"/>
  <c r="C25" i="105"/>
  <c r="C24" i="105"/>
  <c r="C23" i="105"/>
  <c r="C22" i="105"/>
  <c r="C20" i="105"/>
  <c r="C19" i="105"/>
  <c r="C18" i="105"/>
  <c r="C17" i="105"/>
  <c r="C16" i="105"/>
  <c r="C15" i="105"/>
  <c r="C14" i="105"/>
  <c r="C13" i="105"/>
  <c r="C12" i="105"/>
  <c r="C11" i="105"/>
  <c r="C10" i="105"/>
  <c r="C9" i="105"/>
  <c r="C8" i="105"/>
  <c r="C42" i="105" s="1"/>
  <c r="C7" i="105"/>
  <c r="C81" i="104"/>
  <c r="C77" i="104"/>
  <c r="C76" i="104"/>
  <c r="C75" i="104"/>
  <c r="C73" i="104"/>
  <c r="C72" i="104"/>
  <c r="C70" i="104"/>
  <c r="C67" i="104"/>
  <c r="C66" i="104"/>
  <c r="C62" i="104"/>
  <c r="C61" i="104"/>
  <c r="C56" i="104"/>
  <c r="C53" i="104"/>
  <c r="C52" i="104"/>
  <c r="C51" i="104"/>
  <c r="C50" i="104"/>
  <c r="C48" i="104"/>
  <c r="C47" i="104"/>
  <c r="C46" i="104"/>
  <c r="V42" i="104"/>
  <c r="U42" i="104"/>
  <c r="T42" i="104"/>
  <c r="S42" i="104"/>
  <c r="R42" i="104"/>
  <c r="Q42" i="104"/>
  <c r="P42" i="104"/>
  <c r="O42" i="104"/>
  <c r="N42" i="104"/>
  <c r="M42" i="104"/>
  <c r="L42" i="104"/>
  <c r="K42" i="104"/>
  <c r="J42" i="104"/>
  <c r="I42" i="104"/>
  <c r="H42" i="104"/>
  <c r="G42" i="104"/>
  <c r="F42" i="104"/>
  <c r="E42" i="104"/>
  <c r="D42" i="104"/>
  <c r="B42" i="104"/>
  <c r="C41" i="104"/>
  <c r="C40" i="104"/>
  <c r="C39" i="104"/>
  <c r="C37" i="104"/>
  <c r="C36" i="104"/>
  <c r="C35" i="104"/>
  <c r="C34" i="104"/>
  <c r="C33" i="104"/>
  <c r="C31" i="104"/>
  <c r="C30" i="104"/>
  <c r="C29" i="104"/>
  <c r="C28" i="104"/>
  <c r="C27" i="104"/>
  <c r="C26" i="104"/>
  <c r="C25" i="104"/>
  <c r="C24" i="104"/>
  <c r="C23" i="104"/>
  <c r="C22" i="104"/>
  <c r="C20" i="104"/>
  <c r="C19" i="104"/>
  <c r="C18" i="104"/>
  <c r="C17" i="104"/>
  <c r="C16" i="104"/>
  <c r="C15" i="104"/>
  <c r="C14" i="104"/>
  <c r="C13" i="104"/>
  <c r="C12" i="104"/>
  <c r="C11" i="104"/>
  <c r="C10" i="104"/>
  <c r="C9" i="104"/>
  <c r="C8" i="104"/>
  <c r="C42" i="104" s="1"/>
  <c r="C7" i="104"/>
  <c r="C81" i="103"/>
  <c r="C77" i="103"/>
  <c r="C76" i="103"/>
  <c r="C75" i="103"/>
  <c r="C73" i="103"/>
  <c r="C72" i="103"/>
  <c r="C70" i="103"/>
  <c r="C67" i="103"/>
  <c r="C66" i="103"/>
  <c r="C62" i="103"/>
  <c r="C61" i="103"/>
  <c r="C56" i="103"/>
  <c r="C53" i="103"/>
  <c r="C52" i="103"/>
  <c r="C51" i="103"/>
  <c r="C50" i="103"/>
  <c r="C48" i="103"/>
  <c r="C47" i="103"/>
  <c r="C46" i="103"/>
  <c r="T42" i="103"/>
  <c r="S42" i="103"/>
  <c r="R42" i="103"/>
  <c r="Q42" i="103"/>
  <c r="P42" i="103"/>
  <c r="O42" i="103"/>
  <c r="N42" i="103"/>
  <c r="M42" i="103"/>
  <c r="L42" i="103"/>
  <c r="K42" i="103"/>
  <c r="J42" i="103"/>
  <c r="I42" i="103"/>
  <c r="H42" i="103"/>
  <c r="G42" i="103"/>
  <c r="F42" i="103"/>
  <c r="E42" i="103"/>
  <c r="D42" i="103"/>
  <c r="B42" i="103"/>
  <c r="C41" i="103"/>
  <c r="C40" i="103"/>
  <c r="C39" i="103"/>
  <c r="C37" i="103"/>
  <c r="C36" i="103"/>
  <c r="C35" i="103"/>
  <c r="C34" i="103"/>
  <c r="C33" i="103"/>
  <c r="C31" i="103"/>
  <c r="C30" i="103"/>
  <c r="C29" i="103"/>
  <c r="C28" i="103"/>
  <c r="C27" i="103"/>
  <c r="C26" i="103"/>
  <c r="C25" i="103"/>
  <c r="C24" i="103"/>
  <c r="C23" i="103"/>
  <c r="C22" i="103"/>
  <c r="C20" i="103"/>
  <c r="C19" i="103"/>
  <c r="C18" i="103"/>
  <c r="C17" i="103"/>
  <c r="C16" i="103"/>
  <c r="C15" i="103"/>
  <c r="C14" i="103"/>
  <c r="C13" i="103"/>
  <c r="C12" i="103"/>
  <c r="C11" i="103"/>
  <c r="C10" i="103"/>
  <c r="C9" i="103"/>
  <c r="C8" i="103"/>
  <c r="C7" i="103"/>
  <c r="C42" i="103" s="1"/>
  <c r="C81" i="102"/>
  <c r="C77" i="102"/>
  <c r="C76" i="102"/>
  <c r="C75" i="102"/>
  <c r="C73" i="102"/>
  <c r="C72" i="102"/>
  <c r="C70" i="102"/>
  <c r="C67" i="102"/>
  <c r="C66" i="102"/>
  <c r="C62" i="102"/>
  <c r="C61" i="102"/>
  <c r="C56" i="102"/>
  <c r="C53" i="102"/>
  <c r="C52" i="102"/>
  <c r="C51" i="102"/>
  <c r="C50" i="102"/>
  <c r="C48" i="102"/>
  <c r="C47" i="102"/>
  <c r="C46" i="102"/>
  <c r="R42" i="102"/>
  <c r="Q42" i="102"/>
  <c r="P42" i="102"/>
  <c r="O42" i="102"/>
  <c r="N42" i="102"/>
  <c r="M42" i="102"/>
  <c r="L42" i="102"/>
  <c r="K42" i="102"/>
  <c r="J42" i="102"/>
  <c r="I42" i="102"/>
  <c r="H42" i="102"/>
  <c r="G42" i="102"/>
  <c r="F42" i="102"/>
  <c r="E42" i="102"/>
  <c r="D42" i="102"/>
  <c r="B42" i="102"/>
  <c r="C41" i="102"/>
  <c r="C40" i="102"/>
  <c r="C39" i="102"/>
  <c r="C37" i="102"/>
  <c r="C36" i="102"/>
  <c r="C35" i="102"/>
  <c r="C34" i="102"/>
  <c r="C33" i="102"/>
  <c r="C31" i="102"/>
  <c r="C30" i="102"/>
  <c r="C29" i="102"/>
  <c r="C28" i="102"/>
  <c r="C27" i="102"/>
  <c r="C26" i="102"/>
  <c r="C25" i="102"/>
  <c r="C24" i="102"/>
  <c r="C23" i="102"/>
  <c r="C22" i="102"/>
  <c r="C20" i="102"/>
  <c r="C19" i="102"/>
  <c r="C18" i="102"/>
  <c r="C17" i="102"/>
  <c r="C16" i="102"/>
  <c r="C15" i="102"/>
  <c r="C14" i="102"/>
  <c r="C13" i="102"/>
  <c r="C12" i="102"/>
  <c r="C11" i="102"/>
  <c r="C10" i="102"/>
  <c r="C9" i="102"/>
  <c r="C8" i="102"/>
  <c r="C7" i="102"/>
  <c r="C42" i="102" s="1"/>
  <c r="C81" i="101"/>
  <c r="C77" i="101"/>
  <c r="C76" i="101"/>
  <c r="C75" i="101"/>
  <c r="C73" i="101"/>
  <c r="C72" i="101"/>
  <c r="C70" i="101"/>
  <c r="C67" i="101"/>
  <c r="C66" i="101"/>
  <c r="C62" i="101"/>
  <c r="C61" i="101"/>
  <c r="C56" i="101"/>
  <c r="C53" i="101"/>
  <c r="C52" i="101"/>
  <c r="C51" i="101"/>
  <c r="C50" i="101"/>
  <c r="C48" i="101"/>
  <c r="C47" i="101"/>
  <c r="C46" i="101"/>
  <c r="T42" i="101"/>
  <c r="S42" i="101"/>
  <c r="R42" i="101"/>
  <c r="Q42" i="101"/>
  <c r="P42" i="101"/>
  <c r="O42" i="101"/>
  <c r="N42" i="101"/>
  <c r="M42" i="101"/>
  <c r="L42" i="101"/>
  <c r="K42" i="101"/>
  <c r="J42" i="101"/>
  <c r="I42" i="101"/>
  <c r="H42" i="101"/>
  <c r="G42" i="101"/>
  <c r="F42" i="101"/>
  <c r="E42" i="101"/>
  <c r="D42" i="101"/>
  <c r="B42" i="101"/>
  <c r="C41" i="101"/>
  <c r="C40" i="101"/>
  <c r="C39" i="101"/>
  <c r="C37" i="101"/>
  <c r="C36" i="101"/>
  <c r="C35" i="101"/>
  <c r="C34" i="101"/>
  <c r="C33" i="101"/>
  <c r="C31" i="101"/>
  <c r="C30" i="101"/>
  <c r="C29" i="101"/>
  <c r="C28" i="101"/>
  <c r="C27" i="101"/>
  <c r="C26" i="101"/>
  <c r="C25" i="101"/>
  <c r="C24" i="101"/>
  <c r="C23" i="101"/>
  <c r="C22" i="101"/>
  <c r="C20" i="101"/>
  <c r="C19" i="101"/>
  <c r="C18" i="101"/>
  <c r="C17" i="101"/>
  <c r="C16" i="101"/>
  <c r="C15" i="101"/>
  <c r="C14" i="101"/>
  <c r="C13" i="101"/>
  <c r="C12" i="101"/>
  <c r="C11" i="101"/>
  <c r="C10" i="101"/>
  <c r="C9" i="101"/>
  <c r="C8" i="101"/>
  <c r="C42" i="101" s="1"/>
  <c r="C7" i="101"/>
  <c r="C81" i="100"/>
  <c r="C77" i="100"/>
  <c r="C76" i="100"/>
  <c r="C75" i="100"/>
  <c r="C73" i="100"/>
  <c r="C72" i="100"/>
  <c r="C70" i="100"/>
  <c r="C67" i="100"/>
  <c r="C66" i="100"/>
  <c r="C62" i="100"/>
  <c r="C61" i="100"/>
  <c r="C56" i="100"/>
  <c r="C53" i="100"/>
  <c r="C52" i="100"/>
  <c r="C51" i="100"/>
  <c r="C50" i="100"/>
  <c r="C48" i="100"/>
  <c r="C47" i="100"/>
  <c r="C46" i="100"/>
  <c r="V42" i="100"/>
  <c r="U42" i="100"/>
  <c r="T42" i="100"/>
  <c r="S42" i="100"/>
  <c r="R42" i="100"/>
  <c r="Q42" i="100"/>
  <c r="P42" i="100"/>
  <c r="O42" i="100"/>
  <c r="N42" i="100"/>
  <c r="M42" i="100"/>
  <c r="L42" i="100"/>
  <c r="K42" i="100"/>
  <c r="J42" i="100"/>
  <c r="I42" i="100"/>
  <c r="H42" i="100"/>
  <c r="G42" i="100"/>
  <c r="F42" i="100"/>
  <c r="E42" i="100"/>
  <c r="D42" i="100"/>
  <c r="B42" i="100"/>
  <c r="C41" i="100"/>
  <c r="C40" i="100"/>
  <c r="C39" i="100"/>
  <c r="C37" i="100"/>
  <c r="C36" i="100"/>
  <c r="C35" i="100"/>
  <c r="C34" i="100"/>
  <c r="C33" i="100"/>
  <c r="C31" i="100"/>
  <c r="C30" i="100"/>
  <c r="C29" i="100"/>
  <c r="C28" i="100"/>
  <c r="C27" i="100"/>
  <c r="C26" i="100"/>
  <c r="C25" i="100"/>
  <c r="C24" i="100"/>
  <c r="C23" i="100"/>
  <c r="C22" i="100"/>
  <c r="C20" i="100"/>
  <c r="C19" i="100"/>
  <c r="C18" i="100"/>
  <c r="C17" i="100"/>
  <c r="C16" i="100"/>
  <c r="C15" i="100"/>
  <c r="C14" i="100"/>
  <c r="C13" i="100"/>
  <c r="C12" i="100"/>
  <c r="C11" i="100"/>
  <c r="C10" i="100"/>
  <c r="C9" i="100"/>
  <c r="C8" i="100"/>
  <c r="C42" i="100" s="1"/>
  <c r="C7" i="100"/>
  <c r="C81" i="99"/>
  <c r="C77" i="99"/>
  <c r="C76" i="99"/>
  <c r="C75" i="99"/>
  <c r="C73" i="99"/>
  <c r="C72" i="99"/>
  <c r="C70" i="99"/>
  <c r="C67" i="99"/>
  <c r="C66" i="99"/>
  <c r="C62" i="99"/>
  <c r="C61" i="99"/>
  <c r="C56" i="99"/>
  <c r="C53" i="99"/>
  <c r="C52" i="99"/>
  <c r="C51" i="99"/>
  <c r="C50" i="99"/>
  <c r="C48" i="99"/>
  <c r="C47" i="99"/>
  <c r="C46" i="99"/>
  <c r="T42" i="99"/>
  <c r="S42" i="99"/>
  <c r="R42" i="99"/>
  <c r="Q42" i="99"/>
  <c r="P42" i="99"/>
  <c r="O42" i="99"/>
  <c r="N42" i="99"/>
  <c r="M42" i="99"/>
  <c r="L42" i="99"/>
  <c r="K42" i="99"/>
  <c r="J42" i="99"/>
  <c r="I42" i="99"/>
  <c r="H42" i="99"/>
  <c r="G42" i="99"/>
  <c r="F42" i="99"/>
  <c r="E42" i="99"/>
  <c r="D42" i="99"/>
  <c r="B42" i="99"/>
  <c r="C41" i="99"/>
  <c r="C40" i="99"/>
  <c r="C39" i="99"/>
  <c r="C37" i="99"/>
  <c r="C36" i="99"/>
  <c r="C35" i="99"/>
  <c r="C34" i="99"/>
  <c r="C33" i="99"/>
  <c r="C31" i="99"/>
  <c r="C30" i="99"/>
  <c r="C29" i="99"/>
  <c r="C28" i="99"/>
  <c r="C27" i="99"/>
  <c r="C26" i="99"/>
  <c r="C25" i="99"/>
  <c r="C24" i="99"/>
  <c r="C23" i="99"/>
  <c r="C22" i="99"/>
  <c r="C20" i="99"/>
  <c r="C19" i="99"/>
  <c r="C18" i="99"/>
  <c r="C17" i="99"/>
  <c r="C16" i="99"/>
  <c r="C15" i="99"/>
  <c r="C14" i="99"/>
  <c r="C13" i="99"/>
  <c r="C12" i="99"/>
  <c r="C11" i="99"/>
  <c r="C10" i="99"/>
  <c r="C9" i="99"/>
  <c r="C8" i="99"/>
  <c r="C7" i="99"/>
  <c r="C42" i="99" s="1"/>
  <c r="C81" i="98"/>
  <c r="C77" i="98"/>
  <c r="C76" i="98"/>
  <c r="C75" i="98"/>
  <c r="C73" i="98"/>
  <c r="C72" i="98"/>
  <c r="C70" i="98"/>
  <c r="C67" i="98"/>
  <c r="C66" i="98"/>
  <c r="C62" i="98"/>
  <c r="C61" i="98"/>
  <c r="C56" i="98"/>
  <c r="C53" i="98"/>
  <c r="C52" i="98"/>
  <c r="C51" i="98"/>
  <c r="C50" i="98"/>
  <c r="C48" i="98"/>
  <c r="C47" i="98"/>
  <c r="C46" i="98"/>
  <c r="T42" i="98"/>
  <c r="S42" i="98"/>
  <c r="R42" i="98"/>
  <c r="Q42" i="98"/>
  <c r="P42" i="98"/>
  <c r="O42" i="98"/>
  <c r="N42" i="98"/>
  <c r="M42" i="98"/>
  <c r="L42" i="98"/>
  <c r="K42" i="98"/>
  <c r="J42" i="98"/>
  <c r="I42" i="98"/>
  <c r="H42" i="98"/>
  <c r="G42" i="98"/>
  <c r="F42" i="98"/>
  <c r="E42" i="98"/>
  <c r="D42" i="98"/>
  <c r="B42" i="98"/>
  <c r="C41" i="98"/>
  <c r="C40" i="98"/>
  <c r="C39" i="98"/>
  <c r="C37" i="98"/>
  <c r="C36" i="98"/>
  <c r="C35" i="98"/>
  <c r="C34" i="98"/>
  <c r="C33" i="98"/>
  <c r="C31" i="98"/>
  <c r="C30" i="98"/>
  <c r="C29" i="98"/>
  <c r="C28" i="98"/>
  <c r="C27" i="98"/>
  <c r="C26" i="98"/>
  <c r="C25" i="98"/>
  <c r="C24" i="98"/>
  <c r="C23" i="98"/>
  <c r="C22" i="98"/>
  <c r="C20" i="98"/>
  <c r="C19" i="98"/>
  <c r="C18" i="98"/>
  <c r="C17" i="98"/>
  <c r="C16" i="98"/>
  <c r="C15" i="98"/>
  <c r="C14" i="98"/>
  <c r="C13" i="98"/>
  <c r="C12" i="98"/>
  <c r="C11" i="98"/>
  <c r="C10" i="98"/>
  <c r="C9" i="98"/>
  <c r="C8" i="98"/>
  <c r="C42" i="98" s="1"/>
  <c r="C7" i="98"/>
  <c r="C81" i="97"/>
  <c r="C77" i="97"/>
  <c r="C76" i="97"/>
  <c r="C75" i="97"/>
  <c r="C73" i="97"/>
  <c r="C72" i="97"/>
  <c r="C70" i="97"/>
  <c r="C67" i="97"/>
  <c r="C66" i="97"/>
  <c r="C62" i="97"/>
  <c r="C61" i="97"/>
  <c r="C56" i="97"/>
  <c r="C53" i="97"/>
  <c r="C52" i="97"/>
  <c r="C51" i="97"/>
  <c r="C50" i="97"/>
  <c r="C48" i="97"/>
  <c r="C47" i="97"/>
  <c r="C46" i="97"/>
  <c r="T42" i="97"/>
  <c r="S42" i="97"/>
  <c r="R42" i="97"/>
  <c r="Q42" i="97"/>
  <c r="P42" i="97"/>
  <c r="O42" i="97"/>
  <c r="N42" i="97"/>
  <c r="M42" i="97"/>
  <c r="L42" i="97"/>
  <c r="K42" i="97"/>
  <c r="J42" i="97"/>
  <c r="I42" i="97"/>
  <c r="H42" i="97"/>
  <c r="G42" i="97"/>
  <c r="F42" i="97"/>
  <c r="E42" i="97"/>
  <c r="D42" i="97"/>
  <c r="B42" i="97"/>
  <c r="C41" i="97"/>
  <c r="C40" i="97"/>
  <c r="C39" i="97"/>
  <c r="C37" i="97"/>
  <c r="C36" i="97"/>
  <c r="C35" i="97"/>
  <c r="C34" i="97"/>
  <c r="C33" i="97"/>
  <c r="C31" i="97"/>
  <c r="C30" i="97"/>
  <c r="C29" i="97"/>
  <c r="C28" i="97"/>
  <c r="C27" i="97"/>
  <c r="C26" i="97"/>
  <c r="C25" i="97"/>
  <c r="C24" i="97"/>
  <c r="C23" i="97"/>
  <c r="C22" i="97"/>
  <c r="C20" i="97"/>
  <c r="C19" i="97"/>
  <c r="C18" i="97"/>
  <c r="C17" i="97"/>
  <c r="C16" i="97"/>
  <c r="C15" i="97"/>
  <c r="C14" i="97"/>
  <c r="C13" i="97"/>
  <c r="C12" i="97"/>
  <c r="C11" i="97"/>
  <c r="C10" i="97"/>
  <c r="C9" i="97"/>
  <c r="C8" i="97"/>
  <c r="C7" i="97"/>
  <c r="C42" i="97" s="1"/>
  <c r="C81" i="96"/>
  <c r="C77" i="96"/>
  <c r="C76" i="96"/>
  <c r="C75" i="96"/>
  <c r="C73" i="96"/>
  <c r="C72" i="96"/>
  <c r="C70" i="96"/>
  <c r="C67" i="96"/>
  <c r="C66" i="96"/>
  <c r="C62" i="96"/>
  <c r="C61" i="96"/>
  <c r="C56" i="96"/>
  <c r="C53" i="96"/>
  <c r="C52" i="96"/>
  <c r="C51" i="96"/>
  <c r="C50" i="96"/>
  <c r="C48" i="96"/>
  <c r="C47" i="96"/>
  <c r="C46" i="96"/>
  <c r="T42" i="96"/>
  <c r="S42" i="96"/>
  <c r="R42" i="96"/>
  <c r="Q42" i="96"/>
  <c r="P42" i="96"/>
  <c r="O42" i="96"/>
  <c r="N42" i="96"/>
  <c r="M42" i="96"/>
  <c r="L42" i="96"/>
  <c r="K42" i="96"/>
  <c r="J42" i="96"/>
  <c r="I42" i="96"/>
  <c r="H42" i="96"/>
  <c r="G42" i="96"/>
  <c r="F42" i="96"/>
  <c r="E42" i="96"/>
  <c r="D42" i="96"/>
  <c r="B42" i="96"/>
  <c r="C41" i="96"/>
  <c r="C40" i="96"/>
  <c r="C39" i="96"/>
  <c r="C37" i="96"/>
  <c r="C36" i="96"/>
  <c r="C35" i="96"/>
  <c r="C34" i="96"/>
  <c r="C33" i="96"/>
  <c r="C31" i="96"/>
  <c r="C30" i="96"/>
  <c r="C29" i="96"/>
  <c r="C28" i="96"/>
  <c r="C27" i="96"/>
  <c r="C26" i="96"/>
  <c r="C25" i="96"/>
  <c r="C24" i="96"/>
  <c r="C23" i="96"/>
  <c r="C22" i="96"/>
  <c r="C20" i="96"/>
  <c r="C19" i="96"/>
  <c r="C18" i="96"/>
  <c r="C17" i="96"/>
  <c r="C16" i="96"/>
  <c r="C15" i="96"/>
  <c r="C14" i="96"/>
  <c r="C13" i="96"/>
  <c r="C12" i="96"/>
  <c r="C11" i="96"/>
  <c r="C10" i="96"/>
  <c r="C9" i="96"/>
  <c r="C8" i="96"/>
  <c r="C7" i="96"/>
  <c r="C42" i="96" s="1"/>
  <c r="C81" i="95"/>
  <c r="C77" i="95"/>
  <c r="C76" i="95"/>
  <c r="C75" i="95"/>
  <c r="C73" i="95"/>
  <c r="C72" i="95"/>
  <c r="C70" i="95"/>
  <c r="C67" i="95"/>
  <c r="C66" i="95"/>
  <c r="C62" i="95"/>
  <c r="C61" i="95"/>
  <c r="C56" i="95"/>
  <c r="C53" i="95"/>
  <c r="C52" i="95"/>
  <c r="C51" i="95"/>
  <c r="C50" i="95"/>
  <c r="C48" i="95"/>
  <c r="C47" i="95"/>
  <c r="C46" i="95"/>
  <c r="R42" i="95"/>
  <c r="Q42" i="95"/>
  <c r="P42" i="95"/>
  <c r="O42" i="95"/>
  <c r="N42" i="95"/>
  <c r="M42" i="95"/>
  <c r="L42" i="95"/>
  <c r="K42" i="95"/>
  <c r="J42" i="95"/>
  <c r="I42" i="95"/>
  <c r="H42" i="95"/>
  <c r="G42" i="95"/>
  <c r="F42" i="95"/>
  <c r="E42" i="95"/>
  <c r="D42" i="95"/>
  <c r="B42" i="95"/>
  <c r="C41" i="95"/>
  <c r="C40" i="95"/>
  <c r="C39" i="95"/>
  <c r="C37" i="95"/>
  <c r="C36" i="95"/>
  <c r="C35" i="95"/>
  <c r="C34" i="95"/>
  <c r="C33" i="95"/>
  <c r="C31" i="95"/>
  <c r="C30" i="95"/>
  <c r="C29" i="95"/>
  <c r="C28" i="95"/>
  <c r="C27" i="95"/>
  <c r="C26" i="95"/>
  <c r="C25" i="95"/>
  <c r="C24" i="95"/>
  <c r="C23" i="95"/>
  <c r="C22" i="95"/>
  <c r="C20" i="95"/>
  <c r="C19" i="95"/>
  <c r="C18" i="95"/>
  <c r="C17" i="95"/>
  <c r="C16" i="95"/>
  <c r="C15" i="95"/>
  <c r="C14" i="95"/>
  <c r="C13" i="95"/>
  <c r="C12" i="95"/>
  <c r="C11" i="95"/>
  <c r="C10" i="95"/>
  <c r="C9" i="95"/>
  <c r="C8" i="95"/>
  <c r="C7" i="95"/>
  <c r="C42" i="95" s="1"/>
  <c r="C81" i="94"/>
  <c r="C77" i="94"/>
  <c r="C76" i="94"/>
  <c r="C75" i="94"/>
  <c r="C73" i="94"/>
  <c r="C72" i="94"/>
  <c r="C70" i="94"/>
  <c r="C67" i="94"/>
  <c r="C66" i="94"/>
  <c r="C62" i="94"/>
  <c r="C61" i="94"/>
  <c r="C56" i="94"/>
  <c r="C53" i="94"/>
  <c r="C52" i="94"/>
  <c r="C51" i="94"/>
  <c r="C50" i="94"/>
  <c r="C48" i="94"/>
  <c r="C47" i="94"/>
  <c r="C46" i="94"/>
  <c r="T42" i="94"/>
  <c r="S42" i="94"/>
  <c r="R42" i="94"/>
  <c r="Q42" i="94"/>
  <c r="P42" i="94"/>
  <c r="O42" i="94"/>
  <c r="N42" i="94"/>
  <c r="M42" i="94"/>
  <c r="L42" i="94"/>
  <c r="K42" i="94"/>
  <c r="J42" i="94"/>
  <c r="I42" i="94"/>
  <c r="H42" i="94"/>
  <c r="G42" i="94"/>
  <c r="F42" i="94"/>
  <c r="E42" i="94"/>
  <c r="D42" i="94"/>
  <c r="B42" i="94"/>
  <c r="C41" i="94"/>
  <c r="C40" i="94"/>
  <c r="C39" i="94"/>
  <c r="C37" i="94"/>
  <c r="C36" i="94"/>
  <c r="C35" i="94"/>
  <c r="C34" i="94"/>
  <c r="C33" i="94"/>
  <c r="C31" i="94"/>
  <c r="C30" i="94"/>
  <c r="C29" i="94"/>
  <c r="C28" i="94"/>
  <c r="C27" i="94"/>
  <c r="C26" i="94"/>
  <c r="C25" i="94"/>
  <c r="C24" i="94"/>
  <c r="C23" i="94"/>
  <c r="C22" i="94"/>
  <c r="C20" i="94"/>
  <c r="C19" i="94"/>
  <c r="C18" i="94"/>
  <c r="C17" i="94"/>
  <c r="C16" i="94"/>
  <c r="C15" i="94"/>
  <c r="C14" i="94"/>
  <c r="C13" i="94"/>
  <c r="C12" i="94"/>
  <c r="C11" i="94"/>
  <c r="C10" i="94"/>
  <c r="C9" i="94"/>
  <c r="C8" i="94"/>
  <c r="C7" i="94"/>
  <c r="C42" i="94" s="1"/>
  <c r="C81" i="93"/>
  <c r="C77" i="93"/>
  <c r="C76" i="93"/>
  <c r="C75" i="93"/>
  <c r="C73" i="93"/>
  <c r="C72" i="93"/>
  <c r="C70" i="93"/>
  <c r="C67" i="93"/>
  <c r="C66" i="93"/>
  <c r="C62" i="93"/>
  <c r="C61" i="93"/>
  <c r="C56" i="93"/>
  <c r="C53" i="93"/>
  <c r="C52" i="93"/>
  <c r="C51" i="93"/>
  <c r="C50" i="93"/>
  <c r="C48" i="93"/>
  <c r="C47" i="93"/>
  <c r="C46" i="93"/>
  <c r="R42" i="93"/>
  <c r="Q42" i="93"/>
  <c r="P42" i="93"/>
  <c r="O42" i="93"/>
  <c r="N42" i="93"/>
  <c r="M42" i="93"/>
  <c r="L42" i="93"/>
  <c r="K42" i="93"/>
  <c r="J42" i="93"/>
  <c r="I42" i="93"/>
  <c r="H42" i="93"/>
  <c r="G42" i="93"/>
  <c r="F42" i="93"/>
  <c r="E42" i="93"/>
  <c r="D42" i="93"/>
  <c r="B42" i="93"/>
  <c r="C41" i="93"/>
  <c r="C40" i="93"/>
  <c r="C39" i="93"/>
  <c r="C37" i="93"/>
  <c r="C36" i="93"/>
  <c r="C35" i="93"/>
  <c r="C34" i="93"/>
  <c r="C33" i="93"/>
  <c r="C31" i="93"/>
  <c r="C30" i="93"/>
  <c r="C29" i="93"/>
  <c r="C28" i="93"/>
  <c r="C27" i="93"/>
  <c r="C26" i="93"/>
  <c r="C25" i="93"/>
  <c r="C24" i="93"/>
  <c r="C23" i="93"/>
  <c r="C22" i="93"/>
  <c r="C20" i="93"/>
  <c r="C19" i="93"/>
  <c r="C18" i="93"/>
  <c r="C17" i="93"/>
  <c r="C16" i="93"/>
  <c r="C15" i="93"/>
  <c r="C14" i="93"/>
  <c r="C13" i="93"/>
  <c r="C12" i="93"/>
  <c r="C11" i="93"/>
  <c r="C10" i="93"/>
  <c r="C9" i="93"/>
  <c r="C8" i="93"/>
  <c r="C7" i="93"/>
  <c r="C42" i="93" s="1"/>
  <c r="C81" i="92"/>
  <c r="C77" i="92"/>
  <c r="C76" i="92"/>
  <c r="C75" i="92"/>
  <c r="C73" i="92"/>
  <c r="C72" i="92"/>
  <c r="C70" i="92"/>
  <c r="C67" i="92"/>
  <c r="C66" i="92"/>
  <c r="C62" i="92"/>
  <c r="C61" i="92"/>
  <c r="C56" i="92"/>
  <c r="C53" i="92"/>
  <c r="C52" i="92"/>
  <c r="C51" i="92"/>
  <c r="C50" i="92"/>
  <c r="C48" i="92"/>
  <c r="C47" i="92"/>
  <c r="C46" i="92"/>
  <c r="R42" i="92"/>
  <c r="Q42" i="92"/>
  <c r="P42" i="92"/>
  <c r="O42" i="92"/>
  <c r="N42" i="92"/>
  <c r="M42" i="92"/>
  <c r="L42" i="92"/>
  <c r="K42" i="92"/>
  <c r="J42" i="92"/>
  <c r="I42" i="92"/>
  <c r="H42" i="92"/>
  <c r="G42" i="92"/>
  <c r="F42" i="92"/>
  <c r="E42" i="92"/>
  <c r="D42" i="92"/>
  <c r="B42" i="92"/>
  <c r="C41" i="92"/>
  <c r="C40" i="92"/>
  <c r="C39" i="92"/>
  <c r="C37" i="92"/>
  <c r="C36" i="92"/>
  <c r="C35" i="92"/>
  <c r="C34" i="92"/>
  <c r="C33" i="92"/>
  <c r="C31" i="92"/>
  <c r="C30" i="92"/>
  <c r="C29" i="92"/>
  <c r="C28" i="92"/>
  <c r="C27" i="92"/>
  <c r="C26" i="92"/>
  <c r="C25" i="92"/>
  <c r="C24" i="92"/>
  <c r="C23" i="92"/>
  <c r="C22" i="92"/>
  <c r="C20" i="92"/>
  <c r="C19" i="92"/>
  <c r="C18" i="92"/>
  <c r="C17" i="92"/>
  <c r="C16" i="92"/>
  <c r="C15" i="92"/>
  <c r="C14" i="92"/>
  <c r="C13" i="92"/>
  <c r="C12" i="92"/>
  <c r="C11" i="92"/>
  <c r="C10" i="92"/>
  <c r="C9" i="92"/>
  <c r="C8" i="92"/>
  <c r="C7" i="92"/>
  <c r="C42" i="92" s="1"/>
  <c r="C81" i="91"/>
  <c r="C77" i="91"/>
  <c r="C76" i="91"/>
  <c r="C75" i="91"/>
  <c r="C73" i="91"/>
  <c r="C72" i="91"/>
  <c r="C70" i="91"/>
  <c r="C67" i="91"/>
  <c r="C66" i="91"/>
  <c r="C62" i="91"/>
  <c r="C61" i="91"/>
  <c r="C56" i="91"/>
  <c r="C53" i="91"/>
  <c r="C52" i="91"/>
  <c r="C51" i="91"/>
  <c r="C50" i="91"/>
  <c r="C48" i="91"/>
  <c r="C47" i="91"/>
  <c r="C46" i="91"/>
  <c r="R42" i="91"/>
  <c r="Q42" i="91"/>
  <c r="P42" i="91"/>
  <c r="O42" i="91"/>
  <c r="N42" i="91"/>
  <c r="M42" i="91"/>
  <c r="L42" i="91"/>
  <c r="K42" i="91"/>
  <c r="J42" i="91"/>
  <c r="I42" i="91"/>
  <c r="H42" i="91"/>
  <c r="G42" i="91"/>
  <c r="F42" i="91"/>
  <c r="E42" i="91"/>
  <c r="D42" i="91"/>
  <c r="B42" i="91"/>
  <c r="C41" i="91"/>
  <c r="C40" i="91"/>
  <c r="C39" i="91"/>
  <c r="C37" i="91"/>
  <c r="C36" i="91"/>
  <c r="C35" i="91"/>
  <c r="C34" i="91"/>
  <c r="C33" i="91"/>
  <c r="C31" i="91"/>
  <c r="C30" i="91"/>
  <c r="C29" i="91"/>
  <c r="C28" i="91"/>
  <c r="C27" i="91"/>
  <c r="C26" i="91"/>
  <c r="C25" i="91"/>
  <c r="C24" i="91"/>
  <c r="C23" i="91"/>
  <c r="C22" i="91"/>
  <c r="C20" i="91"/>
  <c r="C19" i="91"/>
  <c r="C18" i="91"/>
  <c r="C17" i="91"/>
  <c r="C16" i="91"/>
  <c r="C15" i="91"/>
  <c r="C14" i="91"/>
  <c r="C13" i="91"/>
  <c r="C12" i="91"/>
  <c r="C11" i="91"/>
  <c r="C10" i="91"/>
  <c r="C9" i="91"/>
  <c r="C8" i="91"/>
  <c r="C7" i="91"/>
  <c r="C42" i="91" s="1"/>
  <c r="C81" i="90"/>
  <c r="C77" i="90"/>
  <c r="C76" i="90"/>
  <c r="C75" i="90"/>
  <c r="C73" i="90"/>
  <c r="C72" i="90"/>
  <c r="C70" i="90"/>
  <c r="C67" i="90"/>
  <c r="C66" i="90"/>
  <c r="C62" i="90"/>
  <c r="C61" i="90"/>
  <c r="C56" i="90"/>
  <c r="C53" i="90"/>
  <c r="C52" i="90"/>
  <c r="C51" i="90"/>
  <c r="C50" i="90"/>
  <c r="C48" i="90"/>
  <c r="C47" i="90"/>
  <c r="C46" i="90"/>
  <c r="R42" i="90"/>
  <c r="Q42" i="90"/>
  <c r="P42" i="90"/>
  <c r="O42" i="90"/>
  <c r="N42" i="90"/>
  <c r="M42" i="90"/>
  <c r="L42" i="90"/>
  <c r="K42" i="90"/>
  <c r="J42" i="90"/>
  <c r="I42" i="90"/>
  <c r="H42" i="90"/>
  <c r="G42" i="90"/>
  <c r="F42" i="90"/>
  <c r="E42" i="90"/>
  <c r="D42" i="90"/>
  <c r="B42" i="90"/>
  <c r="C41" i="90"/>
  <c r="C40" i="90"/>
  <c r="C39" i="90"/>
  <c r="C37" i="90"/>
  <c r="C36" i="90"/>
  <c r="C35" i="90"/>
  <c r="C34" i="90"/>
  <c r="C33" i="90"/>
  <c r="C31" i="90"/>
  <c r="C30" i="90"/>
  <c r="C29" i="90"/>
  <c r="C28" i="90"/>
  <c r="C27" i="90"/>
  <c r="C26" i="90"/>
  <c r="C25" i="90"/>
  <c r="C24" i="90"/>
  <c r="C23" i="90"/>
  <c r="C22" i="90"/>
  <c r="C20" i="90"/>
  <c r="C19" i="90"/>
  <c r="C18" i="90"/>
  <c r="C17" i="90"/>
  <c r="C16" i="90"/>
  <c r="C15" i="90"/>
  <c r="C14" i="90"/>
  <c r="C13" i="90"/>
  <c r="C12" i="90"/>
  <c r="C11" i="90"/>
  <c r="C10" i="90"/>
  <c r="C9" i="90"/>
  <c r="C8" i="90"/>
  <c r="C7" i="90"/>
  <c r="C42" i="90" s="1"/>
  <c r="C81" i="89"/>
  <c r="C77" i="89"/>
  <c r="C76" i="89"/>
  <c r="C75" i="89"/>
  <c r="C73" i="89"/>
  <c r="C72" i="89"/>
  <c r="C70" i="89"/>
  <c r="C67" i="89"/>
  <c r="C66" i="89"/>
  <c r="C62" i="89"/>
  <c r="C61" i="89"/>
  <c r="C56" i="89"/>
  <c r="C53" i="89"/>
  <c r="C52" i="89"/>
  <c r="C51" i="89"/>
  <c r="C50" i="89"/>
  <c r="C48" i="89"/>
  <c r="C47" i="89"/>
  <c r="C46" i="89"/>
  <c r="R42" i="89"/>
  <c r="Q42" i="89"/>
  <c r="P42" i="89"/>
  <c r="O42" i="89"/>
  <c r="N42" i="89"/>
  <c r="M42" i="89"/>
  <c r="L42" i="89"/>
  <c r="K42" i="89"/>
  <c r="J42" i="89"/>
  <c r="I42" i="89"/>
  <c r="H42" i="89"/>
  <c r="G42" i="89"/>
  <c r="F42" i="89"/>
  <c r="E42" i="89"/>
  <c r="D42" i="89"/>
  <c r="B42" i="89"/>
  <c r="C41" i="89"/>
  <c r="C40" i="89"/>
  <c r="C39" i="89"/>
  <c r="C37" i="89"/>
  <c r="C36" i="89"/>
  <c r="C35" i="89"/>
  <c r="C34" i="89"/>
  <c r="C33" i="89"/>
  <c r="C31" i="89"/>
  <c r="C30" i="89"/>
  <c r="C29" i="89"/>
  <c r="C28" i="89"/>
  <c r="C27" i="89"/>
  <c r="C26" i="89"/>
  <c r="C25" i="89"/>
  <c r="C24" i="89"/>
  <c r="C23" i="89"/>
  <c r="C22" i="89"/>
  <c r="C20" i="89"/>
  <c r="C19" i="89"/>
  <c r="C18" i="89"/>
  <c r="C17" i="89"/>
  <c r="C16" i="89"/>
  <c r="C15" i="89"/>
  <c r="C14" i="89"/>
  <c r="C13" i="89"/>
  <c r="C12" i="89"/>
  <c r="C11" i="89"/>
  <c r="C10" i="89"/>
  <c r="C9" i="89"/>
  <c r="C8" i="89"/>
  <c r="C7" i="89"/>
  <c r="C42" i="89" s="1"/>
  <c r="C81" i="88"/>
  <c r="C77" i="88"/>
  <c r="C76" i="88"/>
  <c r="C75" i="88"/>
  <c r="C73" i="88"/>
  <c r="C72" i="88"/>
  <c r="C70" i="88"/>
  <c r="C67" i="88"/>
  <c r="C66" i="88"/>
  <c r="C62" i="88"/>
  <c r="C61" i="88"/>
  <c r="C56" i="88"/>
  <c r="C53" i="88"/>
  <c r="C52" i="88"/>
  <c r="C51" i="88"/>
  <c r="C50" i="88"/>
  <c r="C48" i="88"/>
  <c r="C47" i="88"/>
  <c r="C46" i="88"/>
  <c r="R42" i="88"/>
  <c r="Q42" i="88"/>
  <c r="P42" i="88"/>
  <c r="O42" i="88"/>
  <c r="N42" i="88"/>
  <c r="M42" i="88"/>
  <c r="L42" i="88"/>
  <c r="K42" i="88"/>
  <c r="J42" i="88"/>
  <c r="I42" i="88"/>
  <c r="H42" i="88"/>
  <c r="G42" i="88"/>
  <c r="F42" i="88"/>
  <c r="E42" i="88"/>
  <c r="D42" i="88"/>
  <c r="B42" i="88"/>
  <c r="C41" i="88"/>
  <c r="C40" i="88"/>
  <c r="C39" i="88"/>
  <c r="C37" i="88"/>
  <c r="C36" i="88"/>
  <c r="C35" i="88"/>
  <c r="C34" i="88"/>
  <c r="C33" i="88"/>
  <c r="C31" i="88"/>
  <c r="C30" i="88"/>
  <c r="C29" i="88"/>
  <c r="C28" i="88"/>
  <c r="C27" i="88"/>
  <c r="C26" i="88"/>
  <c r="C25" i="88"/>
  <c r="C24" i="88"/>
  <c r="C23" i="88"/>
  <c r="C22" i="88"/>
  <c r="C20" i="88"/>
  <c r="C19" i="88"/>
  <c r="C18" i="88"/>
  <c r="C17" i="88"/>
  <c r="C16" i="88"/>
  <c r="C15" i="88"/>
  <c r="C14" i="88"/>
  <c r="C13" i="88"/>
  <c r="C12" i="88"/>
  <c r="C11" i="88"/>
  <c r="C10" i="88"/>
  <c r="C9" i="88"/>
  <c r="C8" i="88"/>
  <c r="C7" i="88"/>
  <c r="C42" i="88" s="1"/>
  <c r="C81" i="87"/>
  <c r="C77" i="87"/>
  <c r="C76" i="87"/>
  <c r="C75" i="87"/>
  <c r="C73" i="87"/>
  <c r="C72" i="87"/>
  <c r="C70" i="87"/>
  <c r="C67" i="87"/>
  <c r="C66" i="87"/>
  <c r="C62" i="87"/>
  <c r="C61" i="87"/>
  <c r="C56" i="87"/>
  <c r="C53" i="87"/>
  <c r="C52" i="87"/>
  <c r="C51" i="87"/>
  <c r="C50" i="87"/>
  <c r="C48" i="87"/>
  <c r="C47" i="87"/>
  <c r="C46" i="87"/>
  <c r="R42" i="87"/>
  <c r="Q42" i="87"/>
  <c r="P42" i="87"/>
  <c r="O42" i="87"/>
  <c r="N42" i="87"/>
  <c r="M42" i="87"/>
  <c r="L42" i="87"/>
  <c r="K42" i="87"/>
  <c r="J42" i="87"/>
  <c r="I42" i="87"/>
  <c r="H42" i="87"/>
  <c r="G42" i="87"/>
  <c r="F42" i="87"/>
  <c r="E42" i="87"/>
  <c r="D42" i="87"/>
  <c r="B42" i="87"/>
  <c r="C41" i="87"/>
  <c r="C40" i="87"/>
  <c r="C39" i="87"/>
  <c r="C37" i="87"/>
  <c r="C36" i="87"/>
  <c r="C35" i="87"/>
  <c r="C34" i="87"/>
  <c r="C33" i="87"/>
  <c r="C31" i="87"/>
  <c r="C30" i="87"/>
  <c r="C29" i="87"/>
  <c r="C28" i="87"/>
  <c r="C27" i="87"/>
  <c r="C26" i="87"/>
  <c r="C25" i="87"/>
  <c r="C24" i="87"/>
  <c r="C23" i="87"/>
  <c r="C22" i="87"/>
  <c r="C20" i="87"/>
  <c r="C19" i="87"/>
  <c r="C18" i="87"/>
  <c r="C17" i="87"/>
  <c r="C16" i="87"/>
  <c r="C15" i="87"/>
  <c r="C14" i="87"/>
  <c r="C13" i="87"/>
  <c r="C12" i="87"/>
  <c r="C11" i="87"/>
  <c r="C10" i="87"/>
  <c r="C9" i="87"/>
  <c r="C8" i="87"/>
  <c r="C7" i="87"/>
  <c r="C42" i="87" s="1"/>
  <c r="C81" i="86"/>
  <c r="C77" i="86"/>
  <c r="C76" i="86"/>
  <c r="C75" i="86"/>
  <c r="C73" i="86"/>
  <c r="C72" i="86"/>
  <c r="C70" i="86"/>
  <c r="C67" i="86"/>
  <c r="C66" i="86"/>
  <c r="C62" i="86"/>
  <c r="C61" i="86"/>
  <c r="C56" i="86"/>
  <c r="C53" i="86"/>
  <c r="C52" i="86"/>
  <c r="C51" i="86"/>
  <c r="C50" i="86"/>
  <c r="C48" i="86"/>
  <c r="C47" i="86"/>
  <c r="C46" i="86"/>
  <c r="R42" i="86"/>
  <c r="Q42" i="86"/>
  <c r="P42" i="86"/>
  <c r="O42" i="86"/>
  <c r="N42" i="86"/>
  <c r="M42" i="86"/>
  <c r="L42" i="86"/>
  <c r="K42" i="86"/>
  <c r="J42" i="86"/>
  <c r="I42" i="86"/>
  <c r="H42" i="86"/>
  <c r="G42" i="86"/>
  <c r="F42" i="86"/>
  <c r="E42" i="86"/>
  <c r="D42" i="86"/>
  <c r="B42" i="86"/>
  <c r="C41" i="86"/>
  <c r="C40" i="86"/>
  <c r="C39" i="86"/>
  <c r="C37" i="86"/>
  <c r="C36" i="86"/>
  <c r="C35" i="86"/>
  <c r="C34" i="86"/>
  <c r="C33" i="86"/>
  <c r="C31" i="86"/>
  <c r="C30" i="86"/>
  <c r="C29" i="86"/>
  <c r="C28" i="86"/>
  <c r="C27" i="86"/>
  <c r="C26" i="86"/>
  <c r="C25" i="86"/>
  <c r="C24" i="86"/>
  <c r="C23" i="86"/>
  <c r="C22" i="86"/>
  <c r="C20" i="86"/>
  <c r="C19" i="86"/>
  <c r="C18" i="86"/>
  <c r="C17" i="86"/>
  <c r="C16" i="86"/>
  <c r="C15" i="86"/>
  <c r="C14" i="86"/>
  <c r="C13" i="86"/>
  <c r="C12" i="86"/>
  <c r="C11" i="86"/>
  <c r="C10" i="86"/>
  <c r="C9" i="86"/>
  <c r="C8" i="86"/>
  <c r="C7" i="86"/>
  <c r="C42" i="86" s="1"/>
  <c r="C81" i="85"/>
  <c r="C77" i="85"/>
  <c r="C76" i="85"/>
  <c r="C75" i="85"/>
  <c r="C73" i="85"/>
  <c r="C72" i="85"/>
  <c r="C70" i="85"/>
  <c r="C67" i="85"/>
  <c r="C66" i="85"/>
  <c r="C62" i="85"/>
  <c r="C61" i="85"/>
  <c r="C56" i="85"/>
  <c r="C53" i="85"/>
  <c r="C52" i="85"/>
  <c r="C51" i="85"/>
  <c r="C50" i="85"/>
  <c r="C48" i="85"/>
  <c r="C47" i="85"/>
  <c r="C46" i="85"/>
  <c r="R42" i="85"/>
  <c r="Q42" i="85"/>
  <c r="P42" i="85"/>
  <c r="O42" i="85"/>
  <c r="N42" i="85"/>
  <c r="M42" i="85"/>
  <c r="L42" i="85"/>
  <c r="K42" i="85"/>
  <c r="J42" i="85"/>
  <c r="I42" i="85"/>
  <c r="H42" i="85"/>
  <c r="G42" i="85"/>
  <c r="F42" i="85"/>
  <c r="E42" i="85"/>
  <c r="D42" i="85"/>
  <c r="B42" i="85"/>
  <c r="C41" i="85"/>
  <c r="C40" i="85"/>
  <c r="C39" i="85"/>
  <c r="C37" i="85"/>
  <c r="C36" i="85"/>
  <c r="C35" i="85"/>
  <c r="C34" i="85"/>
  <c r="C33" i="85"/>
  <c r="C31" i="85"/>
  <c r="C30" i="85"/>
  <c r="C29" i="85"/>
  <c r="C28" i="85"/>
  <c r="C27" i="85"/>
  <c r="C26" i="85"/>
  <c r="C25" i="85"/>
  <c r="C24" i="85"/>
  <c r="C23" i="85"/>
  <c r="C22" i="85"/>
  <c r="C20" i="85"/>
  <c r="C19" i="85"/>
  <c r="C18" i="85"/>
  <c r="C17" i="85"/>
  <c r="C16" i="85"/>
  <c r="C15" i="85"/>
  <c r="C14" i="85"/>
  <c r="C13" i="85"/>
  <c r="C12" i="85"/>
  <c r="C11" i="85"/>
  <c r="C10" i="85"/>
  <c r="C9" i="85"/>
  <c r="C8" i="85"/>
  <c r="C7" i="85"/>
  <c r="C42" i="85" s="1"/>
  <c r="C81" i="84"/>
  <c r="C77" i="84"/>
  <c r="C76" i="84"/>
  <c r="C75" i="84"/>
  <c r="C73" i="84"/>
  <c r="C72" i="84"/>
  <c r="C70" i="84"/>
  <c r="C67" i="84"/>
  <c r="C66" i="84"/>
  <c r="C62" i="84"/>
  <c r="C61" i="84"/>
  <c r="C56" i="84"/>
  <c r="C53" i="84"/>
  <c r="C52" i="84"/>
  <c r="C51" i="84"/>
  <c r="C50" i="84"/>
  <c r="C48" i="84"/>
  <c r="C47" i="84"/>
  <c r="C46" i="84"/>
  <c r="R42" i="84"/>
  <c r="Q42" i="84"/>
  <c r="P42" i="84"/>
  <c r="O42" i="84"/>
  <c r="N42" i="84"/>
  <c r="M42" i="84"/>
  <c r="L42" i="84"/>
  <c r="K42" i="84"/>
  <c r="J42" i="84"/>
  <c r="I42" i="84"/>
  <c r="H42" i="84"/>
  <c r="G42" i="84"/>
  <c r="F42" i="84"/>
  <c r="E42" i="84"/>
  <c r="D42" i="84"/>
  <c r="B42" i="84"/>
  <c r="C41" i="84"/>
  <c r="C40" i="84"/>
  <c r="C39" i="84"/>
  <c r="C37" i="84"/>
  <c r="C36" i="84"/>
  <c r="C35" i="84"/>
  <c r="C34" i="84"/>
  <c r="C33" i="84"/>
  <c r="C31" i="84"/>
  <c r="C30" i="84"/>
  <c r="C29" i="84"/>
  <c r="C28" i="84"/>
  <c r="C27" i="84"/>
  <c r="C26" i="84"/>
  <c r="C25" i="84"/>
  <c r="C24" i="84"/>
  <c r="C23" i="84"/>
  <c r="C22" i="84"/>
  <c r="C20" i="84"/>
  <c r="C19" i="84"/>
  <c r="C18" i="84"/>
  <c r="C17" i="84"/>
  <c r="C16" i="84"/>
  <c r="C15" i="84"/>
  <c r="C14" i="84"/>
  <c r="C13" i="84"/>
  <c r="C12" i="84"/>
  <c r="C11" i="84"/>
  <c r="C10" i="84"/>
  <c r="C9" i="84"/>
  <c r="C8" i="84"/>
  <c r="C7" i="84"/>
  <c r="C42" i="84" s="1"/>
  <c r="C81" i="83"/>
  <c r="C77" i="83"/>
  <c r="C76" i="83"/>
  <c r="C75" i="83"/>
  <c r="C73" i="83"/>
  <c r="C72" i="83"/>
  <c r="C70" i="83"/>
  <c r="C67" i="83"/>
  <c r="C66" i="83"/>
  <c r="C62" i="83"/>
  <c r="C61" i="83"/>
  <c r="C56" i="83"/>
  <c r="C53" i="83"/>
  <c r="C52" i="83"/>
  <c r="C51" i="83"/>
  <c r="C50" i="83"/>
  <c r="C48" i="83"/>
  <c r="C47" i="83"/>
  <c r="C46" i="83"/>
  <c r="R42" i="83"/>
  <c r="Q42" i="83"/>
  <c r="P42" i="83"/>
  <c r="O42" i="83"/>
  <c r="N42" i="83"/>
  <c r="M42" i="83"/>
  <c r="L42" i="83"/>
  <c r="K42" i="83"/>
  <c r="J42" i="83"/>
  <c r="I42" i="83"/>
  <c r="H42" i="83"/>
  <c r="G42" i="83"/>
  <c r="F42" i="83"/>
  <c r="E42" i="83"/>
  <c r="D42" i="83"/>
  <c r="B42" i="83"/>
  <c r="C41" i="83"/>
  <c r="C40" i="83"/>
  <c r="C39" i="83"/>
  <c r="C37" i="83"/>
  <c r="C36" i="83"/>
  <c r="C35" i="83"/>
  <c r="C34" i="83"/>
  <c r="C33" i="83"/>
  <c r="C31" i="83"/>
  <c r="C30" i="83"/>
  <c r="C29" i="83"/>
  <c r="C28" i="83"/>
  <c r="C27" i="83"/>
  <c r="C26" i="83"/>
  <c r="C25" i="83"/>
  <c r="C24" i="83"/>
  <c r="C23" i="83"/>
  <c r="C22" i="83"/>
  <c r="C20" i="83"/>
  <c r="C19" i="83"/>
  <c r="C18" i="83"/>
  <c r="C17" i="83"/>
  <c r="C16" i="83"/>
  <c r="C15" i="83"/>
  <c r="C14" i="83"/>
  <c r="C13" i="83"/>
  <c r="C12" i="83"/>
  <c r="C11" i="83"/>
  <c r="C10" i="83"/>
  <c r="C9" i="83"/>
  <c r="C8" i="83"/>
  <c r="C42" i="83" s="1"/>
  <c r="C7" i="83"/>
  <c r="C81" i="82"/>
  <c r="C77" i="82"/>
  <c r="C76" i="82"/>
  <c r="C75" i="82"/>
  <c r="C73" i="82"/>
  <c r="C72" i="82"/>
  <c r="C70" i="82"/>
  <c r="C67" i="82"/>
  <c r="C66" i="82"/>
  <c r="C62" i="82"/>
  <c r="C61" i="82"/>
  <c r="C56" i="82"/>
  <c r="C53" i="82"/>
  <c r="C52" i="82"/>
  <c r="C51" i="82"/>
  <c r="C50" i="82"/>
  <c r="C48" i="82"/>
  <c r="C47" i="82"/>
  <c r="C46" i="82"/>
  <c r="R42" i="82"/>
  <c r="Q42" i="82"/>
  <c r="P42" i="82"/>
  <c r="O42" i="82"/>
  <c r="N42" i="82"/>
  <c r="M42" i="82"/>
  <c r="L42" i="82"/>
  <c r="K42" i="82"/>
  <c r="J42" i="82"/>
  <c r="I42" i="82"/>
  <c r="H42" i="82"/>
  <c r="G42" i="82"/>
  <c r="F42" i="82"/>
  <c r="E42" i="82"/>
  <c r="D42" i="82"/>
  <c r="B42" i="82"/>
  <c r="C41" i="82"/>
  <c r="C40" i="82"/>
  <c r="C39" i="82"/>
  <c r="C37" i="82"/>
  <c r="C36" i="82"/>
  <c r="C35" i="82"/>
  <c r="C34" i="82"/>
  <c r="C33" i="82"/>
  <c r="C31" i="82"/>
  <c r="C30" i="82"/>
  <c r="C29" i="82"/>
  <c r="C28" i="82"/>
  <c r="C27" i="82"/>
  <c r="C26" i="82"/>
  <c r="C25" i="82"/>
  <c r="C24" i="82"/>
  <c r="C23" i="82"/>
  <c r="C22" i="82"/>
  <c r="C20" i="82"/>
  <c r="C19" i="82"/>
  <c r="C18" i="82"/>
  <c r="C17" i="82"/>
  <c r="C16" i="82"/>
  <c r="C15" i="82"/>
  <c r="C14" i="82"/>
  <c r="C13" i="82"/>
  <c r="C12" i="82"/>
  <c r="C11" i="82"/>
  <c r="C10" i="82"/>
  <c r="C9" i="82"/>
  <c r="C8" i="82"/>
  <c r="C42" i="82" s="1"/>
  <c r="C7" i="82"/>
  <c r="C81" i="81"/>
  <c r="C77" i="81"/>
  <c r="C76" i="81"/>
  <c r="C75" i="81"/>
  <c r="C73" i="81"/>
  <c r="C72" i="81"/>
  <c r="C70" i="81"/>
  <c r="C67" i="81"/>
  <c r="C66" i="81"/>
  <c r="C62" i="81"/>
  <c r="C61" i="81"/>
  <c r="C56" i="81"/>
  <c r="C53" i="81"/>
  <c r="C52" i="81"/>
  <c r="C51" i="81"/>
  <c r="C50" i="81"/>
  <c r="C48" i="81"/>
  <c r="C47" i="81"/>
  <c r="C46" i="81"/>
  <c r="R42" i="81"/>
  <c r="Q42" i="81"/>
  <c r="P42" i="81"/>
  <c r="O42" i="81"/>
  <c r="N42" i="81"/>
  <c r="M42" i="81"/>
  <c r="L42" i="81"/>
  <c r="K42" i="81"/>
  <c r="J42" i="81"/>
  <c r="I42" i="81"/>
  <c r="H42" i="81"/>
  <c r="G42" i="81"/>
  <c r="F42" i="81"/>
  <c r="E42" i="81"/>
  <c r="D42" i="81"/>
  <c r="B42" i="81"/>
  <c r="C41" i="81"/>
  <c r="C40" i="81"/>
  <c r="C39" i="81"/>
  <c r="C37" i="81"/>
  <c r="C36" i="81"/>
  <c r="C35" i="81"/>
  <c r="C34" i="81"/>
  <c r="C33" i="81"/>
  <c r="C31" i="81"/>
  <c r="C30" i="81"/>
  <c r="C29" i="81"/>
  <c r="C28" i="81"/>
  <c r="C27" i="81"/>
  <c r="C26" i="81"/>
  <c r="C25" i="81"/>
  <c r="C24" i="81"/>
  <c r="C23" i="81"/>
  <c r="C22" i="81"/>
  <c r="C20" i="81"/>
  <c r="C19" i="81"/>
  <c r="C18" i="81"/>
  <c r="C17" i="81"/>
  <c r="C16" i="81"/>
  <c r="C15" i="81"/>
  <c r="C14" i="81"/>
  <c r="C13" i="81"/>
  <c r="C12" i="81"/>
  <c r="C11" i="81"/>
  <c r="C10" i="81"/>
  <c r="C9" i="81"/>
  <c r="C8" i="81"/>
  <c r="C7" i="81"/>
  <c r="C42" i="81" s="1"/>
  <c r="C81" i="80"/>
  <c r="C77" i="80"/>
  <c r="C76" i="80"/>
  <c r="C75" i="80"/>
  <c r="C73" i="80"/>
  <c r="C72" i="80"/>
  <c r="C70" i="80"/>
  <c r="C67" i="80"/>
  <c r="C66" i="80"/>
  <c r="C62" i="80"/>
  <c r="C61" i="80"/>
  <c r="C56" i="80"/>
  <c r="C53" i="80"/>
  <c r="C52" i="80"/>
  <c r="C51" i="80"/>
  <c r="C50" i="80"/>
  <c r="C48" i="80"/>
  <c r="C47" i="80"/>
  <c r="C46" i="80"/>
  <c r="R42" i="80"/>
  <c r="Q42" i="80"/>
  <c r="P42" i="80"/>
  <c r="O42" i="80"/>
  <c r="N42" i="80"/>
  <c r="M42" i="80"/>
  <c r="L42" i="80"/>
  <c r="K42" i="80"/>
  <c r="J42" i="80"/>
  <c r="I42" i="80"/>
  <c r="H42" i="80"/>
  <c r="G42" i="80"/>
  <c r="F42" i="80"/>
  <c r="E42" i="80"/>
  <c r="D42" i="80"/>
  <c r="B42" i="80"/>
  <c r="C41" i="80"/>
  <c r="C40" i="80"/>
  <c r="C39" i="80"/>
  <c r="C37" i="80"/>
  <c r="C36" i="80"/>
  <c r="C35" i="80"/>
  <c r="C34" i="80"/>
  <c r="C33" i="80"/>
  <c r="C31" i="80"/>
  <c r="C30" i="80"/>
  <c r="C29" i="80"/>
  <c r="C28" i="80"/>
  <c r="C27" i="80"/>
  <c r="C26" i="80"/>
  <c r="C25" i="80"/>
  <c r="C24" i="80"/>
  <c r="C23" i="80"/>
  <c r="C22" i="80"/>
  <c r="C20" i="80"/>
  <c r="C19" i="80"/>
  <c r="C18" i="80"/>
  <c r="C17" i="80"/>
  <c r="C16" i="80"/>
  <c r="C15" i="80"/>
  <c r="C14" i="80"/>
  <c r="C13" i="80"/>
  <c r="C12" i="80"/>
  <c r="C11" i="80"/>
  <c r="C10" i="80"/>
  <c r="C9" i="80"/>
  <c r="C8" i="80"/>
  <c r="C7" i="80"/>
  <c r="C42" i="80" s="1"/>
  <c r="C81" i="79"/>
  <c r="C77" i="79"/>
  <c r="C76" i="79"/>
  <c r="C75" i="79"/>
  <c r="C73" i="79"/>
  <c r="C72" i="79"/>
  <c r="C70" i="79"/>
  <c r="C67" i="79"/>
  <c r="C66" i="79"/>
  <c r="C62" i="79"/>
  <c r="C61" i="79"/>
  <c r="C56" i="79"/>
  <c r="C53" i="79"/>
  <c r="C52" i="79"/>
  <c r="C51" i="79"/>
  <c r="C50" i="79"/>
  <c r="C48" i="79"/>
  <c r="C47" i="79"/>
  <c r="C46" i="79"/>
  <c r="R42" i="79"/>
  <c r="Q42" i="79"/>
  <c r="P42" i="79"/>
  <c r="O42" i="79"/>
  <c r="N42" i="79"/>
  <c r="M42" i="79"/>
  <c r="L42" i="79"/>
  <c r="K42" i="79"/>
  <c r="J42" i="79"/>
  <c r="I42" i="79"/>
  <c r="H42" i="79"/>
  <c r="G42" i="79"/>
  <c r="F42" i="79"/>
  <c r="E42" i="79"/>
  <c r="D42" i="79"/>
  <c r="B42" i="79"/>
  <c r="C41" i="79"/>
  <c r="C40" i="79"/>
  <c r="C39" i="79"/>
  <c r="C37" i="79"/>
  <c r="C36" i="79"/>
  <c r="C35" i="79"/>
  <c r="C34" i="79"/>
  <c r="C33" i="79"/>
  <c r="C31" i="79"/>
  <c r="C30" i="79"/>
  <c r="C29" i="79"/>
  <c r="C28" i="79"/>
  <c r="C27" i="79"/>
  <c r="C26" i="79"/>
  <c r="C25" i="79"/>
  <c r="C24" i="79"/>
  <c r="C23" i="79"/>
  <c r="C22" i="79"/>
  <c r="C20" i="79"/>
  <c r="C19" i="79"/>
  <c r="C18" i="79"/>
  <c r="C17" i="79"/>
  <c r="C16" i="79"/>
  <c r="C15" i="79"/>
  <c r="C14" i="79"/>
  <c r="C13" i="79"/>
  <c r="C12" i="79"/>
  <c r="C11" i="79"/>
  <c r="C10" i="79"/>
  <c r="C9" i="79"/>
  <c r="C8" i="79"/>
  <c r="C7" i="79"/>
  <c r="C42" i="79" s="1"/>
  <c r="C81" i="78"/>
  <c r="C77" i="78"/>
  <c r="C76" i="78"/>
  <c r="C75" i="78"/>
  <c r="C73" i="78"/>
  <c r="C72" i="78"/>
  <c r="C70" i="78"/>
  <c r="C67" i="78"/>
  <c r="C66" i="78"/>
  <c r="C62" i="78"/>
  <c r="C61" i="78"/>
  <c r="C56" i="78"/>
  <c r="C53" i="78"/>
  <c r="C52" i="78"/>
  <c r="C51" i="78"/>
  <c r="C50" i="78"/>
  <c r="C48" i="78"/>
  <c r="C47" i="78"/>
  <c r="C46" i="78"/>
  <c r="R42" i="78"/>
  <c r="Q42" i="78"/>
  <c r="P42" i="78"/>
  <c r="O42" i="78"/>
  <c r="N42" i="78"/>
  <c r="M42" i="78"/>
  <c r="L42" i="78"/>
  <c r="K42" i="78"/>
  <c r="J42" i="78"/>
  <c r="I42" i="78"/>
  <c r="H42" i="78"/>
  <c r="G42" i="78"/>
  <c r="F42" i="78"/>
  <c r="E42" i="78"/>
  <c r="D42" i="78"/>
  <c r="B42" i="78"/>
  <c r="C41" i="78"/>
  <c r="C40" i="78"/>
  <c r="C39" i="78"/>
  <c r="C37" i="78"/>
  <c r="C36" i="78"/>
  <c r="C35" i="78"/>
  <c r="C34" i="78"/>
  <c r="C33" i="78"/>
  <c r="C31" i="78"/>
  <c r="C30" i="78"/>
  <c r="C29" i="78"/>
  <c r="C28" i="78"/>
  <c r="C27" i="78"/>
  <c r="C26" i="78"/>
  <c r="C25" i="78"/>
  <c r="C24" i="78"/>
  <c r="C23" i="78"/>
  <c r="C22" i="78"/>
  <c r="C20" i="78"/>
  <c r="C19" i="78"/>
  <c r="C18" i="78"/>
  <c r="C17" i="78"/>
  <c r="C16" i="78"/>
  <c r="C15" i="78"/>
  <c r="C14" i="78"/>
  <c r="C13" i="78"/>
  <c r="C12" i="78"/>
  <c r="C11" i="78"/>
  <c r="C10" i="78"/>
  <c r="C9" i="78"/>
  <c r="C8" i="78"/>
  <c r="C7" i="78"/>
  <c r="C42" i="78" s="1"/>
  <c r="C81" i="77"/>
  <c r="C77" i="77"/>
  <c r="C76" i="77"/>
  <c r="C75" i="77"/>
  <c r="C73" i="77"/>
  <c r="C72" i="77"/>
  <c r="C70" i="77"/>
  <c r="C67" i="77"/>
  <c r="C66" i="77"/>
  <c r="C62" i="77"/>
  <c r="C61" i="77"/>
  <c r="C56" i="77"/>
  <c r="C53" i="77"/>
  <c r="C52" i="77"/>
  <c r="C51" i="77"/>
  <c r="C50" i="77"/>
  <c r="C48" i="77"/>
  <c r="C47" i="77"/>
  <c r="C46" i="77"/>
  <c r="R42" i="77"/>
  <c r="Q42" i="77"/>
  <c r="P42" i="77"/>
  <c r="O42" i="77"/>
  <c r="N42" i="77"/>
  <c r="M42" i="77"/>
  <c r="L42" i="77"/>
  <c r="K42" i="77"/>
  <c r="J42" i="77"/>
  <c r="I42" i="77"/>
  <c r="H42" i="77"/>
  <c r="G42" i="77"/>
  <c r="F42" i="77"/>
  <c r="E42" i="77"/>
  <c r="D42" i="77"/>
  <c r="B42" i="77"/>
  <c r="C41" i="77"/>
  <c r="C40" i="77"/>
  <c r="C39" i="77"/>
  <c r="C37" i="77"/>
  <c r="C36" i="77"/>
  <c r="C35" i="77"/>
  <c r="C34" i="77"/>
  <c r="C33" i="77"/>
  <c r="C31" i="77"/>
  <c r="C30" i="77"/>
  <c r="C29" i="77"/>
  <c r="C28" i="77"/>
  <c r="C27" i="77"/>
  <c r="C26" i="77"/>
  <c r="C25" i="77"/>
  <c r="C24" i="77"/>
  <c r="C23" i="77"/>
  <c r="C22" i="77"/>
  <c r="C20" i="77"/>
  <c r="C19" i="77"/>
  <c r="C18" i="77"/>
  <c r="C17" i="77"/>
  <c r="C16" i="77"/>
  <c r="C15" i="77"/>
  <c r="C14" i="77"/>
  <c r="C13" i="77"/>
  <c r="C12" i="77"/>
  <c r="C11" i="77"/>
  <c r="C10" i="77"/>
  <c r="C9" i="77"/>
  <c r="C8" i="77"/>
  <c r="C7" i="77"/>
  <c r="C42" i="77" s="1"/>
  <c r="C81" i="76"/>
  <c r="C77" i="76"/>
  <c r="C76" i="76"/>
  <c r="C75" i="76"/>
  <c r="C73" i="76"/>
  <c r="C72" i="76"/>
  <c r="C70" i="76"/>
  <c r="C67" i="76"/>
  <c r="C66" i="76"/>
  <c r="C62" i="76"/>
  <c r="C61" i="76"/>
  <c r="C56" i="76"/>
  <c r="C53" i="76"/>
  <c r="C52" i="76"/>
  <c r="C51" i="76"/>
  <c r="C50" i="76"/>
  <c r="C48" i="76"/>
  <c r="C47" i="76"/>
  <c r="C46" i="76"/>
  <c r="R42" i="76"/>
  <c r="Q42" i="76"/>
  <c r="P42" i="76"/>
  <c r="O42" i="76"/>
  <c r="N42" i="76"/>
  <c r="M42" i="76"/>
  <c r="L42" i="76"/>
  <c r="K42" i="76"/>
  <c r="J42" i="76"/>
  <c r="I42" i="76"/>
  <c r="H42" i="76"/>
  <c r="G42" i="76"/>
  <c r="F42" i="76"/>
  <c r="E42" i="76"/>
  <c r="D42" i="76"/>
  <c r="B42" i="76"/>
  <c r="C41" i="76"/>
  <c r="C40" i="76"/>
  <c r="C39" i="76"/>
  <c r="C37" i="76"/>
  <c r="C36" i="76"/>
  <c r="C35" i="76"/>
  <c r="C34" i="76"/>
  <c r="C33" i="76"/>
  <c r="C31" i="76"/>
  <c r="C30" i="76"/>
  <c r="C29" i="76"/>
  <c r="C28" i="76"/>
  <c r="C27" i="76"/>
  <c r="C26" i="76"/>
  <c r="C25" i="76"/>
  <c r="C24" i="76"/>
  <c r="C23" i="76"/>
  <c r="C22" i="76"/>
  <c r="C20" i="76"/>
  <c r="C19" i="76"/>
  <c r="C18" i="76"/>
  <c r="C17" i="76"/>
  <c r="C16" i="76"/>
  <c r="C15" i="76"/>
  <c r="C14" i="76"/>
  <c r="C13" i="76"/>
  <c r="C12" i="76"/>
  <c r="C11" i="76"/>
  <c r="C10" i="76"/>
  <c r="C9" i="76"/>
  <c r="C8" i="76"/>
  <c r="C7" i="76"/>
  <c r="C42" i="76" s="1"/>
  <c r="C81" i="75"/>
  <c r="C77" i="75"/>
  <c r="C76" i="75"/>
  <c r="C75" i="75"/>
  <c r="C73" i="75"/>
  <c r="C72" i="75"/>
  <c r="C70" i="75"/>
  <c r="C67" i="75"/>
  <c r="C66" i="75"/>
  <c r="C62" i="75"/>
  <c r="C61" i="75"/>
  <c r="C56" i="75"/>
  <c r="C53" i="75"/>
  <c r="C52" i="75"/>
  <c r="C51" i="75"/>
  <c r="C50" i="75"/>
  <c r="C48" i="75"/>
  <c r="C47" i="75"/>
  <c r="C46" i="75"/>
  <c r="R42" i="75"/>
  <c r="Q42" i="75"/>
  <c r="P42" i="75"/>
  <c r="O42" i="75"/>
  <c r="N42" i="75"/>
  <c r="M42" i="75"/>
  <c r="L42" i="75"/>
  <c r="K42" i="75"/>
  <c r="J42" i="75"/>
  <c r="I42" i="75"/>
  <c r="H42" i="75"/>
  <c r="G42" i="75"/>
  <c r="F42" i="75"/>
  <c r="E42" i="75"/>
  <c r="D42" i="75"/>
  <c r="B42" i="75"/>
  <c r="C41" i="75"/>
  <c r="C40" i="75"/>
  <c r="C39" i="75"/>
  <c r="C37" i="75"/>
  <c r="C36" i="75"/>
  <c r="C35" i="75"/>
  <c r="C34" i="75"/>
  <c r="C33" i="75"/>
  <c r="C31" i="75"/>
  <c r="C30" i="75"/>
  <c r="C29" i="75"/>
  <c r="C28" i="75"/>
  <c r="C27" i="75"/>
  <c r="C26" i="75"/>
  <c r="C25" i="75"/>
  <c r="C24" i="75"/>
  <c r="C23" i="75"/>
  <c r="C22" i="75"/>
  <c r="C20" i="75"/>
  <c r="C19" i="75"/>
  <c r="C18" i="75"/>
  <c r="C17" i="75"/>
  <c r="C16" i="75"/>
  <c r="C15" i="75"/>
  <c r="C14" i="75"/>
  <c r="C13" i="75"/>
  <c r="C12" i="75"/>
  <c r="C11" i="75"/>
  <c r="C10" i="75"/>
  <c r="C9" i="75"/>
  <c r="C8" i="75"/>
  <c r="C7" i="75"/>
  <c r="C42" i="75" s="1"/>
  <c r="C81" i="74"/>
  <c r="C77" i="74"/>
  <c r="C76" i="74"/>
  <c r="C75" i="74"/>
  <c r="C73" i="74"/>
  <c r="C72" i="74"/>
  <c r="C70" i="74"/>
  <c r="C67" i="74"/>
  <c r="C66" i="74"/>
  <c r="C62" i="74"/>
  <c r="C61" i="74"/>
  <c r="C56" i="74"/>
  <c r="C53" i="74"/>
  <c r="C52" i="74"/>
  <c r="C51" i="74"/>
  <c r="C50" i="74"/>
  <c r="C48" i="74"/>
  <c r="C47" i="74"/>
  <c r="C46" i="74"/>
  <c r="R42" i="74"/>
  <c r="Q42" i="74"/>
  <c r="P42" i="74"/>
  <c r="O42" i="74"/>
  <c r="N42" i="74"/>
  <c r="M42" i="74"/>
  <c r="L42" i="74"/>
  <c r="K42" i="74"/>
  <c r="J42" i="74"/>
  <c r="I42" i="74"/>
  <c r="H42" i="74"/>
  <c r="G42" i="74"/>
  <c r="F42" i="74"/>
  <c r="E42" i="74"/>
  <c r="D42" i="74"/>
  <c r="B42" i="74"/>
  <c r="C41" i="74"/>
  <c r="C40" i="74"/>
  <c r="C39" i="74"/>
  <c r="C37" i="74"/>
  <c r="C36" i="74"/>
  <c r="C35" i="74"/>
  <c r="C34" i="74"/>
  <c r="C33" i="74"/>
  <c r="C31" i="74"/>
  <c r="C30" i="74"/>
  <c r="C29" i="74"/>
  <c r="C28" i="74"/>
  <c r="C27" i="74"/>
  <c r="C26" i="74"/>
  <c r="C25" i="74"/>
  <c r="C24" i="74"/>
  <c r="C23" i="74"/>
  <c r="C22" i="74"/>
  <c r="C20" i="74"/>
  <c r="C19" i="74"/>
  <c r="C18" i="74"/>
  <c r="C17" i="74"/>
  <c r="C16" i="74"/>
  <c r="C15" i="74"/>
  <c r="C14" i="74"/>
  <c r="C13" i="74"/>
  <c r="C12" i="74"/>
  <c r="C11" i="74"/>
  <c r="C10" i="74"/>
  <c r="C9" i="74"/>
  <c r="C8" i="74"/>
  <c r="C7" i="74"/>
  <c r="C42" i="74" s="1"/>
  <c r="C81" i="73"/>
  <c r="C77" i="73"/>
  <c r="C76" i="73"/>
  <c r="C75" i="73"/>
  <c r="C73" i="73"/>
  <c r="C72" i="73"/>
  <c r="C70" i="73"/>
  <c r="C67" i="73"/>
  <c r="C66" i="73"/>
  <c r="C62" i="73"/>
  <c r="C61" i="73"/>
  <c r="C56" i="73"/>
  <c r="C53" i="73"/>
  <c r="C52" i="73"/>
  <c r="C51" i="73"/>
  <c r="C50" i="73"/>
  <c r="C48" i="73"/>
  <c r="C47" i="73"/>
  <c r="C46" i="73"/>
  <c r="R42" i="73"/>
  <c r="Q42" i="73"/>
  <c r="P42" i="73"/>
  <c r="O42" i="73"/>
  <c r="N42" i="73"/>
  <c r="M42" i="73"/>
  <c r="L42" i="73"/>
  <c r="K42" i="73"/>
  <c r="J42" i="73"/>
  <c r="I42" i="73"/>
  <c r="H42" i="73"/>
  <c r="G42" i="73"/>
  <c r="F42" i="73"/>
  <c r="E42" i="73"/>
  <c r="D42" i="73"/>
  <c r="B42" i="73"/>
  <c r="C41" i="73"/>
  <c r="C40" i="73"/>
  <c r="C39" i="73"/>
  <c r="C37" i="73"/>
  <c r="C36" i="73"/>
  <c r="C35" i="73"/>
  <c r="C34" i="73"/>
  <c r="C33" i="73"/>
  <c r="C31" i="73"/>
  <c r="C30" i="73"/>
  <c r="C29" i="73"/>
  <c r="C28" i="73"/>
  <c r="C27" i="73"/>
  <c r="C26" i="73"/>
  <c r="C25" i="73"/>
  <c r="C24" i="73"/>
  <c r="C23" i="73"/>
  <c r="C22" i="73"/>
  <c r="C20" i="73"/>
  <c r="C19" i="73"/>
  <c r="C18" i="73"/>
  <c r="C17" i="73"/>
  <c r="C16" i="73"/>
  <c r="C15" i="73"/>
  <c r="C14" i="73"/>
  <c r="C13" i="73"/>
  <c r="C12" i="73"/>
  <c r="C11" i="73"/>
  <c r="C10" i="73"/>
  <c r="C9" i="73"/>
  <c r="C8" i="73"/>
  <c r="C7" i="73"/>
  <c r="C42" i="73" s="1"/>
  <c r="C81" i="72"/>
  <c r="C77" i="72"/>
  <c r="C76" i="72"/>
  <c r="C75" i="72"/>
  <c r="C73" i="72"/>
  <c r="C72" i="72"/>
  <c r="C70" i="72"/>
  <c r="C67" i="72"/>
  <c r="C66" i="72"/>
  <c r="C62" i="72"/>
  <c r="C61" i="72"/>
  <c r="C56" i="72"/>
  <c r="C53" i="72"/>
  <c r="C52" i="72"/>
  <c r="C51" i="72"/>
  <c r="C50" i="72"/>
  <c r="C48" i="72"/>
  <c r="C47" i="72"/>
  <c r="C46" i="72"/>
  <c r="R42" i="72"/>
  <c r="Q42" i="72"/>
  <c r="P42" i="72"/>
  <c r="O42" i="72"/>
  <c r="N42" i="72"/>
  <c r="M42" i="72"/>
  <c r="L42" i="72"/>
  <c r="K42" i="72"/>
  <c r="J42" i="72"/>
  <c r="I42" i="72"/>
  <c r="H42" i="72"/>
  <c r="G42" i="72"/>
  <c r="F42" i="72"/>
  <c r="E42" i="72"/>
  <c r="D42" i="72"/>
  <c r="B42" i="72"/>
  <c r="C41" i="72"/>
  <c r="C40" i="72"/>
  <c r="C39" i="72"/>
  <c r="C37" i="72"/>
  <c r="C36" i="72"/>
  <c r="C35" i="72"/>
  <c r="C34" i="72"/>
  <c r="C33" i="72"/>
  <c r="C31" i="72"/>
  <c r="C30" i="72"/>
  <c r="C29" i="72"/>
  <c r="C28" i="72"/>
  <c r="C27" i="72"/>
  <c r="C26" i="72"/>
  <c r="C25" i="72"/>
  <c r="C24" i="72"/>
  <c r="C23" i="72"/>
  <c r="C22" i="72"/>
  <c r="C20" i="72"/>
  <c r="C19" i="72"/>
  <c r="C18" i="72"/>
  <c r="C17" i="72"/>
  <c r="C16" i="72"/>
  <c r="C15" i="72"/>
  <c r="C14" i="72"/>
  <c r="C13" i="72"/>
  <c r="C12" i="72"/>
  <c r="C11" i="72"/>
  <c r="C10" i="72"/>
  <c r="C9" i="72"/>
  <c r="C8" i="72"/>
  <c r="C7" i="72"/>
  <c r="C42" i="72" s="1"/>
  <c r="C81" i="71"/>
  <c r="C77" i="71"/>
  <c r="C76" i="71"/>
  <c r="C75" i="71"/>
  <c r="C73" i="71"/>
  <c r="C72" i="71"/>
  <c r="C70" i="71"/>
  <c r="C67" i="71"/>
  <c r="C66" i="71"/>
  <c r="C62" i="71"/>
  <c r="C61" i="71"/>
  <c r="C56" i="71"/>
  <c r="C53" i="71"/>
  <c r="C52" i="71"/>
  <c r="C51" i="71"/>
  <c r="C50" i="71"/>
  <c r="C48" i="71"/>
  <c r="C47" i="71"/>
  <c r="C46" i="71"/>
  <c r="R42" i="71"/>
  <c r="Q42" i="71"/>
  <c r="P42" i="71"/>
  <c r="O42" i="71"/>
  <c r="N42" i="71"/>
  <c r="M42" i="71"/>
  <c r="L42" i="71"/>
  <c r="K42" i="71"/>
  <c r="J42" i="71"/>
  <c r="I42" i="71"/>
  <c r="H42" i="71"/>
  <c r="G42" i="71"/>
  <c r="F42" i="71"/>
  <c r="E42" i="71"/>
  <c r="D42" i="71"/>
  <c r="B42" i="71"/>
  <c r="C41" i="71"/>
  <c r="C40" i="71"/>
  <c r="C39" i="71"/>
  <c r="C37" i="71"/>
  <c r="C36" i="71"/>
  <c r="C35" i="71"/>
  <c r="C34" i="71"/>
  <c r="C33" i="71"/>
  <c r="C31" i="71"/>
  <c r="C30" i="71"/>
  <c r="C29" i="71"/>
  <c r="C28" i="71"/>
  <c r="C27" i="71"/>
  <c r="C26" i="71"/>
  <c r="C25" i="71"/>
  <c r="C24" i="71"/>
  <c r="C23" i="71"/>
  <c r="C22" i="71"/>
  <c r="C20" i="71"/>
  <c r="C19" i="71"/>
  <c r="C18" i="71"/>
  <c r="C17" i="71"/>
  <c r="C16" i="71"/>
  <c r="C15" i="71"/>
  <c r="C14" i="71"/>
  <c r="C13" i="71"/>
  <c r="C12" i="71"/>
  <c r="C11" i="71"/>
  <c r="C10" i="71"/>
  <c r="C9" i="71"/>
  <c r="C8" i="71"/>
  <c r="C7" i="71"/>
  <c r="C42" i="71" s="1"/>
  <c r="C81" i="70"/>
  <c r="C77" i="70"/>
  <c r="C76" i="70"/>
  <c r="C75" i="70"/>
  <c r="C73" i="70"/>
  <c r="C72" i="70"/>
  <c r="C70" i="70"/>
  <c r="C67" i="70"/>
  <c r="C66" i="70"/>
  <c r="C62" i="70"/>
  <c r="C61" i="70"/>
  <c r="C56" i="70"/>
  <c r="C53" i="70"/>
  <c r="C52" i="70"/>
  <c r="C51" i="70"/>
  <c r="C50" i="70"/>
  <c r="C48" i="70"/>
  <c r="C47" i="70"/>
  <c r="C46" i="70"/>
  <c r="R42" i="70"/>
  <c r="Q42" i="70"/>
  <c r="P42" i="70"/>
  <c r="O42" i="70"/>
  <c r="N42" i="70"/>
  <c r="M42" i="70"/>
  <c r="L42" i="70"/>
  <c r="K42" i="70"/>
  <c r="J42" i="70"/>
  <c r="I42" i="70"/>
  <c r="H42" i="70"/>
  <c r="G42" i="70"/>
  <c r="F42" i="70"/>
  <c r="E42" i="70"/>
  <c r="D42" i="70"/>
  <c r="B42" i="70"/>
  <c r="C41" i="70"/>
  <c r="C40" i="70"/>
  <c r="C39" i="70"/>
  <c r="C37" i="70"/>
  <c r="C36" i="70"/>
  <c r="C35" i="70"/>
  <c r="C34" i="70"/>
  <c r="C33" i="70"/>
  <c r="C31" i="70"/>
  <c r="C30" i="70"/>
  <c r="C29" i="70"/>
  <c r="C28" i="70"/>
  <c r="C27" i="70"/>
  <c r="C26" i="70"/>
  <c r="C25" i="70"/>
  <c r="C24" i="70"/>
  <c r="C23" i="70"/>
  <c r="C22" i="70"/>
  <c r="C20" i="70"/>
  <c r="C19" i="70"/>
  <c r="C18" i="70"/>
  <c r="C17" i="70"/>
  <c r="C16" i="70"/>
  <c r="C15" i="70"/>
  <c r="C14" i="70"/>
  <c r="C13" i="70"/>
  <c r="C12" i="70"/>
  <c r="C11" i="70"/>
  <c r="C10" i="70"/>
  <c r="C9" i="70"/>
  <c r="C8" i="70"/>
  <c r="C7" i="70"/>
  <c r="C42" i="70" s="1"/>
  <c r="C81" i="69"/>
  <c r="C77" i="69"/>
  <c r="C76" i="69"/>
  <c r="C75" i="69"/>
  <c r="C73" i="69"/>
  <c r="C72" i="69"/>
  <c r="C70" i="69"/>
  <c r="C67" i="69"/>
  <c r="C66" i="69"/>
  <c r="C62" i="69"/>
  <c r="C61" i="69"/>
  <c r="C56" i="69"/>
  <c r="C53" i="69"/>
  <c r="C52" i="69"/>
  <c r="C51" i="69"/>
  <c r="C50" i="69"/>
  <c r="C48" i="69"/>
  <c r="C47" i="69"/>
  <c r="C46" i="69"/>
  <c r="R42" i="69"/>
  <c r="Q42" i="69"/>
  <c r="P42" i="69"/>
  <c r="O42" i="69"/>
  <c r="N42" i="69"/>
  <c r="M42" i="69"/>
  <c r="L42" i="69"/>
  <c r="K42" i="69"/>
  <c r="J42" i="69"/>
  <c r="I42" i="69"/>
  <c r="H42" i="69"/>
  <c r="G42" i="69"/>
  <c r="F42" i="69"/>
  <c r="E42" i="69"/>
  <c r="D42" i="69"/>
  <c r="B42" i="69"/>
  <c r="C41" i="69"/>
  <c r="C40" i="69"/>
  <c r="C39" i="69"/>
  <c r="C37" i="69"/>
  <c r="C36" i="69"/>
  <c r="C35" i="69"/>
  <c r="C34" i="69"/>
  <c r="C33" i="69"/>
  <c r="C31" i="69"/>
  <c r="C30" i="69"/>
  <c r="C29" i="69"/>
  <c r="C28" i="69"/>
  <c r="C27" i="69"/>
  <c r="C26" i="69"/>
  <c r="C25" i="69"/>
  <c r="C24" i="69"/>
  <c r="C23" i="69"/>
  <c r="C22" i="69"/>
  <c r="C20" i="69"/>
  <c r="C19" i="69"/>
  <c r="C18" i="69"/>
  <c r="C17" i="69"/>
  <c r="C16" i="69"/>
  <c r="C15" i="69"/>
  <c r="C14" i="69"/>
  <c r="C13" i="69"/>
  <c r="C12" i="69"/>
  <c r="C11" i="69"/>
  <c r="C10" i="69"/>
  <c r="C9" i="69"/>
  <c r="C8" i="69"/>
  <c r="C7" i="69"/>
  <c r="C42" i="69" s="1"/>
  <c r="C81" i="68"/>
  <c r="C77" i="68"/>
  <c r="C76" i="68"/>
  <c r="C75" i="68"/>
  <c r="C73" i="68"/>
  <c r="C72" i="68"/>
  <c r="C70" i="68"/>
  <c r="C67" i="68"/>
  <c r="C66" i="68"/>
  <c r="C62" i="68"/>
  <c r="C61" i="68"/>
  <c r="C56" i="68"/>
  <c r="C53" i="68"/>
  <c r="C52" i="68"/>
  <c r="C51" i="68"/>
  <c r="C50" i="68"/>
  <c r="C48" i="68"/>
  <c r="C47" i="68"/>
  <c r="C46" i="68"/>
  <c r="R42" i="68"/>
  <c r="Q42" i="68"/>
  <c r="P42" i="68"/>
  <c r="O42" i="68"/>
  <c r="N42" i="68"/>
  <c r="M42" i="68"/>
  <c r="L42" i="68"/>
  <c r="K42" i="68"/>
  <c r="J42" i="68"/>
  <c r="I42" i="68"/>
  <c r="H42" i="68"/>
  <c r="G42" i="68"/>
  <c r="F42" i="68"/>
  <c r="E42" i="68"/>
  <c r="D42" i="68"/>
  <c r="B42" i="68"/>
  <c r="C41" i="68"/>
  <c r="C40" i="68"/>
  <c r="C39" i="68"/>
  <c r="C37" i="68"/>
  <c r="C36" i="68"/>
  <c r="C35" i="68"/>
  <c r="C34" i="68"/>
  <c r="C33" i="68"/>
  <c r="C31" i="68"/>
  <c r="C30" i="68"/>
  <c r="C29" i="68"/>
  <c r="C28" i="68"/>
  <c r="C27" i="68"/>
  <c r="C26" i="68"/>
  <c r="C25" i="68"/>
  <c r="C24" i="68"/>
  <c r="C23" i="68"/>
  <c r="C22" i="68"/>
  <c r="C20" i="68"/>
  <c r="C19" i="68"/>
  <c r="C18" i="68"/>
  <c r="C17" i="68"/>
  <c r="C16" i="68"/>
  <c r="C15" i="68"/>
  <c r="C14" i="68"/>
  <c r="C13" i="68"/>
  <c r="C12" i="68"/>
  <c r="C11" i="68"/>
  <c r="C10" i="68"/>
  <c r="C9" i="68"/>
  <c r="C8" i="68"/>
  <c r="C7" i="68"/>
  <c r="C42" i="68" s="1"/>
  <c r="C81" i="67"/>
  <c r="C77" i="67"/>
  <c r="C76" i="67"/>
  <c r="C75" i="67"/>
  <c r="C73" i="67"/>
  <c r="C72" i="67"/>
  <c r="C70" i="67"/>
  <c r="C67" i="67"/>
  <c r="C66" i="67"/>
  <c r="C62" i="67"/>
  <c r="C61" i="67"/>
  <c r="C56" i="67"/>
  <c r="C53" i="67"/>
  <c r="C52" i="67"/>
  <c r="C51" i="67"/>
  <c r="C50" i="67"/>
  <c r="C48" i="67"/>
  <c r="C47" i="67"/>
  <c r="C46" i="67"/>
  <c r="R42" i="67"/>
  <c r="Q42" i="67"/>
  <c r="P42" i="67"/>
  <c r="O42" i="67"/>
  <c r="N42" i="67"/>
  <c r="M42" i="67"/>
  <c r="L42" i="67"/>
  <c r="K42" i="67"/>
  <c r="J42" i="67"/>
  <c r="I42" i="67"/>
  <c r="H42" i="67"/>
  <c r="G42" i="67"/>
  <c r="F42" i="67"/>
  <c r="E42" i="67"/>
  <c r="D42" i="67"/>
  <c r="B42" i="67"/>
  <c r="C41" i="67"/>
  <c r="C40" i="67"/>
  <c r="C39" i="67"/>
  <c r="C37" i="67"/>
  <c r="C36" i="67"/>
  <c r="C35" i="67"/>
  <c r="C34" i="67"/>
  <c r="C33" i="67"/>
  <c r="C31" i="67"/>
  <c r="C30" i="67"/>
  <c r="C29" i="67"/>
  <c r="C28" i="67"/>
  <c r="C27" i="67"/>
  <c r="C26" i="67"/>
  <c r="C25" i="67"/>
  <c r="C24" i="67"/>
  <c r="C23" i="67"/>
  <c r="C22" i="67"/>
  <c r="C20" i="67"/>
  <c r="C19" i="67"/>
  <c r="C18" i="67"/>
  <c r="C17" i="67"/>
  <c r="C16" i="67"/>
  <c r="C15" i="67"/>
  <c r="C14" i="67"/>
  <c r="C13" i="67"/>
  <c r="C12" i="67"/>
  <c r="C11" i="67"/>
  <c r="C10" i="67"/>
  <c r="C9" i="67"/>
  <c r="C8" i="67"/>
  <c r="C7" i="67"/>
  <c r="C42" i="67" s="1"/>
  <c r="C81" i="66"/>
  <c r="C77" i="66"/>
  <c r="C76" i="66"/>
  <c r="C75" i="66"/>
  <c r="C73" i="66"/>
  <c r="C72" i="66"/>
  <c r="C70" i="66"/>
  <c r="C67" i="66"/>
  <c r="C66" i="66"/>
  <c r="C62" i="66"/>
  <c r="C61" i="66"/>
  <c r="C56" i="66"/>
  <c r="C53" i="66"/>
  <c r="C52" i="66"/>
  <c r="C51" i="66"/>
  <c r="C50" i="66"/>
  <c r="C48" i="66"/>
  <c r="C47" i="66"/>
  <c r="C46" i="66"/>
  <c r="R42" i="66"/>
  <c r="Q42" i="66"/>
  <c r="P42" i="66"/>
  <c r="O42" i="66"/>
  <c r="N42" i="66"/>
  <c r="M42" i="66"/>
  <c r="L42" i="66"/>
  <c r="K42" i="66"/>
  <c r="J42" i="66"/>
  <c r="I42" i="66"/>
  <c r="H42" i="66"/>
  <c r="G42" i="66"/>
  <c r="F42" i="66"/>
  <c r="E42" i="66"/>
  <c r="D42" i="66"/>
  <c r="B42" i="66"/>
  <c r="C41" i="66"/>
  <c r="C40" i="66"/>
  <c r="C39" i="66"/>
  <c r="C37" i="66"/>
  <c r="C36" i="66"/>
  <c r="C35" i="66"/>
  <c r="C34" i="66"/>
  <c r="C33" i="66"/>
  <c r="C31" i="66"/>
  <c r="C30" i="66"/>
  <c r="C29" i="66"/>
  <c r="C28" i="66"/>
  <c r="C27" i="66"/>
  <c r="C26" i="66"/>
  <c r="C25" i="66"/>
  <c r="C24" i="66"/>
  <c r="C23" i="66"/>
  <c r="C22" i="66"/>
  <c r="C20" i="66"/>
  <c r="C19" i="66"/>
  <c r="C18" i="66"/>
  <c r="C17" i="66"/>
  <c r="C16" i="66"/>
  <c r="C15" i="66"/>
  <c r="C14" i="66"/>
  <c r="C13" i="66"/>
  <c r="C12" i="66"/>
  <c r="C11" i="66"/>
  <c r="C10" i="66"/>
  <c r="C9" i="66"/>
  <c r="C8" i="66"/>
  <c r="C7" i="66"/>
  <c r="C42" i="66" s="1"/>
  <c r="C81" i="65"/>
  <c r="C77" i="65"/>
  <c r="C76" i="65"/>
  <c r="C75" i="65"/>
  <c r="C73" i="65"/>
  <c r="C72" i="65"/>
  <c r="C70" i="65"/>
  <c r="C67" i="65"/>
  <c r="C66" i="65"/>
  <c r="C62" i="65"/>
  <c r="C61" i="65"/>
  <c r="C56" i="65"/>
  <c r="C53" i="65"/>
  <c r="C52" i="65"/>
  <c r="C51" i="65"/>
  <c r="C50" i="65"/>
  <c r="C48" i="65"/>
  <c r="C47" i="65"/>
  <c r="C46" i="65"/>
  <c r="R42" i="65"/>
  <c r="Q42" i="65"/>
  <c r="P42" i="65"/>
  <c r="O42" i="65"/>
  <c r="N42" i="65"/>
  <c r="M42" i="65"/>
  <c r="L42" i="65"/>
  <c r="K42" i="65"/>
  <c r="J42" i="65"/>
  <c r="I42" i="65"/>
  <c r="H42" i="65"/>
  <c r="G42" i="65"/>
  <c r="F42" i="65"/>
  <c r="E42" i="65"/>
  <c r="D42" i="65"/>
  <c r="B42" i="65"/>
  <c r="C41" i="65"/>
  <c r="C40" i="65"/>
  <c r="C39" i="65"/>
  <c r="C37" i="65"/>
  <c r="C36" i="65"/>
  <c r="C35" i="65"/>
  <c r="C34" i="65"/>
  <c r="C33" i="65"/>
  <c r="C31" i="65"/>
  <c r="C30" i="65"/>
  <c r="C29" i="65"/>
  <c r="C28" i="65"/>
  <c r="C27" i="65"/>
  <c r="C26" i="65"/>
  <c r="C25" i="65"/>
  <c r="C24" i="65"/>
  <c r="C23" i="65"/>
  <c r="C22" i="65"/>
  <c r="C20" i="65"/>
  <c r="C19" i="65"/>
  <c r="C18" i="65"/>
  <c r="C17" i="65"/>
  <c r="C16" i="65"/>
  <c r="C15" i="65"/>
  <c r="C14" i="65"/>
  <c r="C13" i="65"/>
  <c r="C12" i="65"/>
  <c r="C11" i="65"/>
  <c r="C10" i="65"/>
  <c r="C9" i="65"/>
  <c r="C8" i="65"/>
  <c r="C7" i="65"/>
  <c r="C42" i="65" s="1"/>
  <c r="C81" i="64"/>
  <c r="C77" i="64"/>
  <c r="C76" i="64"/>
  <c r="C75" i="64"/>
  <c r="C73" i="64"/>
  <c r="C72" i="64"/>
  <c r="C70" i="64"/>
  <c r="C67" i="64"/>
  <c r="C66" i="64"/>
  <c r="C62" i="64"/>
  <c r="C61" i="64"/>
  <c r="C56" i="64"/>
  <c r="C53" i="64"/>
  <c r="C52" i="64"/>
  <c r="C51" i="64"/>
  <c r="C50" i="64"/>
  <c r="C48" i="64"/>
  <c r="C47" i="64"/>
  <c r="C46" i="64"/>
  <c r="R42" i="64"/>
  <c r="Q42" i="64"/>
  <c r="P42" i="64"/>
  <c r="O42" i="64"/>
  <c r="N42" i="64"/>
  <c r="M42" i="64"/>
  <c r="L42" i="64"/>
  <c r="K42" i="64"/>
  <c r="J42" i="64"/>
  <c r="I42" i="64"/>
  <c r="H42" i="64"/>
  <c r="G42" i="64"/>
  <c r="F42" i="64"/>
  <c r="E42" i="64"/>
  <c r="D42" i="64"/>
  <c r="B42" i="64"/>
  <c r="C41" i="64"/>
  <c r="C40" i="64"/>
  <c r="C39" i="64"/>
  <c r="C37" i="64"/>
  <c r="C36" i="64"/>
  <c r="C35" i="64"/>
  <c r="C34" i="64"/>
  <c r="C33" i="64"/>
  <c r="C31" i="64"/>
  <c r="C30" i="64"/>
  <c r="C29" i="64"/>
  <c r="C28" i="64"/>
  <c r="C27" i="64"/>
  <c r="C26" i="64"/>
  <c r="C25" i="64"/>
  <c r="C24" i="64"/>
  <c r="C23" i="64"/>
  <c r="C22" i="64"/>
  <c r="C20" i="64"/>
  <c r="C19" i="64"/>
  <c r="C18" i="64"/>
  <c r="C17" i="64"/>
  <c r="C16" i="64"/>
  <c r="C15" i="64"/>
  <c r="C14" i="64"/>
  <c r="C13" i="64"/>
  <c r="C12" i="64"/>
  <c r="C11" i="64"/>
  <c r="C10" i="64"/>
  <c r="C9" i="64"/>
  <c r="C8" i="64"/>
  <c r="C7" i="64"/>
  <c r="C42" i="64" s="1"/>
  <c r="C81" i="63"/>
  <c r="C77" i="63"/>
  <c r="C76" i="63"/>
  <c r="C75" i="63"/>
  <c r="C73" i="63"/>
  <c r="C72" i="63"/>
  <c r="C70" i="63"/>
  <c r="C67" i="63"/>
  <c r="C66" i="63"/>
  <c r="C62" i="63"/>
  <c r="C61" i="63"/>
  <c r="C56" i="63"/>
  <c r="C53" i="63"/>
  <c r="C52" i="63"/>
  <c r="C51" i="63"/>
  <c r="C50" i="63"/>
  <c r="C48" i="63"/>
  <c r="C47" i="63"/>
  <c r="C46" i="63"/>
  <c r="R42" i="63"/>
  <c r="Q42" i="63"/>
  <c r="P42" i="63"/>
  <c r="O42" i="63"/>
  <c r="N42" i="63"/>
  <c r="M42" i="63"/>
  <c r="L42" i="63"/>
  <c r="K42" i="63"/>
  <c r="J42" i="63"/>
  <c r="I42" i="63"/>
  <c r="H42" i="63"/>
  <c r="G42" i="63"/>
  <c r="F42" i="63"/>
  <c r="E42" i="63"/>
  <c r="D42" i="63"/>
  <c r="B42" i="63"/>
  <c r="C41" i="63"/>
  <c r="C40" i="63"/>
  <c r="C39" i="63"/>
  <c r="C37" i="63"/>
  <c r="C36" i="63"/>
  <c r="C35" i="63"/>
  <c r="C34" i="63"/>
  <c r="C33" i="63"/>
  <c r="C31" i="63"/>
  <c r="C30" i="63"/>
  <c r="C29" i="63"/>
  <c r="C28" i="63"/>
  <c r="C27" i="63"/>
  <c r="C26" i="63"/>
  <c r="C25" i="63"/>
  <c r="C24" i="63"/>
  <c r="C23" i="63"/>
  <c r="C22" i="63"/>
  <c r="C20" i="63"/>
  <c r="C19" i="63"/>
  <c r="C18" i="63"/>
  <c r="C17" i="63"/>
  <c r="C16" i="63"/>
  <c r="C15" i="63"/>
  <c r="C14" i="63"/>
  <c r="C13" i="63"/>
  <c r="C12" i="63"/>
  <c r="C11" i="63"/>
  <c r="C10" i="63"/>
  <c r="C9" i="63"/>
  <c r="C8" i="63"/>
  <c r="C7" i="63"/>
  <c r="C42" i="63" s="1"/>
  <c r="C81" i="62"/>
  <c r="C77" i="62"/>
  <c r="C76" i="62"/>
  <c r="C75" i="62"/>
  <c r="C73" i="62"/>
  <c r="C72" i="62"/>
  <c r="C70" i="62"/>
  <c r="C67" i="62"/>
  <c r="C66" i="62"/>
  <c r="C62" i="62"/>
  <c r="C61" i="62"/>
  <c r="C56" i="62"/>
  <c r="C53" i="62"/>
  <c r="C52" i="62"/>
  <c r="C51" i="62"/>
  <c r="C50" i="62"/>
  <c r="C48" i="62"/>
  <c r="C47" i="62"/>
  <c r="C46" i="62"/>
  <c r="X42" i="62"/>
  <c r="W42" i="62"/>
  <c r="V42" i="62"/>
  <c r="U42" i="62"/>
  <c r="T42" i="62"/>
  <c r="S42" i="62"/>
  <c r="R42" i="62"/>
  <c r="Q42" i="62"/>
  <c r="P42" i="62"/>
  <c r="O42" i="62"/>
  <c r="N42" i="62"/>
  <c r="M42" i="62"/>
  <c r="L42" i="62"/>
  <c r="K42" i="62"/>
  <c r="J42" i="62"/>
  <c r="I42" i="62"/>
  <c r="H42" i="62"/>
  <c r="G42" i="62"/>
  <c r="F42" i="62"/>
  <c r="E42" i="62"/>
  <c r="D42" i="62"/>
  <c r="B42" i="62"/>
  <c r="C41" i="62"/>
  <c r="C40" i="62"/>
  <c r="C39" i="62"/>
  <c r="C37" i="62"/>
  <c r="C36" i="62"/>
  <c r="C35" i="62"/>
  <c r="C34" i="62"/>
  <c r="C33" i="62"/>
  <c r="C31" i="62"/>
  <c r="C30" i="62"/>
  <c r="C29" i="62"/>
  <c r="C28" i="62"/>
  <c r="C27" i="62"/>
  <c r="C26" i="62"/>
  <c r="C25" i="62"/>
  <c r="C24" i="62"/>
  <c r="C23" i="62"/>
  <c r="C22" i="62"/>
  <c r="C20" i="62"/>
  <c r="C19" i="62"/>
  <c r="C18" i="62"/>
  <c r="C17" i="62"/>
  <c r="C16" i="62"/>
  <c r="C15" i="62"/>
  <c r="C14" i="62"/>
  <c r="C13" i="62"/>
  <c r="C12" i="62"/>
  <c r="C11" i="62"/>
  <c r="C10" i="62"/>
  <c r="C9" i="62"/>
  <c r="C8" i="62"/>
  <c r="C7" i="62"/>
  <c r="C42" i="62" s="1"/>
  <c r="C81" i="61"/>
  <c r="C77" i="61"/>
  <c r="C76" i="61"/>
  <c r="C75" i="61"/>
  <c r="C73" i="61"/>
  <c r="C72" i="61"/>
  <c r="C70" i="61"/>
  <c r="C67" i="61"/>
  <c r="C66" i="61"/>
  <c r="C62" i="61"/>
  <c r="C61" i="61"/>
  <c r="C56" i="61"/>
  <c r="C53" i="61"/>
  <c r="C52" i="61"/>
  <c r="C51" i="61"/>
  <c r="C50" i="61"/>
  <c r="C48" i="61"/>
  <c r="C47" i="61"/>
  <c r="C46" i="61"/>
  <c r="R42" i="61"/>
  <c r="Q42" i="61"/>
  <c r="P42" i="61"/>
  <c r="O42" i="61"/>
  <c r="N42" i="61"/>
  <c r="M42" i="61"/>
  <c r="L42" i="61"/>
  <c r="K42" i="61"/>
  <c r="J42" i="61"/>
  <c r="I42" i="61"/>
  <c r="H42" i="61"/>
  <c r="G42" i="61"/>
  <c r="F42" i="61"/>
  <c r="E42" i="61"/>
  <c r="D42" i="61"/>
  <c r="B42" i="61"/>
  <c r="C41" i="61"/>
  <c r="C40" i="61"/>
  <c r="C39" i="61"/>
  <c r="C37" i="61"/>
  <c r="C36" i="61"/>
  <c r="C35" i="61"/>
  <c r="C34" i="61"/>
  <c r="C33" i="61"/>
  <c r="C31" i="61"/>
  <c r="C30" i="61"/>
  <c r="C29" i="61"/>
  <c r="C28" i="61"/>
  <c r="C27" i="61"/>
  <c r="C26" i="61"/>
  <c r="C25" i="61"/>
  <c r="C24" i="61"/>
  <c r="C23" i="61"/>
  <c r="C22" i="61"/>
  <c r="C20" i="61"/>
  <c r="C19" i="61"/>
  <c r="C18" i="61"/>
  <c r="C17" i="61"/>
  <c r="C16" i="61"/>
  <c r="C15" i="61"/>
  <c r="C14" i="61"/>
  <c r="C13" i="61"/>
  <c r="C12" i="61"/>
  <c r="C11" i="61"/>
  <c r="C10" i="61"/>
  <c r="C9" i="61"/>
  <c r="C8" i="61"/>
  <c r="C7" i="61"/>
  <c r="C42" i="61" s="1"/>
  <c r="C81" i="60"/>
  <c r="C77" i="60"/>
  <c r="C76" i="60"/>
  <c r="C75" i="60"/>
  <c r="C73" i="60"/>
  <c r="C72" i="60"/>
  <c r="C70" i="60"/>
  <c r="C67" i="60"/>
  <c r="C66" i="60"/>
  <c r="C62" i="60"/>
  <c r="C61" i="60"/>
  <c r="C56" i="60"/>
  <c r="C53" i="60"/>
  <c r="C52" i="60"/>
  <c r="C51" i="60"/>
  <c r="C50" i="60"/>
  <c r="C48" i="60"/>
  <c r="C47" i="60"/>
  <c r="C46" i="60"/>
  <c r="R42" i="60"/>
  <c r="Q42" i="60"/>
  <c r="P42" i="60"/>
  <c r="O42" i="60"/>
  <c r="N42" i="60"/>
  <c r="M42" i="60"/>
  <c r="L42" i="60"/>
  <c r="K42" i="60"/>
  <c r="J42" i="60"/>
  <c r="I42" i="60"/>
  <c r="H42" i="60"/>
  <c r="G42" i="60"/>
  <c r="F42" i="60"/>
  <c r="E42" i="60"/>
  <c r="D42" i="60"/>
  <c r="B42" i="60"/>
  <c r="C41" i="60"/>
  <c r="C40" i="60"/>
  <c r="C39" i="60"/>
  <c r="C37" i="60"/>
  <c r="C36" i="60"/>
  <c r="C35" i="60"/>
  <c r="C34" i="60"/>
  <c r="C33" i="60"/>
  <c r="C31" i="60"/>
  <c r="C30" i="60"/>
  <c r="C29" i="60"/>
  <c r="C28" i="60"/>
  <c r="C27" i="60"/>
  <c r="C26" i="60"/>
  <c r="C25" i="60"/>
  <c r="C24" i="60"/>
  <c r="C23" i="60"/>
  <c r="C22" i="60"/>
  <c r="C20" i="60"/>
  <c r="C19" i="60"/>
  <c r="C18" i="60"/>
  <c r="C17" i="60"/>
  <c r="C16" i="60"/>
  <c r="C15" i="60"/>
  <c r="C14" i="60"/>
  <c r="C13" i="60"/>
  <c r="C12" i="60"/>
  <c r="C11" i="60"/>
  <c r="C10" i="60"/>
  <c r="C9" i="60"/>
  <c r="C8" i="60"/>
  <c r="C7" i="60"/>
  <c r="C42" i="60" s="1"/>
  <c r="C81" i="59"/>
  <c r="C77" i="59"/>
  <c r="C76" i="59"/>
  <c r="C75" i="59"/>
  <c r="C73" i="59"/>
  <c r="C72" i="59"/>
  <c r="C70" i="59"/>
  <c r="C67" i="59"/>
  <c r="C66" i="59"/>
  <c r="C62" i="59"/>
  <c r="C61" i="59"/>
  <c r="C56" i="59"/>
  <c r="C53" i="59"/>
  <c r="C52" i="59"/>
  <c r="C51" i="59"/>
  <c r="C50" i="59"/>
  <c r="C48" i="59"/>
  <c r="C47" i="59"/>
  <c r="C46" i="59"/>
  <c r="R42" i="59"/>
  <c r="Q42" i="59"/>
  <c r="P42" i="59"/>
  <c r="O42" i="59"/>
  <c r="N42" i="59"/>
  <c r="M42" i="59"/>
  <c r="L42" i="59"/>
  <c r="K42" i="59"/>
  <c r="J42" i="59"/>
  <c r="I42" i="59"/>
  <c r="H42" i="59"/>
  <c r="G42" i="59"/>
  <c r="F42" i="59"/>
  <c r="E42" i="59"/>
  <c r="D42" i="59"/>
  <c r="B42" i="59"/>
  <c r="C41" i="59"/>
  <c r="C40" i="59"/>
  <c r="C39" i="59"/>
  <c r="C37" i="59"/>
  <c r="C36" i="59"/>
  <c r="C35" i="59"/>
  <c r="C34" i="59"/>
  <c r="C33" i="59"/>
  <c r="C31" i="59"/>
  <c r="C30" i="59"/>
  <c r="C29" i="59"/>
  <c r="C28" i="59"/>
  <c r="C27" i="59"/>
  <c r="C26" i="59"/>
  <c r="C25" i="59"/>
  <c r="C24" i="59"/>
  <c r="C23" i="59"/>
  <c r="C22" i="59"/>
  <c r="C20" i="59"/>
  <c r="C19" i="59"/>
  <c r="C18" i="59"/>
  <c r="C17" i="59"/>
  <c r="C16" i="59"/>
  <c r="C15" i="59"/>
  <c r="C14" i="59"/>
  <c r="C13" i="59"/>
  <c r="C12" i="59"/>
  <c r="C11" i="59"/>
  <c r="C10" i="59"/>
  <c r="C9" i="59"/>
  <c r="C8" i="59"/>
  <c r="C7" i="59"/>
  <c r="C42" i="59" s="1"/>
  <c r="C81" i="58"/>
  <c r="C77" i="58"/>
  <c r="C76" i="58"/>
  <c r="C75" i="58"/>
  <c r="C73" i="58"/>
  <c r="C72" i="58"/>
  <c r="C70" i="58"/>
  <c r="C67" i="58"/>
  <c r="C66" i="58"/>
  <c r="C62" i="58"/>
  <c r="C61" i="58"/>
  <c r="C56" i="58"/>
  <c r="C53" i="58"/>
  <c r="C52" i="58"/>
  <c r="C51" i="58"/>
  <c r="C50" i="58"/>
  <c r="C48" i="58"/>
  <c r="C47" i="58"/>
  <c r="C46" i="58"/>
  <c r="R42" i="58"/>
  <c r="Q42" i="58"/>
  <c r="P42" i="58"/>
  <c r="O42" i="58"/>
  <c r="N42" i="58"/>
  <c r="M42" i="58"/>
  <c r="L42" i="58"/>
  <c r="K42" i="58"/>
  <c r="J42" i="58"/>
  <c r="I42" i="58"/>
  <c r="H42" i="58"/>
  <c r="G42" i="58"/>
  <c r="F42" i="58"/>
  <c r="E42" i="58"/>
  <c r="D42" i="58"/>
  <c r="B42" i="58"/>
  <c r="C41" i="58"/>
  <c r="C40" i="58"/>
  <c r="C39" i="58"/>
  <c r="C37" i="58"/>
  <c r="C36" i="58"/>
  <c r="C35" i="58"/>
  <c r="C34" i="58"/>
  <c r="C33" i="58"/>
  <c r="C31" i="58"/>
  <c r="C30" i="58"/>
  <c r="C29" i="58"/>
  <c r="C28" i="58"/>
  <c r="C27" i="58"/>
  <c r="C26" i="58"/>
  <c r="C25" i="58"/>
  <c r="C24" i="58"/>
  <c r="C23" i="58"/>
  <c r="C22" i="58"/>
  <c r="C20" i="58"/>
  <c r="C19" i="58"/>
  <c r="C18" i="58"/>
  <c r="C17" i="58"/>
  <c r="C16" i="58"/>
  <c r="C15" i="58"/>
  <c r="C14" i="58"/>
  <c r="C13" i="58"/>
  <c r="C12" i="58"/>
  <c r="C11" i="58"/>
  <c r="C10" i="58"/>
  <c r="C9" i="58"/>
  <c r="C8" i="58"/>
  <c r="C7" i="58"/>
  <c r="C42" i="58" s="1"/>
  <c r="C81" i="57"/>
  <c r="C77" i="57"/>
  <c r="C76" i="57"/>
  <c r="C75" i="57"/>
  <c r="C73" i="57"/>
  <c r="C72" i="57"/>
  <c r="C70" i="57"/>
  <c r="C67" i="57"/>
  <c r="C66" i="57"/>
  <c r="C62" i="57"/>
  <c r="C61" i="57"/>
  <c r="C56" i="57"/>
  <c r="C53" i="57"/>
  <c r="C52" i="57"/>
  <c r="C51" i="57"/>
  <c r="C50" i="57"/>
  <c r="C48" i="57"/>
  <c r="C47" i="57"/>
  <c r="C46" i="57"/>
  <c r="R42" i="57"/>
  <c r="Q42" i="57"/>
  <c r="P42" i="57"/>
  <c r="O42" i="57"/>
  <c r="N42" i="57"/>
  <c r="M42" i="57"/>
  <c r="L42" i="57"/>
  <c r="K42" i="57"/>
  <c r="J42" i="57"/>
  <c r="I42" i="57"/>
  <c r="H42" i="57"/>
  <c r="G42" i="57"/>
  <c r="F42" i="57"/>
  <c r="E42" i="57"/>
  <c r="D42" i="57"/>
  <c r="B42" i="57"/>
  <c r="C41" i="57"/>
  <c r="C40" i="57"/>
  <c r="C39" i="57"/>
  <c r="C37" i="57"/>
  <c r="C36" i="57"/>
  <c r="C35" i="57"/>
  <c r="C34" i="57"/>
  <c r="C33" i="57"/>
  <c r="C31" i="57"/>
  <c r="C30" i="57"/>
  <c r="C29" i="57"/>
  <c r="C28" i="57"/>
  <c r="C27" i="57"/>
  <c r="C26" i="57"/>
  <c r="C25" i="57"/>
  <c r="C24" i="57"/>
  <c r="C23" i="57"/>
  <c r="C22" i="57"/>
  <c r="C20" i="57"/>
  <c r="C19" i="57"/>
  <c r="C18" i="57"/>
  <c r="C17" i="57"/>
  <c r="C16" i="57"/>
  <c r="C15" i="57"/>
  <c r="C14" i="57"/>
  <c r="C13" i="57"/>
  <c r="C12" i="57"/>
  <c r="C11" i="57"/>
  <c r="C10" i="57"/>
  <c r="C9" i="57"/>
  <c r="C8" i="57"/>
  <c r="C7" i="57"/>
  <c r="C42" i="57" s="1"/>
  <c r="C81" i="56"/>
  <c r="C77" i="56"/>
  <c r="C76" i="56"/>
  <c r="C75" i="56"/>
  <c r="C73" i="56"/>
  <c r="C72" i="56"/>
  <c r="C70" i="56"/>
  <c r="C67" i="56"/>
  <c r="C66" i="56"/>
  <c r="C62" i="56"/>
  <c r="C61" i="56"/>
  <c r="C56" i="56"/>
  <c r="C53" i="56"/>
  <c r="C52" i="56"/>
  <c r="C51" i="56"/>
  <c r="C50" i="56"/>
  <c r="C48" i="56"/>
  <c r="C47" i="56"/>
  <c r="C46" i="56"/>
  <c r="R42" i="56"/>
  <c r="Q42" i="56"/>
  <c r="P42" i="56"/>
  <c r="O42" i="56"/>
  <c r="N42" i="56"/>
  <c r="M42" i="56"/>
  <c r="L42" i="56"/>
  <c r="K42" i="56"/>
  <c r="J42" i="56"/>
  <c r="I42" i="56"/>
  <c r="H42" i="56"/>
  <c r="G42" i="56"/>
  <c r="F42" i="56"/>
  <c r="E42" i="56"/>
  <c r="D42" i="56"/>
  <c r="B42" i="56"/>
  <c r="C41" i="56"/>
  <c r="C40" i="56"/>
  <c r="C39" i="56"/>
  <c r="C37" i="56"/>
  <c r="C36" i="56"/>
  <c r="C35" i="56"/>
  <c r="C34" i="56"/>
  <c r="C33" i="56"/>
  <c r="C31" i="56"/>
  <c r="C30" i="56"/>
  <c r="C29" i="56"/>
  <c r="C28" i="56"/>
  <c r="C27" i="56"/>
  <c r="C26" i="56"/>
  <c r="C25" i="56"/>
  <c r="C24" i="56"/>
  <c r="C23" i="56"/>
  <c r="C22" i="56"/>
  <c r="C20" i="56"/>
  <c r="C19" i="56"/>
  <c r="C18" i="56"/>
  <c r="C17" i="56"/>
  <c r="C16" i="56"/>
  <c r="C15" i="56"/>
  <c r="C14" i="56"/>
  <c r="C13" i="56"/>
  <c r="C12" i="56"/>
  <c r="C11" i="56"/>
  <c r="C10" i="56"/>
  <c r="C9" i="56"/>
  <c r="C8" i="56"/>
  <c r="C7" i="56"/>
  <c r="C42" i="56" s="1"/>
  <c r="C81" i="55"/>
  <c r="C77" i="55"/>
  <c r="C76" i="55"/>
  <c r="C75" i="55"/>
  <c r="C73" i="55"/>
  <c r="C72" i="55"/>
  <c r="C70" i="55"/>
  <c r="C67" i="55"/>
  <c r="C66" i="55"/>
  <c r="C62" i="55"/>
  <c r="C61" i="55"/>
  <c r="C56" i="55"/>
  <c r="C53" i="55"/>
  <c r="C52" i="55"/>
  <c r="C51" i="55"/>
  <c r="C50" i="55"/>
  <c r="C48" i="55"/>
  <c r="C47" i="55"/>
  <c r="C46" i="55"/>
  <c r="R42" i="55"/>
  <c r="Q42" i="55"/>
  <c r="P42" i="55"/>
  <c r="O42" i="55"/>
  <c r="N42" i="55"/>
  <c r="M42" i="55"/>
  <c r="L42" i="55"/>
  <c r="K42" i="55"/>
  <c r="J42" i="55"/>
  <c r="I42" i="55"/>
  <c r="H42" i="55"/>
  <c r="G42" i="55"/>
  <c r="F42" i="55"/>
  <c r="E42" i="55"/>
  <c r="D42" i="55"/>
  <c r="B42" i="55"/>
  <c r="C41" i="55"/>
  <c r="C40" i="55"/>
  <c r="C39" i="55"/>
  <c r="C37" i="55"/>
  <c r="C36" i="55"/>
  <c r="C35" i="55"/>
  <c r="C34" i="55"/>
  <c r="C33" i="55"/>
  <c r="C31" i="55"/>
  <c r="C30" i="55"/>
  <c r="C29" i="55"/>
  <c r="C28" i="55"/>
  <c r="C27" i="55"/>
  <c r="C26" i="55"/>
  <c r="C25" i="55"/>
  <c r="C24" i="55"/>
  <c r="C23" i="55"/>
  <c r="C22" i="55"/>
  <c r="C20" i="55"/>
  <c r="C19" i="55"/>
  <c r="C18" i="55"/>
  <c r="C17" i="55"/>
  <c r="C16" i="55"/>
  <c r="C15" i="55"/>
  <c r="C14" i="55"/>
  <c r="C13" i="55"/>
  <c r="C12" i="55"/>
  <c r="C11" i="55"/>
  <c r="C10" i="55"/>
  <c r="C9" i="55"/>
  <c r="C8" i="55"/>
  <c r="C7" i="55"/>
  <c r="C42" i="55" s="1"/>
  <c r="C81" i="54"/>
  <c r="C77" i="54"/>
  <c r="C76" i="54"/>
  <c r="C75" i="54"/>
  <c r="C73" i="54"/>
  <c r="C72" i="54"/>
  <c r="C70" i="54"/>
  <c r="C67" i="54"/>
  <c r="C66" i="54"/>
  <c r="C62" i="54"/>
  <c r="C61" i="54"/>
  <c r="C56" i="54"/>
  <c r="C53" i="54"/>
  <c r="C52" i="54"/>
  <c r="C51" i="54"/>
  <c r="C50" i="54"/>
  <c r="C48" i="54"/>
  <c r="C47" i="54"/>
  <c r="C46" i="54"/>
  <c r="R42" i="54"/>
  <c r="Q42" i="54"/>
  <c r="P42" i="54"/>
  <c r="O42" i="54"/>
  <c r="N42" i="54"/>
  <c r="M42" i="54"/>
  <c r="L42" i="54"/>
  <c r="K42" i="54"/>
  <c r="J42" i="54"/>
  <c r="I42" i="54"/>
  <c r="H42" i="54"/>
  <c r="G42" i="54"/>
  <c r="F42" i="54"/>
  <c r="E42" i="54"/>
  <c r="D42" i="54"/>
  <c r="B42" i="54"/>
  <c r="C41" i="54"/>
  <c r="C40" i="54"/>
  <c r="C39" i="54"/>
  <c r="C37" i="54"/>
  <c r="C36" i="54"/>
  <c r="C35" i="54"/>
  <c r="C34" i="54"/>
  <c r="C33" i="54"/>
  <c r="C31" i="54"/>
  <c r="C30" i="54"/>
  <c r="C29" i="54"/>
  <c r="C28" i="54"/>
  <c r="C27" i="54"/>
  <c r="C26" i="54"/>
  <c r="C25" i="54"/>
  <c r="C24" i="54"/>
  <c r="C23" i="54"/>
  <c r="C22" i="54"/>
  <c r="C20" i="54"/>
  <c r="C19" i="54"/>
  <c r="C18" i="54"/>
  <c r="C17" i="54"/>
  <c r="C16" i="54"/>
  <c r="C15" i="54"/>
  <c r="C14" i="54"/>
  <c r="C13" i="54"/>
  <c r="C12" i="54"/>
  <c r="C11" i="54"/>
  <c r="C10" i="54"/>
  <c r="C9" i="54"/>
  <c r="C8" i="54"/>
  <c r="C7" i="54"/>
  <c r="C42" i="54" s="1"/>
  <c r="C81" i="53"/>
  <c r="C77" i="53"/>
  <c r="C76" i="53"/>
  <c r="C75" i="53"/>
  <c r="C73" i="53"/>
  <c r="C72" i="53"/>
  <c r="C70" i="53"/>
  <c r="C67" i="53"/>
  <c r="C66" i="53"/>
  <c r="C62" i="53"/>
  <c r="C61" i="53"/>
  <c r="C56" i="53"/>
  <c r="C53" i="53"/>
  <c r="C52" i="53"/>
  <c r="C51" i="53"/>
  <c r="C50" i="53"/>
  <c r="C48" i="53"/>
  <c r="C47" i="53"/>
  <c r="C46" i="53"/>
  <c r="R42" i="53"/>
  <c r="Q42" i="53"/>
  <c r="P42" i="53"/>
  <c r="O42" i="53"/>
  <c r="N42" i="53"/>
  <c r="M42" i="53"/>
  <c r="L42" i="53"/>
  <c r="K42" i="53"/>
  <c r="J42" i="53"/>
  <c r="I42" i="53"/>
  <c r="H42" i="53"/>
  <c r="G42" i="53"/>
  <c r="F42" i="53"/>
  <c r="E42" i="53"/>
  <c r="D42" i="53"/>
  <c r="B42" i="53"/>
  <c r="C41" i="53"/>
  <c r="C40" i="53"/>
  <c r="C39" i="53"/>
  <c r="C37" i="53"/>
  <c r="C36" i="53"/>
  <c r="C35" i="53"/>
  <c r="C34" i="53"/>
  <c r="C33" i="53"/>
  <c r="C31" i="53"/>
  <c r="C30" i="53"/>
  <c r="C29" i="53"/>
  <c r="C28" i="53"/>
  <c r="C27" i="53"/>
  <c r="C26" i="53"/>
  <c r="C25" i="53"/>
  <c r="C24" i="53"/>
  <c r="C23" i="53"/>
  <c r="C22" i="53"/>
  <c r="C20" i="53"/>
  <c r="C19" i="53"/>
  <c r="C18" i="53"/>
  <c r="C17" i="53"/>
  <c r="C16" i="53"/>
  <c r="C15" i="53"/>
  <c r="C14" i="53"/>
  <c r="C13" i="53"/>
  <c r="C12" i="53"/>
  <c r="C11" i="53"/>
  <c r="C10" i="53"/>
  <c r="C9" i="53"/>
  <c r="C8" i="53"/>
  <c r="C7" i="53"/>
  <c r="C42" i="53" s="1"/>
  <c r="C81" i="52"/>
  <c r="C77" i="52"/>
  <c r="C76" i="52"/>
  <c r="C75" i="52"/>
  <c r="C73" i="52"/>
  <c r="C72" i="52"/>
  <c r="C70" i="52"/>
  <c r="C67" i="52"/>
  <c r="C66" i="52"/>
  <c r="C62" i="52"/>
  <c r="C61" i="52"/>
  <c r="C56" i="52"/>
  <c r="C53" i="52"/>
  <c r="C52" i="52"/>
  <c r="C51" i="52"/>
  <c r="C50" i="52"/>
  <c r="C48" i="52"/>
  <c r="C47" i="52"/>
  <c r="C46" i="52"/>
  <c r="V42" i="52"/>
  <c r="U42" i="52"/>
  <c r="T42" i="52"/>
  <c r="S42" i="52"/>
  <c r="R42" i="52"/>
  <c r="Q42" i="52"/>
  <c r="P42" i="52"/>
  <c r="O42" i="52"/>
  <c r="N42" i="52"/>
  <c r="M42" i="52"/>
  <c r="L42" i="52"/>
  <c r="K42" i="52"/>
  <c r="J42" i="52"/>
  <c r="I42" i="52"/>
  <c r="H42" i="52"/>
  <c r="G42" i="52"/>
  <c r="F42" i="52"/>
  <c r="E42" i="52"/>
  <c r="D42" i="52"/>
  <c r="B42" i="52"/>
  <c r="C41" i="52"/>
  <c r="C40" i="52"/>
  <c r="C39" i="52"/>
  <c r="C37" i="52"/>
  <c r="C36" i="52"/>
  <c r="C35" i="52"/>
  <c r="C34" i="52"/>
  <c r="C33" i="52"/>
  <c r="C31" i="52"/>
  <c r="C30" i="52"/>
  <c r="C29" i="52"/>
  <c r="C28" i="52"/>
  <c r="C27" i="52"/>
  <c r="C26" i="52"/>
  <c r="C25" i="52"/>
  <c r="C24" i="52"/>
  <c r="C23" i="52"/>
  <c r="C22" i="52"/>
  <c r="C20" i="52"/>
  <c r="C19" i="52"/>
  <c r="C18" i="52"/>
  <c r="C17" i="52"/>
  <c r="C16" i="52"/>
  <c r="C15" i="52"/>
  <c r="C14" i="52"/>
  <c r="C13" i="52"/>
  <c r="C12" i="52"/>
  <c r="C11" i="52"/>
  <c r="C10" i="52"/>
  <c r="C9" i="52"/>
  <c r="C8" i="52"/>
  <c r="C7" i="52"/>
  <c r="C42" i="52" s="1"/>
  <c r="C81" i="51"/>
  <c r="C77" i="51"/>
  <c r="C76" i="51"/>
  <c r="C75" i="51"/>
  <c r="C73" i="51"/>
  <c r="C72" i="51"/>
  <c r="C70" i="51"/>
  <c r="C67" i="51"/>
  <c r="C66" i="51"/>
  <c r="C62" i="51"/>
  <c r="C61" i="51"/>
  <c r="C56" i="51"/>
  <c r="C53" i="51"/>
  <c r="C52" i="51"/>
  <c r="C51" i="51"/>
  <c r="C50" i="51"/>
  <c r="C48" i="51"/>
  <c r="C47" i="51"/>
  <c r="C46" i="51"/>
  <c r="R42" i="51"/>
  <c r="Q42" i="51"/>
  <c r="P42" i="51"/>
  <c r="O42" i="51"/>
  <c r="N42" i="51"/>
  <c r="M42" i="51"/>
  <c r="L42" i="51"/>
  <c r="K42" i="51"/>
  <c r="J42" i="51"/>
  <c r="I42" i="51"/>
  <c r="H42" i="51"/>
  <c r="G42" i="51"/>
  <c r="F42" i="51"/>
  <c r="E42" i="51"/>
  <c r="D42" i="51"/>
  <c r="B42" i="51"/>
  <c r="C41" i="51"/>
  <c r="C40" i="51"/>
  <c r="C39" i="51"/>
  <c r="C37" i="51"/>
  <c r="C36" i="51"/>
  <c r="C35" i="51"/>
  <c r="C34" i="51"/>
  <c r="C33" i="51"/>
  <c r="C31" i="51"/>
  <c r="C30" i="51"/>
  <c r="C29" i="51"/>
  <c r="C28" i="51"/>
  <c r="C27" i="51"/>
  <c r="C26" i="51"/>
  <c r="C25" i="51"/>
  <c r="C24" i="51"/>
  <c r="C23" i="51"/>
  <c r="C22" i="51"/>
  <c r="C20" i="51"/>
  <c r="C19" i="51"/>
  <c r="C18" i="51"/>
  <c r="C17" i="51"/>
  <c r="C16" i="51"/>
  <c r="C15" i="51"/>
  <c r="C14" i="51"/>
  <c r="C13" i="51"/>
  <c r="C12" i="51"/>
  <c r="C11" i="51"/>
  <c r="C10" i="51"/>
  <c r="C9" i="51"/>
  <c r="C8" i="51"/>
  <c r="C7" i="51"/>
  <c r="C42" i="51" s="1"/>
  <c r="C81" i="50"/>
  <c r="C77" i="50"/>
  <c r="C76" i="50"/>
  <c r="C75" i="50"/>
  <c r="C73" i="50"/>
  <c r="C72" i="50"/>
  <c r="C70" i="50"/>
  <c r="C67" i="50"/>
  <c r="C66" i="50"/>
  <c r="C62" i="50"/>
  <c r="C61" i="50"/>
  <c r="C56" i="50"/>
  <c r="C53" i="50"/>
  <c r="C52" i="50"/>
  <c r="C51" i="50"/>
  <c r="C50" i="50"/>
  <c r="C48" i="50"/>
  <c r="C47" i="50"/>
  <c r="C46" i="50"/>
  <c r="R42" i="50"/>
  <c r="Q42" i="50"/>
  <c r="P42" i="50"/>
  <c r="O42" i="50"/>
  <c r="N42" i="50"/>
  <c r="M42" i="50"/>
  <c r="L42" i="50"/>
  <c r="K42" i="50"/>
  <c r="J42" i="50"/>
  <c r="I42" i="50"/>
  <c r="H42" i="50"/>
  <c r="G42" i="50"/>
  <c r="F42" i="50"/>
  <c r="E42" i="50"/>
  <c r="D42" i="50"/>
  <c r="B42" i="50"/>
  <c r="C41" i="50"/>
  <c r="C40" i="50"/>
  <c r="C39" i="50"/>
  <c r="C37" i="50"/>
  <c r="C36" i="50"/>
  <c r="C35" i="50"/>
  <c r="C34" i="50"/>
  <c r="C33" i="50"/>
  <c r="C31" i="50"/>
  <c r="C30" i="50"/>
  <c r="C29" i="50"/>
  <c r="C28" i="50"/>
  <c r="C27" i="50"/>
  <c r="C26" i="50"/>
  <c r="C25" i="50"/>
  <c r="C24" i="50"/>
  <c r="C23" i="50"/>
  <c r="C22" i="50"/>
  <c r="C20" i="50"/>
  <c r="C19" i="50"/>
  <c r="C18" i="50"/>
  <c r="C17" i="50"/>
  <c r="C16" i="50"/>
  <c r="C15" i="50"/>
  <c r="C14" i="50"/>
  <c r="C13" i="50"/>
  <c r="C12" i="50"/>
  <c r="C11" i="50"/>
  <c r="C10" i="50"/>
  <c r="C9" i="50"/>
  <c r="C8" i="50"/>
  <c r="C7" i="50"/>
  <c r="C42" i="50" s="1"/>
  <c r="C81" i="49"/>
  <c r="C77" i="49"/>
  <c r="C76" i="49"/>
  <c r="C75" i="49"/>
  <c r="C73" i="49"/>
  <c r="C72" i="49"/>
  <c r="C70" i="49"/>
  <c r="C67" i="49"/>
  <c r="C66" i="49"/>
  <c r="C62" i="49"/>
  <c r="C61" i="49"/>
  <c r="C56" i="49"/>
  <c r="C53" i="49"/>
  <c r="C52" i="49"/>
  <c r="C51" i="49"/>
  <c r="C50" i="49"/>
  <c r="C48" i="49"/>
  <c r="C47" i="49"/>
  <c r="C46" i="49"/>
  <c r="R42" i="49"/>
  <c r="Q42" i="49"/>
  <c r="P42" i="49"/>
  <c r="O42" i="49"/>
  <c r="N42" i="49"/>
  <c r="M42" i="49"/>
  <c r="L42" i="49"/>
  <c r="K42" i="49"/>
  <c r="J42" i="49"/>
  <c r="I42" i="49"/>
  <c r="H42" i="49"/>
  <c r="G42" i="49"/>
  <c r="F42" i="49"/>
  <c r="E42" i="49"/>
  <c r="D42" i="49"/>
  <c r="B42" i="49"/>
  <c r="C41" i="49"/>
  <c r="C40" i="49"/>
  <c r="C39" i="49"/>
  <c r="C37" i="49"/>
  <c r="C36" i="49"/>
  <c r="C35" i="49"/>
  <c r="C34" i="49"/>
  <c r="C33" i="49"/>
  <c r="C31" i="49"/>
  <c r="C30" i="49"/>
  <c r="C29" i="49"/>
  <c r="C28" i="49"/>
  <c r="C27" i="49"/>
  <c r="C26" i="49"/>
  <c r="C25" i="49"/>
  <c r="C24" i="49"/>
  <c r="C23" i="49"/>
  <c r="C22" i="49"/>
  <c r="C20" i="49"/>
  <c r="C19" i="49"/>
  <c r="C18" i="49"/>
  <c r="C17" i="49"/>
  <c r="C16" i="49"/>
  <c r="C15" i="49"/>
  <c r="C14" i="49"/>
  <c r="C13" i="49"/>
  <c r="C12" i="49"/>
  <c r="C11" i="49"/>
  <c r="C10" i="49"/>
  <c r="C9" i="49"/>
  <c r="C8" i="49"/>
  <c r="C7" i="49"/>
  <c r="C42" i="49" s="1"/>
  <c r="C81" i="48"/>
  <c r="C77" i="48"/>
  <c r="C76" i="48"/>
  <c r="C75" i="48"/>
  <c r="C73" i="48"/>
  <c r="C72" i="48"/>
  <c r="C70" i="48"/>
  <c r="C67" i="48"/>
  <c r="C66" i="48"/>
  <c r="C62" i="48"/>
  <c r="C61" i="48"/>
  <c r="C56" i="48"/>
  <c r="C53" i="48"/>
  <c r="C52" i="48"/>
  <c r="C51" i="48"/>
  <c r="C50" i="48"/>
  <c r="C48" i="48"/>
  <c r="C47" i="48"/>
  <c r="C46" i="48"/>
  <c r="R42" i="48"/>
  <c r="Q42" i="48"/>
  <c r="P42" i="48"/>
  <c r="O42" i="48"/>
  <c r="N42" i="48"/>
  <c r="M42" i="48"/>
  <c r="L42" i="48"/>
  <c r="K42" i="48"/>
  <c r="J42" i="48"/>
  <c r="I42" i="48"/>
  <c r="H42" i="48"/>
  <c r="G42" i="48"/>
  <c r="F42" i="48"/>
  <c r="E42" i="48"/>
  <c r="D42" i="48"/>
  <c r="B42" i="48"/>
  <c r="C41" i="48"/>
  <c r="C40" i="48"/>
  <c r="C39" i="48"/>
  <c r="C37" i="48"/>
  <c r="C36" i="48"/>
  <c r="C35" i="48"/>
  <c r="C34" i="48"/>
  <c r="C33" i="48"/>
  <c r="C31" i="48"/>
  <c r="C30" i="48"/>
  <c r="C29" i="48"/>
  <c r="C28" i="48"/>
  <c r="C27" i="48"/>
  <c r="C26" i="48"/>
  <c r="C25" i="48"/>
  <c r="C24" i="48"/>
  <c r="C23" i="48"/>
  <c r="C22" i="48"/>
  <c r="C20" i="48"/>
  <c r="C19" i="48"/>
  <c r="C18" i="48"/>
  <c r="C17" i="48"/>
  <c r="C16" i="48"/>
  <c r="C15" i="48"/>
  <c r="C14" i="48"/>
  <c r="C13" i="48"/>
  <c r="C12" i="48"/>
  <c r="C11" i="48"/>
  <c r="C10" i="48"/>
  <c r="C9" i="48"/>
  <c r="C8" i="48"/>
  <c r="C7" i="48"/>
  <c r="C42" i="48" s="1"/>
  <c r="C81" i="47"/>
  <c r="C77" i="47"/>
  <c r="C76" i="47"/>
  <c r="C75" i="47"/>
  <c r="C73" i="47"/>
  <c r="C72" i="47"/>
  <c r="C70" i="47"/>
  <c r="C67" i="47"/>
  <c r="C66" i="47"/>
  <c r="C62" i="47"/>
  <c r="C61" i="47"/>
  <c r="C56" i="47"/>
  <c r="C53" i="47"/>
  <c r="C52" i="47"/>
  <c r="C51" i="47"/>
  <c r="C50" i="47"/>
  <c r="C48" i="47"/>
  <c r="C47" i="47"/>
  <c r="C46" i="47"/>
  <c r="R42" i="47"/>
  <c r="Q42" i="47"/>
  <c r="P42" i="47"/>
  <c r="O42" i="47"/>
  <c r="N42" i="47"/>
  <c r="M42" i="47"/>
  <c r="L42" i="47"/>
  <c r="K42" i="47"/>
  <c r="J42" i="47"/>
  <c r="I42" i="47"/>
  <c r="H42" i="47"/>
  <c r="G42" i="47"/>
  <c r="F42" i="47"/>
  <c r="E42" i="47"/>
  <c r="D42" i="47"/>
  <c r="B42" i="47"/>
  <c r="C41" i="47"/>
  <c r="C40" i="47"/>
  <c r="C39" i="47"/>
  <c r="C37" i="47"/>
  <c r="C36" i="47"/>
  <c r="C35" i="47"/>
  <c r="C34" i="47"/>
  <c r="C33" i="47"/>
  <c r="C31" i="47"/>
  <c r="C30" i="47"/>
  <c r="C29" i="47"/>
  <c r="C28" i="47"/>
  <c r="C27" i="47"/>
  <c r="C26" i="47"/>
  <c r="C25" i="47"/>
  <c r="C24" i="47"/>
  <c r="C23" i="47"/>
  <c r="C22" i="47"/>
  <c r="C20" i="47"/>
  <c r="C19" i="47"/>
  <c r="C18" i="47"/>
  <c r="C17" i="47"/>
  <c r="C16" i="47"/>
  <c r="C15" i="47"/>
  <c r="C14" i="47"/>
  <c r="C13" i="47"/>
  <c r="C12" i="47"/>
  <c r="C11" i="47"/>
  <c r="C10" i="47"/>
  <c r="C9" i="47"/>
  <c r="C8" i="47"/>
  <c r="C7" i="47"/>
  <c r="C42" i="47" s="1"/>
  <c r="C81" i="46"/>
  <c r="C77" i="46"/>
  <c r="C76" i="46"/>
  <c r="C75" i="46"/>
  <c r="C73" i="46"/>
  <c r="C72" i="46"/>
  <c r="C70" i="46"/>
  <c r="C67" i="46"/>
  <c r="C66" i="46"/>
  <c r="C62" i="46"/>
  <c r="C61" i="46"/>
  <c r="C56" i="46"/>
  <c r="C53" i="46"/>
  <c r="C52" i="46"/>
  <c r="C51" i="46"/>
  <c r="C50" i="46"/>
  <c r="C48" i="46"/>
  <c r="C47" i="46"/>
  <c r="C46" i="46"/>
  <c r="R42" i="46"/>
  <c r="Q42" i="46"/>
  <c r="P42" i="46"/>
  <c r="O42" i="46"/>
  <c r="N42" i="46"/>
  <c r="M42" i="46"/>
  <c r="L42" i="46"/>
  <c r="K42" i="46"/>
  <c r="J42" i="46"/>
  <c r="I42" i="46"/>
  <c r="H42" i="46"/>
  <c r="G42" i="46"/>
  <c r="F42" i="46"/>
  <c r="E42" i="46"/>
  <c r="D42" i="46"/>
  <c r="B42" i="46"/>
  <c r="C41" i="46"/>
  <c r="C40" i="46"/>
  <c r="C39" i="46"/>
  <c r="C37" i="46"/>
  <c r="C36" i="46"/>
  <c r="C35" i="46"/>
  <c r="C34" i="46"/>
  <c r="C33" i="46"/>
  <c r="C31" i="46"/>
  <c r="C30" i="46"/>
  <c r="C29" i="46"/>
  <c r="C28" i="46"/>
  <c r="C27" i="46"/>
  <c r="C26" i="46"/>
  <c r="C25" i="46"/>
  <c r="C24" i="46"/>
  <c r="C23" i="46"/>
  <c r="C22" i="46"/>
  <c r="C20" i="46"/>
  <c r="C19" i="46"/>
  <c r="C18" i="46"/>
  <c r="C17" i="46"/>
  <c r="C16" i="46"/>
  <c r="C15" i="46"/>
  <c r="C14" i="46"/>
  <c r="C13" i="46"/>
  <c r="C12" i="46"/>
  <c r="C11" i="46"/>
  <c r="C10" i="46"/>
  <c r="C9" i="46"/>
  <c r="C8" i="46"/>
  <c r="C7" i="46"/>
  <c r="C42" i="46" s="1"/>
  <c r="C81" i="45"/>
  <c r="C77" i="45"/>
  <c r="C76" i="45"/>
  <c r="C75" i="45"/>
  <c r="C73" i="45"/>
  <c r="C72" i="45"/>
  <c r="C70" i="45"/>
  <c r="C67" i="45"/>
  <c r="C66" i="45"/>
  <c r="C62" i="45"/>
  <c r="C61" i="45"/>
  <c r="C56" i="45"/>
  <c r="C53" i="45"/>
  <c r="C52" i="45"/>
  <c r="C51" i="45"/>
  <c r="C50" i="45"/>
  <c r="C48" i="45"/>
  <c r="C47" i="45"/>
  <c r="C46" i="45"/>
  <c r="R42" i="45"/>
  <c r="Q42" i="45"/>
  <c r="P42" i="45"/>
  <c r="O42" i="45"/>
  <c r="N42" i="45"/>
  <c r="M42" i="45"/>
  <c r="L42" i="45"/>
  <c r="K42" i="45"/>
  <c r="J42" i="45"/>
  <c r="I42" i="45"/>
  <c r="H42" i="45"/>
  <c r="G42" i="45"/>
  <c r="F42" i="45"/>
  <c r="E42" i="45"/>
  <c r="D42" i="45"/>
  <c r="B42" i="45"/>
  <c r="C41" i="45"/>
  <c r="C40" i="45"/>
  <c r="C39" i="45"/>
  <c r="C37" i="45"/>
  <c r="C36" i="45"/>
  <c r="C35" i="45"/>
  <c r="C34" i="45"/>
  <c r="C33" i="45"/>
  <c r="C31" i="45"/>
  <c r="C30" i="45"/>
  <c r="C29" i="45"/>
  <c r="C28" i="45"/>
  <c r="C27" i="45"/>
  <c r="C26" i="45"/>
  <c r="C25" i="45"/>
  <c r="C24" i="45"/>
  <c r="C23" i="45"/>
  <c r="C22" i="45"/>
  <c r="C20" i="45"/>
  <c r="C19" i="45"/>
  <c r="C18" i="45"/>
  <c r="C17" i="45"/>
  <c r="C16" i="45"/>
  <c r="C15" i="45"/>
  <c r="C14" i="45"/>
  <c r="C13" i="45"/>
  <c r="C12" i="45"/>
  <c r="C11" i="45"/>
  <c r="C10" i="45"/>
  <c r="C9" i="45"/>
  <c r="C8" i="45"/>
  <c r="C7" i="45"/>
  <c r="C42" i="45" s="1"/>
  <c r="C81" i="44"/>
  <c r="C77" i="44"/>
  <c r="C76" i="44"/>
  <c r="C75" i="44"/>
  <c r="C73" i="44"/>
  <c r="C72" i="44"/>
  <c r="C70" i="44"/>
  <c r="C67" i="44"/>
  <c r="C66" i="44"/>
  <c r="C62" i="44"/>
  <c r="C61" i="44"/>
  <c r="C56" i="44"/>
  <c r="C53" i="44"/>
  <c r="C52" i="44"/>
  <c r="C51" i="44"/>
  <c r="C50" i="44"/>
  <c r="C48" i="44"/>
  <c r="C47" i="44"/>
  <c r="C46" i="44"/>
  <c r="R42" i="44"/>
  <c r="Q42" i="44"/>
  <c r="P42" i="44"/>
  <c r="O42" i="44"/>
  <c r="N42" i="44"/>
  <c r="M42" i="44"/>
  <c r="L42" i="44"/>
  <c r="K42" i="44"/>
  <c r="J42" i="44"/>
  <c r="I42" i="44"/>
  <c r="H42" i="44"/>
  <c r="G42" i="44"/>
  <c r="F42" i="44"/>
  <c r="E42" i="44"/>
  <c r="D42" i="44"/>
  <c r="B42" i="44"/>
  <c r="C41" i="44"/>
  <c r="C40" i="44"/>
  <c r="C39" i="44"/>
  <c r="C37" i="44"/>
  <c r="C36" i="44"/>
  <c r="C35" i="44"/>
  <c r="C34" i="44"/>
  <c r="C33" i="44"/>
  <c r="C31" i="44"/>
  <c r="C30" i="44"/>
  <c r="C29" i="44"/>
  <c r="C28" i="44"/>
  <c r="C27" i="44"/>
  <c r="C26" i="44"/>
  <c r="C25" i="44"/>
  <c r="C24" i="44"/>
  <c r="C23" i="44"/>
  <c r="C22" i="44"/>
  <c r="C20" i="44"/>
  <c r="C19" i="44"/>
  <c r="C18" i="44"/>
  <c r="C17" i="44"/>
  <c r="C16" i="44"/>
  <c r="C15" i="44"/>
  <c r="C14" i="44"/>
  <c r="C13" i="44"/>
  <c r="C12" i="44"/>
  <c r="C11" i="44"/>
  <c r="C10" i="44"/>
  <c r="C9" i="44"/>
  <c r="C8" i="44"/>
  <c r="C7" i="44"/>
  <c r="C42" i="44" s="1"/>
  <c r="C81" i="43"/>
  <c r="C77" i="43"/>
  <c r="C76" i="43"/>
  <c r="C75" i="43"/>
  <c r="C73" i="43"/>
  <c r="C72" i="43"/>
  <c r="C70" i="43"/>
  <c r="C67" i="43"/>
  <c r="C66" i="43"/>
  <c r="C62" i="43"/>
  <c r="C61" i="43"/>
  <c r="C56" i="43"/>
  <c r="C53" i="43"/>
  <c r="C52" i="43"/>
  <c r="C51" i="43"/>
  <c r="C50" i="43"/>
  <c r="C48" i="43"/>
  <c r="C47" i="43"/>
  <c r="C46" i="43"/>
  <c r="T42" i="43"/>
  <c r="S42" i="43"/>
  <c r="R42" i="43"/>
  <c r="Q42" i="43"/>
  <c r="P42" i="43"/>
  <c r="O42" i="43"/>
  <c r="N42" i="43"/>
  <c r="M42" i="43"/>
  <c r="L42" i="43"/>
  <c r="K42" i="43"/>
  <c r="J42" i="43"/>
  <c r="I42" i="43"/>
  <c r="H42" i="43"/>
  <c r="G42" i="43"/>
  <c r="F42" i="43"/>
  <c r="E42" i="43"/>
  <c r="D42" i="43"/>
  <c r="B42" i="43"/>
  <c r="C41" i="43"/>
  <c r="C40" i="43"/>
  <c r="C39" i="43"/>
  <c r="C37" i="43"/>
  <c r="C36" i="43"/>
  <c r="C35" i="43"/>
  <c r="C34" i="43"/>
  <c r="C33" i="43"/>
  <c r="C31" i="43"/>
  <c r="C30" i="43"/>
  <c r="C29" i="43"/>
  <c r="C28" i="43"/>
  <c r="C27" i="43"/>
  <c r="C26" i="43"/>
  <c r="C25" i="43"/>
  <c r="C24" i="43"/>
  <c r="C23" i="43"/>
  <c r="C22" i="43"/>
  <c r="C20" i="43"/>
  <c r="C19" i="43"/>
  <c r="C18" i="43"/>
  <c r="C17" i="43"/>
  <c r="C16" i="43"/>
  <c r="C15" i="43"/>
  <c r="C14" i="43"/>
  <c r="C13" i="43"/>
  <c r="C12" i="43"/>
  <c r="C11" i="43"/>
  <c r="C10" i="43"/>
  <c r="C9" i="43"/>
  <c r="C8" i="43"/>
  <c r="C7" i="43"/>
  <c r="C42" i="43" s="1"/>
  <c r="C81" i="42"/>
  <c r="C77" i="42"/>
  <c r="C76" i="42"/>
  <c r="C75" i="42"/>
  <c r="C73" i="42"/>
  <c r="C72" i="42"/>
  <c r="C70" i="42"/>
  <c r="C67" i="42"/>
  <c r="C66" i="42"/>
  <c r="C62" i="42"/>
  <c r="C61" i="42"/>
  <c r="C56" i="42"/>
  <c r="C53" i="42"/>
  <c r="C52" i="42"/>
  <c r="C51" i="42"/>
  <c r="C50" i="42"/>
  <c r="C48" i="42"/>
  <c r="C47" i="42"/>
  <c r="C46" i="42"/>
  <c r="R42" i="42"/>
  <c r="Q42" i="42"/>
  <c r="P42" i="42"/>
  <c r="O42" i="42"/>
  <c r="N42" i="42"/>
  <c r="M42" i="42"/>
  <c r="L42" i="42"/>
  <c r="K42" i="42"/>
  <c r="J42" i="42"/>
  <c r="I42" i="42"/>
  <c r="H42" i="42"/>
  <c r="G42" i="42"/>
  <c r="F42" i="42"/>
  <c r="E42" i="42"/>
  <c r="D42" i="42"/>
  <c r="B42" i="42"/>
  <c r="C41" i="42"/>
  <c r="C40" i="42"/>
  <c r="C39" i="42"/>
  <c r="C37" i="42"/>
  <c r="C36" i="42"/>
  <c r="C35" i="42"/>
  <c r="C34" i="42"/>
  <c r="C33" i="42"/>
  <c r="C31" i="42"/>
  <c r="C30" i="42"/>
  <c r="C29" i="42"/>
  <c r="C28" i="42"/>
  <c r="C27" i="42"/>
  <c r="C26" i="42"/>
  <c r="C25" i="42"/>
  <c r="C24" i="42"/>
  <c r="C23" i="42"/>
  <c r="C22" i="42"/>
  <c r="C20" i="42"/>
  <c r="C19" i="42"/>
  <c r="C18" i="42"/>
  <c r="C17" i="42"/>
  <c r="C16" i="42"/>
  <c r="C15" i="42"/>
  <c r="C14" i="42"/>
  <c r="C13" i="42"/>
  <c r="C12" i="42"/>
  <c r="C11" i="42"/>
  <c r="C10" i="42"/>
  <c r="C9" i="42"/>
  <c r="C8" i="42"/>
  <c r="C7" i="42"/>
  <c r="C42" i="42" s="1"/>
  <c r="C81" i="41"/>
  <c r="C77" i="41"/>
  <c r="C76" i="41"/>
  <c r="C75" i="41"/>
  <c r="C73" i="41"/>
  <c r="C72" i="41"/>
  <c r="C70" i="41"/>
  <c r="C67" i="41"/>
  <c r="C66" i="41"/>
  <c r="C62" i="41"/>
  <c r="C61" i="41"/>
  <c r="C56" i="41"/>
  <c r="C53" i="41"/>
  <c r="C52" i="41"/>
  <c r="C51" i="41"/>
  <c r="C50" i="41"/>
  <c r="C48" i="41"/>
  <c r="C47" i="41"/>
  <c r="C46" i="41"/>
  <c r="T42" i="41"/>
  <c r="S42" i="41"/>
  <c r="R42" i="41"/>
  <c r="Q42" i="41"/>
  <c r="P42" i="41"/>
  <c r="O42" i="41"/>
  <c r="N42" i="41"/>
  <c r="M42" i="41"/>
  <c r="L42" i="41"/>
  <c r="K42" i="41"/>
  <c r="J42" i="41"/>
  <c r="I42" i="41"/>
  <c r="H42" i="41"/>
  <c r="G42" i="41"/>
  <c r="F42" i="41"/>
  <c r="E42" i="41"/>
  <c r="D42" i="41"/>
  <c r="B42" i="41"/>
  <c r="C41" i="41"/>
  <c r="C40" i="41"/>
  <c r="C39" i="41"/>
  <c r="C37" i="41"/>
  <c r="C36" i="41"/>
  <c r="C35" i="41"/>
  <c r="C34" i="41"/>
  <c r="C33" i="41"/>
  <c r="C31" i="41"/>
  <c r="C30" i="41"/>
  <c r="C29" i="41"/>
  <c r="C28" i="41"/>
  <c r="C27" i="41"/>
  <c r="C26" i="41"/>
  <c r="C25" i="41"/>
  <c r="C24" i="41"/>
  <c r="C23" i="41"/>
  <c r="C22" i="41"/>
  <c r="C20" i="41"/>
  <c r="C19" i="41"/>
  <c r="C18" i="41"/>
  <c r="C17" i="41"/>
  <c r="C16" i="41"/>
  <c r="C15" i="41"/>
  <c r="C14" i="41"/>
  <c r="C13" i="41"/>
  <c r="C12" i="41"/>
  <c r="C11" i="41"/>
  <c r="C10" i="41"/>
  <c r="C9" i="41"/>
  <c r="C8" i="41"/>
  <c r="C7" i="41"/>
  <c r="C42" i="41" s="1"/>
  <c r="C81" i="40"/>
  <c r="C77" i="40"/>
  <c r="C76" i="40"/>
  <c r="C75" i="40"/>
  <c r="C73" i="40"/>
  <c r="C72" i="40"/>
  <c r="C70" i="40"/>
  <c r="C67" i="40"/>
  <c r="C66" i="40"/>
  <c r="C62" i="40"/>
  <c r="C61" i="40"/>
  <c r="C56" i="40"/>
  <c r="C53" i="40"/>
  <c r="C52" i="40"/>
  <c r="C51" i="40"/>
  <c r="C50" i="40"/>
  <c r="C48" i="40"/>
  <c r="C47" i="40"/>
  <c r="C46" i="40"/>
  <c r="R42" i="40"/>
  <c r="Q42" i="40"/>
  <c r="P42" i="40"/>
  <c r="O42" i="40"/>
  <c r="N42" i="40"/>
  <c r="M42" i="40"/>
  <c r="L42" i="40"/>
  <c r="K42" i="40"/>
  <c r="J42" i="40"/>
  <c r="I42" i="40"/>
  <c r="H42" i="40"/>
  <c r="G42" i="40"/>
  <c r="F42" i="40"/>
  <c r="E42" i="40"/>
  <c r="D42" i="40"/>
  <c r="B42" i="40"/>
  <c r="C41" i="40"/>
  <c r="C40" i="40"/>
  <c r="C39" i="40"/>
  <c r="C37" i="40"/>
  <c r="C36" i="40"/>
  <c r="C35" i="40"/>
  <c r="C34" i="40"/>
  <c r="C33" i="40"/>
  <c r="C31" i="40"/>
  <c r="C30" i="40"/>
  <c r="C29" i="40"/>
  <c r="C28" i="40"/>
  <c r="C27" i="40"/>
  <c r="C26" i="40"/>
  <c r="C25" i="40"/>
  <c r="C24" i="40"/>
  <c r="C23" i="40"/>
  <c r="C22" i="40"/>
  <c r="C20" i="40"/>
  <c r="C19" i="40"/>
  <c r="C18" i="40"/>
  <c r="C17" i="40"/>
  <c r="C16" i="40"/>
  <c r="C15" i="40"/>
  <c r="C14" i="40"/>
  <c r="C13" i="40"/>
  <c r="C12" i="40"/>
  <c r="C11" i="40"/>
  <c r="C10" i="40"/>
  <c r="C9" i="40"/>
  <c r="C8" i="40"/>
  <c r="C7" i="40"/>
  <c r="C42" i="40" s="1"/>
  <c r="C81" i="39"/>
  <c r="C77" i="39"/>
  <c r="C76" i="39"/>
  <c r="C75" i="39"/>
  <c r="C73" i="39"/>
  <c r="C72" i="39"/>
  <c r="C70" i="39"/>
  <c r="C67" i="39"/>
  <c r="C66" i="39"/>
  <c r="C62" i="39"/>
  <c r="C61" i="39"/>
  <c r="C56" i="39"/>
  <c r="C53" i="39"/>
  <c r="C52" i="39"/>
  <c r="C51" i="39"/>
  <c r="C50" i="39"/>
  <c r="C48" i="39"/>
  <c r="C47" i="39"/>
  <c r="C46" i="39"/>
  <c r="R42" i="39"/>
  <c r="Q42" i="39"/>
  <c r="P42" i="39"/>
  <c r="O42" i="39"/>
  <c r="N42" i="39"/>
  <c r="M42" i="39"/>
  <c r="L42" i="39"/>
  <c r="K42" i="39"/>
  <c r="J42" i="39"/>
  <c r="I42" i="39"/>
  <c r="H42" i="39"/>
  <c r="G42" i="39"/>
  <c r="F42" i="39"/>
  <c r="E42" i="39"/>
  <c r="D42" i="39"/>
  <c r="B42" i="39"/>
  <c r="C41" i="39"/>
  <c r="C40" i="39"/>
  <c r="C39" i="39"/>
  <c r="C37" i="39"/>
  <c r="C36" i="39"/>
  <c r="C35" i="39"/>
  <c r="C34" i="39"/>
  <c r="C33" i="39"/>
  <c r="C31" i="39"/>
  <c r="C30" i="39"/>
  <c r="C29" i="39"/>
  <c r="C28" i="39"/>
  <c r="C27" i="39"/>
  <c r="C26" i="39"/>
  <c r="C25" i="39"/>
  <c r="C24" i="39"/>
  <c r="C23" i="39"/>
  <c r="C22" i="39"/>
  <c r="C20" i="39"/>
  <c r="C19" i="39"/>
  <c r="C18" i="39"/>
  <c r="C17" i="39"/>
  <c r="C16" i="39"/>
  <c r="C15" i="39"/>
  <c r="C14" i="39"/>
  <c r="C13" i="39"/>
  <c r="C12" i="39"/>
  <c r="C11" i="39"/>
  <c r="C10" i="39"/>
  <c r="C9" i="39"/>
  <c r="C8" i="39"/>
  <c r="C7" i="39"/>
  <c r="C42" i="39" s="1"/>
  <c r="C81" i="38"/>
  <c r="C77" i="38"/>
  <c r="C76" i="38"/>
  <c r="C75" i="38"/>
  <c r="C73" i="38"/>
  <c r="C72" i="38"/>
  <c r="C70" i="38"/>
  <c r="C67" i="38"/>
  <c r="C66" i="38"/>
  <c r="C62" i="38"/>
  <c r="C61" i="38"/>
  <c r="C56" i="38"/>
  <c r="C53" i="38"/>
  <c r="C52" i="38"/>
  <c r="C51" i="38"/>
  <c r="C50" i="38"/>
  <c r="C48" i="38"/>
  <c r="C47" i="38"/>
  <c r="C46" i="38"/>
  <c r="R42" i="38"/>
  <c r="Q42" i="38"/>
  <c r="P42" i="38"/>
  <c r="O42" i="38"/>
  <c r="N42" i="38"/>
  <c r="M42" i="38"/>
  <c r="L42" i="38"/>
  <c r="K42" i="38"/>
  <c r="J42" i="38"/>
  <c r="I42" i="38"/>
  <c r="H42" i="38"/>
  <c r="G42" i="38"/>
  <c r="F42" i="38"/>
  <c r="E42" i="38"/>
  <c r="D42" i="38"/>
  <c r="B42" i="38"/>
  <c r="C41" i="38"/>
  <c r="C40" i="38"/>
  <c r="C39" i="38"/>
  <c r="C37" i="38"/>
  <c r="C36" i="38"/>
  <c r="C35" i="38"/>
  <c r="C34" i="38"/>
  <c r="C33" i="38"/>
  <c r="C31" i="38"/>
  <c r="C30" i="38"/>
  <c r="C29" i="38"/>
  <c r="C28" i="38"/>
  <c r="C27" i="38"/>
  <c r="C26" i="38"/>
  <c r="C25" i="38"/>
  <c r="C24" i="38"/>
  <c r="C23" i="38"/>
  <c r="C22" i="38"/>
  <c r="C20" i="38"/>
  <c r="C19" i="38"/>
  <c r="C18" i="38"/>
  <c r="C17" i="38"/>
  <c r="C16" i="38"/>
  <c r="C15" i="38"/>
  <c r="C14" i="38"/>
  <c r="C13" i="38"/>
  <c r="C12" i="38"/>
  <c r="C11" i="38"/>
  <c r="C10" i="38"/>
  <c r="C9" i="38"/>
  <c r="C8" i="38"/>
  <c r="C7" i="38"/>
  <c r="C42" i="38" s="1"/>
  <c r="C81" i="37"/>
  <c r="C77" i="37"/>
  <c r="C76" i="37"/>
  <c r="C75" i="37"/>
  <c r="C73" i="37"/>
  <c r="C72" i="37"/>
  <c r="C70" i="37"/>
  <c r="C67" i="37"/>
  <c r="C66" i="37"/>
  <c r="C62" i="37"/>
  <c r="C61" i="37"/>
  <c r="C56" i="37"/>
  <c r="C53" i="37"/>
  <c r="C52" i="37"/>
  <c r="C51" i="37"/>
  <c r="C50" i="37"/>
  <c r="C48" i="37"/>
  <c r="C47" i="37"/>
  <c r="C46" i="37"/>
  <c r="R42" i="37"/>
  <c r="Q42" i="37"/>
  <c r="P42" i="37"/>
  <c r="O42" i="37"/>
  <c r="N42" i="37"/>
  <c r="M42" i="37"/>
  <c r="L42" i="37"/>
  <c r="K42" i="37"/>
  <c r="J42" i="37"/>
  <c r="I42" i="37"/>
  <c r="H42" i="37"/>
  <c r="G42" i="37"/>
  <c r="F42" i="37"/>
  <c r="E42" i="37"/>
  <c r="D42" i="37"/>
  <c r="B42" i="37"/>
  <c r="C41" i="37"/>
  <c r="C40" i="37"/>
  <c r="C39" i="37"/>
  <c r="C37" i="37"/>
  <c r="C36" i="37"/>
  <c r="C35" i="37"/>
  <c r="C34" i="37"/>
  <c r="C33" i="37"/>
  <c r="C31" i="37"/>
  <c r="C30" i="37"/>
  <c r="C29" i="37"/>
  <c r="C28" i="37"/>
  <c r="C27" i="37"/>
  <c r="C26" i="37"/>
  <c r="C25" i="37"/>
  <c r="C24" i="37"/>
  <c r="C23" i="37"/>
  <c r="C22" i="37"/>
  <c r="C20" i="37"/>
  <c r="C19" i="37"/>
  <c r="C18" i="37"/>
  <c r="C17" i="37"/>
  <c r="C16" i="37"/>
  <c r="C15" i="37"/>
  <c r="C14" i="37"/>
  <c r="C13" i="37"/>
  <c r="C12" i="37"/>
  <c r="C11" i="37"/>
  <c r="C10" i="37"/>
  <c r="C9" i="37"/>
  <c r="C8" i="37"/>
  <c r="C7" i="37"/>
  <c r="C42" i="37" s="1"/>
  <c r="C81" i="36"/>
  <c r="C77" i="36"/>
  <c r="C76" i="36"/>
  <c r="C75" i="36"/>
  <c r="C73" i="36"/>
  <c r="C72" i="36"/>
  <c r="C70" i="36"/>
  <c r="C67" i="36"/>
  <c r="C66" i="36"/>
  <c r="C62" i="36"/>
  <c r="C61" i="36"/>
  <c r="C56" i="36"/>
  <c r="C53" i="36"/>
  <c r="C52" i="36"/>
  <c r="C51" i="36"/>
  <c r="C50" i="36"/>
  <c r="C48" i="36"/>
  <c r="C47" i="36"/>
  <c r="C46" i="36"/>
  <c r="R42" i="36"/>
  <c r="Q42" i="36"/>
  <c r="P42" i="36"/>
  <c r="O42" i="36"/>
  <c r="N42" i="36"/>
  <c r="M42" i="36"/>
  <c r="L42" i="36"/>
  <c r="K42" i="36"/>
  <c r="J42" i="36"/>
  <c r="I42" i="36"/>
  <c r="H42" i="36"/>
  <c r="G42" i="36"/>
  <c r="F42" i="36"/>
  <c r="E42" i="36"/>
  <c r="D42" i="36"/>
  <c r="B42" i="36"/>
  <c r="C41" i="36"/>
  <c r="C40" i="36"/>
  <c r="C39" i="36"/>
  <c r="C37" i="36"/>
  <c r="C36" i="36"/>
  <c r="C35" i="36"/>
  <c r="C34" i="36"/>
  <c r="C33" i="36"/>
  <c r="C31" i="36"/>
  <c r="C30" i="36"/>
  <c r="C29" i="36"/>
  <c r="C28" i="36"/>
  <c r="C27" i="36"/>
  <c r="C26" i="36"/>
  <c r="C25" i="36"/>
  <c r="C24" i="36"/>
  <c r="C23" i="36"/>
  <c r="C22" i="36"/>
  <c r="C20" i="36"/>
  <c r="C19" i="36"/>
  <c r="C18" i="36"/>
  <c r="C17" i="36"/>
  <c r="C16" i="36"/>
  <c r="C15" i="36"/>
  <c r="C14" i="36"/>
  <c r="C13" i="36"/>
  <c r="C12" i="36"/>
  <c r="C11" i="36"/>
  <c r="C10" i="36"/>
  <c r="C9" i="36"/>
  <c r="C8" i="36"/>
  <c r="C7" i="36"/>
  <c r="C42" i="36" s="1"/>
  <c r="C81" i="35"/>
  <c r="C77" i="35"/>
  <c r="C76" i="35"/>
  <c r="C75" i="35"/>
  <c r="C73" i="35"/>
  <c r="C72" i="35"/>
  <c r="C70" i="35"/>
  <c r="C67" i="35"/>
  <c r="C66" i="35"/>
  <c r="C62" i="35"/>
  <c r="C61" i="35"/>
  <c r="C56" i="35"/>
  <c r="C53" i="35"/>
  <c r="C52" i="35"/>
  <c r="C51" i="35"/>
  <c r="C50" i="35"/>
  <c r="C48" i="35"/>
  <c r="C47" i="35"/>
  <c r="C46" i="35"/>
  <c r="R42" i="35"/>
  <c r="Q42" i="35"/>
  <c r="P42" i="35"/>
  <c r="O42" i="35"/>
  <c r="N42" i="35"/>
  <c r="M42" i="35"/>
  <c r="L42" i="35"/>
  <c r="K42" i="35"/>
  <c r="J42" i="35"/>
  <c r="I42" i="35"/>
  <c r="H42" i="35"/>
  <c r="G42" i="35"/>
  <c r="F42" i="35"/>
  <c r="E42" i="35"/>
  <c r="D42" i="35"/>
  <c r="B42" i="35"/>
  <c r="C41" i="35"/>
  <c r="C40" i="35"/>
  <c r="C39" i="35"/>
  <c r="C37" i="35"/>
  <c r="C36" i="35"/>
  <c r="C35" i="35"/>
  <c r="C34" i="35"/>
  <c r="C33" i="35"/>
  <c r="C31" i="35"/>
  <c r="C30" i="35"/>
  <c r="C29" i="35"/>
  <c r="C28" i="35"/>
  <c r="C27" i="35"/>
  <c r="C26" i="35"/>
  <c r="C25" i="35"/>
  <c r="C24" i="35"/>
  <c r="C23" i="35"/>
  <c r="C22" i="35"/>
  <c r="C20" i="35"/>
  <c r="C19" i="35"/>
  <c r="C18" i="35"/>
  <c r="C17" i="35"/>
  <c r="C16" i="35"/>
  <c r="C15" i="35"/>
  <c r="C14" i="35"/>
  <c r="C13" i="35"/>
  <c r="C12" i="35"/>
  <c r="C11" i="35"/>
  <c r="C10" i="35"/>
  <c r="C9" i="35"/>
  <c r="C8" i="35"/>
  <c r="C7" i="35"/>
  <c r="C42" i="35" s="1"/>
  <c r="C81" i="34"/>
  <c r="C77" i="34"/>
  <c r="C76" i="34"/>
  <c r="C75" i="34"/>
  <c r="C73" i="34"/>
  <c r="C72" i="34"/>
  <c r="C70" i="34"/>
  <c r="C67" i="34"/>
  <c r="C66" i="34"/>
  <c r="C62" i="34"/>
  <c r="C61" i="34"/>
  <c r="C56" i="34"/>
  <c r="C53" i="34"/>
  <c r="C52" i="34"/>
  <c r="C51" i="34"/>
  <c r="C50" i="34"/>
  <c r="C48" i="34"/>
  <c r="C47" i="34"/>
  <c r="C46" i="34"/>
  <c r="T42" i="34"/>
  <c r="S42" i="34"/>
  <c r="R42" i="34"/>
  <c r="Q42" i="34"/>
  <c r="P42" i="34"/>
  <c r="O42" i="34"/>
  <c r="N42" i="34"/>
  <c r="M42" i="34"/>
  <c r="L42" i="34"/>
  <c r="K42" i="34"/>
  <c r="J42" i="34"/>
  <c r="I42" i="34"/>
  <c r="H42" i="34"/>
  <c r="G42" i="34"/>
  <c r="F42" i="34"/>
  <c r="E42" i="34"/>
  <c r="D42" i="34"/>
  <c r="B42" i="34"/>
  <c r="C41" i="34"/>
  <c r="C40" i="34"/>
  <c r="C39" i="34"/>
  <c r="C37" i="34"/>
  <c r="C36" i="34"/>
  <c r="C35" i="34"/>
  <c r="C34" i="34"/>
  <c r="C33" i="34"/>
  <c r="C31" i="34"/>
  <c r="C30" i="34"/>
  <c r="C29" i="34"/>
  <c r="C28" i="34"/>
  <c r="C27" i="34"/>
  <c r="C26" i="34"/>
  <c r="C25" i="34"/>
  <c r="C24" i="34"/>
  <c r="C23" i="34"/>
  <c r="C22" i="34"/>
  <c r="C20" i="34"/>
  <c r="C19" i="34"/>
  <c r="C18" i="34"/>
  <c r="C17" i="34"/>
  <c r="C16" i="34"/>
  <c r="C15" i="34"/>
  <c r="C14" i="34"/>
  <c r="C13" i="34"/>
  <c r="C12" i="34"/>
  <c r="C11" i="34"/>
  <c r="C10" i="34"/>
  <c r="C9" i="34"/>
  <c r="C8" i="34"/>
  <c r="C7" i="34"/>
  <c r="C42" i="34" s="1"/>
  <c r="C81" i="33"/>
  <c r="C77" i="33"/>
  <c r="C76" i="33"/>
  <c r="C75" i="33"/>
  <c r="C73" i="33"/>
  <c r="C72" i="33"/>
  <c r="C70" i="33"/>
  <c r="C67" i="33"/>
  <c r="C66" i="33"/>
  <c r="C62" i="33"/>
  <c r="C61" i="33"/>
  <c r="C56" i="33"/>
  <c r="C53" i="33"/>
  <c r="C52" i="33"/>
  <c r="C51" i="33"/>
  <c r="C50" i="33"/>
  <c r="C48" i="33"/>
  <c r="C47" i="33"/>
  <c r="C46" i="33"/>
  <c r="R42" i="33"/>
  <c r="Q42" i="33"/>
  <c r="P42" i="33"/>
  <c r="O42" i="33"/>
  <c r="N42" i="33"/>
  <c r="M42" i="33"/>
  <c r="L42" i="33"/>
  <c r="K42" i="33"/>
  <c r="J42" i="33"/>
  <c r="I42" i="33"/>
  <c r="H42" i="33"/>
  <c r="G42" i="33"/>
  <c r="F42" i="33"/>
  <c r="E42" i="33"/>
  <c r="D42" i="33"/>
  <c r="B42" i="33"/>
  <c r="C41" i="33"/>
  <c r="C40" i="33"/>
  <c r="C39" i="33"/>
  <c r="C37" i="33"/>
  <c r="C36" i="33"/>
  <c r="C35" i="33"/>
  <c r="C34" i="33"/>
  <c r="C33" i="33"/>
  <c r="C31" i="33"/>
  <c r="C30" i="33"/>
  <c r="C29" i="33"/>
  <c r="C28" i="33"/>
  <c r="C27" i="33"/>
  <c r="C26" i="33"/>
  <c r="C25" i="33"/>
  <c r="C24" i="33"/>
  <c r="C23" i="33"/>
  <c r="C22" i="33"/>
  <c r="C20" i="33"/>
  <c r="C19" i="33"/>
  <c r="C18" i="33"/>
  <c r="C17" i="33"/>
  <c r="C16" i="33"/>
  <c r="C15" i="33"/>
  <c r="C14" i="33"/>
  <c r="C13" i="33"/>
  <c r="C12" i="33"/>
  <c r="C11" i="33"/>
  <c r="C10" i="33"/>
  <c r="C9" i="33"/>
  <c r="C8" i="33"/>
  <c r="C7" i="33"/>
  <c r="C42" i="33" s="1"/>
  <c r="C81" i="32"/>
  <c r="C77" i="32"/>
  <c r="C76" i="32"/>
  <c r="C75" i="32"/>
  <c r="C73" i="32"/>
  <c r="C72" i="32"/>
  <c r="C70" i="32"/>
  <c r="C67" i="32"/>
  <c r="C66" i="32"/>
  <c r="C62" i="32"/>
  <c r="C61" i="32"/>
  <c r="C56" i="32"/>
  <c r="C53" i="32"/>
  <c r="C52" i="32"/>
  <c r="C51" i="32"/>
  <c r="C50" i="32"/>
  <c r="C48" i="32"/>
  <c r="C47" i="32"/>
  <c r="C46" i="32"/>
  <c r="R42" i="32"/>
  <c r="Q42" i="32"/>
  <c r="P42" i="32"/>
  <c r="O42" i="32"/>
  <c r="N42" i="32"/>
  <c r="M42" i="32"/>
  <c r="L42" i="32"/>
  <c r="K42" i="32"/>
  <c r="J42" i="32"/>
  <c r="I42" i="32"/>
  <c r="H42" i="32"/>
  <c r="G42" i="32"/>
  <c r="F42" i="32"/>
  <c r="E42" i="32"/>
  <c r="D42" i="32"/>
  <c r="B42" i="32"/>
  <c r="C41" i="32"/>
  <c r="C40" i="32"/>
  <c r="C39" i="32"/>
  <c r="C37" i="32"/>
  <c r="C36" i="32"/>
  <c r="C35" i="32"/>
  <c r="C34" i="32"/>
  <c r="C33" i="32"/>
  <c r="C31" i="32"/>
  <c r="C30" i="32"/>
  <c r="C29" i="32"/>
  <c r="C28" i="32"/>
  <c r="C27" i="32"/>
  <c r="C26" i="32"/>
  <c r="C25" i="32"/>
  <c r="C24" i="32"/>
  <c r="C23" i="32"/>
  <c r="C22" i="32"/>
  <c r="C20" i="32"/>
  <c r="C19" i="32"/>
  <c r="C18" i="32"/>
  <c r="C17" i="32"/>
  <c r="C16" i="32"/>
  <c r="C15" i="32"/>
  <c r="C14" i="32"/>
  <c r="C13" i="32"/>
  <c r="C12" i="32"/>
  <c r="C11" i="32"/>
  <c r="C10" i="32"/>
  <c r="C9" i="32"/>
  <c r="C8" i="32"/>
  <c r="C7" i="32"/>
  <c r="C42" i="32" s="1"/>
  <c r="C81" i="31"/>
  <c r="C77" i="31"/>
  <c r="C76" i="31"/>
  <c r="C75" i="31"/>
  <c r="C73" i="31"/>
  <c r="C72" i="31"/>
  <c r="C70" i="31"/>
  <c r="C67" i="31"/>
  <c r="C66" i="31"/>
  <c r="C62" i="31"/>
  <c r="C61" i="31"/>
  <c r="C56" i="31"/>
  <c r="C53" i="31"/>
  <c r="C52" i="31"/>
  <c r="C51" i="31"/>
  <c r="C50" i="31"/>
  <c r="C48" i="31"/>
  <c r="C47" i="31"/>
  <c r="C46" i="31"/>
  <c r="R42" i="31"/>
  <c r="Q42" i="31"/>
  <c r="P42" i="31"/>
  <c r="O42" i="31"/>
  <c r="N42" i="31"/>
  <c r="M42" i="31"/>
  <c r="L42" i="31"/>
  <c r="K42" i="31"/>
  <c r="J42" i="31"/>
  <c r="I42" i="31"/>
  <c r="H42" i="31"/>
  <c r="G42" i="31"/>
  <c r="F42" i="31"/>
  <c r="E42" i="31"/>
  <c r="D42" i="31"/>
  <c r="B42" i="31"/>
  <c r="C41" i="31"/>
  <c r="C40" i="31"/>
  <c r="C39" i="31"/>
  <c r="C37" i="31"/>
  <c r="C36" i="31"/>
  <c r="C35" i="31"/>
  <c r="C34" i="31"/>
  <c r="C33" i="31"/>
  <c r="C31" i="31"/>
  <c r="C30" i="31"/>
  <c r="C29" i="31"/>
  <c r="C28" i="31"/>
  <c r="C27" i="31"/>
  <c r="C26" i="31"/>
  <c r="C25" i="31"/>
  <c r="C24" i="31"/>
  <c r="C23" i="31"/>
  <c r="C22" i="31"/>
  <c r="C20" i="31"/>
  <c r="C19" i="31"/>
  <c r="C18" i="31"/>
  <c r="C17" i="31"/>
  <c r="C16" i="31"/>
  <c r="C15" i="31"/>
  <c r="C14" i="31"/>
  <c r="C13" i="31"/>
  <c r="C12" i="31"/>
  <c r="C11" i="31"/>
  <c r="C10" i="31"/>
  <c r="C9" i="31"/>
  <c r="C8" i="31"/>
  <c r="C7" i="31"/>
  <c r="C42" i="31" s="1"/>
  <c r="C81" i="30"/>
  <c r="C77" i="30"/>
  <c r="C76" i="30"/>
  <c r="C75" i="30"/>
  <c r="C73" i="30"/>
  <c r="C72" i="30"/>
  <c r="C70" i="30"/>
  <c r="C67" i="30"/>
  <c r="C66" i="30"/>
  <c r="C62" i="30"/>
  <c r="C61" i="30"/>
  <c r="C56" i="30"/>
  <c r="C53" i="30"/>
  <c r="C52" i="30"/>
  <c r="C51" i="30"/>
  <c r="C50" i="30"/>
  <c r="C48" i="30"/>
  <c r="C47" i="30"/>
  <c r="C46" i="30"/>
  <c r="R42" i="30"/>
  <c r="Q42" i="30"/>
  <c r="P42" i="30"/>
  <c r="O42" i="30"/>
  <c r="N42" i="30"/>
  <c r="M42" i="30"/>
  <c r="L42" i="30"/>
  <c r="K42" i="30"/>
  <c r="J42" i="30"/>
  <c r="I42" i="30"/>
  <c r="H42" i="30"/>
  <c r="G42" i="30"/>
  <c r="F42" i="30"/>
  <c r="E42" i="30"/>
  <c r="D42" i="30"/>
  <c r="B42" i="30"/>
  <c r="C41" i="30"/>
  <c r="C40" i="30"/>
  <c r="C39" i="30"/>
  <c r="C37" i="30"/>
  <c r="C36" i="30"/>
  <c r="C35" i="30"/>
  <c r="C34" i="30"/>
  <c r="C33" i="30"/>
  <c r="C31" i="30"/>
  <c r="C30" i="30"/>
  <c r="C29" i="30"/>
  <c r="C28" i="30"/>
  <c r="C27" i="30"/>
  <c r="C26" i="30"/>
  <c r="C25" i="30"/>
  <c r="C24" i="30"/>
  <c r="C23" i="30"/>
  <c r="C22" i="30"/>
  <c r="C20" i="30"/>
  <c r="C19" i="30"/>
  <c r="C18" i="30"/>
  <c r="C17" i="30"/>
  <c r="C16" i="30"/>
  <c r="C15" i="30"/>
  <c r="C14" i="30"/>
  <c r="C13" i="30"/>
  <c r="C12" i="30"/>
  <c r="C11" i="30"/>
  <c r="C10" i="30"/>
  <c r="C9" i="30"/>
  <c r="C8" i="30"/>
  <c r="C7" i="30"/>
  <c r="C42" i="30" s="1"/>
  <c r="C81" i="29"/>
  <c r="C77" i="29"/>
  <c r="C76" i="29"/>
  <c r="C75" i="29"/>
  <c r="C73" i="29"/>
  <c r="C72" i="29"/>
  <c r="C70" i="29"/>
  <c r="C67" i="29"/>
  <c r="C66" i="29"/>
  <c r="C62" i="29"/>
  <c r="C61" i="29"/>
  <c r="C56" i="29"/>
  <c r="C53" i="29"/>
  <c r="C52" i="29"/>
  <c r="C51" i="29"/>
  <c r="C50" i="29"/>
  <c r="C48" i="29"/>
  <c r="C47" i="29"/>
  <c r="C46" i="29"/>
  <c r="R42" i="29"/>
  <c r="Q42" i="29"/>
  <c r="P42" i="29"/>
  <c r="O42" i="29"/>
  <c r="N42" i="29"/>
  <c r="M42" i="29"/>
  <c r="L42" i="29"/>
  <c r="K42" i="29"/>
  <c r="J42" i="29"/>
  <c r="I42" i="29"/>
  <c r="H42" i="29"/>
  <c r="G42" i="29"/>
  <c r="F42" i="29"/>
  <c r="E42" i="29"/>
  <c r="D42" i="29"/>
  <c r="B42" i="29"/>
  <c r="C41" i="29"/>
  <c r="C40" i="29"/>
  <c r="C39" i="29"/>
  <c r="C37" i="29"/>
  <c r="C36" i="29"/>
  <c r="C35" i="29"/>
  <c r="C34" i="29"/>
  <c r="C33" i="29"/>
  <c r="C31" i="29"/>
  <c r="C30" i="29"/>
  <c r="C29" i="29"/>
  <c r="C28" i="29"/>
  <c r="C27" i="29"/>
  <c r="C26" i="29"/>
  <c r="C25" i="29"/>
  <c r="C24" i="29"/>
  <c r="C23" i="29"/>
  <c r="C22" i="29"/>
  <c r="C20" i="29"/>
  <c r="C19" i="29"/>
  <c r="C18" i="29"/>
  <c r="C17" i="29"/>
  <c r="C16" i="29"/>
  <c r="C15" i="29"/>
  <c r="C14" i="29"/>
  <c r="C13" i="29"/>
  <c r="C12" i="29"/>
  <c r="C11" i="29"/>
  <c r="C10" i="29"/>
  <c r="C9" i="29"/>
  <c r="C8" i="29"/>
  <c r="C7" i="29"/>
  <c r="C42" i="29" s="1"/>
  <c r="C81" i="28"/>
  <c r="C77" i="28"/>
  <c r="C76" i="28"/>
  <c r="C75" i="28"/>
  <c r="C73" i="28"/>
  <c r="C72" i="28"/>
  <c r="C70" i="28"/>
  <c r="C67" i="28"/>
  <c r="C66" i="28"/>
  <c r="C62" i="28"/>
  <c r="C61" i="28"/>
  <c r="C56" i="28"/>
  <c r="C53" i="28"/>
  <c r="C52" i="28"/>
  <c r="C51" i="28"/>
  <c r="C50" i="28"/>
  <c r="C48" i="28"/>
  <c r="C47" i="28"/>
  <c r="C46" i="28"/>
  <c r="R42" i="28"/>
  <c r="Q42" i="28"/>
  <c r="P42" i="28"/>
  <c r="O42" i="28"/>
  <c r="N42" i="28"/>
  <c r="M42" i="28"/>
  <c r="L42" i="28"/>
  <c r="K42" i="28"/>
  <c r="J42" i="28"/>
  <c r="I42" i="28"/>
  <c r="H42" i="28"/>
  <c r="G42" i="28"/>
  <c r="F42" i="28"/>
  <c r="E42" i="28"/>
  <c r="D42" i="28"/>
  <c r="B42" i="28"/>
  <c r="C41" i="28"/>
  <c r="C40" i="28"/>
  <c r="C39" i="28"/>
  <c r="C37" i="28"/>
  <c r="C36" i="28"/>
  <c r="C35" i="28"/>
  <c r="C34" i="28"/>
  <c r="C33" i="28"/>
  <c r="C31" i="28"/>
  <c r="C30" i="28"/>
  <c r="C29" i="28"/>
  <c r="C28" i="28"/>
  <c r="C27" i="28"/>
  <c r="C26" i="28"/>
  <c r="C25" i="28"/>
  <c r="C24" i="28"/>
  <c r="C23" i="28"/>
  <c r="C22" i="28"/>
  <c r="C20" i="28"/>
  <c r="C19" i="28"/>
  <c r="C18" i="28"/>
  <c r="C17" i="28"/>
  <c r="C16" i="28"/>
  <c r="C15" i="28"/>
  <c r="C14" i="28"/>
  <c r="C13" i="28"/>
  <c r="C12" i="28"/>
  <c r="C11" i="28"/>
  <c r="C10" i="28"/>
  <c r="C9" i="28"/>
  <c r="C8" i="28"/>
  <c r="C7" i="28"/>
  <c r="C42" i="28" s="1"/>
  <c r="C81" i="27"/>
  <c r="C77" i="27"/>
  <c r="C76" i="27"/>
  <c r="C75" i="27"/>
  <c r="C73" i="27"/>
  <c r="C72" i="27"/>
  <c r="C70" i="27"/>
  <c r="C67" i="27"/>
  <c r="C66" i="27"/>
  <c r="C62" i="27"/>
  <c r="C61" i="27"/>
  <c r="C56" i="27"/>
  <c r="C53" i="27"/>
  <c r="C52" i="27"/>
  <c r="C51" i="27"/>
  <c r="C50" i="27"/>
  <c r="C48" i="27"/>
  <c r="C47" i="27"/>
  <c r="C46" i="27"/>
  <c r="R42" i="27"/>
  <c r="Q42" i="27"/>
  <c r="P42" i="27"/>
  <c r="O42" i="27"/>
  <c r="N42" i="27"/>
  <c r="M42" i="27"/>
  <c r="L42" i="27"/>
  <c r="K42" i="27"/>
  <c r="J42" i="27"/>
  <c r="I42" i="27"/>
  <c r="H42" i="27"/>
  <c r="G42" i="27"/>
  <c r="F42" i="27"/>
  <c r="E42" i="27"/>
  <c r="D42" i="27"/>
  <c r="B42" i="27"/>
  <c r="C41" i="27"/>
  <c r="C40" i="27"/>
  <c r="C39" i="27"/>
  <c r="C37" i="27"/>
  <c r="C36" i="27"/>
  <c r="C35" i="27"/>
  <c r="C34" i="27"/>
  <c r="C33" i="27"/>
  <c r="C31" i="27"/>
  <c r="C30" i="27"/>
  <c r="C29" i="27"/>
  <c r="C28" i="27"/>
  <c r="C27" i="27"/>
  <c r="C26" i="27"/>
  <c r="C25" i="27"/>
  <c r="C24" i="27"/>
  <c r="C23" i="27"/>
  <c r="C22" i="27"/>
  <c r="C20" i="27"/>
  <c r="C19" i="27"/>
  <c r="C18" i="27"/>
  <c r="C17" i="27"/>
  <c r="C16" i="27"/>
  <c r="C15" i="27"/>
  <c r="C14" i="27"/>
  <c r="C13" i="27"/>
  <c r="C12" i="27"/>
  <c r="C11" i="27"/>
  <c r="C10" i="27"/>
  <c r="C9" i="27"/>
  <c r="C8" i="27"/>
  <c r="C7" i="27"/>
  <c r="C42" i="27" s="1"/>
  <c r="C81" i="26"/>
  <c r="C77" i="26"/>
  <c r="C76" i="26"/>
  <c r="C75" i="26"/>
  <c r="C73" i="26"/>
  <c r="C72" i="26"/>
  <c r="C70" i="26"/>
  <c r="C67" i="26"/>
  <c r="C66" i="26"/>
  <c r="C62" i="26"/>
  <c r="C61" i="26"/>
  <c r="C56" i="26"/>
  <c r="C53" i="26"/>
  <c r="C52" i="26"/>
  <c r="C51" i="26"/>
  <c r="C50" i="26"/>
  <c r="C48" i="26"/>
  <c r="C47" i="26"/>
  <c r="C46" i="26"/>
  <c r="R42" i="26"/>
  <c r="Q42" i="26"/>
  <c r="P42" i="26"/>
  <c r="O42" i="26"/>
  <c r="N42" i="26"/>
  <c r="M42" i="26"/>
  <c r="L42" i="26"/>
  <c r="K42" i="26"/>
  <c r="J42" i="26"/>
  <c r="I42" i="26"/>
  <c r="H42" i="26"/>
  <c r="G42" i="26"/>
  <c r="F42" i="26"/>
  <c r="E42" i="26"/>
  <c r="D42" i="26"/>
  <c r="B42" i="26"/>
  <c r="C41" i="26"/>
  <c r="C40" i="26"/>
  <c r="C39" i="26"/>
  <c r="C37" i="26"/>
  <c r="C36" i="26"/>
  <c r="C35" i="26"/>
  <c r="C34" i="26"/>
  <c r="C33" i="26"/>
  <c r="C31" i="26"/>
  <c r="C30" i="26"/>
  <c r="C29" i="26"/>
  <c r="C28" i="26"/>
  <c r="C27" i="26"/>
  <c r="C26" i="26"/>
  <c r="C25" i="26"/>
  <c r="C24" i="26"/>
  <c r="C23" i="26"/>
  <c r="C22" i="26"/>
  <c r="C20" i="26"/>
  <c r="C19" i="26"/>
  <c r="C18" i="26"/>
  <c r="C17" i="26"/>
  <c r="C16" i="26"/>
  <c r="C15" i="26"/>
  <c r="C14" i="26"/>
  <c r="C13" i="26"/>
  <c r="C12" i="26"/>
  <c r="C11" i="26"/>
  <c r="C10" i="26"/>
  <c r="C9" i="26"/>
  <c r="C8" i="26"/>
  <c r="C7" i="26"/>
  <c r="C42" i="26" s="1"/>
  <c r="C81" i="25"/>
  <c r="C77" i="25"/>
  <c r="C76" i="25"/>
  <c r="C75" i="25"/>
  <c r="C73" i="25"/>
  <c r="C72" i="25"/>
  <c r="C70" i="25"/>
  <c r="C67" i="25"/>
  <c r="C66" i="25"/>
  <c r="C62" i="25"/>
  <c r="C61" i="25"/>
  <c r="C56" i="25"/>
  <c r="C53" i="25"/>
  <c r="C52" i="25"/>
  <c r="C51" i="25"/>
  <c r="C50" i="25"/>
  <c r="C48" i="25"/>
  <c r="C47" i="25"/>
  <c r="C46" i="25"/>
  <c r="V42" i="25"/>
  <c r="U42" i="25"/>
  <c r="T42" i="25"/>
  <c r="S42" i="25"/>
  <c r="R42" i="25"/>
  <c r="Q42" i="25"/>
  <c r="P42" i="25"/>
  <c r="O42" i="25"/>
  <c r="N42" i="25"/>
  <c r="M42" i="25"/>
  <c r="L42" i="25"/>
  <c r="K42" i="25"/>
  <c r="J42" i="25"/>
  <c r="I42" i="25"/>
  <c r="H42" i="25"/>
  <c r="G42" i="25"/>
  <c r="F42" i="25"/>
  <c r="E42" i="25"/>
  <c r="D42" i="25"/>
  <c r="B42" i="25"/>
  <c r="C41" i="25"/>
  <c r="C40" i="25"/>
  <c r="C39" i="25"/>
  <c r="C37" i="25"/>
  <c r="C36" i="25"/>
  <c r="C35" i="25"/>
  <c r="C34" i="25"/>
  <c r="C33" i="25"/>
  <c r="C31" i="25"/>
  <c r="C30" i="25"/>
  <c r="C29" i="25"/>
  <c r="C28" i="25"/>
  <c r="C27" i="25"/>
  <c r="C26" i="25"/>
  <c r="C25" i="25"/>
  <c r="C24" i="25"/>
  <c r="C23" i="25"/>
  <c r="C22" i="25"/>
  <c r="C20" i="25"/>
  <c r="C19" i="25"/>
  <c r="C18" i="25"/>
  <c r="C17" i="25"/>
  <c r="C16" i="25"/>
  <c r="C15" i="25"/>
  <c r="C14" i="25"/>
  <c r="C13" i="25"/>
  <c r="C12" i="25"/>
  <c r="C11" i="25"/>
  <c r="C10" i="25"/>
  <c r="C9" i="25"/>
  <c r="C8" i="25"/>
  <c r="C7" i="25"/>
  <c r="C42" i="25" s="1"/>
  <c r="C81" i="24"/>
  <c r="C77" i="24"/>
  <c r="C76" i="24"/>
  <c r="C75" i="24"/>
  <c r="C73" i="24"/>
  <c r="C72" i="24"/>
  <c r="C70" i="24"/>
  <c r="C67" i="24"/>
  <c r="C66" i="24"/>
  <c r="C62" i="24"/>
  <c r="C61" i="24"/>
  <c r="C56" i="24"/>
  <c r="C53" i="24"/>
  <c r="C52" i="24"/>
  <c r="C51" i="24"/>
  <c r="C50" i="24"/>
  <c r="C48" i="24"/>
  <c r="C47" i="24"/>
  <c r="C46" i="24"/>
  <c r="R42" i="24"/>
  <c r="Q42" i="24"/>
  <c r="P42" i="24"/>
  <c r="O42" i="24"/>
  <c r="N42" i="24"/>
  <c r="M42" i="24"/>
  <c r="L42" i="24"/>
  <c r="K42" i="24"/>
  <c r="J42" i="24"/>
  <c r="I42" i="24"/>
  <c r="H42" i="24"/>
  <c r="G42" i="24"/>
  <c r="F42" i="24"/>
  <c r="E42" i="24"/>
  <c r="D42" i="24"/>
  <c r="B42" i="24"/>
  <c r="C41" i="24"/>
  <c r="C40" i="24"/>
  <c r="C39" i="24"/>
  <c r="C37" i="24"/>
  <c r="C36" i="24"/>
  <c r="C35" i="24"/>
  <c r="C34" i="24"/>
  <c r="C33" i="24"/>
  <c r="C31" i="24"/>
  <c r="C30" i="24"/>
  <c r="C29" i="24"/>
  <c r="C28" i="24"/>
  <c r="C27" i="24"/>
  <c r="C26" i="24"/>
  <c r="C25" i="24"/>
  <c r="C24" i="24"/>
  <c r="C23" i="24"/>
  <c r="C22" i="24"/>
  <c r="C20" i="24"/>
  <c r="C19" i="24"/>
  <c r="C18" i="24"/>
  <c r="C17" i="24"/>
  <c r="C16" i="24"/>
  <c r="C15" i="24"/>
  <c r="C14" i="24"/>
  <c r="C13" i="24"/>
  <c r="C12" i="24"/>
  <c r="C11" i="24"/>
  <c r="C10" i="24"/>
  <c r="C9" i="24"/>
  <c r="C8" i="24"/>
  <c r="C7" i="24"/>
  <c r="C42" i="24" s="1"/>
  <c r="C81" i="23"/>
  <c r="C77" i="23"/>
  <c r="C76" i="23"/>
  <c r="C75" i="23"/>
  <c r="C73" i="23"/>
  <c r="C72" i="23"/>
  <c r="C70" i="23"/>
  <c r="C67" i="23"/>
  <c r="C66" i="23"/>
  <c r="C62" i="23"/>
  <c r="C61" i="23"/>
  <c r="C56" i="23"/>
  <c r="C53" i="23"/>
  <c r="C52" i="23"/>
  <c r="C51" i="23"/>
  <c r="C50" i="23"/>
  <c r="C48" i="23"/>
  <c r="C47" i="23"/>
  <c r="C46" i="23"/>
  <c r="R42" i="23"/>
  <c r="Q42" i="23"/>
  <c r="P42" i="23"/>
  <c r="O42" i="23"/>
  <c r="N42" i="23"/>
  <c r="M42" i="23"/>
  <c r="L42" i="23"/>
  <c r="K42" i="23"/>
  <c r="J42" i="23"/>
  <c r="I42" i="23"/>
  <c r="H42" i="23"/>
  <c r="G42" i="23"/>
  <c r="F42" i="23"/>
  <c r="E42" i="23"/>
  <c r="D42" i="23"/>
  <c r="B42" i="23"/>
  <c r="C41" i="23"/>
  <c r="C40" i="23"/>
  <c r="C39" i="23"/>
  <c r="C37" i="23"/>
  <c r="C36" i="23"/>
  <c r="C35" i="23"/>
  <c r="C34" i="23"/>
  <c r="C33" i="23"/>
  <c r="C31" i="23"/>
  <c r="C30" i="23"/>
  <c r="C29" i="23"/>
  <c r="C28" i="23"/>
  <c r="C27" i="23"/>
  <c r="C26" i="23"/>
  <c r="C25" i="23"/>
  <c r="C24" i="23"/>
  <c r="C23" i="23"/>
  <c r="C22" i="23"/>
  <c r="C20" i="23"/>
  <c r="C19" i="23"/>
  <c r="C18" i="23"/>
  <c r="C17" i="23"/>
  <c r="C16" i="23"/>
  <c r="C15" i="23"/>
  <c r="C14" i="23"/>
  <c r="C13" i="23"/>
  <c r="C12" i="23"/>
  <c r="C11" i="23"/>
  <c r="C10" i="23"/>
  <c r="C9" i="23"/>
  <c r="C8" i="23"/>
  <c r="C7" i="23"/>
  <c r="C42" i="23" s="1"/>
  <c r="C81" i="22"/>
  <c r="C77" i="22"/>
  <c r="C76" i="22"/>
  <c r="C75" i="22"/>
  <c r="C73" i="22"/>
  <c r="C72" i="22"/>
  <c r="C70" i="22"/>
  <c r="C67" i="22"/>
  <c r="C66" i="22"/>
  <c r="C62" i="22"/>
  <c r="C61" i="22"/>
  <c r="C56" i="22"/>
  <c r="C53" i="22"/>
  <c r="C52" i="22"/>
  <c r="C51" i="22"/>
  <c r="C50" i="22"/>
  <c r="C48" i="22"/>
  <c r="C47" i="22"/>
  <c r="C46" i="22"/>
  <c r="R42" i="22"/>
  <c r="Q42" i="22"/>
  <c r="P42" i="22"/>
  <c r="O42" i="22"/>
  <c r="N42" i="22"/>
  <c r="M42" i="22"/>
  <c r="L42" i="22"/>
  <c r="K42" i="22"/>
  <c r="J42" i="22"/>
  <c r="I42" i="22"/>
  <c r="H42" i="22"/>
  <c r="G42" i="22"/>
  <c r="F42" i="22"/>
  <c r="E42" i="22"/>
  <c r="D42" i="22"/>
  <c r="B42" i="22"/>
  <c r="C41" i="22"/>
  <c r="C40" i="22"/>
  <c r="C39" i="22"/>
  <c r="C37" i="22"/>
  <c r="C36" i="22"/>
  <c r="C35" i="22"/>
  <c r="C34" i="22"/>
  <c r="C33" i="22"/>
  <c r="C31" i="22"/>
  <c r="C30" i="22"/>
  <c r="C29" i="22"/>
  <c r="C28" i="22"/>
  <c r="C27" i="22"/>
  <c r="C26" i="22"/>
  <c r="C25" i="22"/>
  <c r="C24" i="22"/>
  <c r="C23" i="22"/>
  <c r="C22" i="22"/>
  <c r="C20" i="22"/>
  <c r="C19" i="22"/>
  <c r="C18" i="22"/>
  <c r="C17" i="22"/>
  <c r="C16" i="22"/>
  <c r="C15" i="22"/>
  <c r="C14" i="22"/>
  <c r="C13" i="22"/>
  <c r="C12" i="22"/>
  <c r="C11" i="22"/>
  <c r="C10" i="22"/>
  <c r="C9" i="22"/>
  <c r="C8" i="22"/>
  <c r="C7" i="22"/>
  <c r="C42" i="22" s="1"/>
  <c r="C81" i="21"/>
  <c r="C77" i="21"/>
  <c r="C76" i="21"/>
  <c r="C75" i="21"/>
  <c r="C73" i="21"/>
  <c r="C72" i="21"/>
  <c r="C70" i="21"/>
  <c r="C67" i="21"/>
  <c r="C66" i="21"/>
  <c r="C62" i="21"/>
  <c r="C61" i="21"/>
  <c r="C56" i="21"/>
  <c r="C53" i="21"/>
  <c r="C52" i="21"/>
  <c r="C51" i="21"/>
  <c r="C50" i="21"/>
  <c r="C48" i="21"/>
  <c r="C47" i="21"/>
  <c r="C46" i="21"/>
  <c r="R42" i="21"/>
  <c r="Q42" i="21"/>
  <c r="P42" i="21"/>
  <c r="O42" i="21"/>
  <c r="N42" i="21"/>
  <c r="M42" i="21"/>
  <c r="L42" i="21"/>
  <c r="K42" i="21"/>
  <c r="J42" i="21"/>
  <c r="I42" i="21"/>
  <c r="H42" i="21"/>
  <c r="G42" i="21"/>
  <c r="F42" i="21"/>
  <c r="E42" i="21"/>
  <c r="D42" i="21"/>
  <c r="B42" i="21"/>
  <c r="C41" i="21"/>
  <c r="C40" i="21"/>
  <c r="C39" i="21"/>
  <c r="C37" i="21"/>
  <c r="C36" i="21"/>
  <c r="C35" i="21"/>
  <c r="C34" i="21"/>
  <c r="C33" i="21"/>
  <c r="C31" i="21"/>
  <c r="C30" i="21"/>
  <c r="C29" i="21"/>
  <c r="C28" i="21"/>
  <c r="C27" i="21"/>
  <c r="C26" i="21"/>
  <c r="C25" i="21"/>
  <c r="C24" i="21"/>
  <c r="C23" i="21"/>
  <c r="C22" i="21"/>
  <c r="C20" i="21"/>
  <c r="C19" i="21"/>
  <c r="C18" i="21"/>
  <c r="C17" i="21"/>
  <c r="C16" i="21"/>
  <c r="C15" i="21"/>
  <c r="C14" i="21"/>
  <c r="C13" i="21"/>
  <c r="C12" i="21"/>
  <c r="C11" i="21"/>
  <c r="C10" i="21"/>
  <c r="C9" i="21"/>
  <c r="C8" i="21"/>
  <c r="C7" i="21"/>
  <c r="C42" i="21" s="1"/>
  <c r="C81" i="20"/>
  <c r="C77" i="20"/>
  <c r="C76" i="20"/>
  <c r="C75" i="20"/>
  <c r="C73" i="20"/>
  <c r="C72" i="20"/>
  <c r="C70" i="20"/>
  <c r="C67" i="20"/>
  <c r="C66" i="20"/>
  <c r="C62" i="20"/>
  <c r="C61" i="20"/>
  <c r="C56" i="20"/>
  <c r="C53" i="20"/>
  <c r="C52" i="20"/>
  <c r="C51" i="20"/>
  <c r="C50" i="20"/>
  <c r="C48" i="20"/>
  <c r="C47" i="20"/>
  <c r="C46" i="20"/>
  <c r="R42" i="20"/>
  <c r="Q42" i="20"/>
  <c r="P42" i="20"/>
  <c r="O42" i="20"/>
  <c r="N42" i="20"/>
  <c r="M42" i="20"/>
  <c r="L42" i="20"/>
  <c r="K42" i="20"/>
  <c r="J42" i="20"/>
  <c r="I42" i="20"/>
  <c r="H42" i="20"/>
  <c r="G42" i="20"/>
  <c r="F42" i="20"/>
  <c r="E42" i="20"/>
  <c r="D42" i="20"/>
  <c r="B42" i="20"/>
  <c r="C41" i="20"/>
  <c r="C40" i="20"/>
  <c r="C39" i="20"/>
  <c r="C37" i="20"/>
  <c r="C36" i="20"/>
  <c r="C35" i="20"/>
  <c r="C34" i="20"/>
  <c r="C33" i="20"/>
  <c r="C31" i="20"/>
  <c r="C30" i="20"/>
  <c r="C29" i="20"/>
  <c r="C28" i="20"/>
  <c r="C27" i="20"/>
  <c r="C26" i="20"/>
  <c r="C25" i="20"/>
  <c r="C24" i="20"/>
  <c r="C23" i="20"/>
  <c r="C22" i="20"/>
  <c r="C20" i="20"/>
  <c r="C19" i="20"/>
  <c r="C18" i="20"/>
  <c r="C17" i="20"/>
  <c r="C16" i="20"/>
  <c r="C15" i="20"/>
  <c r="C14" i="20"/>
  <c r="C13" i="20"/>
  <c r="C12" i="20"/>
  <c r="C11" i="20"/>
  <c r="C10" i="20"/>
  <c r="C9" i="20"/>
  <c r="C8" i="20"/>
  <c r="C7" i="20"/>
  <c r="C42" i="20" s="1"/>
  <c r="C81" i="19"/>
  <c r="C77" i="19"/>
  <c r="C76" i="19"/>
  <c r="C75" i="19"/>
  <c r="C73" i="19"/>
  <c r="C72" i="19"/>
  <c r="C70" i="19"/>
  <c r="C67" i="19"/>
  <c r="C66" i="19"/>
  <c r="C62" i="19"/>
  <c r="C61" i="19"/>
  <c r="C56" i="19"/>
  <c r="C53" i="19"/>
  <c r="C52" i="19"/>
  <c r="C51" i="19"/>
  <c r="C50" i="19"/>
  <c r="C48" i="19"/>
  <c r="C47" i="19"/>
  <c r="C46" i="19"/>
  <c r="R42" i="19"/>
  <c r="Q42" i="19"/>
  <c r="P42" i="19"/>
  <c r="O42" i="19"/>
  <c r="N42" i="19"/>
  <c r="M42" i="19"/>
  <c r="L42" i="19"/>
  <c r="K42" i="19"/>
  <c r="J42" i="19"/>
  <c r="I42" i="19"/>
  <c r="H42" i="19"/>
  <c r="G42" i="19"/>
  <c r="F42" i="19"/>
  <c r="E42" i="19"/>
  <c r="D42" i="19"/>
  <c r="B42" i="19"/>
  <c r="C41" i="19"/>
  <c r="C40" i="19"/>
  <c r="C39" i="19"/>
  <c r="C37" i="19"/>
  <c r="C36" i="19"/>
  <c r="C35" i="19"/>
  <c r="C34" i="19"/>
  <c r="C33" i="19"/>
  <c r="C31" i="19"/>
  <c r="C30" i="19"/>
  <c r="C29" i="19"/>
  <c r="C28" i="19"/>
  <c r="C27" i="19"/>
  <c r="C26" i="19"/>
  <c r="C25" i="19"/>
  <c r="C24" i="19"/>
  <c r="C23" i="19"/>
  <c r="C22" i="19"/>
  <c r="C20" i="19"/>
  <c r="C19" i="19"/>
  <c r="C18" i="19"/>
  <c r="C17" i="19"/>
  <c r="C16" i="19"/>
  <c r="C15" i="19"/>
  <c r="C14" i="19"/>
  <c r="C13" i="19"/>
  <c r="C12" i="19"/>
  <c r="C11" i="19"/>
  <c r="C10" i="19"/>
  <c r="C9" i="19"/>
  <c r="C8" i="19"/>
  <c r="C7" i="19"/>
  <c r="C42" i="19" s="1"/>
  <c r="C81" i="18"/>
  <c r="C77" i="18"/>
  <c r="C76" i="18"/>
  <c r="C75" i="18"/>
  <c r="C73" i="18"/>
  <c r="C72" i="18"/>
  <c r="C70" i="18"/>
  <c r="C67" i="18"/>
  <c r="C66" i="18"/>
  <c r="C62" i="18"/>
  <c r="C61" i="18"/>
  <c r="C56" i="18"/>
  <c r="C53" i="18"/>
  <c r="C52" i="18"/>
  <c r="C51" i="18"/>
  <c r="C50" i="18"/>
  <c r="C48" i="18"/>
  <c r="C47" i="18"/>
  <c r="C46" i="18"/>
  <c r="R42" i="18"/>
  <c r="Q42" i="18"/>
  <c r="P42" i="18"/>
  <c r="O42" i="18"/>
  <c r="N42" i="18"/>
  <c r="M42" i="18"/>
  <c r="L42" i="18"/>
  <c r="K42" i="18"/>
  <c r="J42" i="18"/>
  <c r="I42" i="18"/>
  <c r="H42" i="18"/>
  <c r="G42" i="18"/>
  <c r="F42" i="18"/>
  <c r="E42" i="18"/>
  <c r="D42" i="18"/>
  <c r="B42" i="18"/>
  <c r="C41" i="18"/>
  <c r="C40" i="18"/>
  <c r="C39" i="18"/>
  <c r="C37" i="18"/>
  <c r="C36" i="18"/>
  <c r="C35" i="18"/>
  <c r="C34" i="18"/>
  <c r="C33" i="18"/>
  <c r="C31" i="18"/>
  <c r="C30" i="18"/>
  <c r="C29" i="18"/>
  <c r="C28" i="18"/>
  <c r="C27" i="18"/>
  <c r="C26" i="18"/>
  <c r="C25" i="18"/>
  <c r="C24" i="18"/>
  <c r="C23" i="18"/>
  <c r="C22" i="18"/>
  <c r="C20" i="18"/>
  <c r="C19" i="18"/>
  <c r="C18" i="18"/>
  <c r="C17" i="18"/>
  <c r="C16" i="18"/>
  <c r="C15" i="18"/>
  <c r="C14" i="18"/>
  <c r="C13" i="18"/>
  <c r="C12" i="18"/>
  <c r="C11" i="18"/>
  <c r="C10" i="18"/>
  <c r="C9" i="18"/>
  <c r="C8" i="18"/>
  <c r="C7" i="18"/>
  <c r="C42" i="18" s="1"/>
  <c r="C81" i="17"/>
  <c r="C77" i="17"/>
  <c r="C76" i="17"/>
  <c r="C75" i="17"/>
  <c r="C73" i="17"/>
  <c r="C72" i="17"/>
  <c r="C70" i="17"/>
  <c r="C67" i="17"/>
  <c r="C66" i="17"/>
  <c r="C62" i="17"/>
  <c r="C61" i="17"/>
  <c r="C56" i="17"/>
  <c r="C53" i="17"/>
  <c r="C52" i="17"/>
  <c r="C51" i="17"/>
  <c r="C50" i="17"/>
  <c r="C48" i="17"/>
  <c r="C47" i="17"/>
  <c r="C46" i="17"/>
  <c r="R42" i="17"/>
  <c r="Q42" i="17"/>
  <c r="P42" i="17"/>
  <c r="O42" i="17"/>
  <c r="N42" i="17"/>
  <c r="M42" i="17"/>
  <c r="L42" i="17"/>
  <c r="K42" i="17"/>
  <c r="J42" i="17"/>
  <c r="I42" i="17"/>
  <c r="H42" i="17"/>
  <c r="G42" i="17"/>
  <c r="F42" i="17"/>
  <c r="E42" i="17"/>
  <c r="D42" i="17"/>
  <c r="B42" i="17"/>
  <c r="C41" i="17"/>
  <c r="C40" i="17"/>
  <c r="C39" i="17"/>
  <c r="C37" i="17"/>
  <c r="C36" i="17"/>
  <c r="C35" i="17"/>
  <c r="C34" i="17"/>
  <c r="C33" i="17"/>
  <c r="C31" i="17"/>
  <c r="C30" i="17"/>
  <c r="C29" i="17"/>
  <c r="C28" i="17"/>
  <c r="C27" i="17"/>
  <c r="C26" i="17"/>
  <c r="C25" i="17"/>
  <c r="C24" i="17"/>
  <c r="C23" i="17"/>
  <c r="C22" i="17"/>
  <c r="C20" i="17"/>
  <c r="C19" i="17"/>
  <c r="C18" i="17"/>
  <c r="C17" i="17"/>
  <c r="C16" i="17"/>
  <c r="C15" i="17"/>
  <c r="C14" i="17"/>
  <c r="C13" i="17"/>
  <c r="C12" i="17"/>
  <c r="C11" i="17"/>
  <c r="C10" i="17"/>
  <c r="C9" i="17"/>
  <c r="C8" i="17"/>
  <c r="C7" i="17"/>
  <c r="C42" i="17" s="1"/>
  <c r="C81" i="16"/>
  <c r="C77" i="16"/>
  <c r="C76" i="16"/>
  <c r="C75" i="16"/>
  <c r="C73" i="16"/>
  <c r="C72" i="16"/>
  <c r="C70" i="16"/>
  <c r="C67" i="16"/>
  <c r="C66" i="16"/>
  <c r="C62" i="16"/>
  <c r="C61" i="16"/>
  <c r="C56" i="16"/>
  <c r="C53" i="16"/>
  <c r="C52" i="16"/>
  <c r="C51" i="16"/>
  <c r="C50" i="16"/>
  <c r="C48" i="16"/>
  <c r="C47" i="16"/>
  <c r="C46" i="16"/>
  <c r="R42" i="16"/>
  <c r="Q42" i="16"/>
  <c r="P42" i="16"/>
  <c r="O42" i="16"/>
  <c r="N42" i="16"/>
  <c r="M42" i="16"/>
  <c r="L42" i="16"/>
  <c r="K42" i="16"/>
  <c r="J42" i="16"/>
  <c r="I42" i="16"/>
  <c r="H42" i="16"/>
  <c r="G42" i="16"/>
  <c r="F42" i="16"/>
  <c r="E42" i="16"/>
  <c r="D42" i="16"/>
  <c r="B42" i="16"/>
  <c r="C41" i="16"/>
  <c r="C40" i="16"/>
  <c r="C39" i="16"/>
  <c r="C37" i="16"/>
  <c r="C36" i="16"/>
  <c r="C35" i="16"/>
  <c r="C34" i="16"/>
  <c r="C33" i="16"/>
  <c r="C31" i="16"/>
  <c r="C30" i="16"/>
  <c r="C29" i="16"/>
  <c r="C28" i="16"/>
  <c r="C27" i="16"/>
  <c r="C26" i="16"/>
  <c r="C25" i="16"/>
  <c r="C24" i="16"/>
  <c r="C23" i="16"/>
  <c r="C22" i="16"/>
  <c r="C20" i="16"/>
  <c r="C19" i="16"/>
  <c r="C18" i="16"/>
  <c r="C17" i="16"/>
  <c r="C16" i="16"/>
  <c r="C15" i="16"/>
  <c r="C14" i="16"/>
  <c r="C13" i="16"/>
  <c r="C12" i="16"/>
  <c r="C11" i="16"/>
  <c r="C10" i="16"/>
  <c r="C9" i="16"/>
  <c r="C8" i="16"/>
  <c r="C7" i="16"/>
  <c r="C42" i="16" s="1"/>
  <c r="C81" i="15"/>
  <c r="C77" i="15"/>
  <c r="C76" i="15"/>
  <c r="C75" i="15"/>
  <c r="C73" i="15"/>
  <c r="C72" i="15"/>
  <c r="C70" i="15"/>
  <c r="C67" i="15"/>
  <c r="C66" i="15"/>
  <c r="C62" i="15"/>
  <c r="C61" i="15"/>
  <c r="C56" i="15"/>
  <c r="C53" i="15"/>
  <c r="C52" i="15"/>
  <c r="C51" i="15"/>
  <c r="C50" i="15"/>
  <c r="C48" i="15"/>
  <c r="C47" i="15"/>
  <c r="C46" i="15"/>
  <c r="V42" i="15"/>
  <c r="U42" i="15"/>
  <c r="T42" i="15"/>
  <c r="S42" i="15"/>
  <c r="R42" i="15"/>
  <c r="Q42" i="15"/>
  <c r="P42" i="15"/>
  <c r="O42" i="15"/>
  <c r="N42" i="15"/>
  <c r="M42" i="15"/>
  <c r="L42" i="15"/>
  <c r="K42" i="15"/>
  <c r="J42" i="15"/>
  <c r="I42" i="15"/>
  <c r="H42" i="15"/>
  <c r="G42" i="15"/>
  <c r="F42" i="15"/>
  <c r="E42" i="15"/>
  <c r="D42" i="15"/>
  <c r="B42" i="15"/>
  <c r="C41" i="15"/>
  <c r="C40" i="15"/>
  <c r="C39" i="15"/>
  <c r="C37" i="15"/>
  <c r="C36" i="15"/>
  <c r="C35" i="15"/>
  <c r="C34" i="15"/>
  <c r="C33" i="15"/>
  <c r="C31" i="15"/>
  <c r="C30" i="15"/>
  <c r="C29" i="15"/>
  <c r="C28" i="15"/>
  <c r="C27" i="15"/>
  <c r="C26" i="15"/>
  <c r="C25" i="15"/>
  <c r="C24" i="15"/>
  <c r="C23" i="15"/>
  <c r="C22" i="15"/>
  <c r="C20" i="15"/>
  <c r="C19" i="15"/>
  <c r="C18" i="15"/>
  <c r="C17" i="15"/>
  <c r="C16" i="15"/>
  <c r="C15" i="15"/>
  <c r="C14" i="15"/>
  <c r="C13" i="15"/>
  <c r="C12" i="15"/>
  <c r="C11" i="15"/>
  <c r="C10" i="15"/>
  <c r="C9" i="15"/>
  <c r="C8" i="15"/>
  <c r="C7" i="15"/>
  <c r="C42" i="15" s="1"/>
  <c r="C81" i="14"/>
  <c r="C77" i="14"/>
  <c r="C76" i="14"/>
  <c r="C75" i="14"/>
  <c r="C73" i="14"/>
  <c r="C72" i="14"/>
  <c r="C70" i="14"/>
  <c r="C67" i="14"/>
  <c r="C66" i="14"/>
  <c r="C62" i="14"/>
  <c r="C61" i="14"/>
  <c r="C56" i="14"/>
  <c r="C53" i="14"/>
  <c r="C52" i="14"/>
  <c r="C51" i="14"/>
  <c r="C50" i="14"/>
  <c r="C48" i="14"/>
  <c r="C47" i="14"/>
  <c r="C46" i="14"/>
  <c r="R42" i="14"/>
  <c r="Q42" i="14"/>
  <c r="P42" i="14"/>
  <c r="O42" i="14"/>
  <c r="N42" i="14"/>
  <c r="M42" i="14"/>
  <c r="L42" i="14"/>
  <c r="K42" i="14"/>
  <c r="J42" i="14"/>
  <c r="I42" i="14"/>
  <c r="H42" i="14"/>
  <c r="G42" i="14"/>
  <c r="F42" i="14"/>
  <c r="E42" i="14"/>
  <c r="D42" i="14"/>
  <c r="B42" i="14"/>
  <c r="C41" i="14"/>
  <c r="C40" i="14"/>
  <c r="C39" i="14"/>
  <c r="C37" i="14"/>
  <c r="C36" i="14"/>
  <c r="C35" i="14"/>
  <c r="C34" i="14"/>
  <c r="C33" i="14"/>
  <c r="C31" i="14"/>
  <c r="C30" i="14"/>
  <c r="C29" i="14"/>
  <c r="C28" i="14"/>
  <c r="C27" i="14"/>
  <c r="C26" i="14"/>
  <c r="C25" i="14"/>
  <c r="C24" i="14"/>
  <c r="C23" i="14"/>
  <c r="C22" i="14"/>
  <c r="C20" i="14"/>
  <c r="C19" i="14"/>
  <c r="C18" i="14"/>
  <c r="C17" i="14"/>
  <c r="C16" i="14"/>
  <c r="C15" i="14"/>
  <c r="C14" i="14"/>
  <c r="C13" i="14"/>
  <c r="C12" i="14"/>
  <c r="C11" i="14"/>
  <c r="C10" i="14"/>
  <c r="C9" i="14"/>
  <c r="C8" i="14"/>
  <c r="C7" i="14"/>
  <c r="C42" i="14" s="1"/>
  <c r="C81" i="13"/>
  <c r="C77" i="13"/>
  <c r="C76" i="13"/>
  <c r="C75" i="13"/>
  <c r="C73" i="13"/>
  <c r="C72" i="13"/>
  <c r="C70" i="13"/>
  <c r="C67" i="13"/>
  <c r="C66" i="13"/>
  <c r="C62" i="13"/>
  <c r="C61" i="13"/>
  <c r="C56" i="13"/>
  <c r="C53" i="13"/>
  <c r="C52" i="13"/>
  <c r="C51" i="13"/>
  <c r="C50" i="13"/>
  <c r="C48" i="13"/>
  <c r="C47" i="13"/>
  <c r="C46" i="13"/>
  <c r="R42" i="13"/>
  <c r="Q42" i="13"/>
  <c r="P42" i="13"/>
  <c r="O42" i="13"/>
  <c r="N42" i="13"/>
  <c r="M42" i="13"/>
  <c r="L42" i="13"/>
  <c r="K42" i="13"/>
  <c r="J42" i="13"/>
  <c r="I42" i="13"/>
  <c r="H42" i="13"/>
  <c r="G42" i="13"/>
  <c r="F42" i="13"/>
  <c r="E42" i="13"/>
  <c r="D42" i="13"/>
  <c r="B42" i="13"/>
  <c r="C41" i="13"/>
  <c r="C40" i="13"/>
  <c r="C39" i="13"/>
  <c r="C37" i="13"/>
  <c r="C36" i="13"/>
  <c r="C35" i="13"/>
  <c r="C34" i="13"/>
  <c r="C33" i="13"/>
  <c r="C31" i="13"/>
  <c r="C30" i="13"/>
  <c r="C29" i="13"/>
  <c r="C28" i="13"/>
  <c r="C27" i="13"/>
  <c r="C26" i="13"/>
  <c r="C25" i="13"/>
  <c r="C24" i="13"/>
  <c r="C23" i="13"/>
  <c r="C22" i="13"/>
  <c r="C20" i="13"/>
  <c r="C19" i="13"/>
  <c r="C18" i="13"/>
  <c r="C17" i="13"/>
  <c r="C16" i="13"/>
  <c r="C15" i="13"/>
  <c r="C14" i="13"/>
  <c r="C13" i="13"/>
  <c r="C12" i="13"/>
  <c r="C11" i="13"/>
  <c r="C10" i="13"/>
  <c r="C9" i="13"/>
  <c r="C8" i="13"/>
  <c r="C7" i="13"/>
  <c r="C42" i="13" s="1"/>
  <c r="C81" i="12"/>
  <c r="C77" i="12"/>
  <c r="C76" i="12"/>
  <c r="C75" i="12"/>
  <c r="C73" i="12"/>
  <c r="C72" i="12"/>
  <c r="C70" i="12"/>
  <c r="C67" i="12"/>
  <c r="C66" i="12"/>
  <c r="C62" i="12"/>
  <c r="C61" i="12"/>
  <c r="C56" i="12"/>
  <c r="C53" i="12"/>
  <c r="C52" i="12"/>
  <c r="C51" i="12"/>
  <c r="C50" i="12"/>
  <c r="C48" i="12"/>
  <c r="C47" i="12"/>
  <c r="C46" i="12"/>
  <c r="R42" i="12"/>
  <c r="Q42" i="12"/>
  <c r="P42" i="12"/>
  <c r="O42" i="12"/>
  <c r="N42" i="12"/>
  <c r="M42" i="12"/>
  <c r="L42" i="12"/>
  <c r="K42" i="12"/>
  <c r="J42" i="12"/>
  <c r="I42" i="12"/>
  <c r="H42" i="12"/>
  <c r="G42" i="12"/>
  <c r="F42" i="12"/>
  <c r="E42" i="12"/>
  <c r="D42" i="12"/>
  <c r="B42" i="12"/>
  <c r="C41" i="12"/>
  <c r="C40" i="12"/>
  <c r="C39" i="12"/>
  <c r="C37" i="12"/>
  <c r="C36" i="12"/>
  <c r="C35" i="12"/>
  <c r="C34" i="12"/>
  <c r="C33" i="12"/>
  <c r="C31" i="12"/>
  <c r="C30" i="12"/>
  <c r="C29" i="12"/>
  <c r="C28" i="12"/>
  <c r="C27" i="12"/>
  <c r="C26" i="12"/>
  <c r="C25" i="12"/>
  <c r="C24" i="12"/>
  <c r="C23" i="12"/>
  <c r="C22" i="12"/>
  <c r="C20" i="12"/>
  <c r="C19" i="12"/>
  <c r="C18" i="12"/>
  <c r="C17" i="12"/>
  <c r="C16" i="12"/>
  <c r="C15" i="12"/>
  <c r="C14" i="12"/>
  <c r="C13" i="12"/>
  <c r="C12" i="12"/>
  <c r="C11" i="12"/>
  <c r="C10" i="12"/>
  <c r="C9" i="12"/>
  <c r="C8" i="12"/>
  <c r="C7" i="12"/>
  <c r="C42" i="12" s="1"/>
  <c r="C81" i="11"/>
  <c r="C77" i="11"/>
  <c r="C76" i="11"/>
  <c r="C75" i="11"/>
  <c r="C73" i="11"/>
  <c r="C72" i="11"/>
  <c r="C70" i="11"/>
  <c r="C67" i="11"/>
  <c r="C66" i="11"/>
  <c r="C62" i="11"/>
  <c r="C61" i="11"/>
  <c r="C56" i="11"/>
  <c r="C53" i="11"/>
  <c r="C52" i="11"/>
  <c r="C51" i="11"/>
  <c r="C50" i="11"/>
  <c r="C48" i="11"/>
  <c r="C47" i="11"/>
  <c r="C46" i="11"/>
  <c r="R42" i="11"/>
  <c r="Q42" i="11"/>
  <c r="P42" i="11"/>
  <c r="O42" i="11"/>
  <c r="N42" i="11"/>
  <c r="M42" i="11"/>
  <c r="L42" i="11"/>
  <c r="K42" i="11"/>
  <c r="J42" i="11"/>
  <c r="I42" i="11"/>
  <c r="H42" i="11"/>
  <c r="G42" i="11"/>
  <c r="F42" i="11"/>
  <c r="E42" i="11"/>
  <c r="D42" i="11"/>
  <c r="B42" i="11"/>
  <c r="C41" i="11"/>
  <c r="C40" i="11"/>
  <c r="C39" i="11"/>
  <c r="C37" i="11"/>
  <c r="C36" i="11"/>
  <c r="C35" i="11"/>
  <c r="C34" i="11"/>
  <c r="C33" i="11"/>
  <c r="C31" i="11"/>
  <c r="C30" i="11"/>
  <c r="C29" i="11"/>
  <c r="C28" i="11"/>
  <c r="C27" i="11"/>
  <c r="C26" i="11"/>
  <c r="C25" i="11"/>
  <c r="C24" i="11"/>
  <c r="C23" i="11"/>
  <c r="C22" i="11"/>
  <c r="C20" i="11"/>
  <c r="C19" i="11"/>
  <c r="C18" i="11"/>
  <c r="C17" i="11"/>
  <c r="C16" i="11"/>
  <c r="C15" i="11"/>
  <c r="C14" i="11"/>
  <c r="C13" i="11"/>
  <c r="C12" i="11"/>
  <c r="C11" i="11"/>
  <c r="C10" i="11"/>
  <c r="C9" i="11"/>
  <c r="C8" i="11"/>
  <c r="C7" i="11"/>
  <c r="C42" i="11" s="1"/>
  <c r="C81" i="10"/>
  <c r="C77" i="10"/>
  <c r="C76" i="10"/>
  <c r="C75" i="10"/>
  <c r="C73" i="10"/>
  <c r="C72" i="10"/>
  <c r="C70" i="10"/>
  <c r="C67" i="10"/>
  <c r="C66" i="10"/>
  <c r="C62" i="10"/>
  <c r="C61" i="10"/>
  <c r="C56" i="10"/>
  <c r="C53" i="10"/>
  <c r="C52" i="10"/>
  <c r="C51" i="10"/>
  <c r="C50" i="10"/>
  <c r="C48" i="10"/>
  <c r="C47" i="10"/>
  <c r="C46" i="10"/>
  <c r="R42" i="10"/>
  <c r="Q42" i="10"/>
  <c r="P42" i="10"/>
  <c r="O42" i="10"/>
  <c r="N42" i="10"/>
  <c r="M42" i="10"/>
  <c r="L42" i="10"/>
  <c r="K42" i="10"/>
  <c r="J42" i="10"/>
  <c r="I42" i="10"/>
  <c r="H42" i="10"/>
  <c r="G42" i="10"/>
  <c r="F42" i="10"/>
  <c r="E42" i="10"/>
  <c r="D42" i="10"/>
  <c r="B42" i="10"/>
  <c r="C41" i="10"/>
  <c r="C40" i="10"/>
  <c r="C39" i="10"/>
  <c r="C37" i="10"/>
  <c r="C36" i="10"/>
  <c r="C35" i="10"/>
  <c r="C34" i="10"/>
  <c r="C33" i="10"/>
  <c r="C31" i="10"/>
  <c r="C30" i="10"/>
  <c r="C29" i="10"/>
  <c r="C28" i="10"/>
  <c r="C27" i="10"/>
  <c r="C26" i="10"/>
  <c r="C25" i="10"/>
  <c r="C24" i="10"/>
  <c r="C23" i="10"/>
  <c r="C22" i="10"/>
  <c r="C20" i="10"/>
  <c r="C19" i="10"/>
  <c r="C18" i="10"/>
  <c r="C17" i="10"/>
  <c r="C16" i="10"/>
  <c r="C15" i="10"/>
  <c r="C14" i="10"/>
  <c r="C13" i="10"/>
  <c r="C12" i="10"/>
  <c r="C11" i="10"/>
  <c r="C10" i="10"/>
  <c r="C9" i="10"/>
  <c r="C8" i="10"/>
  <c r="C7" i="10"/>
  <c r="C42" i="10" s="1"/>
  <c r="C81" i="9"/>
  <c r="C77" i="9"/>
  <c r="C76" i="9"/>
  <c r="C75" i="9"/>
  <c r="C73" i="9"/>
  <c r="C72" i="9"/>
  <c r="C70" i="9"/>
  <c r="C67" i="9"/>
  <c r="C66" i="9"/>
  <c r="C62" i="9"/>
  <c r="C61" i="9"/>
  <c r="C56" i="9"/>
  <c r="C53" i="9"/>
  <c r="C52" i="9"/>
  <c r="C51" i="9"/>
  <c r="C50" i="9"/>
  <c r="C48" i="9"/>
  <c r="C47" i="9"/>
  <c r="C46" i="9"/>
  <c r="R42" i="9"/>
  <c r="Q42" i="9"/>
  <c r="P42" i="9"/>
  <c r="O42" i="9"/>
  <c r="N42" i="9"/>
  <c r="M42" i="9"/>
  <c r="L42" i="9"/>
  <c r="K42" i="9"/>
  <c r="J42" i="9"/>
  <c r="I42" i="9"/>
  <c r="H42" i="9"/>
  <c r="G42" i="9"/>
  <c r="F42" i="9"/>
  <c r="E42" i="9"/>
  <c r="D42" i="9"/>
  <c r="B42" i="9"/>
  <c r="C41" i="9"/>
  <c r="C40" i="9"/>
  <c r="C39" i="9"/>
  <c r="C37" i="9"/>
  <c r="C36" i="9"/>
  <c r="C35" i="9"/>
  <c r="C34" i="9"/>
  <c r="C33" i="9"/>
  <c r="C31" i="9"/>
  <c r="C30" i="9"/>
  <c r="C29" i="9"/>
  <c r="C28" i="9"/>
  <c r="C27" i="9"/>
  <c r="C26" i="9"/>
  <c r="C25" i="9"/>
  <c r="C24" i="9"/>
  <c r="C23" i="9"/>
  <c r="C22" i="9"/>
  <c r="C20" i="9"/>
  <c r="C19" i="9"/>
  <c r="C18" i="9"/>
  <c r="C17" i="9"/>
  <c r="C16" i="9"/>
  <c r="C15" i="9"/>
  <c r="C14" i="9"/>
  <c r="C13" i="9"/>
  <c r="C12" i="9"/>
  <c r="C11" i="9"/>
  <c r="C10" i="9"/>
  <c r="C9" i="9"/>
  <c r="C8" i="9"/>
  <c r="C7" i="9"/>
  <c r="C42" i="9" s="1"/>
  <c r="C81" i="8"/>
  <c r="C77" i="8"/>
  <c r="C76" i="8"/>
  <c r="C75" i="8"/>
  <c r="C73" i="8"/>
  <c r="C72" i="8"/>
  <c r="C70" i="8"/>
  <c r="C67" i="8"/>
  <c r="C66" i="8"/>
  <c r="C62" i="8"/>
  <c r="C61" i="8"/>
  <c r="C56" i="8"/>
  <c r="C53" i="8"/>
  <c r="C52" i="8"/>
  <c r="C51" i="8"/>
  <c r="C50" i="8"/>
  <c r="C48" i="8"/>
  <c r="C47" i="8"/>
  <c r="C46" i="8"/>
  <c r="R42" i="8"/>
  <c r="Q42" i="8"/>
  <c r="P42" i="8"/>
  <c r="O42" i="8"/>
  <c r="N42" i="8"/>
  <c r="M42" i="8"/>
  <c r="L42" i="8"/>
  <c r="K42" i="8"/>
  <c r="J42" i="8"/>
  <c r="I42" i="8"/>
  <c r="H42" i="8"/>
  <c r="G42" i="8"/>
  <c r="F42" i="8"/>
  <c r="E42" i="8"/>
  <c r="D42" i="8"/>
  <c r="B42" i="8"/>
  <c r="C41" i="8"/>
  <c r="C40" i="8"/>
  <c r="C39" i="8"/>
  <c r="C37" i="8"/>
  <c r="C36" i="8"/>
  <c r="C35" i="8"/>
  <c r="C34" i="8"/>
  <c r="C33" i="8"/>
  <c r="C31" i="8"/>
  <c r="C30" i="8"/>
  <c r="C29" i="8"/>
  <c r="C28" i="8"/>
  <c r="C27" i="8"/>
  <c r="C26" i="8"/>
  <c r="C25" i="8"/>
  <c r="C24" i="8"/>
  <c r="C23" i="8"/>
  <c r="C22" i="8"/>
  <c r="C20" i="8"/>
  <c r="C19" i="8"/>
  <c r="C18" i="8"/>
  <c r="C17" i="8"/>
  <c r="C16" i="8"/>
  <c r="C15" i="8"/>
  <c r="C14" i="8"/>
  <c r="C13" i="8"/>
  <c r="C12" i="8"/>
  <c r="C11" i="8"/>
  <c r="C10" i="8"/>
  <c r="C9" i="8"/>
  <c r="C8" i="8"/>
  <c r="C7" i="8"/>
  <c r="C42" i="8" s="1"/>
  <c r="C81" i="7"/>
  <c r="C77" i="7"/>
  <c r="C76" i="7"/>
  <c r="C75" i="7"/>
  <c r="C73" i="7"/>
  <c r="C72" i="7"/>
  <c r="C70" i="7"/>
  <c r="C67" i="7"/>
  <c r="C66" i="7"/>
  <c r="C62" i="7"/>
  <c r="C61" i="7"/>
  <c r="C56" i="7"/>
  <c r="C53" i="7"/>
  <c r="C52" i="7"/>
  <c r="C51" i="7"/>
  <c r="C50" i="7"/>
  <c r="C48" i="7"/>
  <c r="C47" i="7"/>
  <c r="C46" i="7"/>
  <c r="R42" i="7"/>
  <c r="Q42" i="7"/>
  <c r="P42" i="7"/>
  <c r="O42" i="7"/>
  <c r="N42" i="7"/>
  <c r="M42" i="7"/>
  <c r="L42" i="7"/>
  <c r="K42" i="7"/>
  <c r="J42" i="7"/>
  <c r="I42" i="7"/>
  <c r="H42" i="7"/>
  <c r="G42" i="7"/>
  <c r="F42" i="7"/>
  <c r="E42" i="7"/>
  <c r="D42" i="7"/>
  <c r="B42" i="7"/>
  <c r="C41" i="7"/>
  <c r="C40" i="7"/>
  <c r="C39" i="7"/>
  <c r="C37" i="7"/>
  <c r="C36" i="7"/>
  <c r="C35" i="7"/>
  <c r="C34" i="7"/>
  <c r="C33" i="7"/>
  <c r="C31" i="7"/>
  <c r="C30" i="7"/>
  <c r="C29" i="7"/>
  <c r="C28" i="7"/>
  <c r="C27" i="7"/>
  <c r="C26" i="7"/>
  <c r="C25" i="7"/>
  <c r="C24" i="7"/>
  <c r="C23" i="7"/>
  <c r="C22" i="7"/>
  <c r="C20" i="7"/>
  <c r="C19" i="7"/>
  <c r="C18" i="7"/>
  <c r="C17" i="7"/>
  <c r="C16" i="7"/>
  <c r="C15" i="7"/>
  <c r="C14" i="7"/>
  <c r="C13" i="7"/>
  <c r="C12" i="7"/>
  <c r="C11" i="7"/>
  <c r="C10" i="7"/>
  <c r="C9" i="7"/>
  <c r="C8" i="7"/>
  <c r="C7" i="7"/>
  <c r="C42" i="7" s="1"/>
  <c r="C81" i="6"/>
  <c r="C77" i="6"/>
  <c r="C76" i="6"/>
  <c r="C75" i="6"/>
  <c r="C73" i="6"/>
  <c r="C72" i="6"/>
  <c r="C70" i="6"/>
  <c r="C67" i="6"/>
  <c r="C66" i="6"/>
  <c r="C62" i="6"/>
  <c r="C61" i="6"/>
  <c r="C56" i="6"/>
  <c r="C53" i="6"/>
  <c r="C52" i="6"/>
  <c r="C51" i="6"/>
  <c r="C50" i="6"/>
  <c r="C48" i="6"/>
  <c r="C47" i="6"/>
  <c r="C46" i="6"/>
  <c r="R42" i="6"/>
  <c r="Q42" i="6"/>
  <c r="P42" i="6"/>
  <c r="O42" i="6"/>
  <c r="N42" i="6"/>
  <c r="M42" i="6"/>
  <c r="L42" i="6"/>
  <c r="K42" i="6"/>
  <c r="J42" i="6"/>
  <c r="I42" i="6"/>
  <c r="H42" i="6"/>
  <c r="G42" i="6"/>
  <c r="F42" i="6"/>
  <c r="E42" i="6"/>
  <c r="D42" i="6"/>
  <c r="B42" i="6"/>
  <c r="C41" i="6"/>
  <c r="C40" i="6"/>
  <c r="C39" i="6"/>
  <c r="C37" i="6"/>
  <c r="C36" i="6"/>
  <c r="C35" i="6"/>
  <c r="C34" i="6"/>
  <c r="C33" i="6"/>
  <c r="C31" i="6"/>
  <c r="C30" i="6"/>
  <c r="C29" i="6"/>
  <c r="C28" i="6"/>
  <c r="C27" i="6"/>
  <c r="C26" i="6"/>
  <c r="C25" i="6"/>
  <c r="C24" i="6"/>
  <c r="C23" i="6"/>
  <c r="C22" i="6"/>
  <c r="C20" i="6"/>
  <c r="C19" i="6"/>
  <c r="C18" i="6"/>
  <c r="C17" i="6"/>
  <c r="C16" i="6"/>
  <c r="C15" i="6"/>
  <c r="C14" i="6"/>
  <c r="C13" i="6"/>
  <c r="C12" i="6"/>
  <c r="C11" i="6"/>
  <c r="C10" i="6"/>
  <c r="C9" i="6"/>
  <c r="C8" i="6"/>
  <c r="C7" i="6"/>
  <c r="C42" i="6" s="1"/>
  <c r="C81" i="5"/>
  <c r="C77" i="5"/>
  <c r="C76" i="5"/>
  <c r="C75" i="5"/>
  <c r="C73" i="5"/>
  <c r="C72" i="5"/>
  <c r="C70" i="5"/>
  <c r="C67" i="5"/>
  <c r="C66" i="5"/>
  <c r="C62" i="5"/>
  <c r="C61" i="5"/>
  <c r="C56" i="5"/>
  <c r="C53" i="5"/>
  <c r="C52" i="5"/>
  <c r="C51" i="5"/>
  <c r="C50" i="5"/>
  <c r="C48" i="5"/>
  <c r="C47" i="5"/>
  <c r="C46" i="5"/>
  <c r="R42" i="5"/>
  <c r="Q42" i="5"/>
  <c r="P42" i="5"/>
  <c r="O42" i="5"/>
  <c r="N42" i="5"/>
  <c r="M42" i="5"/>
  <c r="L42" i="5"/>
  <c r="K42" i="5"/>
  <c r="J42" i="5"/>
  <c r="I42" i="5"/>
  <c r="H42" i="5"/>
  <c r="G42" i="5"/>
  <c r="F42" i="5"/>
  <c r="E42" i="5"/>
  <c r="D42" i="5"/>
  <c r="B42" i="5"/>
  <c r="C41" i="5"/>
  <c r="C40" i="5"/>
  <c r="C39" i="5"/>
  <c r="C37" i="5"/>
  <c r="C36" i="5"/>
  <c r="C35" i="5"/>
  <c r="C34" i="5"/>
  <c r="C33" i="5"/>
  <c r="C31" i="5"/>
  <c r="C30" i="5"/>
  <c r="C29" i="5"/>
  <c r="C28" i="5"/>
  <c r="C27" i="5"/>
  <c r="C26" i="5"/>
  <c r="C25" i="5"/>
  <c r="C24" i="5"/>
  <c r="C23" i="5"/>
  <c r="C22" i="5"/>
  <c r="C20" i="5"/>
  <c r="C19" i="5"/>
  <c r="C18" i="5"/>
  <c r="C17" i="5"/>
  <c r="C16" i="5"/>
  <c r="C15" i="5"/>
  <c r="C14" i="5"/>
  <c r="C13" i="5"/>
  <c r="C12" i="5"/>
  <c r="C11" i="5"/>
  <c r="C10" i="5"/>
  <c r="C9" i="5"/>
  <c r="C8" i="5"/>
  <c r="C7" i="5"/>
  <c r="C42" i="5" s="1"/>
  <c r="C81" i="4"/>
  <c r="C77" i="4"/>
  <c r="C76" i="4"/>
  <c r="C75" i="4"/>
  <c r="C73" i="4"/>
  <c r="C72" i="4"/>
  <c r="C70" i="4"/>
  <c r="C67" i="4"/>
  <c r="C66" i="4"/>
  <c r="C62" i="4"/>
  <c r="C61" i="4"/>
  <c r="C56" i="4"/>
  <c r="C53" i="4"/>
  <c r="C52" i="4"/>
  <c r="C51" i="4"/>
  <c r="C50" i="4"/>
  <c r="C48" i="4"/>
  <c r="C47" i="4"/>
  <c r="C46" i="4"/>
  <c r="R42" i="4"/>
  <c r="Q42" i="4"/>
  <c r="P42" i="4"/>
  <c r="O42" i="4"/>
  <c r="N42" i="4"/>
  <c r="M42" i="4"/>
  <c r="L42" i="4"/>
  <c r="K42" i="4"/>
  <c r="J42" i="4"/>
  <c r="I42" i="4"/>
  <c r="H42" i="4"/>
  <c r="G42" i="4"/>
  <c r="F42" i="4"/>
  <c r="E42" i="4"/>
  <c r="D42" i="4"/>
  <c r="B42" i="4"/>
  <c r="C41" i="4"/>
  <c r="C40" i="4"/>
  <c r="C39" i="4"/>
  <c r="C37" i="4"/>
  <c r="C36" i="4"/>
  <c r="C35" i="4"/>
  <c r="C34" i="4"/>
  <c r="C33" i="4"/>
  <c r="C31" i="4"/>
  <c r="C30" i="4"/>
  <c r="C29" i="4"/>
  <c r="C28" i="4"/>
  <c r="C27" i="4"/>
  <c r="C26" i="4"/>
  <c r="C25" i="4"/>
  <c r="C24" i="4"/>
  <c r="C23" i="4"/>
  <c r="C22" i="4"/>
  <c r="C20" i="4"/>
  <c r="C19" i="4"/>
  <c r="C18" i="4"/>
  <c r="C17" i="4"/>
  <c r="C16" i="4"/>
  <c r="C15" i="4"/>
  <c r="C14" i="4"/>
  <c r="C13" i="4"/>
  <c r="C12" i="4"/>
  <c r="C11" i="4"/>
  <c r="C10" i="4"/>
  <c r="C9" i="4"/>
  <c r="C8" i="4"/>
  <c r="C7" i="4"/>
  <c r="C42" i="4" s="1"/>
  <c r="C81" i="3"/>
  <c r="C77" i="3"/>
  <c r="C76" i="3"/>
  <c r="C75" i="3"/>
  <c r="C73" i="3"/>
  <c r="C72" i="3"/>
  <c r="C70" i="3"/>
  <c r="C67" i="3"/>
  <c r="C66" i="3"/>
  <c r="C62" i="3"/>
  <c r="C61" i="3"/>
  <c r="C56" i="3"/>
  <c r="C53" i="3"/>
  <c r="C52" i="3"/>
  <c r="C51" i="3"/>
  <c r="C50" i="3"/>
  <c r="C48" i="3"/>
  <c r="C47" i="3"/>
  <c r="C46" i="3"/>
  <c r="R42" i="3"/>
  <c r="Q42" i="3"/>
  <c r="P42" i="3"/>
  <c r="O42" i="3"/>
  <c r="N42" i="3"/>
  <c r="M42" i="3"/>
  <c r="L42" i="3"/>
  <c r="K42" i="3"/>
  <c r="J42" i="3"/>
  <c r="I42" i="3"/>
  <c r="H42" i="3"/>
  <c r="G42" i="3"/>
  <c r="F42" i="3"/>
  <c r="E42" i="3"/>
  <c r="D42" i="3"/>
  <c r="B42" i="3"/>
  <c r="C41" i="3"/>
  <c r="C40" i="3"/>
  <c r="C39" i="3"/>
  <c r="C37" i="3"/>
  <c r="C36" i="3"/>
  <c r="C35" i="3"/>
  <c r="C34" i="3"/>
  <c r="C33" i="3"/>
  <c r="C31" i="3"/>
  <c r="C30" i="3"/>
  <c r="C29" i="3"/>
  <c r="C28" i="3"/>
  <c r="C27" i="3"/>
  <c r="C26" i="3"/>
  <c r="C25" i="3"/>
  <c r="C24" i="3"/>
  <c r="C23" i="3"/>
  <c r="C22" i="3"/>
  <c r="C20" i="3"/>
  <c r="C19" i="3"/>
  <c r="C18" i="3"/>
  <c r="C17" i="3"/>
  <c r="C16" i="3"/>
  <c r="C15" i="3"/>
  <c r="C14" i="3"/>
  <c r="C13" i="3"/>
  <c r="C12" i="3"/>
  <c r="C11" i="3"/>
  <c r="C10" i="3"/>
  <c r="C9" i="3"/>
  <c r="C8" i="3"/>
  <c r="C7" i="3"/>
  <c r="C42" i="3" s="1"/>
  <c r="C81" i="2"/>
  <c r="C77" i="2"/>
  <c r="C76" i="2"/>
  <c r="C75" i="2"/>
  <c r="C73" i="2"/>
  <c r="C72" i="2"/>
  <c r="C70" i="2"/>
  <c r="C67" i="2"/>
  <c r="C66" i="2"/>
  <c r="C62" i="2"/>
  <c r="C61" i="2"/>
  <c r="C56" i="2"/>
  <c r="C53" i="2"/>
  <c r="C52" i="2"/>
  <c r="C51" i="2"/>
  <c r="C50" i="2"/>
  <c r="C48" i="2"/>
  <c r="C47" i="2"/>
  <c r="C46" i="2"/>
  <c r="R42" i="2"/>
  <c r="Q42" i="2"/>
  <c r="P42" i="2"/>
  <c r="O42" i="2"/>
  <c r="N42" i="2"/>
  <c r="M42" i="2"/>
  <c r="L42" i="2"/>
  <c r="K42" i="2"/>
  <c r="J42" i="2"/>
  <c r="I42" i="2"/>
  <c r="H42" i="2"/>
  <c r="G42" i="2"/>
  <c r="F42" i="2"/>
  <c r="E42" i="2"/>
  <c r="D42" i="2"/>
  <c r="B42" i="2"/>
  <c r="C41" i="2"/>
  <c r="C40" i="2"/>
  <c r="C39" i="2"/>
  <c r="C37" i="2"/>
  <c r="C36" i="2"/>
  <c r="C35" i="2"/>
  <c r="C34" i="2"/>
  <c r="C33" i="2"/>
  <c r="C31" i="2"/>
  <c r="C30" i="2"/>
  <c r="C29" i="2"/>
  <c r="C28" i="2"/>
  <c r="C27" i="2"/>
  <c r="C26" i="2"/>
  <c r="C25" i="2"/>
  <c r="C24" i="2"/>
  <c r="C23" i="2"/>
  <c r="C22" i="2"/>
  <c r="C20" i="2"/>
  <c r="C19" i="2"/>
  <c r="C18" i="2"/>
  <c r="C17" i="2"/>
  <c r="C16" i="2"/>
  <c r="C15" i="2"/>
  <c r="C14" i="2"/>
  <c r="C13" i="2"/>
  <c r="C12" i="2"/>
  <c r="C11" i="2"/>
  <c r="C10" i="2"/>
  <c r="C9" i="2"/>
  <c r="C8" i="2"/>
  <c r="C7" i="2"/>
  <c r="C42" i="2" s="1"/>
</calcChain>
</file>

<file path=xl/sharedStrings.xml><?xml version="1.0" encoding="utf-8"?>
<sst xmlns="http://schemas.openxmlformats.org/spreadsheetml/2006/main" count="75667" uniqueCount="359">
  <si>
    <t>Table of Contents</t>
  </si>
  <si>
    <t>CC104101</t>
  </si>
  <si>
    <t>CC104102</t>
  </si>
  <si>
    <t>CC104103</t>
  </si>
  <si>
    <t>CC104104</t>
  </si>
  <si>
    <t>CC104105</t>
  </si>
  <si>
    <t>CC104106</t>
  </si>
  <si>
    <t>CC104107</t>
  </si>
  <si>
    <t>CC104201</t>
  </si>
  <si>
    <t>CC104202</t>
  </si>
  <si>
    <t>CC104203</t>
  </si>
  <si>
    <t>CC104204</t>
  </si>
  <si>
    <t>CC104205</t>
  </si>
  <si>
    <t>CC104206</t>
  </si>
  <si>
    <t>CC104301C</t>
  </si>
  <si>
    <t>CC104303</t>
  </si>
  <si>
    <t>CC104305</t>
  </si>
  <si>
    <t>CC104306</t>
  </si>
  <si>
    <t>CC106101</t>
  </si>
  <si>
    <t>CC106102</t>
  </si>
  <si>
    <t>CC106103</t>
  </si>
  <si>
    <t>CC106104</t>
  </si>
  <si>
    <t>CC106105</t>
  </si>
  <si>
    <t>CC106106</t>
  </si>
  <si>
    <t>CC106107C</t>
  </si>
  <si>
    <t>CC106201</t>
  </si>
  <si>
    <t>CC106202</t>
  </si>
  <si>
    <t>CC106203</t>
  </si>
  <si>
    <t>CC106204</t>
  </si>
  <si>
    <t>CC106205</t>
  </si>
  <si>
    <t>CC106206</t>
  </si>
  <si>
    <t>CC106207</t>
  </si>
  <si>
    <t>CC106208</t>
  </si>
  <si>
    <t>CC106209</t>
  </si>
  <si>
    <t>CC106301</t>
  </si>
  <si>
    <t>CC106302</t>
  </si>
  <si>
    <t>CC106303</t>
  </si>
  <si>
    <t>CC106304</t>
  </si>
  <si>
    <t>CC106305</t>
  </si>
  <si>
    <t>CC106306</t>
  </si>
  <si>
    <t>CC106307</t>
  </si>
  <si>
    <t>CC102101</t>
  </si>
  <si>
    <t>CC102102C</t>
  </si>
  <si>
    <t>CC102201</t>
  </si>
  <si>
    <t>CC102202</t>
  </si>
  <si>
    <t>CC102203</t>
  </si>
  <si>
    <t>CC102204</t>
  </si>
  <si>
    <t>CC102205</t>
  </si>
  <si>
    <t>CC102206</t>
  </si>
  <si>
    <t>CC102207</t>
  </si>
  <si>
    <t>CC102208</t>
  </si>
  <si>
    <t>CC102209C</t>
  </si>
  <si>
    <t>CC102212</t>
  </si>
  <si>
    <t>CC102213</t>
  </si>
  <si>
    <t>CC103101</t>
  </si>
  <si>
    <t>CC103102</t>
  </si>
  <si>
    <t>CC103103</t>
  </si>
  <si>
    <t>CC103104</t>
  </si>
  <si>
    <t>CC103105</t>
  </si>
  <si>
    <t>CC103106</t>
  </si>
  <si>
    <t>CC103107</t>
  </si>
  <si>
    <t>CC103108C</t>
  </si>
  <si>
    <t>CC103201</t>
  </si>
  <si>
    <t>CC103202</t>
  </si>
  <si>
    <t>CC103203</t>
  </si>
  <si>
    <t>CC103204</t>
  </si>
  <si>
    <t>CC103205</t>
  </si>
  <si>
    <t>CC103206</t>
  </si>
  <si>
    <t>CC103207</t>
  </si>
  <si>
    <t>CC103209</t>
  </si>
  <si>
    <t>CC103210</t>
  </si>
  <si>
    <t>CC103211</t>
  </si>
  <si>
    <t>CC103301</t>
  </si>
  <si>
    <t>CC103302</t>
  </si>
  <si>
    <t>CC103303</t>
  </si>
  <si>
    <t>CC103304</t>
  </si>
  <si>
    <t>CC103305</t>
  </si>
  <si>
    <t>CC103306</t>
  </si>
  <si>
    <t>CC103307</t>
  </si>
  <si>
    <t>CC103308</t>
  </si>
  <si>
    <t>CC103309</t>
  </si>
  <si>
    <t>CC100101</t>
  </si>
  <si>
    <t>CC100102</t>
  </si>
  <si>
    <t>CC100103</t>
  </si>
  <si>
    <t>CC100104</t>
  </si>
  <si>
    <t>CC100105</t>
  </si>
  <si>
    <t>CC100201</t>
  </si>
  <si>
    <t>CC100202</t>
  </si>
  <si>
    <t>CC100203</t>
  </si>
  <si>
    <t>CC100301</t>
  </si>
  <si>
    <t>CC100302</t>
  </si>
  <si>
    <t>CC100401</t>
  </si>
  <si>
    <t>CC100402</t>
  </si>
  <si>
    <t>CC105101</t>
  </si>
  <si>
    <t>CC105102</t>
  </si>
  <si>
    <t>CC105103C</t>
  </si>
  <si>
    <t>CC105105C</t>
  </si>
  <si>
    <t>CC105108C</t>
  </si>
  <si>
    <t>CC105201C</t>
  </si>
  <si>
    <t>CC105203C</t>
  </si>
  <si>
    <t>CC105205</t>
  </si>
  <si>
    <t>CC105206</t>
  </si>
  <si>
    <t>CC105207</t>
  </si>
  <si>
    <t>CC105208C</t>
  </si>
  <si>
    <t>CC105211</t>
  </si>
  <si>
    <t>CC105212C</t>
  </si>
  <si>
    <t>CC105214</t>
  </si>
  <si>
    <t>CC105301</t>
  </si>
  <si>
    <t>CC105302</t>
  </si>
  <si>
    <t>CC105303</t>
  </si>
  <si>
    <t>CC105304C</t>
  </si>
  <si>
    <t>CC105306</t>
  </si>
  <si>
    <t>CC105307</t>
  </si>
  <si>
    <t>CC105308C</t>
  </si>
  <si>
    <t>CC105401</t>
  </si>
  <si>
    <t>CC105402</t>
  </si>
  <si>
    <t>CC105403</t>
  </si>
  <si>
    <t>CC105404</t>
  </si>
  <si>
    <t>CC105405</t>
  </si>
  <si>
    <t>CC105406</t>
  </si>
  <si>
    <t>CC105407</t>
  </si>
  <si>
    <t>CC105408C</t>
  </si>
  <si>
    <t>Cognitive items: Overall Collaborative Problem Solving results</t>
  </si>
  <si>
    <t>N</t>
  </si>
  <si>
    <t>System</t>
  </si>
  <si>
    <t>0 - No credit</t>
  </si>
  <si>
    <t>1 - Full credit</t>
  </si>
  <si>
    <t>Valid Skip</t>
  </si>
  <si>
    <t>Not Reached</t>
  </si>
  <si>
    <t>Not Applicable</t>
  </si>
  <si>
    <t>Invalid</t>
  </si>
  <si>
    <t>No Response</t>
  </si>
  <si>
    <t>All</t>
  </si>
  <si>
    <t>Missing %</t>
  </si>
  <si>
    <t>Valid</t>
  </si>
  <si>
    <t>%</t>
  </si>
  <si>
    <t>(SE)</t>
  </si>
  <si>
    <t>OECD</t>
  </si>
  <si>
    <t>Australia</t>
  </si>
  <si>
    <t>—</t>
  </si>
  <si>
    <t>Austria</t>
  </si>
  <si>
    <t>Belgium</t>
  </si>
  <si>
    <t>Canada</t>
  </si>
  <si>
    <t>Chile</t>
  </si>
  <si>
    <t>Czech Republic</t>
  </si>
  <si>
    <t>Denmark</t>
  </si>
  <si>
    <t>Estonia</t>
  </si>
  <si>
    <t>Finland</t>
  </si>
  <si>
    <t>France</t>
  </si>
  <si>
    <t>Germany</t>
  </si>
  <si>
    <t>Greece</t>
  </si>
  <si>
    <t>Hungary</t>
  </si>
  <si>
    <t>Iceland</t>
  </si>
  <si>
    <t>Ireland</t>
  </si>
  <si>
    <t>n/a</t>
  </si>
  <si>
    <t>Israel ¹</t>
  </si>
  <si>
    <t>Italy</t>
  </si>
  <si>
    <t>Japan</t>
  </si>
  <si>
    <t>Korea</t>
  </si>
  <si>
    <t>Latvia</t>
  </si>
  <si>
    <t>Luxembourg</t>
  </si>
  <si>
    <t>Mexico</t>
  </si>
  <si>
    <t>Netherlands</t>
  </si>
  <si>
    <t>New Zealand</t>
  </si>
  <si>
    <t>Norway</t>
  </si>
  <si>
    <t>Poland</t>
  </si>
  <si>
    <t>Portugal</t>
  </si>
  <si>
    <t>Slovak Republic</t>
  </si>
  <si>
    <t>Slovenia</t>
  </si>
  <si>
    <t>Spain</t>
  </si>
  <si>
    <t>Sweden</t>
  </si>
  <si>
    <t>Switzerland</t>
  </si>
  <si>
    <t>Turkey</t>
  </si>
  <si>
    <t>United Kingdom</t>
  </si>
  <si>
    <t>United States</t>
  </si>
  <si>
    <t>OECD average</t>
  </si>
  <si>
    <t>Partners</t>
  </si>
  <si>
    <t>Albania</t>
  </si>
  <si>
    <t>Algeria</t>
  </si>
  <si>
    <t>Brazil</t>
  </si>
  <si>
    <t>Bulgaria</t>
  </si>
  <si>
    <t>B-S-J-G (China) ²</t>
  </si>
  <si>
    <t>CABA (Argentina) ³</t>
  </si>
  <si>
    <t>Colombia</t>
  </si>
  <si>
    <t>Costa Rica</t>
  </si>
  <si>
    <t>Croatia</t>
  </si>
  <si>
    <t>Cyprus ⁴</t>
  </si>
  <si>
    <t>Dominican Republic</t>
  </si>
  <si>
    <t>Georgia</t>
  </si>
  <si>
    <t>Hong Kong (China)</t>
  </si>
  <si>
    <t>Indonesia</t>
  </si>
  <si>
    <t>Jordan</t>
  </si>
  <si>
    <t>Kosovo</t>
  </si>
  <si>
    <t>Lebanon</t>
  </si>
  <si>
    <t>Lithuania</t>
  </si>
  <si>
    <t>Macao (China)</t>
  </si>
  <si>
    <t>FYROM ⁵</t>
  </si>
  <si>
    <t>Malta</t>
  </si>
  <si>
    <t>Moldova</t>
  </si>
  <si>
    <t>Montenegro</t>
  </si>
  <si>
    <t>Peru</t>
  </si>
  <si>
    <t>Qatar</t>
  </si>
  <si>
    <t>Romania</t>
  </si>
  <si>
    <t>Russia ⁶</t>
  </si>
  <si>
    <t>Singapore</t>
  </si>
  <si>
    <t>Chinese Taipei</t>
  </si>
  <si>
    <t>Thailand</t>
  </si>
  <si>
    <t>Trinidad and Tobago</t>
  </si>
  <si>
    <t>Tunisia</t>
  </si>
  <si>
    <t>United Arab Emirates</t>
  </si>
  <si>
    <t>Uruguay</t>
  </si>
  <si>
    <t>Viet Nam</t>
  </si>
  <si>
    <t>Argentina ⁷</t>
  </si>
  <si>
    <t>Kazakhstan ⁷</t>
  </si>
  <si>
    <t>Malaysia ⁷</t>
  </si>
  <si>
    <t xml:space="preserve"> </t>
  </si>
  <si>
    <t>Data Notes:</t>
  </si>
  <si>
    <t>n/a Data not available</t>
  </si>
  <si>
    <t>— No data</t>
  </si>
  <si>
    <t>'System Missing %' for cognitive questions refers to the percentage of data missing because a respondent did not see a question. This may have occurred when the student did not receive a particular set of questions (cluster) by design, exited the assessment early, ran out of time, or refused, or when a technical issue was encountered. Variables that derive themselves from other variables that are 'System Missing' may also retain a 'System Missing' value.</t>
  </si>
  <si>
    <t>Country Notes:</t>
  </si>
  <si>
    <t>¹ The statistical data for Israel are supplied by and under the responsibility of the relevant Israeli authorities. The use of such data by the OECD is without prejudice to the status of the Golan Heights, East Jerusalem and Israeli settlements in the West Bank under the terms of international law.</t>
  </si>
  <si>
    <t>² B-S-J-G (China) refers to the four PISA participating China provinces: Beijing, Shanghai, Jiangsu, Guangdong.</t>
  </si>
  <si>
    <t>³ CABA (Argentina) refers to Ciudad Autónoma de Buenos Aires (Argentina).</t>
  </si>
  <si>
    <t>⁴ Note by Turkey: The information in this document with reference to "Cyprus" relates to the southern part of the Island. There is no single authority representing both Turkish and Greek Cypriot people on the Island. Turkey recognises the Turkish Republic of Northern Cyprus (TRNC). Until a lasting and equitable solution is found within the context of the United Nations, Turkey shall preserve its position concerning the "Cyprus issue".</t>
  </si>
  <si>
    <t>Note by all the European Union Member States of the OECD and the European Union: The Republic of Cyprus is recognised by all members of the United Nations with the exception of Turkey. The information in this document relates to the area under the effective control of the Government of the Republic of Cyprus.</t>
  </si>
  <si>
    <t>⁵ FYROM refers to the Former Yugoslav Republic of Macedonia.</t>
  </si>
  <si>
    <t>⁶ Russia refers to the Russian Federation.</t>
  </si>
  <si>
    <t>⁷ Argentina, Kazakhstan and Malaysia: Coverage is too small to ensure comparability (see "PISA 2015 Results [Volume I]: Excellence and Equity in Education" [OECD, 2016], Annex A4).</t>
  </si>
  <si>
    <t>No Credit</t>
  </si>
  <si>
    <t>Partial Credit1</t>
  </si>
  <si>
    <t>Partial Credit2</t>
  </si>
  <si>
    <t>Full Credit</t>
  </si>
  <si>
    <t>1 - Partial credit</t>
  </si>
  <si>
    <t>2 - Full credit</t>
  </si>
  <si>
    <t>Partial Credit3</t>
  </si>
  <si>
    <t>2 - Partial credit</t>
  </si>
  <si>
    <t>3 - Full credit</t>
  </si>
  <si>
    <t>CC106101: Making a Film</t>
  </si>
  <si>
    <t>CC106102: Making a Film</t>
  </si>
  <si>
    <t>CC104101: Meeting in the Park</t>
  </si>
  <si>
    <t>CC104102: Meeting in the Park</t>
  </si>
  <si>
    <t>CC104103: Meeting in the Park</t>
  </si>
  <si>
    <t>CC104104: Meeting in the Park</t>
  </si>
  <si>
    <t>CC104105: Meeting in the Park</t>
  </si>
  <si>
    <t>CC104106: Meeting in the Park</t>
  </si>
  <si>
    <t>CC104107: Meeting in the Park</t>
  </si>
  <si>
    <t>CC104201: Meeting in the Park</t>
  </si>
  <si>
    <t>CC104202: Meeting in the Park</t>
  </si>
  <si>
    <t>CC104203: Meeting in the Park</t>
  </si>
  <si>
    <t>CC104204: Meeting in the Park</t>
  </si>
  <si>
    <t>CC104205: Meeting in the Park</t>
  </si>
  <si>
    <t>CC104206: Meeting in the Park</t>
  </si>
  <si>
    <t>CC104301C (SUM CC104301+CC104302+CC104304): Meeting in the Park</t>
  </si>
  <si>
    <t>CC104303: Meeting in the Park</t>
  </si>
  <si>
    <t>CC104305: Meeting in the Park</t>
  </si>
  <si>
    <t>CC104306: Meeting in the Park</t>
  </si>
  <si>
    <t>CC106103: Making a Film</t>
  </si>
  <si>
    <t>CC106104: Making a Film</t>
  </si>
  <si>
    <t>CC106105: Making a Film</t>
  </si>
  <si>
    <t>CC106106: Making a Film</t>
  </si>
  <si>
    <t>CC106107C (SUM CC106107+CC106108): Making a Film</t>
  </si>
  <si>
    <t>CC106201: Making a Film</t>
  </si>
  <si>
    <t>CC106202: Making a Film</t>
  </si>
  <si>
    <t>CC106203: Making a Film</t>
  </si>
  <si>
    <t>CC106204: Making a Film</t>
  </si>
  <si>
    <t>CC106205: Making a Film</t>
  </si>
  <si>
    <t>CC106206: Making a Film</t>
  </si>
  <si>
    <t>CC106207: Making a Film</t>
  </si>
  <si>
    <t>CC106208: Making a Film</t>
  </si>
  <si>
    <t>CC106209: Making a Film</t>
  </si>
  <si>
    <t>CC106301: Making a Film</t>
  </si>
  <si>
    <t>CC106302: Making a Film</t>
  </si>
  <si>
    <t>CC106303: Making a Film</t>
  </si>
  <si>
    <t>CC106304: Making a Film</t>
  </si>
  <si>
    <t>CC106305: Making a Film</t>
  </si>
  <si>
    <t>CC106306: Making a Film</t>
  </si>
  <si>
    <t>CC106307: Making a Film</t>
  </si>
  <si>
    <t>CC102101: Field Trip</t>
  </si>
  <si>
    <t>CC102102C (SUM CC102102+CC102103): Field Trip</t>
  </si>
  <si>
    <t>CC102201: Field Trip</t>
  </si>
  <si>
    <t>CC102202: Field Trip</t>
  </si>
  <si>
    <t>CC102203: Field Trip</t>
  </si>
  <si>
    <t>CC102204: Field Trip</t>
  </si>
  <si>
    <t>CC102205: Field Trip</t>
  </si>
  <si>
    <t>CC102206: Field Trip</t>
  </si>
  <si>
    <t>CC102207: Field Trip</t>
  </si>
  <si>
    <t>CC102208: Field Trip</t>
  </si>
  <si>
    <t>CC102209C (SUM CC102209+CC102210+CC102211): Field Trip</t>
  </si>
  <si>
    <t>CC102212: Field Trip</t>
  </si>
  <si>
    <t>CC102213: Field Trip</t>
  </si>
  <si>
    <t>CC103101: Preparing a Presentation</t>
  </si>
  <si>
    <t>CC103102: Preparing a Presentation</t>
  </si>
  <si>
    <t>CC103103: Preparing a Presentation</t>
  </si>
  <si>
    <t>CC103104: Preparing a Presentation</t>
  </si>
  <si>
    <t>CC103105: Preparing a Presentation</t>
  </si>
  <si>
    <t>CC103106: Preparing a Presentation</t>
  </si>
  <si>
    <t>CC103107: Preparing a Presentation</t>
  </si>
  <si>
    <t>CC103108C (SUM CC103108+CC103109+CC103110+CC103111): Preparing a Presentation</t>
  </si>
  <si>
    <t>CC103201: Preparing a Presentation</t>
  </si>
  <si>
    <t>CC103202: Preparing a Presentation</t>
  </si>
  <si>
    <t>CC103203: Preparing a Presentation</t>
  </si>
  <si>
    <t>CC103204: Preparing a Presentation</t>
  </si>
  <si>
    <t>CC103205: Preparing a Presentation</t>
  </si>
  <si>
    <t>CC103206: Preparing a Presentation</t>
  </si>
  <si>
    <t>CC103207: Preparing a Presentation</t>
  </si>
  <si>
    <t>CC103209: Preparing a Presentation</t>
  </si>
  <si>
    <t>CC103210: Preparing a Presentation</t>
  </si>
  <si>
    <t>CC103211: Preparing a Presentation</t>
  </si>
  <si>
    <t>CC103301: Preparing a Presentation</t>
  </si>
  <si>
    <t>CC103302: Preparing a Presentation</t>
  </si>
  <si>
    <t>CC103303: Preparing a Presentation</t>
  </si>
  <si>
    <t>CC103304: Preparing a Presentation</t>
  </si>
  <si>
    <t>CC103305: Preparing a Presentation</t>
  </si>
  <si>
    <t>CC103306: Preparing a Presentation</t>
  </si>
  <si>
    <t>CC103307: Preparing a Presentation</t>
  </si>
  <si>
    <t>CC103308: Preparing a Presentation</t>
  </si>
  <si>
    <t>CC103309: Preparing a Presentation</t>
  </si>
  <si>
    <t>CC100101: Xandar</t>
  </si>
  <si>
    <t>CC100102: Xandar</t>
  </si>
  <si>
    <t>CC100103: Xandar</t>
  </si>
  <si>
    <t>CC100104: Xandar</t>
  </si>
  <si>
    <t>CC100105: Xandar</t>
  </si>
  <si>
    <t>CC100201: Xandar</t>
  </si>
  <si>
    <t>CC100202: Xandar</t>
  </si>
  <si>
    <t>CC100203: Xandar</t>
  </si>
  <si>
    <t>CC100301: Xandar</t>
  </si>
  <si>
    <t>CC100302: Xandar</t>
  </si>
  <si>
    <t>CC100401: Xandar</t>
  </si>
  <si>
    <t>CC100402: Xandar</t>
  </si>
  <si>
    <t>CC105101: The Garden</t>
  </si>
  <si>
    <t>CC105102: The Garden</t>
  </si>
  <si>
    <t>CC105103C (CC105103+CC105104): The Garden</t>
  </si>
  <si>
    <t>CC105105C (CC105105+CC105106+CC105107): The Garden</t>
  </si>
  <si>
    <t>CC105108C (SUM CC105108+CC105109): The Garden</t>
  </si>
  <si>
    <t>CC105201C (CC105201+CC105202): The Garden</t>
  </si>
  <si>
    <t>CC105203C (SUM CC105203+CC105204): The Garden</t>
  </si>
  <si>
    <t>CC105205: The Garden</t>
  </si>
  <si>
    <t>CC105206: The Garden</t>
  </si>
  <si>
    <t>CC105207: The Garden</t>
  </si>
  <si>
    <t>CC105208C (CC105208+CC105209+CC105210): The Garden</t>
  </si>
  <si>
    <t>CC105211: The Garden</t>
  </si>
  <si>
    <t>CC105212C (CC105212+CC105213): The Garden</t>
  </si>
  <si>
    <t>CC105214: The Garden</t>
  </si>
  <si>
    <t>CC105301: The Garden</t>
  </si>
  <si>
    <t>CC105302: The Garden</t>
  </si>
  <si>
    <t>CC105303: The Garden</t>
  </si>
  <si>
    <t>CC105304C (CC105304+CC105305): The Garden</t>
  </si>
  <si>
    <t>CC105306: The Garden</t>
  </si>
  <si>
    <t>CC105307: The Garden</t>
  </si>
  <si>
    <t>CC105308C (SUM CC105308+CC105309): The Garden</t>
  </si>
  <si>
    <t>CC105401: The Garden</t>
  </si>
  <si>
    <t>CC105402: The Garden</t>
  </si>
  <si>
    <t>CC105403: The Garden</t>
  </si>
  <si>
    <t>CC105404: The Garden</t>
  </si>
  <si>
    <t>CC105405: The Garden</t>
  </si>
  <si>
    <t>CC105406: The Garden</t>
  </si>
  <si>
    <t>CC105407: The Garden</t>
  </si>
  <si>
    <t>CC105408C (SUM CC105408+CC105409): The Garden</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</si>
</sst>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0.00\)"/>
  </numFmts>
  <fonts count="4" x14ac:knownFonts="1">
    <font>
      <sz val="11"/>
      <color theme="1"/>
      <name val="Calibri"/>
      <family val="2"/>
      <scheme val="minor"/>
    </font>
    <font>
      <b/>
      <sz val="10"/>
      <color rgb="FF000000"/>
      <name val="Arial"/>
      <family val="2"/>
    </font>
    <font>
      <u/>
      <sz val="10"/>
      <color rgb="FF0000FF"/>
      <name val="Arial"/>
      <family val="2"/>
    </font>
    <font>
      <sz val="10"/>
      <color rgb="FF000000"/>
      <name val="Arial"/>
      <family val="2"/>
    </font>
  </fonts>
  <fills count="4">
    <fill>
      <patternFill patternType="none"/>
    </fill>
    <fill>
      <patternFill patternType="gray125"/>
    </fill>
    <fill>
      <patternFill patternType="solid">
        <fgColor rgb="FFDAEEF3"/>
        <bgColor rgb="FFDAEEF3"/>
      </patternFill>
    </fill>
    <fill>
      <patternFill patternType="solid">
        <fgColor rgb="FFFFFFFF"/>
        <bgColor rgb="FFFFFFFF"/>
      </patternFill>
    </fill>
  </fills>
  <borders count="7">
    <border>
      <left/>
      <right/>
      <top/>
      <bottom/>
      <diagonal/>
    </border>
    <border>
      <left/>
      <right style="thin">
        <color auto="1"/>
      </right>
      <top style="thin">
        <color auto="1"/>
      </top>
      <bottom/>
      <diagonal/>
    </border>
    <border>
      <left/>
      <right/>
      <top style="thin">
        <color auto="1"/>
      </top>
      <bottom/>
      <diagonal/>
    </border>
    <border>
      <left/>
      <right style="thin">
        <color auto="1"/>
      </right>
      <top/>
      <bottom style="thin">
        <color auto="1"/>
      </bottom>
      <diagonal/>
    </border>
    <border>
      <left/>
      <right/>
      <top/>
      <bottom style="thin">
        <color auto="1"/>
      </bottom>
      <diagonal/>
    </border>
    <border>
      <left style="thin">
        <color auto="1"/>
      </left>
      <right style="thin">
        <color auto="1"/>
      </right>
      <top style="thin">
        <color auto="1"/>
      </top>
      <bottom style="thin">
        <color auto="1"/>
      </bottom>
      <diagonal/>
    </border>
    <border>
      <left/>
      <right style="thin">
        <color auto="1"/>
      </right>
      <top/>
      <bottom/>
      <diagonal/>
    </border>
  </borders>
  <cellStyleXfs count="1">
    <xf numFmtId="0" fontId="0" fillId="0" borderId="0"/>
  </cellStyleXfs>
  <cellXfs count="28">
    <xf numFmtId="0" fontId="0" fillId="0" borderId="0" xfId="0"/>
    <xf numFmtId="0" fontId="1" fillId="0" borderId="0" xfId="0" applyFont="1"/>
    <xf numFmtId="0" fontId="2" fillId="0" borderId="0" xfId="0" applyFont="1"/>
    <xf numFmtId="0" fontId="3" fillId="0" borderId="0" xfId="0" applyFont="1"/>
    <xf numFmtId="0" fontId="0" fillId="2" borderId="1" xfId="0" applyFill="1" applyBorder="1"/>
    <xf numFmtId="0" fontId="1" fillId="2" borderId="2" xfId="0" applyFont="1" applyFill="1" applyBorder="1" applyAlignment="1">
      <alignment horizontal="right" wrapText="1"/>
    </xf>
    <xf numFmtId="0" fontId="1" fillId="2" borderId="1" xfId="0" applyFont="1" applyFill="1" applyBorder="1" applyAlignment="1">
      <alignment horizontal="right" wrapText="1"/>
    </xf>
    <xf numFmtId="0" fontId="1" fillId="2" borderId="3" xfId="0" applyFont="1" applyFill="1" applyBorder="1" applyAlignment="1">
      <alignment horizontal="right" wrapText="1"/>
    </xf>
    <xf numFmtId="0" fontId="1" fillId="2" borderId="4" xfId="0" applyFont="1" applyFill="1" applyBorder="1" applyAlignment="1">
      <alignment horizontal="right" wrapText="1"/>
    </xf>
    <xf numFmtId="0" fontId="1" fillId="3" borderId="6" xfId="0" applyFont="1" applyFill="1" applyBorder="1"/>
    <xf numFmtId="0" fontId="0" fillId="3" borderId="0" xfId="0" applyFill="1"/>
    <xf numFmtId="0" fontId="3" fillId="3" borderId="6" xfId="0" applyFont="1" applyFill="1" applyBorder="1"/>
    <xf numFmtId="0" fontId="3" fillId="0" borderId="6" xfId="0" applyFont="1" applyBorder="1"/>
    <xf numFmtId="1" fontId="3" fillId="3" borderId="0" xfId="0" applyNumberFormat="1" applyFont="1" applyFill="1" applyAlignment="1">
      <alignment horizontal="right" wrapText="1"/>
    </xf>
    <xf numFmtId="2" fontId="3" fillId="3" borderId="0" xfId="0" applyNumberFormat="1" applyFont="1" applyFill="1" applyAlignment="1">
      <alignment horizontal="right" wrapText="1"/>
    </xf>
    <xf numFmtId="1" fontId="3" fillId="3" borderId="6" xfId="0" applyNumberFormat="1" applyFont="1" applyFill="1" applyBorder="1" applyAlignment="1">
      <alignment horizontal="right" wrapText="1"/>
    </xf>
    <xf numFmtId="164" fontId="3" fillId="3" borderId="6" xfId="0" applyNumberFormat="1" applyFont="1" applyFill="1" applyBorder="1" applyAlignment="1">
      <alignment horizontal="right" wrapText="1"/>
    </xf>
    <xf numFmtId="0" fontId="3" fillId="3" borderId="0" xfId="0" applyFont="1" applyFill="1" applyAlignment="1">
      <alignment horizontal="right" wrapText="1"/>
    </xf>
    <xf numFmtId="0" fontId="3" fillId="3" borderId="6" xfId="0" applyFont="1" applyFill="1" applyBorder="1" applyAlignment="1">
      <alignment horizontal="right" wrapText="1"/>
    </xf>
    <xf numFmtId="0" fontId="3" fillId="3" borderId="3" xfId="0" applyFont="1" applyFill="1" applyBorder="1"/>
    <xf numFmtId="0" fontId="0" fillId="3" borderId="2" xfId="0" applyFill="1" applyBorder="1"/>
    <xf numFmtId="0" fontId="0" fillId="0" borderId="0" xfId="0"/>
    <xf numFmtId="0" fontId="3" fillId="0" borderId="0" xfId="0" applyFont="1" applyAlignment="1">
      <alignment horizontal="left" vertical="top" wrapText="1"/>
    </xf>
    <xf numFmtId="0" fontId="0" fillId="0" borderId="0" xfId="0"/>
    <xf numFmtId="0" fontId="1" fillId="2" borderId="5" xfId="0" applyFont="1" applyFill="1" applyBorder="1" applyAlignment="1">
      <alignment horizontal="center" wrapText="1"/>
    </xf>
    <xf numFmtId="0" fontId="1" fillId="2" borderId="5" xfId="0" applyFont="1" applyFill="1" applyBorder="1"/>
    <xf numFmtId="0" fontId="1" fillId="0" borderId="0" xfId="0" applyFont="1" applyAlignment="1">
      <alignment horizontal="left" vertical="top" wrapText="1"/>
    </xf>
    <xf numFmtId="0" fontId="1" fillId="0" borderId="0" xfId="0" applyFont="1" applyAlignment="1">
      <alignment horizontal="left"/>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117" Type="http://schemas.openxmlformats.org/officeDocument/2006/relationships/worksheet" Target="worksheets/sheet117.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worksheet" Target="worksheets/sheet84.xml"/><Relationship Id="rId89" Type="http://schemas.openxmlformats.org/officeDocument/2006/relationships/worksheet" Target="worksheets/sheet89.xml"/><Relationship Id="rId112" Type="http://schemas.openxmlformats.org/officeDocument/2006/relationships/worksheet" Target="worksheets/sheet112.xml"/><Relationship Id="rId16" Type="http://schemas.openxmlformats.org/officeDocument/2006/relationships/worksheet" Target="worksheets/sheet16.xml"/><Relationship Id="rId107" Type="http://schemas.openxmlformats.org/officeDocument/2006/relationships/worksheet" Target="worksheets/sheet107.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102" Type="http://schemas.openxmlformats.org/officeDocument/2006/relationships/worksheet" Target="worksheets/sheet102.xml"/><Relationship Id="rId123" Type="http://schemas.openxmlformats.org/officeDocument/2006/relationships/theme" Target="theme/theme1.xml"/><Relationship Id="rId5" Type="http://schemas.openxmlformats.org/officeDocument/2006/relationships/worksheet" Target="worksheets/sheet5.xml"/><Relationship Id="rId61" Type="http://schemas.openxmlformats.org/officeDocument/2006/relationships/worksheet" Target="worksheets/sheet61.xml"/><Relationship Id="rId82" Type="http://schemas.openxmlformats.org/officeDocument/2006/relationships/worksheet" Target="worksheets/sheet82.xml"/><Relationship Id="rId90" Type="http://schemas.openxmlformats.org/officeDocument/2006/relationships/worksheet" Target="worksheets/sheet90.xml"/><Relationship Id="rId95" Type="http://schemas.openxmlformats.org/officeDocument/2006/relationships/worksheet" Target="worksheets/sheet95.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77" Type="http://schemas.openxmlformats.org/officeDocument/2006/relationships/worksheet" Target="worksheets/sheet77.xml"/><Relationship Id="rId100" Type="http://schemas.openxmlformats.org/officeDocument/2006/relationships/worksheet" Target="worksheets/sheet100.xml"/><Relationship Id="rId105" Type="http://schemas.openxmlformats.org/officeDocument/2006/relationships/worksheet" Target="worksheets/sheet105.xml"/><Relationship Id="rId113" Type="http://schemas.openxmlformats.org/officeDocument/2006/relationships/worksheet" Target="worksheets/sheet113.xml"/><Relationship Id="rId118" Type="http://schemas.openxmlformats.org/officeDocument/2006/relationships/worksheet" Target="worksheets/sheet118.xml"/><Relationship Id="rId126" Type="http://schemas.openxmlformats.org/officeDocument/2006/relationships/calcChain" Target="calcChain.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80" Type="http://schemas.openxmlformats.org/officeDocument/2006/relationships/worksheet" Target="worksheets/sheet80.xml"/><Relationship Id="rId85" Type="http://schemas.openxmlformats.org/officeDocument/2006/relationships/worksheet" Target="worksheets/sheet85.xml"/><Relationship Id="rId93" Type="http://schemas.openxmlformats.org/officeDocument/2006/relationships/worksheet" Target="worksheets/sheet93.xml"/><Relationship Id="rId98" Type="http://schemas.openxmlformats.org/officeDocument/2006/relationships/worksheet" Target="worksheets/sheet98.xml"/><Relationship Id="rId121" Type="http://schemas.openxmlformats.org/officeDocument/2006/relationships/worksheet" Target="worksheets/sheet12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103" Type="http://schemas.openxmlformats.org/officeDocument/2006/relationships/worksheet" Target="worksheets/sheet103.xml"/><Relationship Id="rId108" Type="http://schemas.openxmlformats.org/officeDocument/2006/relationships/worksheet" Target="worksheets/sheet108.xml"/><Relationship Id="rId116" Type="http://schemas.openxmlformats.org/officeDocument/2006/relationships/worksheet" Target="worksheets/sheet116.xml"/><Relationship Id="rId124" Type="http://schemas.openxmlformats.org/officeDocument/2006/relationships/styles" Target="styles.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83" Type="http://schemas.openxmlformats.org/officeDocument/2006/relationships/worksheet" Target="worksheets/sheet83.xml"/><Relationship Id="rId88" Type="http://schemas.openxmlformats.org/officeDocument/2006/relationships/worksheet" Target="worksheets/sheet88.xml"/><Relationship Id="rId91" Type="http://schemas.openxmlformats.org/officeDocument/2006/relationships/worksheet" Target="worksheets/sheet91.xml"/><Relationship Id="rId96" Type="http://schemas.openxmlformats.org/officeDocument/2006/relationships/worksheet" Target="worksheets/sheet96.xml"/><Relationship Id="rId111" Type="http://schemas.openxmlformats.org/officeDocument/2006/relationships/worksheet" Target="worksheets/sheet11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6" Type="http://schemas.openxmlformats.org/officeDocument/2006/relationships/worksheet" Target="worksheets/sheet106.xml"/><Relationship Id="rId114" Type="http://schemas.openxmlformats.org/officeDocument/2006/relationships/worksheet" Target="worksheets/sheet114.xml"/><Relationship Id="rId119" Type="http://schemas.openxmlformats.org/officeDocument/2006/relationships/worksheet" Target="worksheets/sheet119.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worksheet" Target="worksheets/sheet86.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worksheet" Target="worksheets/sheet101.xml"/><Relationship Id="rId122" Type="http://schemas.openxmlformats.org/officeDocument/2006/relationships/worksheet" Target="worksheets/sheet122.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openxmlformats.org/officeDocument/2006/relationships/worksheet" Target="worksheets/sheet10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worksheet" Target="worksheets/sheet104.xml"/><Relationship Id="rId120" Type="http://schemas.openxmlformats.org/officeDocument/2006/relationships/worksheet" Target="worksheets/sheet120.xml"/><Relationship Id="rId125" Type="http://schemas.openxmlformats.org/officeDocument/2006/relationships/sharedStrings" Target="sharedStrings.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worksheet" Target="worksheets/sheet110.xml"/><Relationship Id="rId115" Type="http://schemas.openxmlformats.org/officeDocument/2006/relationships/worksheet" Target="worksheets/sheet115.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G123"/>
  <sheetViews>
    <sheetView tabSelected="1" zoomScale="80" workbookViewId="0"/>
  </sheetViews>
  <sheetFormatPr defaultColWidth="11.42578125" defaultRowHeight="15" x14ac:dyDescent="0.25"/>
  <cols>
    <col min="1" max="1" width="12" customWidth="1"/>
    <col min="2" max="2" width="100" customWidth="1"/>
  </cols>
  <sheetData>
    <row r="1" spans="1:7" x14ac:dyDescent="0.25">
      <c r="B1" s="1" t="s">
        <v>0</v>
      </c>
    </row>
    <row r="2" spans="1:7" x14ac:dyDescent="0.25">
      <c r="A2" s="2" t="s">
        <v>1</v>
      </c>
      <c r="B2" s="3" t="s">
        <v>240</v>
      </c>
    </row>
    <row r="3" spans="1:7" x14ac:dyDescent="0.25">
      <c r="A3" s="2" t="s">
        <v>2</v>
      </c>
      <c r="B3" s="3" t="s">
        <v>241</v>
      </c>
      <c r="C3" s="21"/>
      <c r="F3" s="21"/>
      <c r="G3" s="21"/>
    </row>
    <row r="4" spans="1:7" x14ac:dyDescent="0.25">
      <c r="A4" s="2" t="s">
        <v>3</v>
      </c>
      <c r="B4" s="3" t="s">
        <v>242</v>
      </c>
      <c r="C4" s="21"/>
      <c r="F4" s="21"/>
      <c r="G4" s="21"/>
    </row>
    <row r="5" spans="1:7" x14ac:dyDescent="0.25">
      <c r="A5" s="2" t="s">
        <v>4</v>
      </c>
      <c r="B5" s="3" t="s">
        <v>243</v>
      </c>
      <c r="C5" s="21"/>
      <c r="F5" s="21"/>
      <c r="G5" s="21"/>
    </row>
    <row r="6" spans="1:7" x14ac:dyDescent="0.25">
      <c r="A6" s="2" t="s">
        <v>5</v>
      </c>
      <c r="B6" s="3" t="s">
        <v>244</v>
      </c>
      <c r="C6" s="21"/>
      <c r="F6" s="21"/>
      <c r="G6" s="21"/>
    </row>
    <row r="7" spans="1:7" x14ac:dyDescent="0.25">
      <c r="A7" s="2" t="s">
        <v>6</v>
      </c>
      <c r="B7" s="3" t="s">
        <v>245</v>
      </c>
      <c r="C7" s="21"/>
      <c r="F7" s="21"/>
      <c r="G7" s="21"/>
    </row>
    <row r="8" spans="1:7" x14ac:dyDescent="0.25">
      <c r="A8" s="2" t="s">
        <v>7</v>
      </c>
      <c r="B8" s="3" t="s">
        <v>246</v>
      </c>
      <c r="C8" s="21"/>
      <c r="F8" s="21"/>
      <c r="G8" s="21"/>
    </row>
    <row r="9" spans="1:7" x14ac:dyDescent="0.25">
      <c r="A9" s="2" t="s">
        <v>8</v>
      </c>
      <c r="B9" s="3" t="s">
        <v>247</v>
      </c>
      <c r="C9" s="21"/>
      <c r="F9" s="21"/>
      <c r="G9" s="21"/>
    </row>
    <row r="10" spans="1:7" x14ac:dyDescent="0.25">
      <c r="A10" s="2" t="s">
        <v>9</v>
      </c>
      <c r="B10" s="3" t="s">
        <v>248</v>
      </c>
      <c r="C10" s="21"/>
      <c r="F10" s="21"/>
      <c r="G10" s="21"/>
    </row>
    <row r="11" spans="1:7" x14ac:dyDescent="0.25">
      <c r="A11" s="2" t="s">
        <v>10</v>
      </c>
      <c r="B11" s="3" t="s">
        <v>249</v>
      </c>
      <c r="C11" s="21"/>
      <c r="F11" s="21"/>
      <c r="G11" s="21"/>
    </row>
    <row r="12" spans="1:7" x14ac:dyDescent="0.25">
      <c r="A12" s="2" t="s">
        <v>11</v>
      </c>
      <c r="B12" s="3" t="s">
        <v>250</v>
      </c>
      <c r="C12" s="21"/>
      <c r="F12" s="21"/>
      <c r="G12" s="21"/>
    </row>
    <row r="13" spans="1:7" x14ac:dyDescent="0.25">
      <c r="A13" s="2" t="s">
        <v>12</v>
      </c>
      <c r="B13" s="3" t="s">
        <v>251</v>
      </c>
      <c r="C13" s="21"/>
      <c r="F13" s="21"/>
      <c r="G13" s="21"/>
    </row>
    <row r="14" spans="1:7" x14ac:dyDescent="0.25">
      <c r="A14" s="2" t="s">
        <v>13</v>
      </c>
      <c r="B14" s="3" t="s">
        <v>252</v>
      </c>
      <c r="C14" s="21"/>
      <c r="F14" s="21"/>
      <c r="G14" s="21"/>
    </row>
    <row r="15" spans="1:7" x14ac:dyDescent="0.25">
      <c r="A15" s="2" t="s">
        <v>14</v>
      </c>
      <c r="B15" s="3" t="s">
        <v>253</v>
      </c>
      <c r="F15" s="21"/>
      <c r="G15" s="21"/>
    </row>
    <row r="16" spans="1:7" x14ac:dyDescent="0.25">
      <c r="A16" s="2" t="s">
        <v>15</v>
      </c>
      <c r="B16" s="3" t="s">
        <v>254</v>
      </c>
      <c r="F16" s="21"/>
      <c r="G16" s="21"/>
    </row>
    <row r="17" spans="1:7" x14ac:dyDescent="0.25">
      <c r="A17" s="2" t="s">
        <v>16</v>
      </c>
      <c r="B17" s="3" t="s">
        <v>255</v>
      </c>
      <c r="F17" s="21"/>
      <c r="G17" s="21"/>
    </row>
    <row r="18" spans="1:7" x14ac:dyDescent="0.25">
      <c r="A18" s="2" t="s">
        <v>17</v>
      </c>
      <c r="B18" s="3" t="s">
        <v>256</v>
      </c>
      <c r="F18" s="21"/>
      <c r="G18" s="21"/>
    </row>
    <row r="19" spans="1:7" x14ac:dyDescent="0.25">
      <c r="A19" s="2" t="s">
        <v>18</v>
      </c>
      <c r="B19" s="3" t="s">
        <v>238</v>
      </c>
      <c r="C19" s="21"/>
      <c r="F19" s="21"/>
      <c r="G19" s="21"/>
    </row>
    <row r="20" spans="1:7" x14ac:dyDescent="0.25">
      <c r="A20" s="2" t="s">
        <v>19</v>
      </c>
      <c r="B20" s="3" t="s">
        <v>239</v>
      </c>
      <c r="C20" s="21"/>
      <c r="F20" s="21"/>
      <c r="G20" s="21"/>
    </row>
    <row r="21" spans="1:7" x14ac:dyDescent="0.25">
      <c r="A21" s="2" t="s">
        <v>20</v>
      </c>
      <c r="B21" s="3" t="s">
        <v>257</v>
      </c>
      <c r="C21" s="21"/>
      <c r="F21" s="21"/>
      <c r="G21" s="21"/>
    </row>
    <row r="22" spans="1:7" x14ac:dyDescent="0.25">
      <c r="A22" s="2" t="s">
        <v>21</v>
      </c>
      <c r="B22" s="3" t="s">
        <v>258</v>
      </c>
      <c r="C22" s="21"/>
      <c r="F22" s="21"/>
      <c r="G22" s="21"/>
    </row>
    <row r="23" spans="1:7" x14ac:dyDescent="0.25">
      <c r="A23" s="2" t="s">
        <v>22</v>
      </c>
      <c r="B23" s="3" t="s">
        <v>259</v>
      </c>
      <c r="C23" s="21"/>
      <c r="F23" s="21"/>
      <c r="G23" s="21"/>
    </row>
    <row r="24" spans="1:7" x14ac:dyDescent="0.25">
      <c r="A24" s="2" t="s">
        <v>23</v>
      </c>
      <c r="B24" s="3" t="s">
        <v>260</v>
      </c>
      <c r="C24" s="21"/>
      <c r="F24" s="21"/>
      <c r="G24" s="21"/>
    </row>
    <row r="25" spans="1:7" x14ac:dyDescent="0.25">
      <c r="A25" s="2" t="s">
        <v>24</v>
      </c>
      <c r="B25" s="3" t="s">
        <v>261</v>
      </c>
      <c r="F25" s="21"/>
      <c r="G25" s="21"/>
    </row>
    <row r="26" spans="1:7" x14ac:dyDescent="0.25">
      <c r="A26" s="2" t="s">
        <v>25</v>
      </c>
      <c r="B26" s="3" t="s">
        <v>262</v>
      </c>
      <c r="C26" s="21"/>
      <c r="F26" s="21"/>
      <c r="G26" s="21"/>
    </row>
    <row r="27" spans="1:7" x14ac:dyDescent="0.25">
      <c r="A27" s="2" t="s">
        <v>26</v>
      </c>
      <c r="B27" s="3" t="s">
        <v>263</v>
      </c>
      <c r="C27" s="21"/>
      <c r="F27" s="21"/>
      <c r="G27" s="21"/>
    </row>
    <row r="28" spans="1:7" x14ac:dyDescent="0.25">
      <c r="A28" s="2" t="s">
        <v>27</v>
      </c>
      <c r="B28" s="3" t="s">
        <v>264</v>
      </c>
      <c r="C28" s="21"/>
      <c r="F28" s="21"/>
      <c r="G28" s="21"/>
    </row>
    <row r="29" spans="1:7" x14ac:dyDescent="0.25">
      <c r="A29" s="2" t="s">
        <v>28</v>
      </c>
      <c r="B29" s="3" t="s">
        <v>265</v>
      </c>
      <c r="C29" s="21"/>
      <c r="F29" s="21"/>
      <c r="G29" s="21"/>
    </row>
    <row r="30" spans="1:7" x14ac:dyDescent="0.25">
      <c r="A30" s="2" t="s">
        <v>29</v>
      </c>
      <c r="B30" s="3" t="s">
        <v>266</v>
      </c>
      <c r="C30" s="21"/>
      <c r="F30" s="21"/>
      <c r="G30" s="21"/>
    </row>
    <row r="31" spans="1:7" x14ac:dyDescent="0.25">
      <c r="A31" s="2" t="s">
        <v>30</v>
      </c>
      <c r="B31" s="3" t="s">
        <v>267</v>
      </c>
      <c r="C31" s="21"/>
      <c r="F31" s="21"/>
      <c r="G31" s="21"/>
    </row>
    <row r="32" spans="1:7" x14ac:dyDescent="0.25">
      <c r="A32" s="2" t="s">
        <v>31</v>
      </c>
      <c r="B32" s="3" t="s">
        <v>268</v>
      </c>
      <c r="C32" s="21"/>
      <c r="F32" s="21"/>
      <c r="G32" s="21"/>
    </row>
    <row r="33" spans="1:7" x14ac:dyDescent="0.25">
      <c r="A33" s="2" t="s">
        <v>32</v>
      </c>
      <c r="B33" s="3" t="s">
        <v>269</v>
      </c>
      <c r="C33" s="21"/>
      <c r="F33" s="21"/>
      <c r="G33" s="21"/>
    </row>
    <row r="34" spans="1:7" x14ac:dyDescent="0.25">
      <c r="A34" s="2" t="s">
        <v>33</v>
      </c>
      <c r="B34" s="3" t="s">
        <v>270</v>
      </c>
      <c r="C34" s="21"/>
      <c r="F34" s="21"/>
      <c r="G34" s="21"/>
    </row>
    <row r="35" spans="1:7" x14ac:dyDescent="0.25">
      <c r="A35" s="2" t="s">
        <v>34</v>
      </c>
      <c r="B35" s="3" t="s">
        <v>271</v>
      </c>
      <c r="C35" s="21"/>
      <c r="F35" s="21"/>
      <c r="G35" s="21"/>
    </row>
    <row r="36" spans="1:7" x14ac:dyDescent="0.25">
      <c r="A36" s="2" t="s">
        <v>35</v>
      </c>
      <c r="B36" s="3" t="s">
        <v>272</v>
      </c>
      <c r="C36" s="21"/>
      <c r="F36" s="21"/>
      <c r="G36" s="21"/>
    </row>
    <row r="37" spans="1:7" x14ac:dyDescent="0.25">
      <c r="A37" s="2" t="s">
        <v>36</v>
      </c>
      <c r="B37" s="3" t="s">
        <v>273</v>
      </c>
      <c r="C37" s="21"/>
      <c r="F37" s="21"/>
      <c r="G37" s="21"/>
    </row>
    <row r="38" spans="1:7" x14ac:dyDescent="0.25">
      <c r="A38" s="2" t="s">
        <v>37</v>
      </c>
      <c r="B38" s="3" t="s">
        <v>274</v>
      </c>
      <c r="C38" s="21"/>
      <c r="F38" s="21"/>
      <c r="G38" s="21"/>
    </row>
    <row r="39" spans="1:7" x14ac:dyDescent="0.25">
      <c r="A39" s="2" t="s">
        <v>38</v>
      </c>
      <c r="B39" s="3" t="s">
        <v>275</v>
      </c>
      <c r="C39" s="21"/>
      <c r="F39" s="21"/>
      <c r="G39" s="21"/>
    </row>
    <row r="40" spans="1:7" x14ac:dyDescent="0.25">
      <c r="A40" s="2" t="s">
        <v>39</v>
      </c>
      <c r="B40" s="3" t="s">
        <v>276</v>
      </c>
      <c r="C40" s="21"/>
      <c r="F40" s="21"/>
      <c r="G40" s="21"/>
    </row>
    <row r="41" spans="1:7" x14ac:dyDescent="0.25">
      <c r="A41" s="2" t="s">
        <v>40</v>
      </c>
      <c r="B41" s="3" t="s">
        <v>277</v>
      </c>
      <c r="C41" s="21"/>
      <c r="F41" s="21"/>
      <c r="G41" s="21"/>
    </row>
    <row r="42" spans="1:7" x14ac:dyDescent="0.25">
      <c r="A42" s="2" t="s">
        <v>41</v>
      </c>
      <c r="B42" s="3" t="s">
        <v>278</v>
      </c>
      <c r="F42" s="21"/>
      <c r="G42" s="21"/>
    </row>
    <row r="43" spans="1:7" x14ac:dyDescent="0.25">
      <c r="A43" s="2" t="s">
        <v>42</v>
      </c>
      <c r="B43" s="3" t="s">
        <v>279</v>
      </c>
      <c r="F43" s="21"/>
      <c r="G43" s="21"/>
    </row>
    <row r="44" spans="1:7" x14ac:dyDescent="0.25">
      <c r="A44" s="2" t="s">
        <v>43</v>
      </c>
      <c r="B44" s="3" t="s">
        <v>280</v>
      </c>
      <c r="F44" s="21"/>
      <c r="G44" s="21"/>
    </row>
    <row r="45" spans="1:7" x14ac:dyDescent="0.25">
      <c r="A45" s="2" t="s">
        <v>44</v>
      </c>
      <c r="B45" s="3" t="s">
        <v>281</v>
      </c>
      <c r="F45" s="21"/>
      <c r="G45" s="21"/>
    </row>
    <row r="46" spans="1:7" x14ac:dyDescent="0.25">
      <c r="A46" s="2" t="s">
        <v>45</v>
      </c>
      <c r="B46" s="3" t="s">
        <v>282</v>
      </c>
      <c r="C46" s="21"/>
      <c r="F46" s="21"/>
      <c r="G46" s="21"/>
    </row>
    <row r="47" spans="1:7" x14ac:dyDescent="0.25">
      <c r="A47" s="2" t="s">
        <v>46</v>
      </c>
      <c r="B47" s="3" t="s">
        <v>283</v>
      </c>
      <c r="C47" s="21"/>
      <c r="F47" s="21"/>
      <c r="G47" s="21"/>
    </row>
    <row r="48" spans="1:7" x14ac:dyDescent="0.25">
      <c r="A48" s="2" t="s">
        <v>47</v>
      </c>
      <c r="B48" s="3" t="s">
        <v>284</v>
      </c>
      <c r="C48" s="21"/>
      <c r="F48" s="21"/>
      <c r="G48" s="21"/>
    </row>
    <row r="49" spans="1:7" x14ac:dyDescent="0.25">
      <c r="A49" s="2" t="s">
        <v>48</v>
      </c>
      <c r="B49" s="3" t="s">
        <v>285</v>
      </c>
      <c r="C49" s="21"/>
      <c r="F49" s="21"/>
      <c r="G49" s="21"/>
    </row>
    <row r="50" spans="1:7" x14ac:dyDescent="0.25">
      <c r="A50" s="2" t="s">
        <v>49</v>
      </c>
      <c r="B50" s="3" t="s">
        <v>286</v>
      </c>
      <c r="C50" s="21"/>
      <c r="F50" s="21"/>
      <c r="G50" s="21"/>
    </row>
    <row r="51" spans="1:7" x14ac:dyDescent="0.25">
      <c r="A51" s="2" t="s">
        <v>50</v>
      </c>
      <c r="B51" s="3" t="s">
        <v>287</v>
      </c>
      <c r="F51" s="21"/>
      <c r="G51" s="21"/>
    </row>
    <row r="52" spans="1:7" x14ac:dyDescent="0.25">
      <c r="A52" s="2" t="s">
        <v>51</v>
      </c>
      <c r="B52" s="3" t="s">
        <v>288</v>
      </c>
      <c r="F52" s="21"/>
      <c r="G52" s="21"/>
    </row>
    <row r="53" spans="1:7" x14ac:dyDescent="0.25">
      <c r="A53" s="2" t="s">
        <v>52</v>
      </c>
      <c r="B53" s="3" t="s">
        <v>289</v>
      </c>
      <c r="F53" s="21"/>
      <c r="G53" s="21"/>
    </row>
    <row r="54" spans="1:7" x14ac:dyDescent="0.25">
      <c r="A54" s="2" t="s">
        <v>53</v>
      </c>
      <c r="B54" s="3" t="s">
        <v>290</v>
      </c>
      <c r="F54" s="21"/>
      <c r="G54" s="21"/>
    </row>
    <row r="55" spans="1:7" x14ac:dyDescent="0.25">
      <c r="A55" s="2" t="s">
        <v>54</v>
      </c>
      <c r="B55" s="3" t="s">
        <v>291</v>
      </c>
      <c r="F55" s="21"/>
      <c r="G55" s="21"/>
    </row>
    <row r="56" spans="1:7" x14ac:dyDescent="0.25">
      <c r="A56" s="2" t="s">
        <v>55</v>
      </c>
      <c r="B56" s="3" t="s">
        <v>292</v>
      </c>
      <c r="F56" s="21"/>
      <c r="G56" s="21"/>
    </row>
    <row r="57" spans="1:7" x14ac:dyDescent="0.25">
      <c r="A57" s="2" t="s">
        <v>56</v>
      </c>
      <c r="B57" s="3" t="s">
        <v>293</v>
      </c>
      <c r="F57" s="21"/>
      <c r="G57" s="21"/>
    </row>
    <row r="58" spans="1:7" x14ac:dyDescent="0.25">
      <c r="A58" s="2" t="s">
        <v>57</v>
      </c>
      <c r="B58" s="3" t="s">
        <v>294</v>
      </c>
      <c r="F58" s="21"/>
      <c r="G58" s="21"/>
    </row>
    <row r="59" spans="1:7" x14ac:dyDescent="0.25">
      <c r="A59" s="2" t="s">
        <v>58</v>
      </c>
      <c r="B59" s="3" t="s">
        <v>295</v>
      </c>
      <c r="F59" s="21"/>
      <c r="G59" s="21"/>
    </row>
    <row r="60" spans="1:7" x14ac:dyDescent="0.25">
      <c r="A60" s="2" t="s">
        <v>59</v>
      </c>
      <c r="B60" s="3" t="s">
        <v>296</v>
      </c>
      <c r="F60" s="21"/>
      <c r="G60" s="21"/>
    </row>
    <row r="61" spans="1:7" x14ac:dyDescent="0.25">
      <c r="A61" s="2" t="s">
        <v>60</v>
      </c>
      <c r="B61" s="3" t="s">
        <v>297</v>
      </c>
      <c r="F61" s="21"/>
      <c r="G61" s="21"/>
    </row>
    <row r="62" spans="1:7" x14ac:dyDescent="0.25">
      <c r="A62" s="2" t="s">
        <v>61</v>
      </c>
      <c r="B62" s="3" t="s">
        <v>298</v>
      </c>
      <c r="F62" s="21"/>
      <c r="G62" s="21"/>
    </row>
    <row r="63" spans="1:7" x14ac:dyDescent="0.25">
      <c r="A63" s="2" t="s">
        <v>62</v>
      </c>
      <c r="B63" s="3" t="s">
        <v>299</v>
      </c>
      <c r="F63" s="21"/>
      <c r="G63" s="21"/>
    </row>
    <row r="64" spans="1:7" x14ac:dyDescent="0.25">
      <c r="A64" s="2" t="s">
        <v>63</v>
      </c>
      <c r="B64" s="3" t="s">
        <v>300</v>
      </c>
      <c r="F64" s="21"/>
      <c r="G64" s="21"/>
    </row>
    <row r="65" spans="1:7" x14ac:dyDescent="0.25">
      <c r="A65" s="2" t="s">
        <v>64</v>
      </c>
      <c r="B65" s="3" t="s">
        <v>301</v>
      </c>
      <c r="F65" s="21"/>
      <c r="G65" s="21"/>
    </row>
    <row r="66" spans="1:7" x14ac:dyDescent="0.25">
      <c r="A66" s="2" t="s">
        <v>65</v>
      </c>
      <c r="B66" s="3" t="s">
        <v>302</v>
      </c>
      <c r="F66" s="21"/>
      <c r="G66" s="21"/>
    </row>
    <row r="67" spans="1:7" x14ac:dyDescent="0.25">
      <c r="A67" s="2" t="s">
        <v>66</v>
      </c>
      <c r="B67" s="3" t="s">
        <v>303</v>
      </c>
      <c r="F67" s="21"/>
      <c r="G67" s="21"/>
    </row>
    <row r="68" spans="1:7" x14ac:dyDescent="0.25">
      <c r="A68" s="2" t="s">
        <v>67</v>
      </c>
      <c r="B68" s="3" t="s">
        <v>304</v>
      </c>
      <c r="F68" s="21"/>
      <c r="G68" s="21"/>
    </row>
    <row r="69" spans="1:7" x14ac:dyDescent="0.25">
      <c r="A69" s="2" t="s">
        <v>68</v>
      </c>
      <c r="B69" s="3" t="s">
        <v>305</v>
      </c>
      <c r="F69" s="21"/>
      <c r="G69" s="21"/>
    </row>
    <row r="70" spans="1:7" x14ac:dyDescent="0.25">
      <c r="A70" s="2" t="s">
        <v>69</v>
      </c>
      <c r="B70" s="3" t="s">
        <v>306</v>
      </c>
      <c r="F70" s="21"/>
      <c r="G70" s="21"/>
    </row>
    <row r="71" spans="1:7" x14ac:dyDescent="0.25">
      <c r="A71" s="2" t="s">
        <v>70</v>
      </c>
      <c r="B71" s="3" t="s">
        <v>307</v>
      </c>
      <c r="F71" s="21"/>
      <c r="G71" s="21"/>
    </row>
    <row r="72" spans="1:7" x14ac:dyDescent="0.25">
      <c r="A72" s="2" t="s">
        <v>71</v>
      </c>
      <c r="B72" s="3" t="s">
        <v>308</v>
      </c>
      <c r="F72" s="21"/>
      <c r="G72" s="21"/>
    </row>
    <row r="73" spans="1:7" x14ac:dyDescent="0.25">
      <c r="A73" s="2" t="s">
        <v>72</v>
      </c>
      <c r="B73" s="3" t="s">
        <v>309</v>
      </c>
      <c r="F73" s="21"/>
      <c r="G73" s="21"/>
    </row>
    <row r="74" spans="1:7" x14ac:dyDescent="0.25">
      <c r="A74" s="2" t="s">
        <v>73</v>
      </c>
      <c r="B74" s="3" t="s">
        <v>310</v>
      </c>
      <c r="F74" s="21"/>
      <c r="G74" s="21"/>
    </row>
    <row r="75" spans="1:7" x14ac:dyDescent="0.25">
      <c r="A75" s="2" t="s">
        <v>74</v>
      </c>
      <c r="B75" s="3" t="s">
        <v>311</v>
      </c>
      <c r="F75" s="21"/>
      <c r="G75" s="21"/>
    </row>
    <row r="76" spans="1:7" x14ac:dyDescent="0.25">
      <c r="A76" s="2" t="s">
        <v>75</v>
      </c>
      <c r="B76" s="3" t="s">
        <v>312</v>
      </c>
      <c r="F76" s="21"/>
      <c r="G76" s="21"/>
    </row>
    <row r="77" spans="1:7" x14ac:dyDescent="0.25">
      <c r="A77" s="2" t="s">
        <v>76</v>
      </c>
      <c r="B77" s="3" t="s">
        <v>313</v>
      </c>
      <c r="F77" s="21"/>
      <c r="G77" s="21"/>
    </row>
    <row r="78" spans="1:7" x14ac:dyDescent="0.25">
      <c r="A78" s="2" t="s">
        <v>77</v>
      </c>
      <c r="B78" s="3" t="s">
        <v>314</v>
      </c>
      <c r="F78" s="21"/>
      <c r="G78" s="21"/>
    </row>
    <row r="79" spans="1:7" x14ac:dyDescent="0.25">
      <c r="A79" s="2" t="s">
        <v>78</v>
      </c>
      <c r="B79" s="3" t="s">
        <v>315</v>
      </c>
      <c r="F79" s="21"/>
      <c r="G79" s="21"/>
    </row>
    <row r="80" spans="1:7" x14ac:dyDescent="0.25">
      <c r="A80" s="2" t="s">
        <v>79</v>
      </c>
      <c r="B80" s="3" t="s">
        <v>316</v>
      </c>
      <c r="F80" s="21"/>
      <c r="G80" s="21"/>
    </row>
    <row r="81" spans="1:7" x14ac:dyDescent="0.25">
      <c r="A81" s="2" t="s">
        <v>80</v>
      </c>
      <c r="B81" s="3" t="s">
        <v>317</v>
      </c>
      <c r="F81" s="21"/>
      <c r="G81" s="21"/>
    </row>
    <row r="82" spans="1:7" x14ac:dyDescent="0.25">
      <c r="A82" s="2" t="s">
        <v>81</v>
      </c>
      <c r="B82" s="3" t="s">
        <v>318</v>
      </c>
      <c r="F82" s="21"/>
      <c r="G82" s="21"/>
    </row>
    <row r="83" spans="1:7" x14ac:dyDescent="0.25">
      <c r="A83" s="2" t="s">
        <v>82</v>
      </c>
      <c r="B83" s="3" t="s">
        <v>319</v>
      </c>
      <c r="F83" s="21"/>
      <c r="G83" s="21"/>
    </row>
    <row r="84" spans="1:7" x14ac:dyDescent="0.25">
      <c r="A84" s="2" t="s">
        <v>83</v>
      </c>
      <c r="B84" s="3" t="s">
        <v>320</v>
      </c>
      <c r="F84" s="21"/>
      <c r="G84" s="21"/>
    </row>
    <row r="85" spans="1:7" x14ac:dyDescent="0.25">
      <c r="A85" s="2" t="s">
        <v>84</v>
      </c>
      <c r="B85" s="3" t="s">
        <v>321</v>
      </c>
      <c r="F85" s="21"/>
      <c r="G85" s="21"/>
    </row>
    <row r="86" spans="1:7" x14ac:dyDescent="0.25">
      <c r="A86" s="2" t="s">
        <v>85</v>
      </c>
      <c r="B86" s="3" t="s">
        <v>322</v>
      </c>
      <c r="F86" s="21"/>
      <c r="G86" s="21"/>
    </row>
    <row r="87" spans="1:7" x14ac:dyDescent="0.25">
      <c r="A87" s="2" t="s">
        <v>86</v>
      </c>
      <c r="B87" s="3" t="s">
        <v>323</v>
      </c>
      <c r="F87" s="21"/>
      <c r="G87" s="21"/>
    </row>
    <row r="88" spans="1:7" x14ac:dyDescent="0.25">
      <c r="A88" s="2" t="s">
        <v>87</v>
      </c>
      <c r="B88" s="3" t="s">
        <v>324</v>
      </c>
      <c r="F88" s="21"/>
      <c r="G88" s="21"/>
    </row>
    <row r="89" spans="1:7" x14ac:dyDescent="0.25">
      <c r="A89" s="2" t="s">
        <v>88</v>
      </c>
      <c r="B89" s="3" t="s">
        <v>325</v>
      </c>
      <c r="F89" s="21"/>
      <c r="G89" s="21"/>
    </row>
    <row r="90" spans="1:7" x14ac:dyDescent="0.25">
      <c r="A90" s="2" t="s">
        <v>89</v>
      </c>
      <c r="B90" s="3" t="s">
        <v>326</v>
      </c>
      <c r="F90" s="21"/>
      <c r="G90" s="21"/>
    </row>
    <row r="91" spans="1:7" x14ac:dyDescent="0.25">
      <c r="A91" s="2" t="s">
        <v>90</v>
      </c>
      <c r="B91" s="3" t="s">
        <v>327</v>
      </c>
      <c r="F91" s="21"/>
      <c r="G91" s="21"/>
    </row>
    <row r="92" spans="1:7" x14ac:dyDescent="0.25">
      <c r="A92" s="2" t="s">
        <v>91</v>
      </c>
      <c r="B92" s="3" t="s">
        <v>328</v>
      </c>
      <c r="F92" s="21"/>
      <c r="G92" s="21"/>
    </row>
    <row r="93" spans="1:7" x14ac:dyDescent="0.25">
      <c r="A93" s="2" t="s">
        <v>92</v>
      </c>
      <c r="B93" s="3" t="s">
        <v>329</v>
      </c>
      <c r="F93" s="21"/>
      <c r="G93" s="21"/>
    </row>
    <row r="94" spans="1:7" x14ac:dyDescent="0.25">
      <c r="A94" s="2" t="s">
        <v>93</v>
      </c>
      <c r="B94" s="3" t="s">
        <v>330</v>
      </c>
      <c r="F94" s="21"/>
      <c r="G94" s="21"/>
    </row>
    <row r="95" spans="1:7" x14ac:dyDescent="0.25">
      <c r="A95" s="2" t="s">
        <v>94</v>
      </c>
      <c r="B95" s="3" t="s">
        <v>331</v>
      </c>
      <c r="F95" s="21"/>
      <c r="G95" s="21"/>
    </row>
    <row r="96" spans="1:7" x14ac:dyDescent="0.25">
      <c r="A96" s="2" t="s">
        <v>95</v>
      </c>
      <c r="B96" s="3" t="s">
        <v>332</v>
      </c>
      <c r="F96" s="21"/>
      <c r="G96" s="21"/>
    </row>
    <row r="97" spans="1:7" x14ac:dyDescent="0.25">
      <c r="A97" s="2" t="s">
        <v>96</v>
      </c>
      <c r="B97" s="3" t="s">
        <v>333</v>
      </c>
      <c r="F97" s="21"/>
      <c r="G97" s="21"/>
    </row>
    <row r="98" spans="1:7" x14ac:dyDescent="0.25">
      <c r="A98" s="2" t="s">
        <v>97</v>
      </c>
      <c r="B98" s="3" t="s">
        <v>334</v>
      </c>
      <c r="F98" s="21"/>
      <c r="G98" s="21"/>
    </row>
    <row r="99" spans="1:7" x14ac:dyDescent="0.25">
      <c r="A99" s="2" t="s">
        <v>98</v>
      </c>
      <c r="B99" s="3" t="s">
        <v>335</v>
      </c>
      <c r="F99" s="21"/>
      <c r="G99" s="21"/>
    </row>
    <row r="100" spans="1:7" x14ac:dyDescent="0.25">
      <c r="A100" s="2" t="s">
        <v>99</v>
      </c>
      <c r="B100" s="3" t="s">
        <v>336</v>
      </c>
      <c r="F100" s="21"/>
      <c r="G100" s="21"/>
    </row>
    <row r="101" spans="1:7" x14ac:dyDescent="0.25">
      <c r="A101" s="2" t="s">
        <v>100</v>
      </c>
      <c r="B101" s="3" t="s">
        <v>337</v>
      </c>
      <c r="F101" s="21"/>
      <c r="G101" s="21"/>
    </row>
    <row r="102" spans="1:7" x14ac:dyDescent="0.25">
      <c r="A102" s="2" t="s">
        <v>101</v>
      </c>
      <c r="B102" s="3" t="s">
        <v>338</v>
      </c>
      <c r="F102" s="21"/>
      <c r="G102" s="21"/>
    </row>
    <row r="103" spans="1:7" x14ac:dyDescent="0.25">
      <c r="A103" s="2" t="s">
        <v>102</v>
      </c>
      <c r="B103" s="3" t="s">
        <v>339</v>
      </c>
      <c r="F103" s="21"/>
      <c r="G103" s="21"/>
    </row>
    <row r="104" spans="1:7" x14ac:dyDescent="0.25">
      <c r="A104" s="2" t="s">
        <v>103</v>
      </c>
      <c r="B104" s="3" t="s">
        <v>340</v>
      </c>
      <c r="F104" s="21"/>
      <c r="G104" s="21"/>
    </row>
    <row r="105" spans="1:7" x14ac:dyDescent="0.25">
      <c r="A105" s="2" t="s">
        <v>104</v>
      </c>
      <c r="B105" s="3" t="s">
        <v>341</v>
      </c>
      <c r="F105" s="21"/>
      <c r="G105" s="21"/>
    </row>
    <row r="106" spans="1:7" x14ac:dyDescent="0.25">
      <c r="A106" s="2" t="s">
        <v>105</v>
      </c>
      <c r="B106" s="3" t="s">
        <v>342</v>
      </c>
      <c r="F106" s="21"/>
      <c r="G106" s="21"/>
    </row>
    <row r="107" spans="1:7" x14ac:dyDescent="0.25">
      <c r="A107" s="2" t="s">
        <v>106</v>
      </c>
      <c r="B107" s="3" t="s">
        <v>343</v>
      </c>
      <c r="F107" s="21"/>
      <c r="G107" s="21"/>
    </row>
    <row r="108" spans="1:7" x14ac:dyDescent="0.25">
      <c r="A108" s="2" t="s">
        <v>107</v>
      </c>
      <c r="B108" s="3" t="s">
        <v>344</v>
      </c>
      <c r="F108" s="21"/>
      <c r="G108" s="21"/>
    </row>
    <row r="109" spans="1:7" x14ac:dyDescent="0.25">
      <c r="A109" s="2" t="s">
        <v>108</v>
      </c>
      <c r="B109" s="3" t="s">
        <v>345</v>
      </c>
      <c r="F109" s="21"/>
      <c r="G109" s="21"/>
    </row>
    <row r="110" spans="1:7" x14ac:dyDescent="0.25">
      <c r="A110" s="2" t="s">
        <v>109</v>
      </c>
      <c r="B110" s="3" t="s">
        <v>346</v>
      </c>
      <c r="F110" s="21"/>
      <c r="G110" s="21"/>
    </row>
    <row r="111" spans="1:7" x14ac:dyDescent="0.25">
      <c r="A111" s="2" t="s">
        <v>110</v>
      </c>
      <c r="B111" s="3" t="s">
        <v>347</v>
      </c>
      <c r="F111" s="21"/>
      <c r="G111" s="21"/>
    </row>
    <row r="112" spans="1:7" x14ac:dyDescent="0.25">
      <c r="A112" s="2" t="s">
        <v>111</v>
      </c>
      <c r="B112" s="3" t="s">
        <v>348</v>
      </c>
      <c r="F112" s="21"/>
      <c r="G112" s="21"/>
    </row>
    <row r="113" spans="1:7" x14ac:dyDescent="0.25">
      <c r="A113" s="2" t="s">
        <v>112</v>
      </c>
      <c r="B113" s="3" t="s">
        <v>349</v>
      </c>
      <c r="F113" s="21"/>
      <c r="G113" s="21"/>
    </row>
    <row r="114" spans="1:7" x14ac:dyDescent="0.25">
      <c r="A114" s="2" t="s">
        <v>113</v>
      </c>
      <c r="B114" s="3" t="s">
        <v>350</v>
      </c>
      <c r="F114" s="21"/>
      <c r="G114" s="21"/>
    </row>
    <row r="115" spans="1:7" x14ac:dyDescent="0.25">
      <c r="A115" s="2" t="s">
        <v>114</v>
      </c>
      <c r="B115" s="3" t="s">
        <v>351</v>
      </c>
      <c r="F115" s="21"/>
      <c r="G115" s="21"/>
    </row>
    <row r="116" spans="1:7" x14ac:dyDescent="0.25">
      <c r="A116" s="2" t="s">
        <v>115</v>
      </c>
      <c r="B116" s="3" t="s">
        <v>352</v>
      </c>
      <c r="F116" s="21"/>
      <c r="G116" s="21"/>
    </row>
    <row r="117" spans="1:7" x14ac:dyDescent="0.25">
      <c r="A117" s="2" t="s">
        <v>116</v>
      </c>
      <c r="B117" s="3" t="s">
        <v>353</v>
      </c>
      <c r="F117" s="21"/>
      <c r="G117" s="21"/>
    </row>
    <row r="118" spans="1:7" x14ac:dyDescent="0.25">
      <c r="A118" s="2" t="s">
        <v>117</v>
      </c>
      <c r="B118" s="3" t="s">
        <v>354</v>
      </c>
      <c r="F118" s="21"/>
      <c r="G118" s="21"/>
    </row>
    <row r="119" spans="1:7" x14ac:dyDescent="0.25">
      <c r="A119" s="2" t="s">
        <v>118</v>
      </c>
      <c r="B119" s="3" t="s">
        <v>355</v>
      </c>
      <c r="F119" s="21"/>
      <c r="G119" s="21"/>
    </row>
    <row r="120" spans="1:7" x14ac:dyDescent="0.25">
      <c r="A120" s="2" t="s">
        <v>119</v>
      </c>
      <c r="B120" s="3" t="s">
        <v>356</v>
      </c>
      <c r="F120" s="21"/>
      <c r="G120" s="21"/>
    </row>
    <row r="121" spans="1:7" x14ac:dyDescent="0.25">
      <c r="A121" s="2" t="s">
        <v>120</v>
      </c>
      <c r="B121" s="3" t="s">
        <v>357</v>
      </c>
      <c r="F121" s="21"/>
      <c r="G121" s="21"/>
    </row>
    <row r="122" spans="1:7" x14ac:dyDescent="0.25">
      <c r="A122" s="2" t="s">
        <v>121</v>
      </c>
      <c r="B122" s="3" t="s">
        <v>358</v>
      </c>
      <c r="F122" s="21"/>
      <c r="G122" s="21"/>
    </row>
    <row r="123" spans="1:7" x14ac:dyDescent="0.25">
      <c r="G123" s="21"/>
    </row>
  </sheetData>
  <hyperlinks>
    <hyperlink ref="A2" location="'CC104101'!A6" display="CC104101"/>
    <hyperlink ref="A3" location="'CC104102'!A6" display="CC104102"/>
    <hyperlink ref="A4" location="'CC104103'!A6" display="CC104103"/>
    <hyperlink ref="A5" location="'CC104104'!A6" display="CC104104"/>
    <hyperlink ref="A6" location="'CC104105'!A6" display="CC104105"/>
    <hyperlink ref="A7" location="'CC104106'!A6" display="CC104106"/>
    <hyperlink ref="A8" location="'CC104107'!A6" display="CC104107"/>
    <hyperlink ref="A9" location="'CC104201'!A6" display="CC104201"/>
    <hyperlink ref="A10" location="'CC104202'!A6" display="CC104202"/>
    <hyperlink ref="A11" location="'CC104203'!A6" display="CC104203"/>
    <hyperlink ref="A12" location="'CC104204'!A6" display="CC104204"/>
    <hyperlink ref="A13" location="'CC104205'!A6" display="CC104205"/>
    <hyperlink ref="A14" location="'CC104206'!A6" display="CC104206"/>
    <hyperlink ref="A15" location="'CC104301C'!A6" display="CC104301C"/>
    <hyperlink ref="A16" location="'CC104303'!A6" display="CC104303"/>
    <hyperlink ref="A17" location="'CC104305'!A6" display="CC104305"/>
    <hyperlink ref="A18" location="'CC104306'!A6" display="CC104306"/>
    <hyperlink ref="A19" location="'CC106101'!A6" display="CC106101"/>
    <hyperlink ref="A20" location="'CC106102'!A6" display="CC106102"/>
    <hyperlink ref="A21" location="'CC106103'!A6" display="CC106103"/>
    <hyperlink ref="A22" location="'CC106104'!A6" display="CC106104"/>
    <hyperlink ref="A23" location="'CC106105'!A6" display="CC106105"/>
    <hyperlink ref="A24" location="'CC106106'!A6" display="CC106106"/>
    <hyperlink ref="A25" location="'CC106107C'!A6" display="CC106107C"/>
    <hyperlink ref="A26" location="'CC106201'!A6" display="CC106201"/>
    <hyperlink ref="A27" location="'CC106202'!A6" display="CC106202"/>
    <hyperlink ref="A28" location="'CC106203'!A6" display="CC106203"/>
    <hyperlink ref="A29" location="'CC106204'!A6" display="CC106204"/>
    <hyperlink ref="A30" location="'CC106205'!A6" display="CC106205"/>
    <hyperlink ref="A31" location="'CC106206'!A6" display="CC106206"/>
    <hyperlink ref="A32" location="'CC106207'!A6" display="CC106207"/>
    <hyperlink ref="A33" location="'CC106208'!A6" display="CC106208"/>
    <hyperlink ref="A34" location="'CC106209'!A6" display="CC106209"/>
    <hyperlink ref="A35" location="'CC106301'!A6" display="CC106301"/>
    <hyperlink ref="A36" location="'CC106302'!A6" display="CC106302"/>
    <hyperlink ref="A37" location="'CC106303'!A6" display="CC106303"/>
    <hyperlink ref="A38" location="'CC106304'!A6" display="CC106304"/>
    <hyperlink ref="A39" location="'CC106305'!A6" display="CC106305"/>
    <hyperlink ref="A40" location="'CC106306'!A6" display="CC106306"/>
    <hyperlink ref="A41" location="'CC106307'!A6" display="CC106307"/>
    <hyperlink ref="A42" location="'CC102101'!A6" display="CC102101"/>
    <hyperlink ref="A43" location="'CC102102C'!A6" display="CC102102C"/>
    <hyperlink ref="A44" location="'CC102201'!A6" display="CC102201"/>
    <hyperlink ref="A45" location="'CC102202'!A6" display="CC102202"/>
    <hyperlink ref="A46" location="'CC102203'!A6" display="CC102203"/>
    <hyperlink ref="A47" location="'CC102204'!A6" display="CC102204"/>
    <hyperlink ref="A48" location="'CC102205'!A6" display="CC102205"/>
    <hyperlink ref="A49" location="'CC102206'!A6" display="CC102206"/>
    <hyperlink ref="A50" location="'CC102207'!A6" display="CC102207"/>
    <hyperlink ref="A51" location="'CC102208'!A6" display="CC102208"/>
    <hyperlink ref="A52" location="'CC102209C'!A6" display="CC102209C"/>
    <hyperlink ref="A53" location="'CC102212'!A6" display="CC102212"/>
    <hyperlink ref="A54" location="'CC102213'!A6" display="CC102213"/>
    <hyperlink ref="A55" location="'CC103101'!A6" display="CC103101"/>
    <hyperlink ref="A56" location="'CC103102'!A6" display="CC103102"/>
    <hyperlink ref="A57" location="'CC103103'!A6" display="CC103103"/>
    <hyperlink ref="A58" location="'CC103104'!A6" display="CC103104"/>
    <hyperlink ref="A59" location="'CC103105'!A6" display="CC103105"/>
    <hyperlink ref="A60" location="'CC103106'!A6" display="CC103106"/>
    <hyperlink ref="A61" location="'CC103107'!A6" display="CC103107"/>
    <hyperlink ref="A62" location="'CC103108C'!A6" display="CC103108C"/>
    <hyperlink ref="A63" location="'CC103201'!A6" display="CC103201"/>
    <hyperlink ref="A64" location="'CC103202'!A6" display="CC103202"/>
    <hyperlink ref="A65" location="'CC103203'!A6" display="CC103203"/>
    <hyperlink ref="A66" location="'CC103204'!A6" display="CC103204"/>
    <hyperlink ref="A67" location="'CC103205'!A6" display="CC103205"/>
    <hyperlink ref="A68" location="'CC103206'!A6" display="CC103206"/>
    <hyperlink ref="A69" location="'CC103207'!A6" display="CC103207"/>
    <hyperlink ref="A70" location="'CC103209'!A6" display="CC103209"/>
    <hyperlink ref="A71" location="'CC103210'!A6" display="CC103210"/>
    <hyperlink ref="A72" location="'CC103211'!A6" display="CC103211"/>
    <hyperlink ref="A73" location="'CC103301'!A6" display="CC103301"/>
    <hyperlink ref="A74" location="'CC103302'!A6" display="CC103302"/>
    <hyperlink ref="A75" location="'CC103303'!A6" display="CC103303"/>
    <hyperlink ref="A76" location="'CC103304'!A6" display="CC103304"/>
    <hyperlink ref="A77" location="'CC103305'!A6" display="CC103305"/>
    <hyperlink ref="A78" location="'CC103306'!A6" display="CC103306"/>
    <hyperlink ref="A79" location="'CC103307'!A6" display="CC103307"/>
    <hyperlink ref="A80" location="'CC103308'!A6" display="CC103308"/>
    <hyperlink ref="A81" location="'CC103309'!A6" display="CC103309"/>
    <hyperlink ref="A82" location="'CC100101'!A6" display="CC100101"/>
    <hyperlink ref="A83" location="'CC100102'!A6" display="CC100102"/>
    <hyperlink ref="A84" location="'CC100103'!A6" display="CC100103"/>
    <hyperlink ref="A85" location="'CC100104'!A6" display="CC100104"/>
    <hyperlink ref="A86" location="'CC100105'!A6" display="CC100105"/>
    <hyperlink ref="A87" location="'CC100201'!A6" display="CC100201"/>
    <hyperlink ref="A88" location="'CC100202'!A6" display="CC100202"/>
    <hyperlink ref="A89" location="'CC100203'!A6" display="CC100203"/>
    <hyperlink ref="A90" location="'CC100301'!A6" display="CC100301"/>
    <hyperlink ref="A91" location="'CC100302'!A6" display="CC100302"/>
    <hyperlink ref="A92" location="'CC100401'!A6" display="CC100401"/>
    <hyperlink ref="A93" location="'CC100402'!A6" display="CC100402"/>
    <hyperlink ref="A94" location="'CC105101'!A6" display="CC105101"/>
    <hyperlink ref="A95" location="'CC105102'!A6" display="CC105102"/>
    <hyperlink ref="A96" location="'CC105103C'!A6" display="CC105103C"/>
    <hyperlink ref="A97" location="'CC105105C'!A6" display="CC105105C"/>
    <hyperlink ref="A98" location="'CC105108C'!A6" display="CC105108C"/>
    <hyperlink ref="A99" location="'CC105201C'!A6" display="CC105201C"/>
    <hyperlink ref="A100" location="'CC105203C'!A6" display="CC105203C"/>
    <hyperlink ref="A101" location="'CC105205'!A6" display="CC105205"/>
    <hyperlink ref="A102" location="'CC105206'!A6" display="CC105206"/>
    <hyperlink ref="A103" location="'CC105207'!A6" display="CC105207"/>
    <hyperlink ref="A104" location="'CC105208C'!A6" display="CC105208C"/>
    <hyperlink ref="A105" location="'CC105211'!A6" display="CC105211"/>
    <hyperlink ref="A106" location="'CC105212C'!A6" display="CC105212C"/>
    <hyperlink ref="A107" location="'CC105214'!A6" display="CC105214"/>
    <hyperlink ref="A108" location="'CC105301'!A6" display="CC105301"/>
    <hyperlink ref="A109" location="'CC105302'!A6" display="CC105302"/>
    <hyperlink ref="A110" location="'CC105303'!A6" display="CC105303"/>
    <hyperlink ref="A111" location="'CC105304C'!A6" display="CC105304C"/>
    <hyperlink ref="A112" location="'CC105306'!A6" display="CC105306"/>
    <hyperlink ref="A113" location="'CC105307'!A6" display="CC105307"/>
    <hyperlink ref="A114" location="'CC105308C'!A6" display="CC105308C"/>
    <hyperlink ref="A115" location="'CC105401'!A6" display="CC105401"/>
    <hyperlink ref="A116" location="'CC105402'!A6" display="CC105402"/>
    <hyperlink ref="A117" location="'CC105403'!A6" display="CC105403"/>
    <hyperlink ref="A118" location="'CC105404'!A6" display="CC105404"/>
    <hyperlink ref="A119" location="'CC105405'!A6" display="CC105405"/>
    <hyperlink ref="A120" location="'CC105406'!A6" display="CC105406"/>
    <hyperlink ref="A121" location="'CC105407'!A6" display="CC105407"/>
    <hyperlink ref="A122" location="'CC105408C'!A6" display="CC105408C"/>
  </hyperlinks>
  <pageMargins left="0.75" right="0.75" top="1" bottom="1" header="0.5" footer="0.5"/>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R96"/>
  <sheetViews>
    <sheetView zoomScale="80" workbookViewId="0">
      <pane xSplit="4" topLeftCell="E1" activePane="topRight" state="frozen"/>
      <selection pane="topRight" sqref="A1:R1"/>
    </sheetView>
  </sheetViews>
  <sheetFormatPr defaultColWidth="11.42578125" defaultRowHeight="15" x14ac:dyDescent="0.25"/>
  <cols>
    <col min="1" max="1" width="50" customWidth="1"/>
  </cols>
  <sheetData>
    <row r="1" spans="1:18" x14ac:dyDescent="0.25">
      <c r="A1" s="26" t="s">
        <v>122</v>
      </c>
      <c r="B1" s="23"/>
      <c r="C1" s="23"/>
      <c r="D1" s="23"/>
      <c r="E1" s="23"/>
      <c r="F1" s="23"/>
      <c r="G1" s="23"/>
      <c r="H1" s="23"/>
      <c r="I1" s="23"/>
      <c r="J1" s="23"/>
      <c r="K1" s="23"/>
      <c r="L1" s="23"/>
      <c r="M1" s="23"/>
      <c r="N1" s="23"/>
      <c r="O1" s="23"/>
      <c r="P1" s="23"/>
      <c r="Q1" s="23"/>
      <c r="R1" s="23"/>
    </row>
    <row r="2" spans="1:18" x14ac:dyDescent="0.25">
      <c r="A2" s="27" t="s">
        <v>240</v>
      </c>
      <c r="B2" s="23"/>
      <c r="C2" s="23"/>
      <c r="D2" s="23"/>
      <c r="E2" s="23"/>
      <c r="F2" s="23"/>
      <c r="G2" s="23"/>
      <c r="H2" s="23"/>
      <c r="I2" s="23"/>
      <c r="J2" s="23"/>
      <c r="K2" s="23"/>
      <c r="L2" s="23"/>
      <c r="M2" s="23"/>
      <c r="N2" s="23"/>
      <c r="O2" s="23"/>
      <c r="P2" s="23"/>
      <c r="Q2" s="23"/>
      <c r="R2" s="23"/>
    </row>
    <row r="4" spans="1:18" ht="30" customHeight="1" x14ac:dyDescent="0.25">
      <c r="A4" s="4"/>
      <c r="B4" s="5" t="s">
        <v>123</v>
      </c>
      <c r="C4" s="5" t="s">
        <v>124</v>
      </c>
      <c r="D4" s="6" t="s">
        <v>123</v>
      </c>
      <c r="E4" s="24" t="s">
        <v>125</v>
      </c>
      <c r="F4" s="25"/>
      <c r="G4" s="24" t="s">
        <v>126</v>
      </c>
      <c r="H4" s="25"/>
      <c r="I4" s="24" t="s">
        <v>127</v>
      </c>
      <c r="J4" s="25"/>
      <c r="K4" s="24" t="s">
        <v>128</v>
      </c>
      <c r="L4" s="25"/>
      <c r="M4" s="24" t="s">
        <v>129</v>
      </c>
      <c r="N4" s="25"/>
      <c r="O4" s="24" t="s">
        <v>130</v>
      </c>
      <c r="P4" s="25"/>
      <c r="Q4" s="24" t="s">
        <v>131</v>
      </c>
      <c r="R4" s="25"/>
    </row>
    <row r="5" spans="1:18" x14ac:dyDescent="0.25">
      <c r="A5" s="7"/>
      <c r="B5" s="8" t="s">
        <v>132</v>
      </c>
      <c r="C5" s="8" t="s">
        <v>133</v>
      </c>
      <c r="D5" s="7" t="s">
        <v>134</v>
      </c>
      <c r="E5" s="8" t="s">
        <v>135</v>
      </c>
      <c r="F5" s="7" t="s">
        <v>136</v>
      </c>
      <c r="G5" s="8" t="s">
        <v>135</v>
      </c>
      <c r="H5" s="7" t="s">
        <v>136</v>
      </c>
      <c r="I5" s="8" t="s">
        <v>135</v>
      </c>
      <c r="J5" s="7" t="s">
        <v>136</v>
      </c>
      <c r="K5" s="8" t="s">
        <v>135</v>
      </c>
      <c r="L5" s="7" t="s">
        <v>136</v>
      </c>
      <c r="M5" s="8" t="s">
        <v>135</v>
      </c>
      <c r="N5" s="7" t="s">
        <v>136</v>
      </c>
      <c r="O5" s="8" t="s">
        <v>135</v>
      </c>
      <c r="P5" s="7" t="s">
        <v>136</v>
      </c>
      <c r="Q5" s="8" t="s">
        <v>135</v>
      </c>
      <c r="R5" s="7" t="s">
        <v>136</v>
      </c>
    </row>
    <row r="6" spans="1:18" x14ac:dyDescent="0.25">
      <c r="A6" s="9" t="s">
        <v>137</v>
      </c>
      <c r="B6" s="10"/>
      <c r="C6" s="10"/>
      <c r="D6" s="11"/>
      <c r="E6" s="10"/>
      <c r="F6" s="11"/>
      <c r="G6" s="10"/>
      <c r="H6" s="11"/>
      <c r="I6" s="10"/>
      <c r="J6" s="11"/>
      <c r="K6" s="10"/>
      <c r="L6" s="11"/>
      <c r="M6" s="10"/>
      <c r="N6" s="11"/>
      <c r="O6" s="10"/>
      <c r="P6" s="11"/>
      <c r="Q6" s="10"/>
      <c r="R6" s="12"/>
    </row>
    <row r="7" spans="1:18" x14ac:dyDescent="0.25">
      <c r="A7" s="11" t="s">
        <v>138</v>
      </c>
      <c r="B7" s="13">
        <v>14530</v>
      </c>
      <c r="C7" s="14">
        <f>(12068/B7*100)</f>
        <v>83.055746730901575</v>
      </c>
      <c r="D7" s="15">
        <v>2462</v>
      </c>
      <c r="E7" s="14">
        <v>18.098380370000001</v>
      </c>
      <c r="F7" s="16">
        <v>0.76735379999999997</v>
      </c>
      <c r="G7" s="14">
        <v>81.901619629999999</v>
      </c>
      <c r="H7" s="16">
        <v>0.76735379999999997</v>
      </c>
      <c r="I7" s="14" t="s">
        <v>139</v>
      </c>
      <c r="J7" s="16" t="s">
        <v>139</v>
      </c>
      <c r="K7" s="14">
        <v>0</v>
      </c>
      <c r="L7" s="16">
        <v>0</v>
      </c>
      <c r="M7" s="14">
        <v>0</v>
      </c>
      <c r="N7" s="16">
        <v>0</v>
      </c>
      <c r="O7" s="14">
        <v>0</v>
      </c>
      <c r="P7" s="16">
        <v>0</v>
      </c>
      <c r="Q7" s="14">
        <v>0</v>
      </c>
      <c r="R7" s="16">
        <v>0</v>
      </c>
    </row>
    <row r="8" spans="1:18" x14ac:dyDescent="0.25">
      <c r="A8" s="11" t="s">
        <v>140</v>
      </c>
      <c r="B8" s="13">
        <v>7007</v>
      </c>
      <c r="C8" s="14">
        <f>(5791/B8*100)</f>
        <v>82.645925503068369</v>
      </c>
      <c r="D8" s="15">
        <v>1216</v>
      </c>
      <c r="E8" s="14">
        <v>23.418459519999999</v>
      </c>
      <c r="F8" s="16">
        <v>1.5428324600000001</v>
      </c>
      <c r="G8" s="14">
        <v>76.581540480000001</v>
      </c>
      <c r="H8" s="16">
        <v>1.5428324600000001</v>
      </c>
      <c r="I8" s="14" t="s">
        <v>139</v>
      </c>
      <c r="J8" s="16" t="s">
        <v>139</v>
      </c>
      <c r="K8" s="14">
        <v>0</v>
      </c>
      <c r="L8" s="16">
        <v>0</v>
      </c>
      <c r="M8" s="14">
        <v>0</v>
      </c>
      <c r="N8" s="16">
        <v>0</v>
      </c>
      <c r="O8" s="14">
        <v>0</v>
      </c>
      <c r="P8" s="16">
        <v>0</v>
      </c>
      <c r="Q8" s="14">
        <v>0</v>
      </c>
      <c r="R8" s="16">
        <v>0</v>
      </c>
    </row>
    <row r="9" spans="1:18" x14ac:dyDescent="0.25">
      <c r="A9" s="11" t="s">
        <v>141</v>
      </c>
      <c r="B9" s="13">
        <v>9651</v>
      </c>
      <c r="C9" s="14">
        <f>(8036/B9*100)</f>
        <v>83.265982799709874</v>
      </c>
      <c r="D9" s="15">
        <v>1615</v>
      </c>
      <c r="E9" s="14">
        <v>25.929168260000001</v>
      </c>
      <c r="F9" s="16">
        <v>1.13982625</v>
      </c>
      <c r="G9" s="14">
        <v>74.070831740000003</v>
      </c>
      <c r="H9" s="16">
        <v>1.13982625</v>
      </c>
      <c r="I9" s="14" t="s">
        <v>139</v>
      </c>
      <c r="J9" s="16" t="s">
        <v>139</v>
      </c>
      <c r="K9" s="14">
        <v>0</v>
      </c>
      <c r="L9" s="16">
        <v>0</v>
      </c>
      <c r="M9" s="14">
        <v>0</v>
      </c>
      <c r="N9" s="16">
        <v>0</v>
      </c>
      <c r="O9" s="14">
        <v>0</v>
      </c>
      <c r="P9" s="16">
        <v>0</v>
      </c>
      <c r="Q9" s="14">
        <v>0</v>
      </c>
      <c r="R9" s="16">
        <v>0</v>
      </c>
    </row>
    <row r="10" spans="1:18" x14ac:dyDescent="0.25">
      <c r="A10" s="11" t="s">
        <v>142</v>
      </c>
      <c r="B10" s="13">
        <v>20058</v>
      </c>
      <c r="C10" s="14">
        <f>(16593/B10*100)</f>
        <v>82.725097218067603</v>
      </c>
      <c r="D10" s="15">
        <v>3465</v>
      </c>
      <c r="E10" s="14">
        <v>18.48771691</v>
      </c>
      <c r="F10" s="16">
        <v>0.92207145999999995</v>
      </c>
      <c r="G10" s="14">
        <v>81.512283089999997</v>
      </c>
      <c r="H10" s="16">
        <v>0.92207145999999995</v>
      </c>
      <c r="I10" s="14" t="s">
        <v>139</v>
      </c>
      <c r="J10" s="16" t="s">
        <v>139</v>
      </c>
      <c r="K10" s="14">
        <v>0</v>
      </c>
      <c r="L10" s="16">
        <v>0</v>
      </c>
      <c r="M10" s="14">
        <v>0</v>
      </c>
      <c r="N10" s="16">
        <v>0</v>
      </c>
      <c r="O10" s="14">
        <v>0</v>
      </c>
      <c r="P10" s="16">
        <v>0</v>
      </c>
      <c r="Q10" s="14">
        <v>0</v>
      </c>
      <c r="R10" s="16">
        <v>0</v>
      </c>
    </row>
    <row r="11" spans="1:18" x14ac:dyDescent="0.25">
      <c r="A11" s="11" t="s">
        <v>143</v>
      </c>
      <c r="B11" s="13">
        <v>7053</v>
      </c>
      <c r="C11" s="14">
        <f>(5831/B11*100)</f>
        <v>82.674039415851411</v>
      </c>
      <c r="D11" s="15">
        <v>1222</v>
      </c>
      <c r="E11" s="14">
        <v>44.467181760000003</v>
      </c>
      <c r="F11" s="16">
        <v>1.7539600799999999</v>
      </c>
      <c r="G11" s="14">
        <v>55.532818239999997</v>
      </c>
      <c r="H11" s="16">
        <v>1.7539600799999999</v>
      </c>
      <c r="I11" s="14" t="s">
        <v>139</v>
      </c>
      <c r="J11" s="16" t="s">
        <v>139</v>
      </c>
      <c r="K11" s="14">
        <v>0</v>
      </c>
      <c r="L11" s="16">
        <v>0</v>
      </c>
      <c r="M11" s="14">
        <v>0</v>
      </c>
      <c r="N11" s="16">
        <v>0</v>
      </c>
      <c r="O11" s="14">
        <v>0</v>
      </c>
      <c r="P11" s="16">
        <v>0</v>
      </c>
      <c r="Q11" s="14">
        <v>0</v>
      </c>
      <c r="R11" s="16">
        <v>0</v>
      </c>
    </row>
    <row r="12" spans="1:18" x14ac:dyDescent="0.25">
      <c r="A12" s="11" t="s">
        <v>144</v>
      </c>
      <c r="B12" s="13">
        <v>6894</v>
      </c>
      <c r="C12" s="14">
        <f>(5714/B12*100)</f>
        <v>82.883666956774007</v>
      </c>
      <c r="D12" s="15">
        <v>1180</v>
      </c>
      <c r="E12" s="14">
        <v>18.773302170000001</v>
      </c>
      <c r="F12" s="16">
        <v>1.2362551799999999</v>
      </c>
      <c r="G12" s="14">
        <v>81.226697830000006</v>
      </c>
      <c r="H12" s="16">
        <v>1.2362551799999999</v>
      </c>
      <c r="I12" s="14" t="s">
        <v>139</v>
      </c>
      <c r="J12" s="16" t="s">
        <v>139</v>
      </c>
      <c r="K12" s="14">
        <v>0</v>
      </c>
      <c r="L12" s="16">
        <v>0</v>
      </c>
      <c r="M12" s="14">
        <v>0</v>
      </c>
      <c r="N12" s="16">
        <v>0</v>
      </c>
      <c r="O12" s="14">
        <v>0</v>
      </c>
      <c r="P12" s="16">
        <v>0</v>
      </c>
      <c r="Q12" s="14">
        <v>0</v>
      </c>
      <c r="R12" s="16">
        <v>0</v>
      </c>
    </row>
    <row r="13" spans="1:18" x14ac:dyDescent="0.25">
      <c r="A13" s="11" t="s">
        <v>145</v>
      </c>
      <c r="B13" s="13">
        <v>7161</v>
      </c>
      <c r="C13" s="14">
        <f>(5991/B13*100)</f>
        <v>83.661499790532048</v>
      </c>
      <c r="D13" s="15">
        <v>1170</v>
      </c>
      <c r="E13" s="14">
        <v>20.447561459999999</v>
      </c>
      <c r="F13" s="16">
        <v>1.5210923300000001</v>
      </c>
      <c r="G13" s="14">
        <v>79.552438539999997</v>
      </c>
      <c r="H13" s="16">
        <v>1.5210923300000001</v>
      </c>
      <c r="I13" s="14" t="s">
        <v>139</v>
      </c>
      <c r="J13" s="16" t="s">
        <v>139</v>
      </c>
      <c r="K13" s="14">
        <v>0</v>
      </c>
      <c r="L13" s="16">
        <v>0</v>
      </c>
      <c r="M13" s="14">
        <v>0</v>
      </c>
      <c r="N13" s="16">
        <v>0</v>
      </c>
      <c r="O13" s="14">
        <v>0</v>
      </c>
      <c r="P13" s="16">
        <v>0</v>
      </c>
      <c r="Q13" s="14">
        <v>0</v>
      </c>
      <c r="R13" s="16">
        <v>0</v>
      </c>
    </row>
    <row r="14" spans="1:18" x14ac:dyDescent="0.25">
      <c r="A14" s="11" t="s">
        <v>146</v>
      </c>
      <c r="B14" s="13">
        <v>5587</v>
      </c>
      <c r="C14" s="14">
        <f>(4628/B14*100)</f>
        <v>82.835153033828533</v>
      </c>
      <c r="D14" s="15">
        <v>959</v>
      </c>
      <c r="E14" s="14">
        <v>16.558557669999999</v>
      </c>
      <c r="F14" s="16">
        <v>1.3488366899999999</v>
      </c>
      <c r="G14" s="14">
        <v>83.441442330000001</v>
      </c>
      <c r="H14" s="16">
        <v>1.3488366899999999</v>
      </c>
      <c r="I14" s="14" t="s">
        <v>139</v>
      </c>
      <c r="J14" s="16" t="s">
        <v>139</v>
      </c>
      <c r="K14" s="14">
        <v>0</v>
      </c>
      <c r="L14" s="16">
        <v>0</v>
      </c>
      <c r="M14" s="14">
        <v>0</v>
      </c>
      <c r="N14" s="16">
        <v>0</v>
      </c>
      <c r="O14" s="14">
        <v>0</v>
      </c>
      <c r="P14" s="16">
        <v>0</v>
      </c>
      <c r="Q14" s="14">
        <v>0</v>
      </c>
      <c r="R14" s="16">
        <v>0</v>
      </c>
    </row>
    <row r="15" spans="1:18" x14ac:dyDescent="0.25">
      <c r="A15" s="11" t="s">
        <v>147</v>
      </c>
      <c r="B15" s="13">
        <v>5882</v>
      </c>
      <c r="C15" s="14">
        <f>(4902/B15*100)</f>
        <v>83.339000340020391</v>
      </c>
      <c r="D15" s="15">
        <v>980</v>
      </c>
      <c r="E15" s="14">
        <v>16.908817790000001</v>
      </c>
      <c r="F15" s="16">
        <v>1.1981062499999999</v>
      </c>
      <c r="G15" s="14">
        <v>83.091182209999999</v>
      </c>
      <c r="H15" s="16">
        <v>1.1981062499999999</v>
      </c>
      <c r="I15" s="14" t="s">
        <v>139</v>
      </c>
      <c r="J15" s="16" t="s">
        <v>139</v>
      </c>
      <c r="K15" s="14">
        <v>0</v>
      </c>
      <c r="L15" s="16">
        <v>0</v>
      </c>
      <c r="M15" s="14">
        <v>0</v>
      </c>
      <c r="N15" s="16">
        <v>0</v>
      </c>
      <c r="O15" s="14">
        <v>0</v>
      </c>
      <c r="P15" s="16">
        <v>0</v>
      </c>
      <c r="Q15" s="14">
        <v>0</v>
      </c>
      <c r="R15" s="16">
        <v>0</v>
      </c>
    </row>
    <row r="16" spans="1:18" x14ac:dyDescent="0.25">
      <c r="A16" s="11" t="s">
        <v>148</v>
      </c>
      <c r="B16" s="13">
        <v>6108</v>
      </c>
      <c r="C16" s="14">
        <f>(5049/B16*100)</f>
        <v>82.662082514734763</v>
      </c>
      <c r="D16" s="15">
        <v>1059</v>
      </c>
      <c r="E16" s="14">
        <v>22.55463232</v>
      </c>
      <c r="F16" s="16">
        <v>1.3547283400000001</v>
      </c>
      <c r="G16" s="14">
        <v>77.445367680000004</v>
      </c>
      <c r="H16" s="16">
        <v>1.3547283400000001</v>
      </c>
      <c r="I16" s="14" t="s">
        <v>139</v>
      </c>
      <c r="J16" s="16" t="s">
        <v>139</v>
      </c>
      <c r="K16" s="14">
        <v>0</v>
      </c>
      <c r="L16" s="16">
        <v>0</v>
      </c>
      <c r="M16" s="14">
        <v>0</v>
      </c>
      <c r="N16" s="16">
        <v>0</v>
      </c>
      <c r="O16" s="14">
        <v>0</v>
      </c>
      <c r="P16" s="16">
        <v>0</v>
      </c>
      <c r="Q16" s="14">
        <v>0</v>
      </c>
      <c r="R16" s="16">
        <v>0</v>
      </c>
    </row>
    <row r="17" spans="1:18" x14ac:dyDescent="0.25">
      <c r="A17" s="11" t="s">
        <v>149</v>
      </c>
      <c r="B17" s="13">
        <v>6504</v>
      </c>
      <c r="C17" s="14">
        <f>(5406/B17*100)</f>
        <v>83.118081180811814</v>
      </c>
      <c r="D17" s="15">
        <v>1098</v>
      </c>
      <c r="E17" s="14">
        <v>13.847392279999999</v>
      </c>
      <c r="F17" s="16">
        <v>1.0871101999999999</v>
      </c>
      <c r="G17" s="14">
        <v>86.152607720000006</v>
      </c>
      <c r="H17" s="16">
        <v>1.0871101999999999</v>
      </c>
      <c r="I17" s="14" t="s">
        <v>139</v>
      </c>
      <c r="J17" s="16" t="s">
        <v>139</v>
      </c>
      <c r="K17" s="14">
        <v>0</v>
      </c>
      <c r="L17" s="16">
        <v>0</v>
      </c>
      <c r="M17" s="14">
        <v>0</v>
      </c>
      <c r="N17" s="16">
        <v>0</v>
      </c>
      <c r="O17" s="14">
        <v>0</v>
      </c>
      <c r="P17" s="16">
        <v>0</v>
      </c>
      <c r="Q17" s="14">
        <v>0</v>
      </c>
      <c r="R17" s="16">
        <v>0</v>
      </c>
    </row>
    <row r="18" spans="1:18" x14ac:dyDescent="0.25">
      <c r="A18" s="11" t="s">
        <v>150</v>
      </c>
      <c r="B18" s="13">
        <v>5532</v>
      </c>
      <c r="C18" s="14">
        <f>(4564/B18*100)</f>
        <v>82.501807664497477</v>
      </c>
      <c r="D18" s="15">
        <v>968</v>
      </c>
      <c r="E18" s="14">
        <v>36.452517450000002</v>
      </c>
      <c r="F18" s="16">
        <v>1.9587076000000001</v>
      </c>
      <c r="G18" s="14">
        <v>63.547482549999998</v>
      </c>
      <c r="H18" s="16">
        <v>1.9587076000000001</v>
      </c>
      <c r="I18" s="14" t="s">
        <v>139</v>
      </c>
      <c r="J18" s="16" t="s">
        <v>139</v>
      </c>
      <c r="K18" s="14">
        <v>0</v>
      </c>
      <c r="L18" s="16">
        <v>0</v>
      </c>
      <c r="M18" s="14">
        <v>0</v>
      </c>
      <c r="N18" s="16">
        <v>0</v>
      </c>
      <c r="O18" s="14">
        <v>0</v>
      </c>
      <c r="P18" s="16">
        <v>0</v>
      </c>
      <c r="Q18" s="14">
        <v>0</v>
      </c>
      <c r="R18" s="16">
        <v>0</v>
      </c>
    </row>
    <row r="19" spans="1:18" x14ac:dyDescent="0.25">
      <c r="A19" s="11" t="s">
        <v>151</v>
      </c>
      <c r="B19" s="13">
        <v>5658</v>
      </c>
      <c r="C19" s="14">
        <f>(4695/B19*100)</f>
        <v>82.979851537645814</v>
      </c>
      <c r="D19" s="15">
        <v>963</v>
      </c>
      <c r="E19" s="14">
        <v>22.934927479999999</v>
      </c>
      <c r="F19" s="16">
        <v>1.6275638299999999</v>
      </c>
      <c r="G19" s="14">
        <v>77.065072520000001</v>
      </c>
      <c r="H19" s="16">
        <v>1.6275638299999999</v>
      </c>
      <c r="I19" s="14" t="s">
        <v>139</v>
      </c>
      <c r="J19" s="16" t="s">
        <v>139</v>
      </c>
      <c r="K19" s="14">
        <v>0</v>
      </c>
      <c r="L19" s="16">
        <v>0</v>
      </c>
      <c r="M19" s="14">
        <v>0</v>
      </c>
      <c r="N19" s="16">
        <v>0</v>
      </c>
      <c r="O19" s="14">
        <v>0</v>
      </c>
      <c r="P19" s="16">
        <v>0</v>
      </c>
      <c r="Q19" s="14">
        <v>0</v>
      </c>
      <c r="R19" s="16">
        <v>0</v>
      </c>
    </row>
    <row r="20" spans="1:18" x14ac:dyDescent="0.25">
      <c r="A20" s="11" t="s">
        <v>152</v>
      </c>
      <c r="B20" s="13">
        <v>3371</v>
      </c>
      <c r="C20" s="14">
        <f>(2786/B20*100)</f>
        <v>82.646099080391579</v>
      </c>
      <c r="D20" s="15">
        <v>585</v>
      </c>
      <c r="E20" s="14">
        <v>28.096057859999998</v>
      </c>
      <c r="F20" s="16">
        <v>1.9981222300000001</v>
      </c>
      <c r="G20" s="14">
        <v>71.903942139999998</v>
      </c>
      <c r="H20" s="16">
        <v>1.9981222300000001</v>
      </c>
      <c r="I20" s="14" t="s">
        <v>139</v>
      </c>
      <c r="J20" s="16" t="s">
        <v>139</v>
      </c>
      <c r="K20" s="14">
        <v>0</v>
      </c>
      <c r="L20" s="16">
        <v>0</v>
      </c>
      <c r="M20" s="14">
        <v>0</v>
      </c>
      <c r="N20" s="16">
        <v>0</v>
      </c>
      <c r="O20" s="14">
        <v>0</v>
      </c>
      <c r="P20" s="16">
        <v>0</v>
      </c>
      <c r="Q20" s="14">
        <v>0</v>
      </c>
      <c r="R20" s="16">
        <v>0</v>
      </c>
    </row>
    <row r="21" spans="1:18" x14ac:dyDescent="0.25">
      <c r="A21" s="11" t="s">
        <v>153</v>
      </c>
      <c r="B21" s="17" t="s">
        <v>154</v>
      </c>
      <c r="C21" s="17" t="s">
        <v>154</v>
      </c>
      <c r="D21" s="18" t="s">
        <v>154</v>
      </c>
      <c r="E21" s="17" t="s">
        <v>154</v>
      </c>
      <c r="F21" s="18" t="s">
        <v>154</v>
      </c>
      <c r="G21" s="17" t="s">
        <v>154</v>
      </c>
      <c r="H21" s="18" t="s">
        <v>154</v>
      </c>
      <c r="I21" s="17" t="s">
        <v>154</v>
      </c>
      <c r="J21" s="18" t="s">
        <v>154</v>
      </c>
      <c r="K21" s="17" t="s">
        <v>154</v>
      </c>
      <c r="L21" s="18" t="s">
        <v>154</v>
      </c>
      <c r="M21" s="17" t="s">
        <v>154</v>
      </c>
      <c r="N21" s="18" t="s">
        <v>154</v>
      </c>
      <c r="O21" s="17" t="s">
        <v>154</v>
      </c>
      <c r="P21" s="18" t="s">
        <v>154</v>
      </c>
      <c r="Q21" s="17" t="s">
        <v>154</v>
      </c>
      <c r="R21" s="18" t="s">
        <v>154</v>
      </c>
    </row>
    <row r="22" spans="1:18" x14ac:dyDescent="0.25">
      <c r="A22" s="11" t="s">
        <v>155</v>
      </c>
      <c r="B22" s="13">
        <v>6598</v>
      </c>
      <c r="C22" s="14">
        <f>(5563/B22*100)</f>
        <v>84.313428311609584</v>
      </c>
      <c r="D22" s="15">
        <v>1035</v>
      </c>
      <c r="E22" s="14">
        <v>29.69833727</v>
      </c>
      <c r="F22" s="16">
        <v>1.4475588699999999</v>
      </c>
      <c r="G22" s="14">
        <v>70.301662730000004</v>
      </c>
      <c r="H22" s="16">
        <v>1.4475588699999999</v>
      </c>
      <c r="I22" s="14" t="s">
        <v>139</v>
      </c>
      <c r="J22" s="16" t="s">
        <v>139</v>
      </c>
      <c r="K22" s="14">
        <v>0</v>
      </c>
      <c r="L22" s="16">
        <v>0</v>
      </c>
      <c r="M22" s="14">
        <v>0</v>
      </c>
      <c r="N22" s="16">
        <v>0</v>
      </c>
      <c r="O22" s="14">
        <v>0</v>
      </c>
      <c r="P22" s="16">
        <v>0</v>
      </c>
      <c r="Q22" s="14">
        <v>0</v>
      </c>
      <c r="R22" s="16">
        <v>0</v>
      </c>
    </row>
    <row r="23" spans="1:18" x14ac:dyDescent="0.25">
      <c r="A23" s="11" t="s">
        <v>156</v>
      </c>
      <c r="B23" s="13">
        <v>11583</v>
      </c>
      <c r="C23" s="14">
        <f>(9598/B23*100)</f>
        <v>82.862816196149524</v>
      </c>
      <c r="D23" s="15">
        <v>1985</v>
      </c>
      <c r="E23" s="14">
        <v>30.53903957</v>
      </c>
      <c r="F23" s="16">
        <v>1.58842539</v>
      </c>
      <c r="G23" s="14">
        <v>69.46096043</v>
      </c>
      <c r="H23" s="16">
        <v>1.58842539</v>
      </c>
      <c r="I23" s="14" t="s">
        <v>139</v>
      </c>
      <c r="J23" s="16" t="s">
        <v>139</v>
      </c>
      <c r="K23" s="14">
        <v>0</v>
      </c>
      <c r="L23" s="16">
        <v>0</v>
      </c>
      <c r="M23" s="14">
        <v>0</v>
      </c>
      <c r="N23" s="16">
        <v>0</v>
      </c>
      <c r="O23" s="14">
        <v>0</v>
      </c>
      <c r="P23" s="16">
        <v>0</v>
      </c>
      <c r="Q23" s="14">
        <v>0</v>
      </c>
      <c r="R23" s="16">
        <v>0</v>
      </c>
    </row>
    <row r="24" spans="1:18" x14ac:dyDescent="0.25">
      <c r="A24" s="11" t="s">
        <v>157</v>
      </c>
      <c r="B24" s="13">
        <v>6647</v>
      </c>
      <c r="C24" s="14">
        <f>(5487/B24*100)</f>
        <v>82.548518128479003</v>
      </c>
      <c r="D24" s="15">
        <v>1160</v>
      </c>
      <c r="E24" s="14">
        <v>38.914501610000002</v>
      </c>
      <c r="F24" s="16">
        <v>1.46945306</v>
      </c>
      <c r="G24" s="14">
        <v>61.085498389999998</v>
      </c>
      <c r="H24" s="16">
        <v>1.46945306</v>
      </c>
      <c r="I24" s="14" t="s">
        <v>139</v>
      </c>
      <c r="J24" s="16" t="s">
        <v>139</v>
      </c>
      <c r="K24" s="14">
        <v>0</v>
      </c>
      <c r="L24" s="16">
        <v>0</v>
      </c>
      <c r="M24" s="14">
        <v>0</v>
      </c>
      <c r="N24" s="16">
        <v>0</v>
      </c>
      <c r="O24" s="14">
        <v>0</v>
      </c>
      <c r="P24" s="16">
        <v>0</v>
      </c>
      <c r="Q24" s="14">
        <v>0</v>
      </c>
      <c r="R24" s="16">
        <v>0</v>
      </c>
    </row>
    <row r="25" spans="1:18" x14ac:dyDescent="0.25">
      <c r="A25" s="11" t="s">
        <v>158</v>
      </c>
      <c r="B25" s="13">
        <v>5581</v>
      </c>
      <c r="C25" s="14">
        <f>(4615/B25*100)</f>
        <v>82.691273965239205</v>
      </c>
      <c r="D25" s="15">
        <v>966</v>
      </c>
      <c r="E25" s="14">
        <v>17.851583959999999</v>
      </c>
      <c r="F25" s="16">
        <v>1.3687580500000001</v>
      </c>
      <c r="G25" s="14">
        <v>82.148416040000001</v>
      </c>
      <c r="H25" s="16">
        <v>1.3687580500000001</v>
      </c>
      <c r="I25" s="14" t="s">
        <v>139</v>
      </c>
      <c r="J25" s="16" t="s">
        <v>139</v>
      </c>
      <c r="K25" s="14">
        <v>0</v>
      </c>
      <c r="L25" s="16">
        <v>0</v>
      </c>
      <c r="M25" s="14">
        <v>0</v>
      </c>
      <c r="N25" s="16">
        <v>0</v>
      </c>
      <c r="O25" s="14">
        <v>0</v>
      </c>
      <c r="P25" s="16">
        <v>0</v>
      </c>
      <c r="Q25" s="14">
        <v>0</v>
      </c>
      <c r="R25" s="16">
        <v>0</v>
      </c>
    </row>
    <row r="26" spans="1:18" x14ac:dyDescent="0.25">
      <c r="A26" s="11" t="s">
        <v>159</v>
      </c>
      <c r="B26" s="13">
        <v>4869</v>
      </c>
      <c r="C26" s="14">
        <f>(4008/B26*100)</f>
        <v>82.316697473813932</v>
      </c>
      <c r="D26" s="15">
        <v>861</v>
      </c>
      <c r="E26" s="14">
        <v>21.700839139999999</v>
      </c>
      <c r="F26" s="16">
        <v>1.4857420400000001</v>
      </c>
      <c r="G26" s="14">
        <v>78.299160860000001</v>
      </c>
      <c r="H26" s="16">
        <v>1.4857420400000001</v>
      </c>
      <c r="I26" s="14" t="s">
        <v>139</v>
      </c>
      <c r="J26" s="16" t="s">
        <v>139</v>
      </c>
      <c r="K26" s="14">
        <v>0</v>
      </c>
      <c r="L26" s="16">
        <v>0</v>
      </c>
      <c r="M26" s="14">
        <v>0</v>
      </c>
      <c r="N26" s="16">
        <v>0</v>
      </c>
      <c r="O26" s="14">
        <v>0</v>
      </c>
      <c r="P26" s="16">
        <v>0</v>
      </c>
      <c r="Q26" s="14">
        <v>0</v>
      </c>
      <c r="R26" s="16">
        <v>0</v>
      </c>
    </row>
    <row r="27" spans="1:18" x14ac:dyDescent="0.25">
      <c r="A27" s="11" t="s">
        <v>160</v>
      </c>
      <c r="B27" s="13">
        <v>5299</v>
      </c>
      <c r="C27" s="14">
        <f>(4377/B27*100)</f>
        <v>82.600490658614831</v>
      </c>
      <c r="D27" s="15">
        <v>922</v>
      </c>
      <c r="E27" s="14">
        <v>24.560703740000001</v>
      </c>
      <c r="F27" s="16">
        <v>1.6605484699999999</v>
      </c>
      <c r="G27" s="14">
        <v>75.439296260000006</v>
      </c>
      <c r="H27" s="16">
        <v>1.6605484699999999</v>
      </c>
      <c r="I27" s="14" t="s">
        <v>139</v>
      </c>
      <c r="J27" s="16" t="s">
        <v>139</v>
      </c>
      <c r="K27" s="14">
        <v>0</v>
      </c>
      <c r="L27" s="16">
        <v>0</v>
      </c>
      <c r="M27" s="14">
        <v>0</v>
      </c>
      <c r="N27" s="16">
        <v>0</v>
      </c>
      <c r="O27" s="14">
        <v>0</v>
      </c>
      <c r="P27" s="16">
        <v>0</v>
      </c>
      <c r="Q27" s="14">
        <v>0</v>
      </c>
      <c r="R27" s="16">
        <v>0</v>
      </c>
    </row>
    <row r="28" spans="1:18" x14ac:dyDescent="0.25">
      <c r="A28" s="11" t="s">
        <v>161</v>
      </c>
      <c r="B28" s="13">
        <v>7568</v>
      </c>
      <c r="C28" s="14">
        <f>(6313/B28*100)</f>
        <v>83.417019027484145</v>
      </c>
      <c r="D28" s="15">
        <v>1255</v>
      </c>
      <c r="E28" s="14">
        <v>40.875177909999998</v>
      </c>
      <c r="F28" s="16">
        <v>1.46967413</v>
      </c>
      <c r="G28" s="14">
        <v>59.124822090000002</v>
      </c>
      <c r="H28" s="16">
        <v>1.46967413</v>
      </c>
      <c r="I28" s="14" t="s">
        <v>139</v>
      </c>
      <c r="J28" s="16" t="s">
        <v>139</v>
      </c>
      <c r="K28" s="14">
        <v>0</v>
      </c>
      <c r="L28" s="16">
        <v>0</v>
      </c>
      <c r="M28" s="14">
        <v>0</v>
      </c>
      <c r="N28" s="16">
        <v>0</v>
      </c>
      <c r="O28" s="14">
        <v>0</v>
      </c>
      <c r="P28" s="16">
        <v>0</v>
      </c>
      <c r="Q28" s="14">
        <v>0</v>
      </c>
      <c r="R28" s="16">
        <v>0</v>
      </c>
    </row>
    <row r="29" spans="1:18" x14ac:dyDescent="0.25">
      <c r="A29" s="11" t="s">
        <v>162</v>
      </c>
      <c r="B29" s="13">
        <v>5385</v>
      </c>
      <c r="C29" s="14">
        <f>(4470/B29*100)</f>
        <v>83.008356545961007</v>
      </c>
      <c r="D29" s="15">
        <v>915</v>
      </c>
      <c r="E29" s="14">
        <v>27.42529227</v>
      </c>
      <c r="F29" s="16">
        <v>1.3639758900000001</v>
      </c>
      <c r="G29" s="14">
        <v>72.57470773</v>
      </c>
      <c r="H29" s="16">
        <v>1.3639758900000001</v>
      </c>
      <c r="I29" s="14" t="s">
        <v>139</v>
      </c>
      <c r="J29" s="16" t="s">
        <v>139</v>
      </c>
      <c r="K29" s="14">
        <v>0</v>
      </c>
      <c r="L29" s="16">
        <v>0</v>
      </c>
      <c r="M29" s="14">
        <v>0</v>
      </c>
      <c r="N29" s="16">
        <v>0</v>
      </c>
      <c r="O29" s="14">
        <v>0</v>
      </c>
      <c r="P29" s="16">
        <v>0</v>
      </c>
      <c r="Q29" s="14">
        <v>0</v>
      </c>
      <c r="R29" s="16">
        <v>0</v>
      </c>
    </row>
    <row r="30" spans="1:18" x14ac:dyDescent="0.25">
      <c r="A30" s="11" t="s">
        <v>163</v>
      </c>
      <c r="B30" s="13">
        <v>4520</v>
      </c>
      <c r="C30" s="14">
        <f>(3744/B30*100)</f>
        <v>82.83185840707965</v>
      </c>
      <c r="D30" s="15">
        <v>776</v>
      </c>
      <c r="E30" s="14">
        <v>19.293112180000001</v>
      </c>
      <c r="F30" s="16">
        <v>1.3773846000000001</v>
      </c>
      <c r="G30" s="14">
        <v>80.706887820000006</v>
      </c>
      <c r="H30" s="16">
        <v>1.3773846000000001</v>
      </c>
      <c r="I30" s="14" t="s">
        <v>139</v>
      </c>
      <c r="J30" s="16" t="s">
        <v>139</v>
      </c>
      <c r="K30" s="14">
        <v>0</v>
      </c>
      <c r="L30" s="16">
        <v>0</v>
      </c>
      <c r="M30" s="14">
        <v>0</v>
      </c>
      <c r="N30" s="16">
        <v>0</v>
      </c>
      <c r="O30" s="14">
        <v>0</v>
      </c>
      <c r="P30" s="16">
        <v>0</v>
      </c>
      <c r="Q30" s="14">
        <v>0</v>
      </c>
      <c r="R30" s="16">
        <v>0</v>
      </c>
    </row>
    <row r="31" spans="1:18" x14ac:dyDescent="0.25">
      <c r="A31" s="11" t="s">
        <v>164</v>
      </c>
      <c r="B31" s="13">
        <v>5456</v>
      </c>
      <c r="C31" s="14">
        <f>(4534/B31*100)</f>
        <v>83.101173020527867</v>
      </c>
      <c r="D31" s="15">
        <v>922</v>
      </c>
      <c r="E31" s="14">
        <v>24.781168009999998</v>
      </c>
      <c r="F31" s="16">
        <v>1.37520106</v>
      </c>
      <c r="G31" s="14">
        <v>75.218831989999998</v>
      </c>
      <c r="H31" s="16">
        <v>1.37520106</v>
      </c>
      <c r="I31" s="14" t="s">
        <v>139</v>
      </c>
      <c r="J31" s="16" t="s">
        <v>139</v>
      </c>
      <c r="K31" s="14">
        <v>0</v>
      </c>
      <c r="L31" s="16">
        <v>0</v>
      </c>
      <c r="M31" s="14">
        <v>0</v>
      </c>
      <c r="N31" s="16">
        <v>0</v>
      </c>
      <c r="O31" s="14">
        <v>0</v>
      </c>
      <c r="P31" s="16">
        <v>0</v>
      </c>
      <c r="Q31" s="14">
        <v>0</v>
      </c>
      <c r="R31" s="16">
        <v>0</v>
      </c>
    </row>
    <row r="32" spans="1:18" x14ac:dyDescent="0.25">
      <c r="A32" s="11" t="s">
        <v>165</v>
      </c>
      <c r="B32" s="17" t="s">
        <v>154</v>
      </c>
      <c r="C32" s="17" t="s">
        <v>154</v>
      </c>
      <c r="D32" s="18" t="s">
        <v>154</v>
      </c>
      <c r="E32" s="17" t="s">
        <v>154</v>
      </c>
      <c r="F32" s="18" t="s">
        <v>154</v>
      </c>
      <c r="G32" s="17" t="s">
        <v>154</v>
      </c>
      <c r="H32" s="18" t="s">
        <v>154</v>
      </c>
      <c r="I32" s="17" t="s">
        <v>154</v>
      </c>
      <c r="J32" s="18" t="s">
        <v>154</v>
      </c>
      <c r="K32" s="17" t="s">
        <v>154</v>
      </c>
      <c r="L32" s="18" t="s">
        <v>154</v>
      </c>
      <c r="M32" s="17" t="s">
        <v>154</v>
      </c>
      <c r="N32" s="18" t="s">
        <v>154</v>
      </c>
      <c r="O32" s="17" t="s">
        <v>154</v>
      </c>
      <c r="P32" s="18" t="s">
        <v>154</v>
      </c>
      <c r="Q32" s="17" t="s">
        <v>154</v>
      </c>
      <c r="R32" s="18" t="s">
        <v>154</v>
      </c>
    </row>
    <row r="33" spans="1:18" x14ac:dyDescent="0.25">
      <c r="A33" s="11" t="s">
        <v>166</v>
      </c>
      <c r="B33" s="13">
        <v>7325</v>
      </c>
      <c r="C33" s="14">
        <f>(6092/B33*100)</f>
        <v>83.167235494880543</v>
      </c>
      <c r="D33" s="15">
        <v>1233</v>
      </c>
      <c r="E33" s="14">
        <v>31.81593084</v>
      </c>
      <c r="F33" s="16">
        <v>1.60710335</v>
      </c>
      <c r="G33" s="14">
        <v>68.184069160000007</v>
      </c>
      <c r="H33" s="16">
        <v>1.60710335</v>
      </c>
      <c r="I33" s="14" t="s">
        <v>139</v>
      </c>
      <c r="J33" s="16" t="s">
        <v>139</v>
      </c>
      <c r="K33" s="14">
        <v>0</v>
      </c>
      <c r="L33" s="16">
        <v>0</v>
      </c>
      <c r="M33" s="14">
        <v>0</v>
      </c>
      <c r="N33" s="16">
        <v>0</v>
      </c>
      <c r="O33" s="14">
        <v>0</v>
      </c>
      <c r="P33" s="16">
        <v>0</v>
      </c>
      <c r="Q33" s="14">
        <v>0</v>
      </c>
      <c r="R33" s="16">
        <v>0</v>
      </c>
    </row>
    <row r="34" spans="1:18" x14ac:dyDescent="0.25">
      <c r="A34" s="11" t="s">
        <v>167</v>
      </c>
      <c r="B34" s="13">
        <v>6350</v>
      </c>
      <c r="C34" s="14">
        <f>(5280/B34*100)</f>
        <v>83.149606299212593</v>
      </c>
      <c r="D34" s="15">
        <v>1070</v>
      </c>
      <c r="E34" s="14">
        <v>20.779745330000001</v>
      </c>
      <c r="F34" s="16">
        <v>1.40075412</v>
      </c>
      <c r="G34" s="14">
        <v>79.220254670000003</v>
      </c>
      <c r="H34" s="16">
        <v>1.40075412</v>
      </c>
      <c r="I34" s="14" t="s">
        <v>139</v>
      </c>
      <c r="J34" s="16" t="s">
        <v>139</v>
      </c>
      <c r="K34" s="14">
        <v>0</v>
      </c>
      <c r="L34" s="16">
        <v>0</v>
      </c>
      <c r="M34" s="14">
        <v>0</v>
      </c>
      <c r="N34" s="16">
        <v>0</v>
      </c>
      <c r="O34" s="14">
        <v>0</v>
      </c>
      <c r="P34" s="16">
        <v>0</v>
      </c>
      <c r="Q34" s="14">
        <v>0</v>
      </c>
      <c r="R34" s="16">
        <v>0</v>
      </c>
    </row>
    <row r="35" spans="1:18" x14ac:dyDescent="0.25">
      <c r="A35" s="11" t="s">
        <v>168</v>
      </c>
      <c r="B35" s="13">
        <v>6406</v>
      </c>
      <c r="C35" s="14">
        <f>(5297/B35*100)</f>
        <v>82.688104901654697</v>
      </c>
      <c r="D35" s="15">
        <v>1109</v>
      </c>
      <c r="E35" s="14">
        <v>28.037746420000001</v>
      </c>
      <c r="F35" s="16">
        <v>1.9524662399999999</v>
      </c>
      <c r="G35" s="14">
        <v>71.962253579999995</v>
      </c>
      <c r="H35" s="16">
        <v>1.9524662399999999</v>
      </c>
      <c r="I35" s="14" t="s">
        <v>139</v>
      </c>
      <c r="J35" s="16" t="s">
        <v>139</v>
      </c>
      <c r="K35" s="14">
        <v>0</v>
      </c>
      <c r="L35" s="16">
        <v>0</v>
      </c>
      <c r="M35" s="14">
        <v>0</v>
      </c>
      <c r="N35" s="16">
        <v>0</v>
      </c>
      <c r="O35" s="14">
        <v>0</v>
      </c>
      <c r="P35" s="16">
        <v>0</v>
      </c>
      <c r="Q35" s="14">
        <v>0</v>
      </c>
      <c r="R35" s="16">
        <v>0</v>
      </c>
    </row>
    <row r="36" spans="1:18" x14ac:dyDescent="0.25">
      <c r="A36" s="11" t="s">
        <v>169</v>
      </c>
      <c r="B36" s="13">
        <v>6736</v>
      </c>
      <c r="C36" s="14">
        <f>(5576/B36*100)</f>
        <v>82.779097387173394</v>
      </c>
      <c r="D36" s="15">
        <v>1160</v>
      </c>
      <c r="E36" s="14">
        <v>34.938045549999998</v>
      </c>
      <c r="F36" s="16">
        <v>1.46080349</v>
      </c>
      <c r="G36" s="14">
        <v>65.061954450000002</v>
      </c>
      <c r="H36" s="16">
        <v>1.46080349</v>
      </c>
      <c r="I36" s="14" t="s">
        <v>139</v>
      </c>
      <c r="J36" s="16" t="s">
        <v>139</v>
      </c>
      <c r="K36" s="14">
        <v>0</v>
      </c>
      <c r="L36" s="16">
        <v>0</v>
      </c>
      <c r="M36" s="14">
        <v>0</v>
      </c>
      <c r="N36" s="16">
        <v>0</v>
      </c>
      <c r="O36" s="14">
        <v>0</v>
      </c>
      <c r="P36" s="16">
        <v>0</v>
      </c>
      <c r="Q36" s="14">
        <v>0</v>
      </c>
      <c r="R36" s="16">
        <v>0</v>
      </c>
    </row>
    <row r="37" spans="1:18" x14ac:dyDescent="0.25">
      <c r="A37" s="11" t="s">
        <v>170</v>
      </c>
      <c r="B37" s="13">
        <v>5458</v>
      </c>
      <c r="C37" s="14">
        <f>(4554/B37*100)</f>
        <v>83.437156467570546</v>
      </c>
      <c r="D37" s="15">
        <v>904</v>
      </c>
      <c r="E37" s="14">
        <v>23.290856940000001</v>
      </c>
      <c r="F37" s="16">
        <v>1.4295393999999999</v>
      </c>
      <c r="G37" s="14">
        <v>76.709143060000002</v>
      </c>
      <c r="H37" s="16">
        <v>1.4295393999999999</v>
      </c>
      <c r="I37" s="14" t="s">
        <v>139</v>
      </c>
      <c r="J37" s="16" t="s">
        <v>139</v>
      </c>
      <c r="K37" s="14">
        <v>0</v>
      </c>
      <c r="L37" s="16">
        <v>0</v>
      </c>
      <c r="M37" s="14">
        <v>0</v>
      </c>
      <c r="N37" s="16">
        <v>0</v>
      </c>
      <c r="O37" s="14">
        <v>0</v>
      </c>
      <c r="P37" s="16">
        <v>0</v>
      </c>
      <c r="Q37" s="14">
        <v>0</v>
      </c>
      <c r="R37" s="16">
        <v>0</v>
      </c>
    </row>
    <row r="38" spans="1:18" x14ac:dyDescent="0.25">
      <c r="A38" s="11" t="s">
        <v>171</v>
      </c>
      <c r="B38" s="17" t="s">
        <v>154</v>
      </c>
      <c r="C38" s="17" t="s">
        <v>154</v>
      </c>
      <c r="D38" s="18" t="s">
        <v>154</v>
      </c>
      <c r="E38" s="17" t="s">
        <v>154</v>
      </c>
      <c r="F38" s="18" t="s">
        <v>154</v>
      </c>
      <c r="G38" s="17" t="s">
        <v>154</v>
      </c>
      <c r="H38" s="18" t="s">
        <v>154</v>
      </c>
      <c r="I38" s="17" t="s">
        <v>154</v>
      </c>
      <c r="J38" s="18" t="s">
        <v>154</v>
      </c>
      <c r="K38" s="17" t="s">
        <v>154</v>
      </c>
      <c r="L38" s="18" t="s">
        <v>154</v>
      </c>
      <c r="M38" s="17" t="s">
        <v>154</v>
      </c>
      <c r="N38" s="18" t="s">
        <v>154</v>
      </c>
      <c r="O38" s="17" t="s">
        <v>154</v>
      </c>
      <c r="P38" s="18" t="s">
        <v>154</v>
      </c>
      <c r="Q38" s="17" t="s">
        <v>154</v>
      </c>
      <c r="R38" s="18" t="s">
        <v>154</v>
      </c>
    </row>
    <row r="39" spans="1:18" x14ac:dyDescent="0.25">
      <c r="A39" s="11" t="s">
        <v>172</v>
      </c>
      <c r="B39" s="13">
        <v>5895</v>
      </c>
      <c r="C39" s="14">
        <f>(4869/B39*100)</f>
        <v>82.595419847328245</v>
      </c>
      <c r="D39" s="15">
        <v>1026</v>
      </c>
      <c r="E39" s="14">
        <v>41.024598859999998</v>
      </c>
      <c r="F39" s="16">
        <v>1.70140231</v>
      </c>
      <c r="G39" s="14">
        <v>58.975401140000002</v>
      </c>
      <c r="H39" s="16">
        <v>1.70140231</v>
      </c>
      <c r="I39" s="14" t="s">
        <v>139</v>
      </c>
      <c r="J39" s="16" t="s">
        <v>139</v>
      </c>
      <c r="K39" s="14">
        <v>0</v>
      </c>
      <c r="L39" s="16">
        <v>0</v>
      </c>
      <c r="M39" s="14">
        <v>0</v>
      </c>
      <c r="N39" s="16">
        <v>0</v>
      </c>
      <c r="O39" s="14">
        <v>0</v>
      </c>
      <c r="P39" s="16">
        <v>0</v>
      </c>
      <c r="Q39" s="14">
        <v>0</v>
      </c>
      <c r="R39" s="16">
        <v>0</v>
      </c>
    </row>
    <row r="40" spans="1:18" x14ac:dyDescent="0.25">
      <c r="A40" s="11" t="s">
        <v>173</v>
      </c>
      <c r="B40" s="13">
        <v>14157</v>
      </c>
      <c r="C40" s="14">
        <f>(11631/B40*100)</f>
        <v>82.15723670269125</v>
      </c>
      <c r="D40" s="15">
        <v>2526</v>
      </c>
      <c r="E40" s="14">
        <v>21.351593650000002</v>
      </c>
      <c r="F40" s="16">
        <v>1.34498695</v>
      </c>
      <c r="G40" s="14">
        <v>78.648406350000002</v>
      </c>
      <c r="H40" s="16">
        <v>1.34498695</v>
      </c>
      <c r="I40" s="14" t="s">
        <v>139</v>
      </c>
      <c r="J40" s="16" t="s">
        <v>139</v>
      </c>
      <c r="K40" s="14">
        <v>0</v>
      </c>
      <c r="L40" s="16">
        <v>0</v>
      </c>
      <c r="M40" s="14">
        <v>0</v>
      </c>
      <c r="N40" s="16">
        <v>0</v>
      </c>
      <c r="O40" s="14">
        <v>0</v>
      </c>
      <c r="P40" s="16">
        <v>0</v>
      </c>
      <c r="Q40" s="14">
        <v>0</v>
      </c>
      <c r="R40" s="16">
        <v>0</v>
      </c>
    </row>
    <row r="41" spans="1:18" x14ac:dyDescent="0.25">
      <c r="A41" s="11" t="s">
        <v>174</v>
      </c>
      <c r="B41" s="13">
        <v>5712</v>
      </c>
      <c r="C41" s="14">
        <f>(4753/B41*100)</f>
        <v>83.210784313725497</v>
      </c>
      <c r="D41" s="15">
        <v>959</v>
      </c>
      <c r="E41" s="14">
        <v>22.91687086</v>
      </c>
      <c r="F41" s="16">
        <v>1.2913682799999999</v>
      </c>
      <c r="G41" s="14">
        <v>77.083129139999997</v>
      </c>
      <c r="H41" s="16">
        <v>1.2913682799999999</v>
      </c>
      <c r="I41" s="14" t="s">
        <v>139</v>
      </c>
      <c r="J41" s="16" t="s">
        <v>139</v>
      </c>
      <c r="K41" s="14">
        <v>0</v>
      </c>
      <c r="L41" s="16">
        <v>0</v>
      </c>
      <c r="M41" s="14">
        <v>0</v>
      </c>
      <c r="N41" s="16">
        <v>0</v>
      </c>
      <c r="O41" s="14">
        <v>0</v>
      </c>
      <c r="P41" s="16">
        <v>0</v>
      </c>
      <c r="Q41" s="14">
        <v>0</v>
      </c>
      <c r="R41" s="16">
        <v>0</v>
      </c>
    </row>
    <row r="42" spans="1:18" x14ac:dyDescent="0.25">
      <c r="A42" s="11" t="s">
        <v>175</v>
      </c>
      <c r="B42" s="13">
        <f>IF(COUNT(B7:B41) &gt; 0, AVERAGE(B7:B41), "\u2014")</f>
        <v>7266.90625</v>
      </c>
      <c r="C42" s="14">
        <f>IF(COUNT(C7:C41) &gt; 0, AVERAGE(C7:C41), "—")</f>
        <v>82.93344709112597</v>
      </c>
      <c r="D42" s="15">
        <f>IF(COUNT(D7:D41) &gt; 0, AVERAGE(D7:D41), "—")</f>
        <v>1241.4375</v>
      </c>
      <c r="E42" s="14">
        <f>IF(COUNT(E7:E41) &gt; 0, AVERAGE(E7:E41), "—")</f>
        <v>25.836556794062496</v>
      </c>
      <c r="F42" s="16">
        <f>IF(COUNT(F7:F41) &gt; 0, SQRT(SUMSQ(F7:F41)/(COUNT(F7:F41)*COUNT(F7:F41)) ), "—")</f>
        <v>0.25980340710925826</v>
      </c>
      <c r="G42" s="14">
        <f>IF(COUNT(G7:G41) &gt; 0, AVERAGE(G7:G41), "—")</f>
        <v>74.163443205937497</v>
      </c>
      <c r="H42" s="16">
        <f>IF(COUNT(H7:H41) &gt; 0, SQRT(SUMSQ(H7:H41)/(COUNT(H7:H41)*COUNT(H7:H41)) ), "—")</f>
        <v>0.25980340710925826</v>
      </c>
      <c r="I42" s="14" t="str">
        <f>IF(COUNT(I7:I41) &gt; 0, AVERAGE(I7:I41), "—")</f>
        <v>—</v>
      </c>
      <c r="J42" s="16" t="str">
        <f>IF(COUNT(J7:J41) &gt; 0, SQRT(SUMSQ(J7:J41)/(COUNT(J7:J41)*COUNT(J7:J41)) ), "—")</f>
        <v>—</v>
      </c>
      <c r="K42" s="14">
        <f>IF(COUNT(K7:K41) &gt; 0, AVERAGE(K7:K41), "—")</f>
        <v>0</v>
      </c>
      <c r="L42" s="16">
        <f>IF(COUNT(L7:L41) &gt; 0, SQRT(SUMSQ(L7:L41)/(COUNT(L7:L41)*COUNT(L7:L41)) ), "—")</f>
        <v>0</v>
      </c>
      <c r="M42" s="14">
        <f>IF(COUNT(M7:M41) &gt; 0, AVERAGE(M7:M41), "—")</f>
        <v>0</v>
      </c>
      <c r="N42" s="16">
        <f>IF(COUNT(N7:N41) &gt; 0, SQRT(SUMSQ(N7:N41)/(COUNT(N7:N41)*COUNT(N7:N41)) ), "—")</f>
        <v>0</v>
      </c>
      <c r="O42" s="14">
        <f>IF(COUNT(O7:O41) &gt; 0, AVERAGE(O7:O41), "—")</f>
        <v>0</v>
      </c>
      <c r="P42" s="16">
        <f>IF(COUNT(P7:P41) &gt; 0, SQRT(SUMSQ(P7:P41)/(COUNT(P7:P41)*COUNT(P7:P41)) ), "—")</f>
        <v>0</v>
      </c>
      <c r="Q42" s="14">
        <f>IF(COUNT(Q7:Q41) &gt; 0, AVERAGE(Q7:Q41), "—")</f>
        <v>0</v>
      </c>
      <c r="R42" s="16">
        <f>IF(COUNT(R7:R41) &gt; 0, SQRT(SUMSQ(R7:R41)/(COUNT(R7:R41)*COUNT(R7:R41)) ), "—")</f>
        <v>0</v>
      </c>
    </row>
    <row r="43" spans="1:18" x14ac:dyDescent="0.25">
      <c r="A43" s="9" t="s">
        <v>176</v>
      </c>
      <c r="B43" s="10"/>
      <c r="C43" s="10"/>
      <c r="D43" s="11"/>
      <c r="E43" s="10"/>
      <c r="F43" s="11"/>
      <c r="G43" s="10"/>
      <c r="H43" s="11"/>
      <c r="I43" s="10"/>
      <c r="J43" s="11"/>
      <c r="K43" s="10"/>
      <c r="L43" s="11"/>
      <c r="M43" s="10"/>
      <c r="N43" s="11"/>
      <c r="O43" s="10"/>
      <c r="P43" s="11"/>
      <c r="Q43" s="10"/>
      <c r="R43" s="12"/>
    </row>
    <row r="44" spans="1:18" x14ac:dyDescent="0.25">
      <c r="A44" s="11" t="s">
        <v>177</v>
      </c>
      <c r="B44" s="17" t="s">
        <v>154</v>
      </c>
      <c r="C44" s="17" t="s">
        <v>154</v>
      </c>
      <c r="D44" s="18" t="s">
        <v>154</v>
      </c>
      <c r="E44" s="17" t="s">
        <v>154</v>
      </c>
      <c r="F44" s="18" t="s">
        <v>154</v>
      </c>
      <c r="G44" s="17" t="s">
        <v>154</v>
      </c>
      <c r="H44" s="18" t="s">
        <v>154</v>
      </c>
      <c r="I44" s="17" t="s">
        <v>154</v>
      </c>
      <c r="J44" s="18" t="s">
        <v>154</v>
      </c>
      <c r="K44" s="17" t="s">
        <v>154</v>
      </c>
      <c r="L44" s="18" t="s">
        <v>154</v>
      </c>
      <c r="M44" s="17" t="s">
        <v>154</v>
      </c>
      <c r="N44" s="18" t="s">
        <v>154</v>
      </c>
      <c r="O44" s="17" t="s">
        <v>154</v>
      </c>
      <c r="P44" s="18" t="s">
        <v>154</v>
      </c>
      <c r="Q44" s="17" t="s">
        <v>154</v>
      </c>
      <c r="R44" s="18" t="s">
        <v>154</v>
      </c>
    </row>
    <row r="45" spans="1:18" x14ac:dyDescent="0.25">
      <c r="A45" s="11" t="s">
        <v>178</v>
      </c>
      <c r="B45" s="17" t="s">
        <v>154</v>
      </c>
      <c r="C45" s="17" t="s">
        <v>154</v>
      </c>
      <c r="D45" s="18" t="s">
        <v>154</v>
      </c>
      <c r="E45" s="17" t="s">
        <v>154</v>
      </c>
      <c r="F45" s="18" t="s">
        <v>154</v>
      </c>
      <c r="G45" s="17" t="s">
        <v>154</v>
      </c>
      <c r="H45" s="18" t="s">
        <v>154</v>
      </c>
      <c r="I45" s="17" t="s">
        <v>154</v>
      </c>
      <c r="J45" s="18" t="s">
        <v>154</v>
      </c>
      <c r="K45" s="17" t="s">
        <v>154</v>
      </c>
      <c r="L45" s="18" t="s">
        <v>154</v>
      </c>
      <c r="M45" s="17" t="s">
        <v>154</v>
      </c>
      <c r="N45" s="18" t="s">
        <v>154</v>
      </c>
      <c r="O45" s="17" t="s">
        <v>154</v>
      </c>
      <c r="P45" s="18" t="s">
        <v>154</v>
      </c>
      <c r="Q45" s="17" t="s">
        <v>154</v>
      </c>
      <c r="R45" s="18" t="s">
        <v>154</v>
      </c>
    </row>
    <row r="46" spans="1:18" x14ac:dyDescent="0.25">
      <c r="A46" s="11" t="s">
        <v>179</v>
      </c>
      <c r="B46" s="13">
        <v>23141</v>
      </c>
      <c r="C46" s="14">
        <f>(19537/B46*100)</f>
        <v>84.425910721230707</v>
      </c>
      <c r="D46" s="15">
        <v>3604</v>
      </c>
      <c r="E46" s="14">
        <v>46.164991759999999</v>
      </c>
      <c r="F46" s="16">
        <v>1.13972173</v>
      </c>
      <c r="G46" s="14">
        <v>53.835008240000001</v>
      </c>
      <c r="H46" s="16">
        <v>1.13972173</v>
      </c>
      <c r="I46" s="14" t="s">
        <v>139</v>
      </c>
      <c r="J46" s="16" t="s">
        <v>139</v>
      </c>
      <c r="K46" s="14">
        <v>0</v>
      </c>
      <c r="L46" s="16">
        <v>0</v>
      </c>
      <c r="M46" s="14">
        <v>0</v>
      </c>
      <c r="N46" s="16">
        <v>0</v>
      </c>
      <c r="O46" s="14">
        <v>0</v>
      </c>
      <c r="P46" s="16">
        <v>0</v>
      </c>
      <c r="Q46" s="14">
        <v>0</v>
      </c>
      <c r="R46" s="16">
        <v>0</v>
      </c>
    </row>
    <row r="47" spans="1:18" x14ac:dyDescent="0.25">
      <c r="A47" s="11" t="s">
        <v>180</v>
      </c>
      <c r="B47" s="13">
        <v>5928</v>
      </c>
      <c r="C47" s="14">
        <f>(4918/B47*100)</f>
        <v>82.962213225371116</v>
      </c>
      <c r="D47" s="15">
        <v>1010</v>
      </c>
      <c r="E47" s="14">
        <v>31.26841271</v>
      </c>
      <c r="F47" s="16">
        <v>1.62272989</v>
      </c>
      <c r="G47" s="14">
        <v>68.731587289999993</v>
      </c>
      <c r="H47" s="16">
        <v>1.62272989</v>
      </c>
      <c r="I47" s="14" t="s">
        <v>139</v>
      </c>
      <c r="J47" s="16" t="s">
        <v>139</v>
      </c>
      <c r="K47" s="14">
        <v>0</v>
      </c>
      <c r="L47" s="16">
        <v>0</v>
      </c>
      <c r="M47" s="14">
        <v>0</v>
      </c>
      <c r="N47" s="16">
        <v>0</v>
      </c>
      <c r="O47" s="14">
        <v>0</v>
      </c>
      <c r="P47" s="16">
        <v>0</v>
      </c>
      <c r="Q47" s="14">
        <v>0</v>
      </c>
      <c r="R47" s="16">
        <v>0</v>
      </c>
    </row>
    <row r="48" spans="1:18" x14ac:dyDescent="0.25">
      <c r="A48" s="11" t="s">
        <v>181</v>
      </c>
      <c r="B48" s="13">
        <v>9841</v>
      </c>
      <c r="C48" s="14">
        <f>(8147/B48*100)</f>
        <v>82.786302205060451</v>
      </c>
      <c r="D48" s="15">
        <v>1694</v>
      </c>
      <c r="E48" s="14">
        <v>22.079639749999998</v>
      </c>
      <c r="F48" s="16">
        <v>1.39619687</v>
      </c>
      <c r="G48" s="14">
        <v>77.920360250000002</v>
      </c>
      <c r="H48" s="16">
        <v>1.39619687</v>
      </c>
      <c r="I48" s="14" t="s">
        <v>139</v>
      </c>
      <c r="J48" s="16" t="s">
        <v>139</v>
      </c>
      <c r="K48" s="14">
        <v>0</v>
      </c>
      <c r="L48" s="16">
        <v>0</v>
      </c>
      <c r="M48" s="14">
        <v>0</v>
      </c>
      <c r="N48" s="16">
        <v>0</v>
      </c>
      <c r="O48" s="14">
        <v>0</v>
      </c>
      <c r="P48" s="16">
        <v>0</v>
      </c>
      <c r="Q48" s="14">
        <v>0</v>
      </c>
      <c r="R48" s="16">
        <v>0</v>
      </c>
    </row>
    <row r="49" spans="1:18" x14ac:dyDescent="0.25">
      <c r="A49" s="11" t="s">
        <v>182</v>
      </c>
      <c r="B49" s="17" t="s">
        <v>154</v>
      </c>
      <c r="C49" s="17" t="s">
        <v>154</v>
      </c>
      <c r="D49" s="18" t="s">
        <v>154</v>
      </c>
      <c r="E49" s="17" t="s">
        <v>154</v>
      </c>
      <c r="F49" s="18" t="s">
        <v>154</v>
      </c>
      <c r="G49" s="17" t="s">
        <v>154</v>
      </c>
      <c r="H49" s="18" t="s">
        <v>154</v>
      </c>
      <c r="I49" s="17" t="s">
        <v>154</v>
      </c>
      <c r="J49" s="18" t="s">
        <v>154</v>
      </c>
      <c r="K49" s="17" t="s">
        <v>154</v>
      </c>
      <c r="L49" s="18" t="s">
        <v>154</v>
      </c>
      <c r="M49" s="17" t="s">
        <v>154</v>
      </c>
      <c r="N49" s="18" t="s">
        <v>154</v>
      </c>
      <c r="O49" s="17" t="s">
        <v>154</v>
      </c>
      <c r="P49" s="18" t="s">
        <v>154</v>
      </c>
      <c r="Q49" s="17" t="s">
        <v>154</v>
      </c>
      <c r="R49" s="18" t="s">
        <v>154</v>
      </c>
    </row>
    <row r="50" spans="1:18" x14ac:dyDescent="0.25">
      <c r="A50" s="11" t="s">
        <v>183</v>
      </c>
      <c r="B50" s="13">
        <v>11795</v>
      </c>
      <c r="C50" s="14">
        <f>(9780/B50*100)</f>
        <v>82.916490038151764</v>
      </c>
      <c r="D50" s="15">
        <v>2015</v>
      </c>
      <c r="E50" s="14">
        <v>50.293357100000001</v>
      </c>
      <c r="F50" s="16">
        <v>1.5957324799999999</v>
      </c>
      <c r="G50" s="14">
        <v>49.706642899999999</v>
      </c>
      <c r="H50" s="16">
        <v>1.5957324799999999</v>
      </c>
      <c r="I50" s="14" t="s">
        <v>139</v>
      </c>
      <c r="J50" s="16" t="s">
        <v>139</v>
      </c>
      <c r="K50" s="14">
        <v>0</v>
      </c>
      <c r="L50" s="16">
        <v>0</v>
      </c>
      <c r="M50" s="14">
        <v>0</v>
      </c>
      <c r="N50" s="16">
        <v>0</v>
      </c>
      <c r="O50" s="14">
        <v>0</v>
      </c>
      <c r="P50" s="16">
        <v>0</v>
      </c>
      <c r="Q50" s="14">
        <v>0</v>
      </c>
      <c r="R50" s="16">
        <v>0</v>
      </c>
    </row>
    <row r="51" spans="1:18" x14ac:dyDescent="0.25">
      <c r="A51" s="11" t="s">
        <v>184</v>
      </c>
      <c r="B51" s="13">
        <v>6866</v>
      </c>
      <c r="C51" s="14">
        <f>(5844/B51*100)</f>
        <v>85.115059714535391</v>
      </c>
      <c r="D51" s="15">
        <v>1022</v>
      </c>
      <c r="E51" s="14">
        <v>41.923259430000002</v>
      </c>
      <c r="F51" s="16">
        <v>1.9418346799999999</v>
      </c>
      <c r="G51" s="14">
        <v>58.076740569999998</v>
      </c>
      <c r="H51" s="16">
        <v>1.9418346799999999</v>
      </c>
      <c r="I51" s="14" t="s">
        <v>139</v>
      </c>
      <c r="J51" s="16" t="s">
        <v>139</v>
      </c>
      <c r="K51" s="14">
        <v>0</v>
      </c>
      <c r="L51" s="16">
        <v>0</v>
      </c>
      <c r="M51" s="14">
        <v>0</v>
      </c>
      <c r="N51" s="16">
        <v>0</v>
      </c>
      <c r="O51" s="14">
        <v>0</v>
      </c>
      <c r="P51" s="16">
        <v>0</v>
      </c>
      <c r="Q51" s="14">
        <v>0</v>
      </c>
      <c r="R51" s="16">
        <v>0</v>
      </c>
    </row>
    <row r="52" spans="1:18" x14ac:dyDescent="0.25">
      <c r="A52" s="11" t="s">
        <v>185</v>
      </c>
      <c r="B52" s="13">
        <v>5809</v>
      </c>
      <c r="C52" s="14">
        <f>(4801/B52*100)</f>
        <v>82.647615768634878</v>
      </c>
      <c r="D52" s="15">
        <v>1008</v>
      </c>
      <c r="E52" s="14">
        <v>33.130070519999997</v>
      </c>
      <c r="F52" s="16">
        <v>1.53488739</v>
      </c>
      <c r="G52" s="14">
        <v>66.869929479999996</v>
      </c>
      <c r="H52" s="16">
        <v>1.53488739</v>
      </c>
      <c r="I52" s="14" t="s">
        <v>139</v>
      </c>
      <c r="J52" s="16" t="s">
        <v>139</v>
      </c>
      <c r="K52" s="14">
        <v>0</v>
      </c>
      <c r="L52" s="16">
        <v>0</v>
      </c>
      <c r="M52" s="14">
        <v>0</v>
      </c>
      <c r="N52" s="16">
        <v>0</v>
      </c>
      <c r="O52" s="14">
        <v>0</v>
      </c>
      <c r="P52" s="16">
        <v>0</v>
      </c>
      <c r="Q52" s="14">
        <v>0</v>
      </c>
      <c r="R52" s="16">
        <v>0</v>
      </c>
    </row>
    <row r="53" spans="1:18" x14ac:dyDescent="0.25">
      <c r="A53" s="11" t="s">
        <v>186</v>
      </c>
      <c r="B53" s="13">
        <v>5571</v>
      </c>
      <c r="C53" s="14">
        <f>(4604/B53*100)</f>
        <v>82.642254532399932</v>
      </c>
      <c r="D53" s="15">
        <v>967</v>
      </c>
      <c r="E53" s="14">
        <v>40.871525509999998</v>
      </c>
      <c r="F53" s="16">
        <v>1.74804077</v>
      </c>
      <c r="G53" s="14">
        <v>59.128474490000002</v>
      </c>
      <c r="H53" s="16">
        <v>1.74804077</v>
      </c>
      <c r="I53" s="14" t="s">
        <v>139</v>
      </c>
      <c r="J53" s="16" t="s">
        <v>139</v>
      </c>
      <c r="K53" s="14">
        <v>0</v>
      </c>
      <c r="L53" s="16">
        <v>0</v>
      </c>
      <c r="M53" s="14">
        <v>0</v>
      </c>
      <c r="N53" s="16">
        <v>0</v>
      </c>
      <c r="O53" s="14">
        <v>0</v>
      </c>
      <c r="P53" s="16">
        <v>0</v>
      </c>
      <c r="Q53" s="14">
        <v>0</v>
      </c>
      <c r="R53" s="16">
        <v>0</v>
      </c>
    </row>
    <row r="54" spans="1:18" x14ac:dyDescent="0.25">
      <c r="A54" s="11" t="s">
        <v>187</v>
      </c>
      <c r="B54" s="17" t="s">
        <v>154</v>
      </c>
      <c r="C54" s="17" t="s">
        <v>154</v>
      </c>
      <c r="D54" s="18" t="s">
        <v>154</v>
      </c>
      <c r="E54" s="17" t="s">
        <v>154</v>
      </c>
      <c r="F54" s="18" t="s">
        <v>154</v>
      </c>
      <c r="G54" s="17" t="s">
        <v>154</v>
      </c>
      <c r="H54" s="18" t="s">
        <v>154</v>
      </c>
      <c r="I54" s="17" t="s">
        <v>154</v>
      </c>
      <c r="J54" s="18" t="s">
        <v>154</v>
      </c>
      <c r="K54" s="17" t="s">
        <v>154</v>
      </c>
      <c r="L54" s="18" t="s">
        <v>154</v>
      </c>
      <c r="M54" s="17" t="s">
        <v>154</v>
      </c>
      <c r="N54" s="18" t="s">
        <v>154</v>
      </c>
      <c r="O54" s="17" t="s">
        <v>154</v>
      </c>
      <c r="P54" s="18" t="s">
        <v>154</v>
      </c>
      <c r="Q54" s="17" t="s">
        <v>154</v>
      </c>
      <c r="R54" s="18" t="s">
        <v>154</v>
      </c>
    </row>
    <row r="55" spans="1:18" x14ac:dyDescent="0.25">
      <c r="A55" s="11" t="s">
        <v>188</v>
      </c>
      <c r="B55" s="17" t="s">
        <v>154</v>
      </c>
      <c r="C55" s="17" t="s">
        <v>154</v>
      </c>
      <c r="D55" s="18" t="s">
        <v>154</v>
      </c>
      <c r="E55" s="17" t="s">
        <v>154</v>
      </c>
      <c r="F55" s="18" t="s">
        <v>154</v>
      </c>
      <c r="G55" s="17" t="s">
        <v>154</v>
      </c>
      <c r="H55" s="18" t="s">
        <v>154</v>
      </c>
      <c r="I55" s="17" t="s">
        <v>154</v>
      </c>
      <c r="J55" s="18" t="s">
        <v>154</v>
      </c>
      <c r="K55" s="17" t="s">
        <v>154</v>
      </c>
      <c r="L55" s="18" t="s">
        <v>154</v>
      </c>
      <c r="M55" s="17" t="s">
        <v>154</v>
      </c>
      <c r="N55" s="18" t="s">
        <v>154</v>
      </c>
      <c r="O55" s="17" t="s">
        <v>154</v>
      </c>
      <c r="P55" s="18" t="s">
        <v>154</v>
      </c>
      <c r="Q55" s="17" t="s">
        <v>154</v>
      </c>
      <c r="R55" s="18" t="s">
        <v>154</v>
      </c>
    </row>
    <row r="56" spans="1:18" x14ac:dyDescent="0.25">
      <c r="A56" s="11" t="s">
        <v>189</v>
      </c>
      <c r="B56" s="13">
        <v>5359</v>
      </c>
      <c r="C56" s="14">
        <f>(4443/B56*100)</f>
        <v>82.907258816943468</v>
      </c>
      <c r="D56" s="15">
        <v>916</v>
      </c>
      <c r="E56" s="14">
        <v>38.387173930000003</v>
      </c>
      <c r="F56" s="16">
        <v>1.7760363400000001</v>
      </c>
      <c r="G56" s="14">
        <v>61.612826069999997</v>
      </c>
      <c r="H56" s="16">
        <v>1.7760363400000001</v>
      </c>
      <c r="I56" s="14" t="s">
        <v>139</v>
      </c>
      <c r="J56" s="16" t="s">
        <v>139</v>
      </c>
      <c r="K56" s="14">
        <v>0</v>
      </c>
      <c r="L56" s="16">
        <v>0</v>
      </c>
      <c r="M56" s="14">
        <v>0</v>
      </c>
      <c r="N56" s="16">
        <v>0</v>
      </c>
      <c r="O56" s="14">
        <v>0</v>
      </c>
      <c r="P56" s="16">
        <v>0</v>
      </c>
      <c r="Q56" s="14">
        <v>0</v>
      </c>
      <c r="R56" s="16">
        <v>0</v>
      </c>
    </row>
    <row r="57" spans="1:18" x14ac:dyDescent="0.25">
      <c r="A57" s="11" t="s">
        <v>190</v>
      </c>
      <c r="B57" s="17" t="s">
        <v>154</v>
      </c>
      <c r="C57" s="17" t="s">
        <v>154</v>
      </c>
      <c r="D57" s="18" t="s">
        <v>154</v>
      </c>
      <c r="E57" s="17" t="s">
        <v>154</v>
      </c>
      <c r="F57" s="18" t="s">
        <v>154</v>
      </c>
      <c r="G57" s="17" t="s">
        <v>154</v>
      </c>
      <c r="H57" s="18" t="s">
        <v>154</v>
      </c>
      <c r="I57" s="17" t="s">
        <v>154</v>
      </c>
      <c r="J57" s="18" t="s">
        <v>154</v>
      </c>
      <c r="K57" s="17" t="s">
        <v>154</v>
      </c>
      <c r="L57" s="18" t="s">
        <v>154</v>
      </c>
      <c r="M57" s="17" t="s">
        <v>154</v>
      </c>
      <c r="N57" s="18" t="s">
        <v>154</v>
      </c>
      <c r="O57" s="17" t="s">
        <v>154</v>
      </c>
      <c r="P57" s="18" t="s">
        <v>154</v>
      </c>
      <c r="Q57" s="17" t="s">
        <v>154</v>
      </c>
      <c r="R57" s="18" t="s">
        <v>154</v>
      </c>
    </row>
    <row r="58" spans="1:18" x14ac:dyDescent="0.25">
      <c r="A58" s="11" t="s">
        <v>191</v>
      </c>
      <c r="B58" s="17" t="s">
        <v>154</v>
      </c>
      <c r="C58" s="17" t="s">
        <v>154</v>
      </c>
      <c r="D58" s="18" t="s">
        <v>154</v>
      </c>
      <c r="E58" s="17" t="s">
        <v>154</v>
      </c>
      <c r="F58" s="18" t="s">
        <v>154</v>
      </c>
      <c r="G58" s="17" t="s">
        <v>154</v>
      </c>
      <c r="H58" s="18" t="s">
        <v>154</v>
      </c>
      <c r="I58" s="17" t="s">
        <v>154</v>
      </c>
      <c r="J58" s="18" t="s">
        <v>154</v>
      </c>
      <c r="K58" s="17" t="s">
        <v>154</v>
      </c>
      <c r="L58" s="18" t="s">
        <v>154</v>
      </c>
      <c r="M58" s="17" t="s">
        <v>154</v>
      </c>
      <c r="N58" s="18" t="s">
        <v>154</v>
      </c>
      <c r="O58" s="17" t="s">
        <v>154</v>
      </c>
      <c r="P58" s="18" t="s">
        <v>154</v>
      </c>
      <c r="Q58" s="17" t="s">
        <v>154</v>
      </c>
      <c r="R58" s="18" t="s">
        <v>154</v>
      </c>
    </row>
    <row r="59" spans="1:18" x14ac:dyDescent="0.25">
      <c r="A59" s="11" t="s">
        <v>192</v>
      </c>
      <c r="B59" s="17" t="s">
        <v>154</v>
      </c>
      <c r="C59" s="17" t="s">
        <v>154</v>
      </c>
      <c r="D59" s="18" t="s">
        <v>154</v>
      </c>
      <c r="E59" s="17" t="s">
        <v>154</v>
      </c>
      <c r="F59" s="18" t="s">
        <v>154</v>
      </c>
      <c r="G59" s="17" t="s">
        <v>154</v>
      </c>
      <c r="H59" s="18" t="s">
        <v>154</v>
      </c>
      <c r="I59" s="17" t="s">
        <v>154</v>
      </c>
      <c r="J59" s="18" t="s">
        <v>154</v>
      </c>
      <c r="K59" s="17" t="s">
        <v>154</v>
      </c>
      <c r="L59" s="18" t="s">
        <v>154</v>
      </c>
      <c r="M59" s="17" t="s">
        <v>154</v>
      </c>
      <c r="N59" s="18" t="s">
        <v>154</v>
      </c>
      <c r="O59" s="17" t="s">
        <v>154</v>
      </c>
      <c r="P59" s="18" t="s">
        <v>154</v>
      </c>
      <c r="Q59" s="17" t="s">
        <v>154</v>
      </c>
      <c r="R59" s="18" t="s">
        <v>154</v>
      </c>
    </row>
    <row r="60" spans="1:18" x14ac:dyDescent="0.25">
      <c r="A60" s="11" t="s">
        <v>193</v>
      </c>
      <c r="B60" s="17" t="s">
        <v>154</v>
      </c>
      <c r="C60" s="17" t="s">
        <v>154</v>
      </c>
      <c r="D60" s="18" t="s">
        <v>154</v>
      </c>
      <c r="E60" s="17" t="s">
        <v>154</v>
      </c>
      <c r="F60" s="18" t="s">
        <v>154</v>
      </c>
      <c r="G60" s="17" t="s">
        <v>154</v>
      </c>
      <c r="H60" s="18" t="s">
        <v>154</v>
      </c>
      <c r="I60" s="17" t="s">
        <v>154</v>
      </c>
      <c r="J60" s="18" t="s">
        <v>154</v>
      </c>
      <c r="K60" s="17" t="s">
        <v>154</v>
      </c>
      <c r="L60" s="18" t="s">
        <v>154</v>
      </c>
      <c r="M60" s="17" t="s">
        <v>154</v>
      </c>
      <c r="N60" s="18" t="s">
        <v>154</v>
      </c>
      <c r="O60" s="17" t="s">
        <v>154</v>
      </c>
      <c r="P60" s="18" t="s">
        <v>154</v>
      </c>
      <c r="Q60" s="17" t="s">
        <v>154</v>
      </c>
      <c r="R60" s="18" t="s">
        <v>154</v>
      </c>
    </row>
    <row r="61" spans="1:18" x14ac:dyDescent="0.25">
      <c r="A61" s="11" t="s">
        <v>194</v>
      </c>
      <c r="B61" s="13">
        <v>6525</v>
      </c>
      <c r="C61" s="14">
        <f>(5385/B61*100)</f>
        <v>82.528735632183896</v>
      </c>
      <c r="D61" s="15">
        <v>1140</v>
      </c>
      <c r="E61" s="14">
        <v>24.313119629999999</v>
      </c>
      <c r="F61" s="16">
        <v>1.28777666</v>
      </c>
      <c r="G61" s="14">
        <v>75.686880369999997</v>
      </c>
      <c r="H61" s="16">
        <v>1.28777666</v>
      </c>
      <c r="I61" s="14" t="s">
        <v>139</v>
      </c>
      <c r="J61" s="16" t="s">
        <v>139</v>
      </c>
      <c r="K61" s="14">
        <v>0</v>
      </c>
      <c r="L61" s="16">
        <v>0</v>
      </c>
      <c r="M61" s="14">
        <v>0</v>
      </c>
      <c r="N61" s="16">
        <v>0</v>
      </c>
      <c r="O61" s="14">
        <v>0</v>
      </c>
      <c r="P61" s="16">
        <v>0</v>
      </c>
      <c r="Q61" s="14">
        <v>0</v>
      </c>
      <c r="R61" s="16">
        <v>0</v>
      </c>
    </row>
    <row r="62" spans="1:18" x14ac:dyDescent="0.25">
      <c r="A62" s="11" t="s">
        <v>195</v>
      </c>
      <c r="B62" s="13">
        <v>4476</v>
      </c>
      <c r="C62" s="14">
        <f>(3693/B62*100)</f>
        <v>82.506702412868634</v>
      </c>
      <c r="D62" s="15">
        <v>783</v>
      </c>
      <c r="E62" s="14">
        <v>35.946359819999998</v>
      </c>
      <c r="F62" s="16">
        <v>1.9076496999999999</v>
      </c>
      <c r="G62" s="14">
        <v>64.053640180000002</v>
      </c>
      <c r="H62" s="16">
        <v>1.9076496999999999</v>
      </c>
      <c r="I62" s="14" t="s">
        <v>139</v>
      </c>
      <c r="J62" s="16" t="s">
        <v>139</v>
      </c>
      <c r="K62" s="14">
        <v>0</v>
      </c>
      <c r="L62" s="16">
        <v>0</v>
      </c>
      <c r="M62" s="14">
        <v>0</v>
      </c>
      <c r="N62" s="16">
        <v>0</v>
      </c>
      <c r="O62" s="14">
        <v>0</v>
      </c>
      <c r="P62" s="16">
        <v>0</v>
      </c>
      <c r="Q62" s="14">
        <v>0</v>
      </c>
      <c r="R62" s="16">
        <v>0</v>
      </c>
    </row>
    <row r="63" spans="1:18" x14ac:dyDescent="0.25">
      <c r="A63" s="11" t="s">
        <v>196</v>
      </c>
      <c r="B63" s="17" t="s">
        <v>154</v>
      </c>
      <c r="C63" s="17" t="s">
        <v>154</v>
      </c>
      <c r="D63" s="18" t="s">
        <v>154</v>
      </c>
      <c r="E63" s="17" t="s">
        <v>154</v>
      </c>
      <c r="F63" s="18" t="s">
        <v>154</v>
      </c>
      <c r="G63" s="17" t="s">
        <v>154</v>
      </c>
      <c r="H63" s="18" t="s">
        <v>154</v>
      </c>
      <c r="I63" s="17" t="s">
        <v>154</v>
      </c>
      <c r="J63" s="18" t="s">
        <v>154</v>
      </c>
      <c r="K63" s="17" t="s">
        <v>154</v>
      </c>
      <c r="L63" s="18" t="s">
        <v>154</v>
      </c>
      <c r="M63" s="17" t="s">
        <v>154</v>
      </c>
      <c r="N63" s="18" t="s">
        <v>154</v>
      </c>
      <c r="O63" s="17" t="s">
        <v>154</v>
      </c>
      <c r="P63" s="18" t="s">
        <v>154</v>
      </c>
      <c r="Q63" s="17" t="s">
        <v>154</v>
      </c>
      <c r="R63" s="18" t="s">
        <v>154</v>
      </c>
    </row>
    <row r="64" spans="1:18" x14ac:dyDescent="0.25">
      <c r="A64" s="11" t="s">
        <v>197</v>
      </c>
      <c r="B64" s="17" t="s">
        <v>154</v>
      </c>
      <c r="C64" s="17" t="s">
        <v>154</v>
      </c>
      <c r="D64" s="18" t="s">
        <v>154</v>
      </c>
      <c r="E64" s="17" t="s">
        <v>154</v>
      </c>
      <c r="F64" s="18" t="s">
        <v>154</v>
      </c>
      <c r="G64" s="17" t="s">
        <v>154</v>
      </c>
      <c r="H64" s="18" t="s">
        <v>154</v>
      </c>
      <c r="I64" s="17" t="s">
        <v>154</v>
      </c>
      <c r="J64" s="18" t="s">
        <v>154</v>
      </c>
      <c r="K64" s="17" t="s">
        <v>154</v>
      </c>
      <c r="L64" s="18" t="s">
        <v>154</v>
      </c>
      <c r="M64" s="17" t="s">
        <v>154</v>
      </c>
      <c r="N64" s="18" t="s">
        <v>154</v>
      </c>
      <c r="O64" s="17" t="s">
        <v>154</v>
      </c>
      <c r="P64" s="18" t="s">
        <v>154</v>
      </c>
      <c r="Q64" s="17" t="s">
        <v>154</v>
      </c>
      <c r="R64" s="18" t="s">
        <v>154</v>
      </c>
    </row>
    <row r="65" spans="1:18" x14ac:dyDescent="0.25">
      <c r="A65" s="11" t="s">
        <v>198</v>
      </c>
      <c r="B65" s="17" t="s">
        <v>154</v>
      </c>
      <c r="C65" s="17" t="s">
        <v>154</v>
      </c>
      <c r="D65" s="18" t="s">
        <v>154</v>
      </c>
      <c r="E65" s="17" t="s">
        <v>154</v>
      </c>
      <c r="F65" s="18" t="s">
        <v>154</v>
      </c>
      <c r="G65" s="17" t="s">
        <v>154</v>
      </c>
      <c r="H65" s="18" t="s">
        <v>154</v>
      </c>
      <c r="I65" s="17" t="s">
        <v>154</v>
      </c>
      <c r="J65" s="18" t="s">
        <v>154</v>
      </c>
      <c r="K65" s="17" t="s">
        <v>154</v>
      </c>
      <c r="L65" s="18" t="s">
        <v>154</v>
      </c>
      <c r="M65" s="17" t="s">
        <v>154</v>
      </c>
      <c r="N65" s="18" t="s">
        <v>154</v>
      </c>
      <c r="O65" s="17" t="s">
        <v>154</v>
      </c>
      <c r="P65" s="18" t="s">
        <v>154</v>
      </c>
      <c r="Q65" s="17" t="s">
        <v>154</v>
      </c>
      <c r="R65" s="18" t="s">
        <v>154</v>
      </c>
    </row>
    <row r="66" spans="1:18" x14ac:dyDescent="0.25">
      <c r="A66" s="11" t="s">
        <v>199</v>
      </c>
      <c r="B66" s="13">
        <v>5665</v>
      </c>
      <c r="C66" s="14">
        <f>(4694/B66*100)</f>
        <v>82.85966460723742</v>
      </c>
      <c r="D66" s="15">
        <v>971</v>
      </c>
      <c r="E66" s="14">
        <v>41.944750720000002</v>
      </c>
      <c r="F66" s="16">
        <v>1.4191497200000001</v>
      </c>
      <c r="G66" s="14">
        <v>58.055249279999998</v>
      </c>
      <c r="H66" s="16">
        <v>1.4191497200000001</v>
      </c>
      <c r="I66" s="14" t="s">
        <v>139</v>
      </c>
      <c r="J66" s="16" t="s">
        <v>139</v>
      </c>
      <c r="K66" s="14">
        <v>0</v>
      </c>
      <c r="L66" s="16">
        <v>0</v>
      </c>
      <c r="M66" s="14">
        <v>0</v>
      </c>
      <c r="N66" s="16">
        <v>0</v>
      </c>
      <c r="O66" s="14">
        <v>0</v>
      </c>
      <c r="P66" s="16">
        <v>0</v>
      </c>
      <c r="Q66" s="14">
        <v>0</v>
      </c>
      <c r="R66" s="16">
        <v>0</v>
      </c>
    </row>
    <row r="67" spans="1:18" x14ac:dyDescent="0.25">
      <c r="A67" s="11" t="s">
        <v>200</v>
      </c>
      <c r="B67" s="13">
        <v>6971</v>
      </c>
      <c r="C67" s="14">
        <f>(5816/B67*100)</f>
        <v>83.431358485152771</v>
      </c>
      <c r="D67" s="15">
        <v>1155</v>
      </c>
      <c r="E67" s="14">
        <v>58.246042080000002</v>
      </c>
      <c r="F67" s="16">
        <v>1.60759718</v>
      </c>
      <c r="G67" s="14">
        <v>41.753957919999998</v>
      </c>
      <c r="H67" s="16">
        <v>1.60759718</v>
      </c>
      <c r="I67" s="14" t="s">
        <v>139</v>
      </c>
      <c r="J67" s="16" t="s">
        <v>139</v>
      </c>
      <c r="K67" s="14">
        <v>0</v>
      </c>
      <c r="L67" s="16">
        <v>0</v>
      </c>
      <c r="M67" s="14">
        <v>0</v>
      </c>
      <c r="N67" s="16">
        <v>0</v>
      </c>
      <c r="O67" s="14">
        <v>0</v>
      </c>
      <c r="P67" s="16">
        <v>0</v>
      </c>
      <c r="Q67" s="14">
        <v>0</v>
      </c>
      <c r="R67" s="16">
        <v>0</v>
      </c>
    </row>
    <row r="68" spans="1:18" x14ac:dyDescent="0.25">
      <c r="A68" s="11" t="s">
        <v>201</v>
      </c>
      <c r="B68" s="17" t="s">
        <v>154</v>
      </c>
      <c r="C68" s="17" t="s">
        <v>154</v>
      </c>
      <c r="D68" s="18" t="s">
        <v>154</v>
      </c>
      <c r="E68" s="17" t="s">
        <v>154</v>
      </c>
      <c r="F68" s="18" t="s">
        <v>154</v>
      </c>
      <c r="G68" s="17" t="s">
        <v>154</v>
      </c>
      <c r="H68" s="18" t="s">
        <v>154</v>
      </c>
      <c r="I68" s="17" t="s">
        <v>154</v>
      </c>
      <c r="J68" s="18" t="s">
        <v>154</v>
      </c>
      <c r="K68" s="17" t="s">
        <v>154</v>
      </c>
      <c r="L68" s="18" t="s">
        <v>154</v>
      </c>
      <c r="M68" s="17" t="s">
        <v>154</v>
      </c>
      <c r="N68" s="18" t="s">
        <v>154</v>
      </c>
      <c r="O68" s="17" t="s">
        <v>154</v>
      </c>
      <c r="P68" s="18" t="s">
        <v>154</v>
      </c>
      <c r="Q68" s="17" t="s">
        <v>154</v>
      </c>
      <c r="R68" s="18" t="s">
        <v>154</v>
      </c>
    </row>
    <row r="69" spans="1:18" x14ac:dyDescent="0.25">
      <c r="A69" s="11" t="s">
        <v>202</v>
      </c>
      <c r="B69" s="17" t="s">
        <v>154</v>
      </c>
      <c r="C69" s="17" t="s">
        <v>154</v>
      </c>
      <c r="D69" s="18" t="s">
        <v>154</v>
      </c>
      <c r="E69" s="17" t="s">
        <v>154</v>
      </c>
      <c r="F69" s="18" t="s">
        <v>154</v>
      </c>
      <c r="G69" s="17" t="s">
        <v>154</v>
      </c>
      <c r="H69" s="18" t="s">
        <v>154</v>
      </c>
      <c r="I69" s="17" t="s">
        <v>154</v>
      </c>
      <c r="J69" s="18" t="s">
        <v>154</v>
      </c>
      <c r="K69" s="17" t="s">
        <v>154</v>
      </c>
      <c r="L69" s="18" t="s">
        <v>154</v>
      </c>
      <c r="M69" s="17" t="s">
        <v>154</v>
      </c>
      <c r="N69" s="18" t="s">
        <v>154</v>
      </c>
      <c r="O69" s="17" t="s">
        <v>154</v>
      </c>
      <c r="P69" s="18" t="s">
        <v>154</v>
      </c>
      <c r="Q69" s="17" t="s">
        <v>154</v>
      </c>
      <c r="R69" s="18" t="s">
        <v>154</v>
      </c>
    </row>
    <row r="70" spans="1:18" x14ac:dyDescent="0.25">
      <c r="A70" s="11" t="s">
        <v>203</v>
      </c>
      <c r="B70" s="13">
        <v>6036</v>
      </c>
      <c r="C70" s="14">
        <f>(4996/B70*100)</f>
        <v>82.770046388336652</v>
      </c>
      <c r="D70" s="15">
        <v>1040</v>
      </c>
      <c r="E70" s="14">
        <v>22.92691623</v>
      </c>
      <c r="F70" s="16">
        <v>1.32905183</v>
      </c>
      <c r="G70" s="14">
        <v>77.073083769999997</v>
      </c>
      <c r="H70" s="16">
        <v>1.32905183</v>
      </c>
      <c r="I70" s="14" t="s">
        <v>139</v>
      </c>
      <c r="J70" s="16" t="s">
        <v>139</v>
      </c>
      <c r="K70" s="14">
        <v>0</v>
      </c>
      <c r="L70" s="16">
        <v>0</v>
      </c>
      <c r="M70" s="14">
        <v>0</v>
      </c>
      <c r="N70" s="16">
        <v>0</v>
      </c>
      <c r="O70" s="14">
        <v>0</v>
      </c>
      <c r="P70" s="16">
        <v>0</v>
      </c>
      <c r="Q70" s="14">
        <v>0</v>
      </c>
      <c r="R70" s="16">
        <v>0</v>
      </c>
    </row>
    <row r="71" spans="1:18" x14ac:dyDescent="0.25">
      <c r="A71" s="11" t="s">
        <v>204</v>
      </c>
      <c r="B71" s="17" t="s">
        <v>154</v>
      </c>
      <c r="C71" s="17" t="s">
        <v>154</v>
      </c>
      <c r="D71" s="18" t="s">
        <v>154</v>
      </c>
      <c r="E71" s="17" t="s">
        <v>154</v>
      </c>
      <c r="F71" s="18" t="s">
        <v>154</v>
      </c>
      <c r="G71" s="17" t="s">
        <v>154</v>
      </c>
      <c r="H71" s="18" t="s">
        <v>154</v>
      </c>
      <c r="I71" s="17" t="s">
        <v>154</v>
      </c>
      <c r="J71" s="18" t="s">
        <v>154</v>
      </c>
      <c r="K71" s="17" t="s">
        <v>154</v>
      </c>
      <c r="L71" s="18" t="s">
        <v>154</v>
      </c>
      <c r="M71" s="17" t="s">
        <v>154</v>
      </c>
      <c r="N71" s="18" t="s">
        <v>154</v>
      </c>
      <c r="O71" s="17" t="s">
        <v>154</v>
      </c>
      <c r="P71" s="18" t="s">
        <v>154</v>
      </c>
      <c r="Q71" s="17" t="s">
        <v>154</v>
      </c>
      <c r="R71" s="18" t="s">
        <v>154</v>
      </c>
    </row>
    <row r="72" spans="1:18" x14ac:dyDescent="0.25">
      <c r="A72" s="11" t="s">
        <v>205</v>
      </c>
      <c r="B72" s="13">
        <v>7708</v>
      </c>
      <c r="C72" s="14">
        <f>(6389/B72*100)</f>
        <v>82.887908666320712</v>
      </c>
      <c r="D72" s="15">
        <v>1319</v>
      </c>
      <c r="E72" s="14">
        <v>22.38433689</v>
      </c>
      <c r="F72" s="16">
        <v>1.1565354000000001</v>
      </c>
      <c r="G72" s="14">
        <v>77.61566311</v>
      </c>
      <c r="H72" s="16">
        <v>1.1565354000000001</v>
      </c>
      <c r="I72" s="14" t="s">
        <v>139</v>
      </c>
      <c r="J72" s="16" t="s">
        <v>139</v>
      </c>
      <c r="K72" s="14">
        <v>0</v>
      </c>
      <c r="L72" s="16">
        <v>0</v>
      </c>
      <c r="M72" s="14">
        <v>0</v>
      </c>
      <c r="N72" s="16">
        <v>0</v>
      </c>
      <c r="O72" s="14">
        <v>0</v>
      </c>
      <c r="P72" s="16">
        <v>0</v>
      </c>
      <c r="Q72" s="14">
        <v>0</v>
      </c>
      <c r="R72" s="16">
        <v>0</v>
      </c>
    </row>
    <row r="73" spans="1:18" x14ac:dyDescent="0.25">
      <c r="A73" s="11" t="s">
        <v>206</v>
      </c>
      <c r="B73" s="13">
        <v>8249</v>
      </c>
      <c r="C73" s="14">
        <f>(6863/B73*100)</f>
        <v>83.197963389501766</v>
      </c>
      <c r="D73" s="15">
        <v>1386</v>
      </c>
      <c r="E73" s="14">
        <v>35.067538970000001</v>
      </c>
      <c r="F73" s="16">
        <v>1.8023114200000001</v>
      </c>
      <c r="G73" s="14">
        <v>64.932461029999999</v>
      </c>
      <c r="H73" s="16">
        <v>1.8023114200000001</v>
      </c>
      <c r="I73" s="14" t="s">
        <v>139</v>
      </c>
      <c r="J73" s="16" t="s">
        <v>139</v>
      </c>
      <c r="K73" s="14">
        <v>0</v>
      </c>
      <c r="L73" s="16">
        <v>0</v>
      </c>
      <c r="M73" s="14">
        <v>0</v>
      </c>
      <c r="N73" s="16">
        <v>0</v>
      </c>
      <c r="O73" s="14">
        <v>0</v>
      </c>
      <c r="P73" s="16">
        <v>0</v>
      </c>
      <c r="Q73" s="14">
        <v>0</v>
      </c>
      <c r="R73" s="16">
        <v>0</v>
      </c>
    </row>
    <row r="74" spans="1:18" x14ac:dyDescent="0.25">
      <c r="A74" s="11" t="s">
        <v>207</v>
      </c>
      <c r="B74" s="17" t="s">
        <v>154</v>
      </c>
      <c r="C74" s="17" t="s">
        <v>154</v>
      </c>
      <c r="D74" s="18" t="s">
        <v>154</v>
      </c>
      <c r="E74" s="17" t="s">
        <v>154</v>
      </c>
      <c r="F74" s="18" t="s">
        <v>154</v>
      </c>
      <c r="G74" s="17" t="s">
        <v>154</v>
      </c>
      <c r="H74" s="18" t="s">
        <v>154</v>
      </c>
      <c r="I74" s="17" t="s">
        <v>154</v>
      </c>
      <c r="J74" s="18" t="s">
        <v>154</v>
      </c>
      <c r="K74" s="17" t="s">
        <v>154</v>
      </c>
      <c r="L74" s="18" t="s">
        <v>154</v>
      </c>
      <c r="M74" s="17" t="s">
        <v>154</v>
      </c>
      <c r="N74" s="18" t="s">
        <v>154</v>
      </c>
      <c r="O74" s="17" t="s">
        <v>154</v>
      </c>
      <c r="P74" s="18" t="s">
        <v>154</v>
      </c>
      <c r="Q74" s="17" t="s">
        <v>154</v>
      </c>
      <c r="R74" s="18" t="s">
        <v>154</v>
      </c>
    </row>
    <row r="75" spans="1:18" x14ac:dyDescent="0.25">
      <c r="A75" s="11" t="s">
        <v>208</v>
      </c>
      <c r="B75" s="13">
        <v>5375</v>
      </c>
      <c r="C75" s="14">
        <f>(4484/B75*100)</f>
        <v>83.423255813953489</v>
      </c>
      <c r="D75" s="15">
        <v>891</v>
      </c>
      <c r="E75" s="14">
        <v>47.787719080000002</v>
      </c>
      <c r="F75" s="16">
        <v>1.94575918</v>
      </c>
      <c r="G75" s="14">
        <v>52.212280919999998</v>
      </c>
      <c r="H75" s="16">
        <v>1.94575918</v>
      </c>
      <c r="I75" s="14" t="s">
        <v>139</v>
      </c>
      <c r="J75" s="16" t="s">
        <v>139</v>
      </c>
      <c r="K75" s="14">
        <v>0</v>
      </c>
      <c r="L75" s="16">
        <v>0</v>
      </c>
      <c r="M75" s="14">
        <v>0</v>
      </c>
      <c r="N75" s="16">
        <v>0</v>
      </c>
      <c r="O75" s="14">
        <v>0</v>
      </c>
      <c r="P75" s="16">
        <v>0</v>
      </c>
      <c r="Q75" s="14">
        <v>0</v>
      </c>
      <c r="R75" s="16">
        <v>0</v>
      </c>
    </row>
    <row r="76" spans="1:18" x14ac:dyDescent="0.25">
      <c r="A76" s="11" t="s">
        <v>209</v>
      </c>
      <c r="B76" s="13">
        <v>14167</v>
      </c>
      <c r="C76" s="14">
        <f>(11779/B76*100)</f>
        <v>83.143926025270005</v>
      </c>
      <c r="D76" s="15">
        <v>2388</v>
      </c>
      <c r="E76" s="14">
        <v>40.551574180000003</v>
      </c>
      <c r="F76" s="16">
        <v>1.3533902799999999</v>
      </c>
      <c r="G76" s="14">
        <v>59.448425819999997</v>
      </c>
      <c r="H76" s="16">
        <v>1.3533902799999999</v>
      </c>
      <c r="I76" s="14" t="s">
        <v>139</v>
      </c>
      <c r="J76" s="16" t="s">
        <v>139</v>
      </c>
      <c r="K76" s="14">
        <v>0</v>
      </c>
      <c r="L76" s="16">
        <v>0</v>
      </c>
      <c r="M76" s="14">
        <v>0</v>
      </c>
      <c r="N76" s="16">
        <v>0</v>
      </c>
      <c r="O76" s="14">
        <v>0</v>
      </c>
      <c r="P76" s="16">
        <v>0</v>
      </c>
      <c r="Q76" s="14">
        <v>0</v>
      </c>
      <c r="R76" s="16">
        <v>0</v>
      </c>
    </row>
    <row r="77" spans="1:18" x14ac:dyDescent="0.25">
      <c r="A77" s="11" t="s">
        <v>210</v>
      </c>
      <c r="B77" s="13">
        <v>6062</v>
      </c>
      <c r="C77" s="14">
        <f>(4996/B77*100)</f>
        <v>82.415044539755854</v>
      </c>
      <c r="D77" s="15">
        <v>1066</v>
      </c>
      <c r="E77" s="14">
        <v>44.146838899999999</v>
      </c>
      <c r="F77" s="16">
        <v>1.89438499</v>
      </c>
      <c r="G77" s="14">
        <v>55.853161100000001</v>
      </c>
      <c r="H77" s="16">
        <v>1.89438499</v>
      </c>
      <c r="I77" s="14" t="s">
        <v>139</v>
      </c>
      <c r="J77" s="16" t="s">
        <v>139</v>
      </c>
      <c r="K77" s="14">
        <v>0</v>
      </c>
      <c r="L77" s="16">
        <v>0</v>
      </c>
      <c r="M77" s="14">
        <v>0</v>
      </c>
      <c r="N77" s="16">
        <v>0</v>
      </c>
      <c r="O77" s="14">
        <v>0</v>
      </c>
      <c r="P77" s="16">
        <v>0</v>
      </c>
      <c r="Q77" s="14">
        <v>0</v>
      </c>
      <c r="R77" s="16">
        <v>0</v>
      </c>
    </row>
    <row r="78" spans="1:18" x14ac:dyDescent="0.25">
      <c r="A78" s="11" t="s">
        <v>211</v>
      </c>
      <c r="B78" s="17" t="s">
        <v>154</v>
      </c>
      <c r="C78" s="17" t="s">
        <v>154</v>
      </c>
      <c r="D78" s="18" t="s">
        <v>154</v>
      </c>
      <c r="E78" s="17" t="s">
        <v>154</v>
      </c>
      <c r="F78" s="18" t="s">
        <v>154</v>
      </c>
      <c r="G78" s="17" t="s">
        <v>154</v>
      </c>
      <c r="H78" s="18" t="s">
        <v>154</v>
      </c>
      <c r="I78" s="17" t="s">
        <v>154</v>
      </c>
      <c r="J78" s="18" t="s">
        <v>154</v>
      </c>
      <c r="K78" s="17" t="s">
        <v>154</v>
      </c>
      <c r="L78" s="18" t="s">
        <v>154</v>
      </c>
      <c r="M78" s="17" t="s">
        <v>154</v>
      </c>
      <c r="N78" s="18" t="s">
        <v>154</v>
      </c>
      <c r="O78" s="17" t="s">
        <v>154</v>
      </c>
      <c r="P78" s="18" t="s">
        <v>154</v>
      </c>
      <c r="Q78" s="17" t="s">
        <v>154</v>
      </c>
      <c r="R78" s="18" t="s">
        <v>154</v>
      </c>
    </row>
    <row r="79" spans="1:18" ht="24.95" customHeight="1" x14ac:dyDescent="0.25">
      <c r="A79" s="11" t="s">
        <v>212</v>
      </c>
      <c r="B79" s="17" t="s">
        <v>154</v>
      </c>
      <c r="C79" s="17" t="s">
        <v>154</v>
      </c>
      <c r="D79" s="18" t="s">
        <v>154</v>
      </c>
      <c r="E79" s="17" t="s">
        <v>154</v>
      </c>
      <c r="F79" s="18" t="s">
        <v>154</v>
      </c>
      <c r="G79" s="17" t="s">
        <v>154</v>
      </c>
      <c r="H79" s="18" t="s">
        <v>154</v>
      </c>
      <c r="I79" s="17" t="s">
        <v>154</v>
      </c>
      <c r="J79" s="18" t="s">
        <v>154</v>
      </c>
      <c r="K79" s="17" t="s">
        <v>154</v>
      </c>
      <c r="L79" s="18" t="s">
        <v>154</v>
      </c>
      <c r="M79" s="17" t="s">
        <v>154</v>
      </c>
      <c r="N79" s="18" t="s">
        <v>154</v>
      </c>
      <c r="O79" s="17" t="s">
        <v>154</v>
      </c>
      <c r="P79" s="18" t="s">
        <v>154</v>
      </c>
      <c r="Q79" s="17" t="s">
        <v>154</v>
      </c>
      <c r="R79" s="18" t="s">
        <v>154</v>
      </c>
    </row>
    <row r="80" spans="1:18" x14ac:dyDescent="0.25">
      <c r="A80" s="11" t="s">
        <v>213</v>
      </c>
      <c r="B80" s="17" t="s">
        <v>154</v>
      </c>
      <c r="C80" s="17" t="s">
        <v>154</v>
      </c>
      <c r="D80" s="18" t="s">
        <v>154</v>
      </c>
      <c r="E80" s="17" t="s">
        <v>154</v>
      </c>
      <c r="F80" s="18" t="s">
        <v>154</v>
      </c>
      <c r="G80" s="17" t="s">
        <v>154</v>
      </c>
      <c r="H80" s="18" t="s">
        <v>154</v>
      </c>
      <c r="I80" s="17" t="s">
        <v>154</v>
      </c>
      <c r="J80" s="18" t="s">
        <v>154</v>
      </c>
      <c r="K80" s="17" t="s">
        <v>154</v>
      </c>
      <c r="L80" s="18" t="s">
        <v>154</v>
      </c>
      <c r="M80" s="17" t="s">
        <v>154</v>
      </c>
      <c r="N80" s="18" t="s">
        <v>154</v>
      </c>
      <c r="O80" s="17" t="s">
        <v>154</v>
      </c>
      <c r="P80" s="18" t="s">
        <v>154</v>
      </c>
      <c r="Q80" s="17" t="s">
        <v>154</v>
      </c>
      <c r="R80" s="18" t="s">
        <v>154</v>
      </c>
    </row>
    <row r="81" spans="1:18" x14ac:dyDescent="0.25">
      <c r="A81" s="19" t="s">
        <v>214</v>
      </c>
      <c r="B81" s="13">
        <v>8861</v>
      </c>
      <c r="C81" s="14">
        <f>(7310/B81*100)</f>
        <v>82.49633224241056</v>
      </c>
      <c r="D81" s="15">
        <v>1551</v>
      </c>
      <c r="E81" s="14">
        <v>57.335505060000003</v>
      </c>
      <c r="F81" s="16">
        <v>1.6784707400000001</v>
      </c>
      <c r="G81" s="14">
        <v>42.664494939999997</v>
      </c>
      <c r="H81" s="16">
        <v>1.6784707400000001</v>
      </c>
      <c r="I81" s="14" t="s">
        <v>139</v>
      </c>
      <c r="J81" s="16" t="s">
        <v>139</v>
      </c>
      <c r="K81" s="14">
        <v>0</v>
      </c>
      <c r="L81" s="16">
        <v>0</v>
      </c>
      <c r="M81" s="14">
        <v>0</v>
      </c>
      <c r="N81" s="16">
        <v>0</v>
      </c>
      <c r="O81" s="14">
        <v>0</v>
      </c>
      <c r="P81" s="16">
        <v>0</v>
      </c>
      <c r="Q81" s="14">
        <v>0</v>
      </c>
      <c r="R81" s="16">
        <v>0</v>
      </c>
    </row>
    <row r="82" spans="1:18" x14ac:dyDescent="0.25">
      <c r="A82" s="20"/>
      <c r="B82" s="20" t="s">
        <v>215</v>
      </c>
      <c r="C82" s="20" t="s">
        <v>215</v>
      </c>
      <c r="D82" s="20" t="s">
        <v>215</v>
      </c>
      <c r="E82" s="20" t="s">
        <v>215</v>
      </c>
      <c r="F82" s="20" t="s">
        <v>215</v>
      </c>
      <c r="G82" s="20" t="s">
        <v>215</v>
      </c>
      <c r="H82" s="20" t="s">
        <v>215</v>
      </c>
      <c r="I82" s="20" t="s">
        <v>215</v>
      </c>
      <c r="J82" s="20" t="s">
        <v>215</v>
      </c>
      <c r="K82" s="20" t="s">
        <v>215</v>
      </c>
      <c r="L82" s="20" t="s">
        <v>215</v>
      </c>
      <c r="M82" s="20" t="s">
        <v>215</v>
      </c>
      <c r="N82" s="20" t="s">
        <v>215</v>
      </c>
      <c r="O82" s="20" t="s">
        <v>215</v>
      </c>
      <c r="P82" s="20" t="s">
        <v>215</v>
      </c>
      <c r="Q82" s="20" t="s">
        <v>215</v>
      </c>
      <c r="R82" s="20" t="s">
        <v>215</v>
      </c>
    </row>
    <row r="83" spans="1:18" x14ac:dyDescent="0.25">
      <c r="A83" s="3" t="s">
        <v>216</v>
      </c>
    </row>
    <row r="84" spans="1:18" x14ac:dyDescent="0.25">
      <c r="A84" s="22" t="s">
        <v>217</v>
      </c>
      <c r="B84" s="23"/>
      <c r="C84" s="23"/>
      <c r="D84" s="23"/>
      <c r="E84" s="23"/>
      <c r="F84" s="23"/>
      <c r="G84" s="23"/>
      <c r="H84" s="23"/>
      <c r="I84" s="23"/>
      <c r="J84" s="23"/>
      <c r="K84" s="23"/>
      <c r="L84" s="23"/>
      <c r="M84" s="23"/>
      <c r="N84" s="23"/>
      <c r="O84" s="23"/>
      <c r="P84" s="23"/>
      <c r="Q84" s="23"/>
      <c r="R84" s="23"/>
    </row>
    <row r="85" spans="1:18" x14ac:dyDescent="0.25">
      <c r="A85" s="22" t="s">
        <v>218</v>
      </c>
      <c r="B85" s="23"/>
      <c r="C85" s="23"/>
      <c r="D85" s="23"/>
      <c r="E85" s="23"/>
      <c r="F85" s="23"/>
      <c r="G85" s="23"/>
      <c r="H85" s="23"/>
      <c r="I85" s="23"/>
      <c r="J85" s="23"/>
      <c r="K85" s="23"/>
      <c r="L85" s="23"/>
      <c r="M85" s="23"/>
      <c r="N85" s="23"/>
      <c r="O85" s="23"/>
      <c r="P85" s="23"/>
      <c r="Q85" s="23"/>
      <c r="R85" s="23"/>
    </row>
    <row r="86" spans="1:18" ht="30" customHeight="1" x14ac:dyDescent="0.25">
      <c r="A86" s="22" t="s">
        <v>219</v>
      </c>
      <c r="B86" s="23"/>
      <c r="C86" s="23"/>
      <c r="D86" s="23"/>
      <c r="E86" s="23"/>
      <c r="F86" s="23"/>
      <c r="G86" s="23"/>
      <c r="H86" s="23"/>
      <c r="I86" s="23"/>
      <c r="J86" s="23"/>
      <c r="K86" s="23"/>
      <c r="L86" s="23"/>
      <c r="M86" s="23"/>
      <c r="N86" s="23"/>
      <c r="O86" s="23"/>
      <c r="P86" s="23"/>
      <c r="Q86" s="23"/>
      <c r="R86" s="23"/>
    </row>
    <row r="87" spans="1:18" ht="30" customHeight="1" x14ac:dyDescent="0.25">
      <c r="A87" s="22" t="s">
        <v>215</v>
      </c>
      <c r="B87" s="23"/>
      <c r="C87" s="23"/>
      <c r="D87" s="23"/>
      <c r="E87" s="23"/>
      <c r="F87" s="23"/>
      <c r="G87" s="23"/>
      <c r="H87" s="23"/>
      <c r="I87" s="23"/>
      <c r="J87" s="23"/>
      <c r="K87" s="23"/>
      <c r="L87" s="23"/>
      <c r="M87" s="23"/>
      <c r="N87" s="23"/>
      <c r="O87" s="23"/>
      <c r="P87" s="23"/>
      <c r="Q87" s="23"/>
      <c r="R87" s="23"/>
    </row>
    <row r="88" spans="1:18" ht="30" customHeight="1" x14ac:dyDescent="0.25">
      <c r="A88" s="22" t="s">
        <v>220</v>
      </c>
      <c r="B88" s="23"/>
      <c r="C88" s="23"/>
      <c r="D88" s="23"/>
      <c r="E88" s="23"/>
      <c r="F88" s="23"/>
      <c r="G88" s="23"/>
      <c r="H88" s="23"/>
      <c r="I88" s="23"/>
      <c r="J88" s="23"/>
      <c r="K88" s="23"/>
      <c r="L88" s="23"/>
      <c r="M88" s="23"/>
      <c r="N88" s="23"/>
      <c r="O88" s="23"/>
      <c r="P88" s="23"/>
      <c r="Q88" s="23"/>
      <c r="R88" s="23"/>
    </row>
    <row r="89" spans="1:18" ht="30" customHeight="1" x14ac:dyDescent="0.25">
      <c r="A89" s="22" t="s">
        <v>221</v>
      </c>
      <c r="B89" s="23"/>
      <c r="C89" s="23"/>
      <c r="D89" s="23"/>
      <c r="E89" s="23"/>
      <c r="F89" s="23"/>
      <c r="G89" s="23"/>
      <c r="H89" s="23"/>
      <c r="I89" s="23"/>
      <c r="J89" s="23"/>
      <c r="K89" s="23"/>
      <c r="L89" s="23"/>
      <c r="M89" s="23"/>
      <c r="N89" s="23"/>
      <c r="O89" s="23"/>
      <c r="P89" s="23"/>
      <c r="Q89" s="23"/>
      <c r="R89" s="23"/>
    </row>
    <row r="90" spans="1:18" ht="30" customHeight="1" x14ac:dyDescent="0.25">
      <c r="A90" s="22" t="s">
        <v>222</v>
      </c>
      <c r="B90" s="23"/>
      <c r="C90" s="23"/>
      <c r="D90" s="23"/>
      <c r="E90" s="23"/>
      <c r="F90" s="23"/>
      <c r="G90" s="23"/>
      <c r="H90" s="23"/>
      <c r="I90" s="23"/>
      <c r="J90" s="23"/>
      <c r="K90" s="23"/>
      <c r="L90" s="23"/>
      <c r="M90" s="23"/>
      <c r="N90" s="23"/>
      <c r="O90" s="23"/>
      <c r="P90" s="23"/>
      <c r="Q90" s="23"/>
      <c r="R90" s="23"/>
    </row>
    <row r="91" spans="1:18" ht="30" customHeight="1" x14ac:dyDescent="0.25">
      <c r="A91" s="22" t="s">
        <v>223</v>
      </c>
      <c r="B91" s="23"/>
      <c r="C91" s="23"/>
      <c r="D91" s="23"/>
      <c r="E91" s="23"/>
      <c r="F91" s="23"/>
      <c r="G91" s="23"/>
      <c r="H91" s="23"/>
      <c r="I91" s="23"/>
      <c r="J91" s="23"/>
      <c r="K91" s="23"/>
      <c r="L91" s="23"/>
      <c r="M91" s="23"/>
      <c r="N91" s="23"/>
      <c r="O91" s="23"/>
      <c r="P91" s="23"/>
      <c r="Q91" s="23"/>
      <c r="R91" s="23"/>
    </row>
    <row r="92" spans="1:18" ht="30" customHeight="1" x14ac:dyDescent="0.25">
      <c r="A92" s="22" t="s">
        <v>224</v>
      </c>
      <c r="B92" s="23"/>
      <c r="C92" s="23"/>
      <c r="D92" s="23"/>
      <c r="E92" s="23"/>
      <c r="F92" s="23"/>
      <c r="G92" s="23"/>
      <c r="H92" s="23"/>
      <c r="I92" s="23"/>
      <c r="J92" s="23"/>
      <c r="K92" s="23"/>
      <c r="L92" s="23"/>
      <c r="M92" s="23"/>
      <c r="N92" s="23"/>
      <c r="O92" s="23"/>
      <c r="P92" s="23"/>
      <c r="Q92" s="23"/>
      <c r="R92" s="23"/>
    </row>
    <row r="93" spans="1:18" ht="30" customHeight="1" x14ac:dyDescent="0.25">
      <c r="A93" s="22" t="s">
        <v>225</v>
      </c>
      <c r="B93" s="23"/>
      <c r="C93" s="23"/>
      <c r="D93" s="23"/>
      <c r="E93" s="23"/>
      <c r="F93" s="23"/>
      <c r="G93" s="23"/>
      <c r="H93" s="23"/>
      <c r="I93" s="23"/>
      <c r="J93" s="23"/>
      <c r="K93" s="23"/>
      <c r="L93" s="23"/>
      <c r="M93" s="23"/>
      <c r="N93" s="23"/>
      <c r="O93" s="23"/>
      <c r="P93" s="23"/>
      <c r="Q93" s="23"/>
      <c r="R93" s="23"/>
    </row>
    <row r="94" spans="1:18" ht="30" customHeight="1" x14ac:dyDescent="0.25">
      <c r="A94" s="22" t="s">
        <v>226</v>
      </c>
      <c r="B94" s="23"/>
      <c r="C94" s="23"/>
      <c r="D94" s="23"/>
      <c r="E94" s="23"/>
      <c r="F94" s="23"/>
      <c r="G94" s="23"/>
      <c r="H94" s="23"/>
      <c r="I94" s="23"/>
      <c r="J94" s="23"/>
      <c r="K94" s="23"/>
      <c r="L94" s="23"/>
      <c r="M94" s="23"/>
      <c r="N94" s="23"/>
      <c r="O94" s="23"/>
      <c r="P94" s="23"/>
      <c r="Q94" s="23"/>
      <c r="R94" s="23"/>
    </row>
    <row r="95" spans="1:18" ht="30" customHeight="1" x14ac:dyDescent="0.25">
      <c r="A95" s="22" t="s">
        <v>227</v>
      </c>
      <c r="B95" s="23"/>
      <c r="C95" s="23"/>
      <c r="D95" s="23"/>
      <c r="E95" s="23"/>
      <c r="F95" s="23"/>
      <c r="G95" s="23"/>
      <c r="H95" s="23"/>
      <c r="I95" s="23"/>
      <c r="J95" s="23"/>
      <c r="K95" s="23"/>
      <c r="L95" s="23"/>
      <c r="M95" s="23"/>
      <c r="N95" s="23"/>
      <c r="O95" s="23"/>
      <c r="P95" s="23"/>
      <c r="Q95" s="23"/>
      <c r="R95" s="23"/>
    </row>
    <row r="96" spans="1:18" ht="30" customHeight="1" x14ac:dyDescent="0.25">
      <c r="A96" s="22" t="s">
        <v>228</v>
      </c>
      <c r="B96" s="23"/>
      <c r="C96" s="23"/>
      <c r="D96" s="23"/>
      <c r="E96" s="23"/>
      <c r="F96" s="23"/>
      <c r="G96" s="23"/>
      <c r="H96" s="23"/>
      <c r="I96" s="23"/>
      <c r="J96" s="23"/>
      <c r="K96" s="23"/>
      <c r="L96" s="23"/>
      <c r="M96" s="23"/>
      <c r="N96" s="23"/>
      <c r="O96" s="23"/>
      <c r="P96" s="23"/>
      <c r="Q96" s="23"/>
      <c r="R96" s="23"/>
    </row>
  </sheetData>
  <mergeCells count="22">
    <mergeCell ref="O4:P4"/>
    <mergeCell ref="Q4:R4"/>
    <mergeCell ref="A1:R1"/>
    <mergeCell ref="A2:R2"/>
    <mergeCell ref="A84:R84"/>
    <mergeCell ref="E4:F4"/>
    <mergeCell ref="G4:H4"/>
    <mergeCell ref="I4:J4"/>
    <mergeCell ref="K4:L4"/>
    <mergeCell ref="M4:N4"/>
    <mergeCell ref="A85:R85"/>
    <mergeCell ref="A86:R86"/>
    <mergeCell ref="A87:R87"/>
    <mergeCell ref="A88:R88"/>
    <mergeCell ref="A89:R89"/>
    <mergeCell ref="A95:R95"/>
    <mergeCell ref="A96:R96"/>
    <mergeCell ref="A90:R90"/>
    <mergeCell ref="A91:R91"/>
    <mergeCell ref="A92:R92"/>
    <mergeCell ref="A93:R93"/>
    <mergeCell ref="A94:R94"/>
  </mergeCells>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R96"/>
  <sheetViews>
    <sheetView zoomScale="80" workbookViewId="0">
      <pane xSplit="4" topLeftCell="E1" activePane="topRight" state="frozen"/>
      <selection sqref="A1:R1"/>
      <selection pane="topRight" sqref="A1:R1"/>
    </sheetView>
  </sheetViews>
  <sheetFormatPr defaultColWidth="11.42578125" defaultRowHeight="15" x14ac:dyDescent="0.25"/>
  <cols>
    <col min="1" max="1" width="50" customWidth="1"/>
  </cols>
  <sheetData>
    <row r="1" spans="1:18" x14ac:dyDescent="0.25">
      <c r="A1" s="26" t="s">
        <v>122</v>
      </c>
      <c r="B1" s="23"/>
      <c r="C1" s="23"/>
      <c r="D1" s="23"/>
      <c r="E1" s="23"/>
      <c r="F1" s="23"/>
      <c r="G1" s="23"/>
      <c r="H1" s="23"/>
      <c r="I1" s="23"/>
      <c r="J1" s="23"/>
      <c r="K1" s="23"/>
      <c r="L1" s="23"/>
      <c r="M1" s="23"/>
      <c r="N1" s="23"/>
      <c r="O1" s="23"/>
      <c r="P1" s="23"/>
      <c r="Q1" s="23"/>
      <c r="R1" s="23"/>
    </row>
    <row r="2" spans="1:18" x14ac:dyDescent="0.25">
      <c r="A2" s="27" t="s">
        <v>241</v>
      </c>
      <c r="B2" s="23"/>
      <c r="C2" s="23"/>
      <c r="D2" s="23"/>
      <c r="E2" s="23"/>
      <c r="F2" s="23"/>
      <c r="G2" s="23"/>
      <c r="H2" s="23"/>
      <c r="I2" s="23"/>
      <c r="J2" s="23"/>
      <c r="K2" s="23"/>
      <c r="L2" s="23"/>
      <c r="M2" s="23"/>
      <c r="N2" s="23"/>
      <c r="O2" s="23"/>
      <c r="P2" s="23"/>
      <c r="Q2" s="23"/>
      <c r="R2" s="23"/>
    </row>
    <row r="4" spans="1:18" ht="30" customHeight="1" x14ac:dyDescent="0.25">
      <c r="A4" s="4"/>
      <c r="B4" s="5" t="s">
        <v>123</v>
      </c>
      <c r="C4" s="5" t="s">
        <v>124</v>
      </c>
      <c r="D4" s="6" t="s">
        <v>123</v>
      </c>
      <c r="E4" s="24" t="s">
        <v>125</v>
      </c>
      <c r="F4" s="25"/>
      <c r="G4" s="24" t="s">
        <v>126</v>
      </c>
      <c r="H4" s="25"/>
      <c r="I4" s="24" t="s">
        <v>127</v>
      </c>
      <c r="J4" s="25"/>
      <c r="K4" s="24" t="s">
        <v>128</v>
      </c>
      <c r="L4" s="25"/>
      <c r="M4" s="24" t="s">
        <v>129</v>
      </c>
      <c r="N4" s="25"/>
      <c r="O4" s="24" t="s">
        <v>130</v>
      </c>
      <c r="P4" s="25"/>
      <c r="Q4" s="24" t="s">
        <v>131</v>
      </c>
      <c r="R4" s="25"/>
    </row>
    <row r="5" spans="1:18" x14ac:dyDescent="0.25">
      <c r="A5" s="7"/>
      <c r="B5" s="8" t="s">
        <v>132</v>
      </c>
      <c r="C5" s="8" t="s">
        <v>133</v>
      </c>
      <c r="D5" s="7" t="s">
        <v>134</v>
      </c>
      <c r="E5" s="8" t="s">
        <v>135</v>
      </c>
      <c r="F5" s="7" t="s">
        <v>136</v>
      </c>
      <c r="G5" s="8" t="s">
        <v>135</v>
      </c>
      <c r="H5" s="7" t="s">
        <v>136</v>
      </c>
      <c r="I5" s="8" t="s">
        <v>135</v>
      </c>
      <c r="J5" s="7" t="s">
        <v>136</v>
      </c>
      <c r="K5" s="8" t="s">
        <v>135</v>
      </c>
      <c r="L5" s="7" t="s">
        <v>136</v>
      </c>
      <c r="M5" s="8" t="s">
        <v>135</v>
      </c>
      <c r="N5" s="7" t="s">
        <v>136</v>
      </c>
      <c r="O5" s="8" t="s">
        <v>135</v>
      </c>
      <c r="P5" s="7" t="s">
        <v>136</v>
      </c>
      <c r="Q5" s="8" t="s">
        <v>135</v>
      </c>
      <c r="R5" s="7" t="s">
        <v>136</v>
      </c>
    </row>
    <row r="6" spans="1:18" x14ac:dyDescent="0.25">
      <c r="A6" s="9" t="s">
        <v>137</v>
      </c>
      <c r="B6" s="10"/>
      <c r="C6" s="10"/>
      <c r="D6" s="11"/>
      <c r="E6" s="10"/>
      <c r="F6" s="11"/>
      <c r="G6" s="10"/>
      <c r="H6" s="11"/>
      <c r="I6" s="10"/>
      <c r="J6" s="11"/>
      <c r="K6" s="10"/>
      <c r="L6" s="11"/>
      <c r="M6" s="10"/>
      <c r="N6" s="11"/>
      <c r="O6" s="10"/>
      <c r="P6" s="11"/>
      <c r="Q6" s="10"/>
      <c r="R6" s="12"/>
    </row>
    <row r="7" spans="1:18" x14ac:dyDescent="0.25">
      <c r="A7" s="11" t="s">
        <v>138</v>
      </c>
      <c r="B7" s="13">
        <v>14530</v>
      </c>
      <c r="C7" s="14">
        <f>(12068/B7*100)</f>
        <v>83.055746730901575</v>
      </c>
      <c r="D7" s="15">
        <v>2462</v>
      </c>
      <c r="E7" s="14">
        <v>27.30257872</v>
      </c>
      <c r="F7" s="16">
        <v>1.25277967</v>
      </c>
      <c r="G7" s="14">
        <v>72.69742128</v>
      </c>
      <c r="H7" s="16">
        <v>1.25277967</v>
      </c>
      <c r="I7" s="14" t="s">
        <v>139</v>
      </c>
      <c r="J7" s="16" t="s">
        <v>139</v>
      </c>
      <c r="K7" s="14">
        <v>0</v>
      </c>
      <c r="L7" s="16">
        <v>0</v>
      </c>
      <c r="M7" s="14">
        <v>0</v>
      </c>
      <c r="N7" s="16">
        <v>0</v>
      </c>
      <c r="O7" s="14">
        <v>0</v>
      </c>
      <c r="P7" s="16">
        <v>0</v>
      </c>
      <c r="Q7" s="14">
        <v>0</v>
      </c>
      <c r="R7" s="16">
        <v>0</v>
      </c>
    </row>
    <row r="8" spans="1:18" x14ac:dyDescent="0.25">
      <c r="A8" s="11" t="s">
        <v>140</v>
      </c>
      <c r="B8" s="13">
        <v>7007</v>
      </c>
      <c r="C8" s="14">
        <f>(5791/B8*100)</f>
        <v>82.645925503068369</v>
      </c>
      <c r="D8" s="15">
        <v>1216</v>
      </c>
      <c r="E8" s="14">
        <v>26.297049810000001</v>
      </c>
      <c r="F8" s="16">
        <v>1.35970624</v>
      </c>
      <c r="G8" s="14">
        <v>73.702950189999996</v>
      </c>
      <c r="H8" s="16">
        <v>1.35970624</v>
      </c>
      <c r="I8" s="14" t="s">
        <v>139</v>
      </c>
      <c r="J8" s="16" t="s">
        <v>139</v>
      </c>
      <c r="K8" s="14">
        <v>0</v>
      </c>
      <c r="L8" s="16">
        <v>0</v>
      </c>
      <c r="M8" s="14">
        <v>0</v>
      </c>
      <c r="N8" s="16">
        <v>0</v>
      </c>
      <c r="O8" s="14">
        <v>0</v>
      </c>
      <c r="P8" s="16">
        <v>0</v>
      </c>
      <c r="Q8" s="14">
        <v>0</v>
      </c>
      <c r="R8" s="16">
        <v>0</v>
      </c>
    </row>
    <row r="9" spans="1:18" x14ac:dyDescent="0.25">
      <c r="A9" s="11" t="s">
        <v>141</v>
      </c>
      <c r="B9" s="13">
        <v>9651</v>
      </c>
      <c r="C9" s="14">
        <f>(8036/B9*100)</f>
        <v>83.265982799709874</v>
      </c>
      <c r="D9" s="15">
        <v>1615</v>
      </c>
      <c r="E9" s="14">
        <v>26.914122240000001</v>
      </c>
      <c r="F9" s="16">
        <v>1.42029614</v>
      </c>
      <c r="G9" s="14">
        <v>73.085877760000002</v>
      </c>
      <c r="H9" s="16">
        <v>1.42029614</v>
      </c>
      <c r="I9" s="14" t="s">
        <v>139</v>
      </c>
      <c r="J9" s="16" t="s">
        <v>139</v>
      </c>
      <c r="K9" s="14">
        <v>0</v>
      </c>
      <c r="L9" s="16">
        <v>0</v>
      </c>
      <c r="M9" s="14">
        <v>0</v>
      </c>
      <c r="N9" s="16">
        <v>0</v>
      </c>
      <c r="O9" s="14">
        <v>0</v>
      </c>
      <c r="P9" s="16">
        <v>0</v>
      </c>
      <c r="Q9" s="14">
        <v>0</v>
      </c>
      <c r="R9" s="16">
        <v>0</v>
      </c>
    </row>
    <row r="10" spans="1:18" x14ac:dyDescent="0.25">
      <c r="A10" s="11" t="s">
        <v>142</v>
      </c>
      <c r="B10" s="13">
        <v>20058</v>
      </c>
      <c r="C10" s="14">
        <f>(16593/B10*100)</f>
        <v>82.725097218067603</v>
      </c>
      <c r="D10" s="15">
        <v>3465</v>
      </c>
      <c r="E10" s="14">
        <v>24.712818339999998</v>
      </c>
      <c r="F10" s="16">
        <v>0.93599774999999996</v>
      </c>
      <c r="G10" s="14">
        <v>75.287181660000002</v>
      </c>
      <c r="H10" s="16">
        <v>0.93599774999999996</v>
      </c>
      <c r="I10" s="14" t="s">
        <v>139</v>
      </c>
      <c r="J10" s="16" t="s">
        <v>139</v>
      </c>
      <c r="K10" s="14">
        <v>0</v>
      </c>
      <c r="L10" s="16">
        <v>0</v>
      </c>
      <c r="M10" s="14">
        <v>0</v>
      </c>
      <c r="N10" s="16">
        <v>0</v>
      </c>
      <c r="O10" s="14">
        <v>0</v>
      </c>
      <c r="P10" s="16">
        <v>0</v>
      </c>
      <c r="Q10" s="14">
        <v>0</v>
      </c>
      <c r="R10" s="16">
        <v>0</v>
      </c>
    </row>
    <row r="11" spans="1:18" x14ac:dyDescent="0.25">
      <c r="A11" s="11" t="s">
        <v>143</v>
      </c>
      <c r="B11" s="13">
        <v>7053</v>
      </c>
      <c r="C11" s="14">
        <f>(5831/B11*100)</f>
        <v>82.674039415851411</v>
      </c>
      <c r="D11" s="15">
        <v>1222</v>
      </c>
      <c r="E11" s="14">
        <v>43.172920490000003</v>
      </c>
      <c r="F11" s="16">
        <v>1.9130206700000001</v>
      </c>
      <c r="G11" s="14">
        <v>56.827079509999997</v>
      </c>
      <c r="H11" s="16">
        <v>1.9130206700000001</v>
      </c>
      <c r="I11" s="14" t="s">
        <v>139</v>
      </c>
      <c r="J11" s="16" t="s">
        <v>139</v>
      </c>
      <c r="K11" s="14">
        <v>0</v>
      </c>
      <c r="L11" s="16">
        <v>0</v>
      </c>
      <c r="M11" s="14">
        <v>0</v>
      </c>
      <c r="N11" s="16">
        <v>0</v>
      </c>
      <c r="O11" s="14">
        <v>0</v>
      </c>
      <c r="P11" s="16">
        <v>0</v>
      </c>
      <c r="Q11" s="14">
        <v>0</v>
      </c>
      <c r="R11" s="16">
        <v>0</v>
      </c>
    </row>
    <row r="12" spans="1:18" x14ac:dyDescent="0.25">
      <c r="A12" s="11" t="s">
        <v>144</v>
      </c>
      <c r="B12" s="13">
        <v>6894</v>
      </c>
      <c r="C12" s="14">
        <f>(5714/B12*100)</f>
        <v>82.883666956774007</v>
      </c>
      <c r="D12" s="15">
        <v>1180</v>
      </c>
      <c r="E12" s="14">
        <v>29.043664490000001</v>
      </c>
      <c r="F12" s="16">
        <v>1.60845477</v>
      </c>
      <c r="G12" s="14">
        <v>70.956335510000002</v>
      </c>
      <c r="H12" s="16">
        <v>1.60845477</v>
      </c>
      <c r="I12" s="14" t="s">
        <v>139</v>
      </c>
      <c r="J12" s="16" t="s">
        <v>139</v>
      </c>
      <c r="K12" s="14">
        <v>0</v>
      </c>
      <c r="L12" s="16">
        <v>0</v>
      </c>
      <c r="M12" s="14">
        <v>0</v>
      </c>
      <c r="N12" s="16">
        <v>0</v>
      </c>
      <c r="O12" s="14">
        <v>0</v>
      </c>
      <c r="P12" s="16">
        <v>0</v>
      </c>
      <c r="Q12" s="14">
        <v>0</v>
      </c>
      <c r="R12" s="16">
        <v>0</v>
      </c>
    </row>
    <row r="13" spans="1:18" x14ac:dyDescent="0.25">
      <c r="A13" s="11" t="s">
        <v>145</v>
      </c>
      <c r="B13" s="13">
        <v>7161</v>
      </c>
      <c r="C13" s="14">
        <f>(5991/B13*100)</f>
        <v>83.661499790532048</v>
      </c>
      <c r="D13" s="15">
        <v>1170</v>
      </c>
      <c r="E13" s="14">
        <v>23.800081179999999</v>
      </c>
      <c r="F13" s="16">
        <v>1.72805125</v>
      </c>
      <c r="G13" s="14">
        <v>76.199918819999994</v>
      </c>
      <c r="H13" s="16">
        <v>1.72805125</v>
      </c>
      <c r="I13" s="14" t="s">
        <v>139</v>
      </c>
      <c r="J13" s="16" t="s">
        <v>139</v>
      </c>
      <c r="K13" s="14">
        <v>0</v>
      </c>
      <c r="L13" s="16">
        <v>0</v>
      </c>
      <c r="M13" s="14">
        <v>0</v>
      </c>
      <c r="N13" s="16">
        <v>0</v>
      </c>
      <c r="O13" s="14">
        <v>0</v>
      </c>
      <c r="P13" s="16">
        <v>0</v>
      </c>
      <c r="Q13" s="14">
        <v>0</v>
      </c>
      <c r="R13" s="16">
        <v>0</v>
      </c>
    </row>
    <row r="14" spans="1:18" x14ac:dyDescent="0.25">
      <c r="A14" s="11" t="s">
        <v>146</v>
      </c>
      <c r="B14" s="13">
        <v>5587</v>
      </c>
      <c r="C14" s="14">
        <f>(4628/B14*100)</f>
        <v>82.835153033828533</v>
      </c>
      <c r="D14" s="15">
        <v>959</v>
      </c>
      <c r="E14" s="14">
        <v>21.220952879999999</v>
      </c>
      <c r="F14" s="16">
        <v>1.4521867500000001</v>
      </c>
      <c r="G14" s="14">
        <v>78.779047120000001</v>
      </c>
      <c r="H14" s="16">
        <v>1.4521867500000001</v>
      </c>
      <c r="I14" s="14" t="s">
        <v>139</v>
      </c>
      <c r="J14" s="16" t="s">
        <v>139</v>
      </c>
      <c r="K14" s="14">
        <v>0</v>
      </c>
      <c r="L14" s="16">
        <v>0</v>
      </c>
      <c r="M14" s="14">
        <v>0</v>
      </c>
      <c r="N14" s="16">
        <v>0</v>
      </c>
      <c r="O14" s="14">
        <v>0</v>
      </c>
      <c r="P14" s="16">
        <v>0</v>
      </c>
      <c r="Q14" s="14">
        <v>0</v>
      </c>
      <c r="R14" s="16">
        <v>0</v>
      </c>
    </row>
    <row r="15" spans="1:18" x14ac:dyDescent="0.25">
      <c r="A15" s="11" t="s">
        <v>147</v>
      </c>
      <c r="B15" s="13">
        <v>5882</v>
      </c>
      <c r="C15" s="14">
        <f>(4902/B15*100)</f>
        <v>83.339000340020391</v>
      </c>
      <c r="D15" s="15">
        <v>980</v>
      </c>
      <c r="E15" s="14">
        <v>25.579416869999999</v>
      </c>
      <c r="F15" s="16">
        <v>1.36259387</v>
      </c>
      <c r="G15" s="14">
        <v>74.420583129999997</v>
      </c>
      <c r="H15" s="16">
        <v>1.36259387</v>
      </c>
      <c r="I15" s="14" t="s">
        <v>139</v>
      </c>
      <c r="J15" s="16" t="s">
        <v>139</v>
      </c>
      <c r="K15" s="14">
        <v>0</v>
      </c>
      <c r="L15" s="16">
        <v>0</v>
      </c>
      <c r="M15" s="14">
        <v>0</v>
      </c>
      <c r="N15" s="16">
        <v>0</v>
      </c>
      <c r="O15" s="14">
        <v>0</v>
      </c>
      <c r="P15" s="16">
        <v>0</v>
      </c>
      <c r="Q15" s="14">
        <v>0</v>
      </c>
      <c r="R15" s="16">
        <v>0</v>
      </c>
    </row>
    <row r="16" spans="1:18" x14ac:dyDescent="0.25">
      <c r="A16" s="11" t="s">
        <v>148</v>
      </c>
      <c r="B16" s="13">
        <v>6108</v>
      </c>
      <c r="C16" s="14">
        <f>(5049/B16*100)</f>
        <v>82.662082514734763</v>
      </c>
      <c r="D16" s="15">
        <v>1059</v>
      </c>
      <c r="E16" s="14">
        <v>28.150587699999999</v>
      </c>
      <c r="F16" s="16">
        <v>1.4457464</v>
      </c>
      <c r="G16" s="14">
        <v>71.849412299999997</v>
      </c>
      <c r="H16" s="16">
        <v>1.4457464</v>
      </c>
      <c r="I16" s="14" t="s">
        <v>139</v>
      </c>
      <c r="J16" s="16" t="s">
        <v>139</v>
      </c>
      <c r="K16" s="14">
        <v>0</v>
      </c>
      <c r="L16" s="16">
        <v>0</v>
      </c>
      <c r="M16" s="14">
        <v>0</v>
      </c>
      <c r="N16" s="16">
        <v>0</v>
      </c>
      <c r="O16" s="14">
        <v>0</v>
      </c>
      <c r="P16" s="16">
        <v>0</v>
      </c>
      <c r="Q16" s="14">
        <v>0</v>
      </c>
      <c r="R16" s="16">
        <v>0</v>
      </c>
    </row>
    <row r="17" spans="1:18" x14ac:dyDescent="0.25">
      <c r="A17" s="11" t="s">
        <v>149</v>
      </c>
      <c r="B17" s="13">
        <v>6504</v>
      </c>
      <c r="C17" s="14">
        <f>(5406/B17*100)</f>
        <v>83.118081180811814</v>
      </c>
      <c r="D17" s="15">
        <v>1098</v>
      </c>
      <c r="E17" s="14">
        <v>23.23480189</v>
      </c>
      <c r="F17" s="16">
        <v>1.27772175</v>
      </c>
      <c r="G17" s="14">
        <v>76.76519811</v>
      </c>
      <c r="H17" s="16">
        <v>1.27772175</v>
      </c>
      <c r="I17" s="14" t="s">
        <v>139</v>
      </c>
      <c r="J17" s="16" t="s">
        <v>139</v>
      </c>
      <c r="K17" s="14">
        <v>0</v>
      </c>
      <c r="L17" s="16">
        <v>0</v>
      </c>
      <c r="M17" s="14">
        <v>0</v>
      </c>
      <c r="N17" s="16">
        <v>0</v>
      </c>
      <c r="O17" s="14">
        <v>0</v>
      </c>
      <c r="P17" s="16">
        <v>0</v>
      </c>
      <c r="Q17" s="14">
        <v>0</v>
      </c>
      <c r="R17" s="16">
        <v>0</v>
      </c>
    </row>
    <row r="18" spans="1:18" x14ac:dyDescent="0.25">
      <c r="A18" s="11" t="s">
        <v>150</v>
      </c>
      <c r="B18" s="13">
        <v>5532</v>
      </c>
      <c r="C18" s="14">
        <f>(4564/B18*100)</f>
        <v>82.501807664497477</v>
      </c>
      <c r="D18" s="15">
        <v>968</v>
      </c>
      <c r="E18" s="14">
        <v>35.173462170000001</v>
      </c>
      <c r="F18" s="16">
        <v>1.71018523</v>
      </c>
      <c r="G18" s="14">
        <v>64.826537830000007</v>
      </c>
      <c r="H18" s="16">
        <v>1.71018523</v>
      </c>
      <c r="I18" s="14" t="s">
        <v>139</v>
      </c>
      <c r="J18" s="16" t="s">
        <v>139</v>
      </c>
      <c r="K18" s="14">
        <v>0</v>
      </c>
      <c r="L18" s="16">
        <v>0</v>
      </c>
      <c r="M18" s="14">
        <v>0</v>
      </c>
      <c r="N18" s="16">
        <v>0</v>
      </c>
      <c r="O18" s="14">
        <v>0</v>
      </c>
      <c r="P18" s="16">
        <v>0</v>
      </c>
      <c r="Q18" s="14">
        <v>0</v>
      </c>
      <c r="R18" s="16">
        <v>0</v>
      </c>
    </row>
    <row r="19" spans="1:18" x14ac:dyDescent="0.25">
      <c r="A19" s="11" t="s">
        <v>151</v>
      </c>
      <c r="B19" s="13">
        <v>5658</v>
      </c>
      <c r="C19" s="14">
        <f>(4695/B19*100)</f>
        <v>82.979851537645814</v>
      </c>
      <c r="D19" s="15">
        <v>963</v>
      </c>
      <c r="E19" s="14">
        <v>31.540686109999999</v>
      </c>
      <c r="F19" s="16">
        <v>1.78541182</v>
      </c>
      <c r="G19" s="14">
        <v>68.459313890000004</v>
      </c>
      <c r="H19" s="16">
        <v>1.78541182</v>
      </c>
      <c r="I19" s="14" t="s">
        <v>139</v>
      </c>
      <c r="J19" s="16" t="s">
        <v>139</v>
      </c>
      <c r="K19" s="14">
        <v>0</v>
      </c>
      <c r="L19" s="16">
        <v>0</v>
      </c>
      <c r="M19" s="14">
        <v>0</v>
      </c>
      <c r="N19" s="16">
        <v>0</v>
      </c>
      <c r="O19" s="14">
        <v>0</v>
      </c>
      <c r="P19" s="16">
        <v>0</v>
      </c>
      <c r="Q19" s="14">
        <v>0</v>
      </c>
      <c r="R19" s="16">
        <v>0</v>
      </c>
    </row>
    <row r="20" spans="1:18" x14ac:dyDescent="0.25">
      <c r="A20" s="11" t="s">
        <v>152</v>
      </c>
      <c r="B20" s="13">
        <v>3371</v>
      </c>
      <c r="C20" s="14">
        <f>(2786/B20*100)</f>
        <v>82.646099080391579</v>
      </c>
      <c r="D20" s="15">
        <v>585</v>
      </c>
      <c r="E20" s="14">
        <v>30.956140470000001</v>
      </c>
      <c r="F20" s="16">
        <v>1.96403276</v>
      </c>
      <c r="G20" s="14">
        <v>69.043859530000006</v>
      </c>
      <c r="H20" s="16">
        <v>1.96403276</v>
      </c>
      <c r="I20" s="14" t="s">
        <v>139</v>
      </c>
      <c r="J20" s="16" t="s">
        <v>139</v>
      </c>
      <c r="K20" s="14">
        <v>0</v>
      </c>
      <c r="L20" s="16">
        <v>0</v>
      </c>
      <c r="M20" s="14">
        <v>0</v>
      </c>
      <c r="N20" s="16">
        <v>0</v>
      </c>
      <c r="O20" s="14">
        <v>0</v>
      </c>
      <c r="P20" s="16">
        <v>0</v>
      </c>
      <c r="Q20" s="14">
        <v>0</v>
      </c>
      <c r="R20" s="16">
        <v>0</v>
      </c>
    </row>
    <row r="21" spans="1:18" x14ac:dyDescent="0.25">
      <c r="A21" s="11" t="s">
        <v>153</v>
      </c>
      <c r="B21" s="17" t="s">
        <v>154</v>
      </c>
      <c r="C21" s="17" t="s">
        <v>154</v>
      </c>
      <c r="D21" s="18" t="s">
        <v>154</v>
      </c>
      <c r="E21" s="17" t="s">
        <v>154</v>
      </c>
      <c r="F21" s="18" t="s">
        <v>154</v>
      </c>
      <c r="G21" s="17" t="s">
        <v>154</v>
      </c>
      <c r="H21" s="18" t="s">
        <v>154</v>
      </c>
      <c r="I21" s="17" t="s">
        <v>154</v>
      </c>
      <c r="J21" s="18" t="s">
        <v>154</v>
      </c>
      <c r="K21" s="17" t="s">
        <v>154</v>
      </c>
      <c r="L21" s="18" t="s">
        <v>154</v>
      </c>
      <c r="M21" s="17" t="s">
        <v>154</v>
      </c>
      <c r="N21" s="18" t="s">
        <v>154</v>
      </c>
      <c r="O21" s="17" t="s">
        <v>154</v>
      </c>
      <c r="P21" s="18" t="s">
        <v>154</v>
      </c>
      <c r="Q21" s="17" t="s">
        <v>154</v>
      </c>
      <c r="R21" s="18" t="s">
        <v>154</v>
      </c>
    </row>
    <row r="22" spans="1:18" x14ac:dyDescent="0.25">
      <c r="A22" s="11" t="s">
        <v>155</v>
      </c>
      <c r="B22" s="13">
        <v>6598</v>
      </c>
      <c r="C22" s="14">
        <f>(5563/B22*100)</f>
        <v>84.313428311609584</v>
      </c>
      <c r="D22" s="15">
        <v>1035</v>
      </c>
      <c r="E22" s="14">
        <v>41.945375929999997</v>
      </c>
      <c r="F22" s="16">
        <v>1.92458836</v>
      </c>
      <c r="G22" s="14">
        <v>58.054624070000003</v>
      </c>
      <c r="H22" s="16">
        <v>1.92458836</v>
      </c>
      <c r="I22" s="14" t="s">
        <v>139</v>
      </c>
      <c r="J22" s="16" t="s">
        <v>139</v>
      </c>
      <c r="K22" s="14">
        <v>0</v>
      </c>
      <c r="L22" s="16">
        <v>0</v>
      </c>
      <c r="M22" s="14">
        <v>0</v>
      </c>
      <c r="N22" s="16">
        <v>0</v>
      </c>
      <c r="O22" s="14">
        <v>0</v>
      </c>
      <c r="P22" s="16">
        <v>0</v>
      </c>
      <c r="Q22" s="14">
        <v>0</v>
      </c>
      <c r="R22" s="16">
        <v>0</v>
      </c>
    </row>
    <row r="23" spans="1:18" x14ac:dyDescent="0.25">
      <c r="A23" s="11" t="s">
        <v>156</v>
      </c>
      <c r="B23" s="13">
        <v>11583</v>
      </c>
      <c r="C23" s="14">
        <f>(9598/B23*100)</f>
        <v>82.862816196149524</v>
      </c>
      <c r="D23" s="15">
        <v>1985</v>
      </c>
      <c r="E23" s="14">
        <v>37.778690320000003</v>
      </c>
      <c r="F23" s="16">
        <v>1.7911702599999999</v>
      </c>
      <c r="G23" s="14">
        <v>62.221309679999997</v>
      </c>
      <c r="H23" s="16">
        <v>1.7911702599999999</v>
      </c>
      <c r="I23" s="14" t="s">
        <v>139</v>
      </c>
      <c r="J23" s="16" t="s">
        <v>139</v>
      </c>
      <c r="K23" s="14">
        <v>0</v>
      </c>
      <c r="L23" s="16">
        <v>0</v>
      </c>
      <c r="M23" s="14">
        <v>0</v>
      </c>
      <c r="N23" s="16">
        <v>0</v>
      </c>
      <c r="O23" s="14">
        <v>0</v>
      </c>
      <c r="P23" s="16">
        <v>0</v>
      </c>
      <c r="Q23" s="14">
        <v>0</v>
      </c>
      <c r="R23" s="16">
        <v>0</v>
      </c>
    </row>
    <row r="24" spans="1:18" x14ac:dyDescent="0.25">
      <c r="A24" s="11" t="s">
        <v>157</v>
      </c>
      <c r="B24" s="13">
        <v>6647</v>
      </c>
      <c r="C24" s="14">
        <f>(5487/B24*100)</f>
        <v>82.548518128479003</v>
      </c>
      <c r="D24" s="15">
        <v>1160</v>
      </c>
      <c r="E24" s="14">
        <v>38.453947059999997</v>
      </c>
      <c r="F24" s="16">
        <v>1.3563257799999999</v>
      </c>
      <c r="G24" s="14">
        <v>61.546052940000003</v>
      </c>
      <c r="H24" s="16">
        <v>1.3563257799999999</v>
      </c>
      <c r="I24" s="14" t="s">
        <v>139</v>
      </c>
      <c r="J24" s="16" t="s">
        <v>139</v>
      </c>
      <c r="K24" s="14">
        <v>0</v>
      </c>
      <c r="L24" s="16">
        <v>0</v>
      </c>
      <c r="M24" s="14">
        <v>0</v>
      </c>
      <c r="N24" s="16">
        <v>0</v>
      </c>
      <c r="O24" s="14">
        <v>0</v>
      </c>
      <c r="P24" s="16">
        <v>0</v>
      </c>
      <c r="Q24" s="14">
        <v>0</v>
      </c>
      <c r="R24" s="16">
        <v>0</v>
      </c>
    </row>
    <row r="25" spans="1:18" x14ac:dyDescent="0.25">
      <c r="A25" s="11" t="s">
        <v>158</v>
      </c>
      <c r="B25" s="13">
        <v>5581</v>
      </c>
      <c r="C25" s="14">
        <f>(4615/B25*100)</f>
        <v>82.691273965239205</v>
      </c>
      <c r="D25" s="15">
        <v>966</v>
      </c>
      <c r="E25" s="14">
        <v>35.027711959999998</v>
      </c>
      <c r="F25" s="16">
        <v>1.6912133899999999</v>
      </c>
      <c r="G25" s="14">
        <v>64.972288039999995</v>
      </c>
      <c r="H25" s="16">
        <v>1.6912133899999999</v>
      </c>
      <c r="I25" s="14" t="s">
        <v>139</v>
      </c>
      <c r="J25" s="16" t="s">
        <v>139</v>
      </c>
      <c r="K25" s="14">
        <v>0</v>
      </c>
      <c r="L25" s="16">
        <v>0</v>
      </c>
      <c r="M25" s="14">
        <v>0</v>
      </c>
      <c r="N25" s="16">
        <v>0</v>
      </c>
      <c r="O25" s="14">
        <v>0</v>
      </c>
      <c r="P25" s="16">
        <v>0</v>
      </c>
      <c r="Q25" s="14">
        <v>0</v>
      </c>
      <c r="R25" s="16">
        <v>0</v>
      </c>
    </row>
    <row r="26" spans="1:18" x14ac:dyDescent="0.25">
      <c r="A26" s="11" t="s">
        <v>159</v>
      </c>
      <c r="B26" s="13">
        <v>4869</v>
      </c>
      <c r="C26" s="14">
        <f>(4008/B26*100)</f>
        <v>82.316697473813932</v>
      </c>
      <c r="D26" s="15">
        <v>861</v>
      </c>
      <c r="E26" s="14">
        <v>30.086497260000002</v>
      </c>
      <c r="F26" s="16">
        <v>1.6839127700000001</v>
      </c>
      <c r="G26" s="14">
        <v>69.913502739999998</v>
      </c>
      <c r="H26" s="16">
        <v>1.6839127700000001</v>
      </c>
      <c r="I26" s="14" t="s">
        <v>139</v>
      </c>
      <c r="J26" s="16" t="s">
        <v>139</v>
      </c>
      <c r="K26" s="14">
        <v>0</v>
      </c>
      <c r="L26" s="16">
        <v>0</v>
      </c>
      <c r="M26" s="14">
        <v>0</v>
      </c>
      <c r="N26" s="16">
        <v>0</v>
      </c>
      <c r="O26" s="14">
        <v>0</v>
      </c>
      <c r="P26" s="16">
        <v>0</v>
      </c>
      <c r="Q26" s="14">
        <v>0</v>
      </c>
      <c r="R26" s="16">
        <v>0</v>
      </c>
    </row>
    <row r="27" spans="1:18" x14ac:dyDescent="0.25">
      <c r="A27" s="11" t="s">
        <v>160</v>
      </c>
      <c r="B27" s="13">
        <v>5299</v>
      </c>
      <c r="C27" s="14">
        <f>(4377/B27*100)</f>
        <v>82.600490658614831</v>
      </c>
      <c r="D27" s="15">
        <v>922</v>
      </c>
      <c r="E27" s="14">
        <v>31.140037790000001</v>
      </c>
      <c r="F27" s="16">
        <v>1.58309652</v>
      </c>
      <c r="G27" s="14">
        <v>68.859962210000006</v>
      </c>
      <c r="H27" s="16">
        <v>1.58309652</v>
      </c>
      <c r="I27" s="14" t="s">
        <v>139</v>
      </c>
      <c r="J27" s="16" t="s">
        <v>139</v>
      </c>
      <c r="K27" s="14">
        <v>0</v>
      </c>
      <c r="L27" s="16">
        <v>0</v>
      </c>
      <c r="M27" s="14">
        <v>0</v>
      </c>
      <c r="N27" s="16">
        <v>0</v>
      </c>
      <c r="O27" s="14">
        <v>0</v>
      </c>
      <c r="P27" s="16">
        <v>0</v>
      </c>
      <c r="Q27" s="14">
        <v>0</v>
      </c>
      <c r="R27" s="16">
        <v>0</v>
      </c>
    </row>
    <row r="28" spans="1:18" x14ac:dyDescent="0.25">
      <c r="A28" s="11" t="s">
        <v>161</v>
      </c>
      <c r="B28" s="13">
        <v>7568</v>
      </c>
      <c r="C28" s="14">
        <f>(6313/B28*100)</f>
        <v>83.417019027484145</v>
      </c>
      <c r="D28" s="15">
        <v>1255</v>
      </c>
      <c r="E28" s="14">
        <v>40.311519050000001</v>
      </c>
      <c r="F28" s="16">
        <v>1.8984694</v>
      </c>
      <c r="G28" s="14">
        <v>59.688480949999999</v>
      </c>
      <c r="H28" s="16">
        <v>1.8984694</v>
      </c>
      <c r="I28" s="14" t="s">
        <v>139</v>
      </c>
      <c r="J28" s="16" t="s">
        <v>139</v>
      </c>
      <c r="K28" s="14">
        <v>0</v>
      </c>
      <c r="L28" s="16">
        <v>0</v>
      </c>
      <c r="M28" s="14">
        <v>0</v>
      </c>
      <c r="N28" s="16">
        <v>0</v>
      </c>
      <c r="O28" s="14">
        <v>0</v>
      </c>
      <c r="P28" s="16">
        <v>0</v>
      </c>
      <c r="Q28" s="14">
        <v>0</v>
      </c>
      <c r="R28" s="16">
        <v>0</v>
      </c>
    </row>
    <row r="29" spans="1:18" x14ac:dyDescent="0.25">
      <c r="A29" s="11" t="s">
        <v>162</v>
      </c>
      <c r="B29" s="13">
        <v>5385</v>
      </c>
      <c r="C29" s="14">
        <f>(4470/B29*100)</f>
        <v>83.008356545961007</v>
      </c>
      <c r="D29" s="15">
        <v>915</v>
      </c>
      <c r="E29" s="14">
        <v>33.658032970000001</v>
      </c>
      <c r="F29" s="16">
        <v>1.64386816</v>
      </c>
      <c r="G29" s="14">
        <v>66.341967030000006</v>
      </c>
      <c r="H29" s="16">
        <v>1.64386816</v>
      </c>
      <c r="I29" s="14" t="s">
        <v>139</v>
      </c>
      <c r="J29" s="16" t="s">
        <v>139</v>
      </c>
      <c r="K29" s="14">
        <v>0</v>
      </c>
      <c r="L29" s="16">
        <v>0</v>
      </c>
      <c r="M29" s="14">
        <v>0</v>
      </c>
      <c r="N29" s="16">
        <v>0</v>
      </c>
      <c r="O29" s="14">
        <v>0</v>
      </c>
      <c r="P29" s="16">
        <v>0</v>
      </c>
      <c r="Q29" s="14">
        <v>0</v>
      </c>
      <c r="R29" s="16">
        <v>0</v>
      </c>
    </row>
    <row r="30" spans="1:18" x14ac:dyDescent="0.25">
      <c r="A30" s="11" t="s">
        <v>163</v>
      </c>
      <c r="B30" s="13">
        <v>4520</v>
      </c>
      <c r="C30" s="14">
        <f>(3744/B30*100)</f>
        <v>82.83185840707965</v>
      </c>
      <c r="D30" s="15">
        <v>776</v>
      </c>
      <c r="E30" s="14">
        <v>26.832833610000002</v>
      </c>
      <c r="F30" s="16">
        <v>1.7933479800000001</v>
      </c>
      <c r="G30" s="14">
        <v>73.167166390000006</v>
      </c>
      <c r="H30" s="16">
        <v>1.7933479800000001</v>
      </c>
      <c r="I30" s="14" t="s">
        <v>139</v>
      </c>
      <c r="J30" s="16" t="s">
        <v>139</v>
      </c>
      <c r="K30" s="14">
        <v>0</v>
      </c>
      <c r="L30" s="16">
        <v>0</v>
      </c>
      <c r="M30" s="14">
        <v>0</v>
      </c>
      <c r="N30" s="16">
        <v>0</v>
      </c>
      <c r="O30" s="14">
        <v>0</v>
      </c>
      <c r="P30" s="16">
        <v>0</v>
      </c>
      <c r="Q30" s="14">
        <v>0</v>
      </c>
      <c r="R30" s="16">
        <v>0</v>
      </c>
    </row>
    <row r="31" spans="1:18" x14ac:dyDescent="0.25">
      <c r="A31" s="11" t="s">
        <v>164</v>
      </c>
      <c r="B31" s="13">
        <v>5456</v>
      </c>
      <c r="C31" s="14">
        <f>(4534/B31*100)</f>
        <v>83.101173020527867</v>
      </c>
      <c r="D31" s="15">
        <v>922</v>
      </c>
      <c r="E31" s="14">
        <v>34.5637762</v>
      </c>
      <c r="F31" s="16">
        <v>1.6468206400000001</v>
      </c>
      <c r="G31" s="14">
        <v>65.436223799999993</v>
      </c>
      <c r="H31" s="16">
        <v>1.6468206400000001</v>
      </c>
      <c r="I31" s="14" t="s">
        <v>139</v>
      </c>
      <c r="J31" s="16" t="s">
        <v>139</v>
      </c>
      <c r="K31" s="14">
        <v>0</v>
      </c>
      <c r="L31" s="16">
        <v>0</v>
      </c>
      <c r="M31" s="14">
        <v>0</v>
      </c>
      <c r="N31" s="16">
        <v>0</v>
      </c>
      <c r="O31" s="14">
        <v>0</v>
      </c>
      <c r="P31" s="16">
        <v>0</v>
      </c>
      <c r="Q31" s="14">
        <v>0</v>
      </c>
      <c r="R31" s="16">
        <v>0</v>
      </c>
    </row>
    <row r="32" spans="1:18" x14ac:dyDescent="0.25">
      <c r="A32" s="11" t="s">
        <v>165</v>
      </c>
      <c r="B32" s="17" t="s">
        <v>154</v>
      </c>
      <c r="C32" s="17" t="s">
        <v>154</v>
      </c>
      <c r="D32" s="18" t="s">
        <v>154</v>
      </c>
      <c r="E32" s="17" t="s">
        <v>154</v>
      </c>
      <c r="F32" s="18" t="s">
        <v>154</v>
      </c>
      <c r="G32" s="17" t="s">
        <v>154</v>
      </c>
      <c r="H32" s="18" t="s">
        <v>154</v>
      </c>
      <c r="I32" s="17" t="s">
        <v>154</v>
      </c>
      <c r="J32" s="18" t="s">
        <v>154</v>
      </c>
      <c r="K32" s="17" t="s">
        <v>154</v>
      </c>
      <c r="L32" s="18" t="s">
        <v>154</v>
      </c>
      <c r="M32" s="17" t="s">
        <v>154</v>
      </c>
      <c r="N32" s="18" t="s">
        <v>154</v>
      </c>
      <c r="O32" s="17" t="s">
        <v>154</v>
      </c>
      <c r="P32" s="18" t="s">
        <v>154</v>
      </c>
      <c r="Q32" s="17" t="s">
        <v>154</v>
      </c>
      <c r="R32" s="18" t="s">
        <v>154</v>
      </c>
    </row>
    <row r="33" spans="1:18" x14ac:dyDescent="0.25">
      <c r="A33" s="11" t="s">
        <v>166</v>
      </c>
      <c r="B33" s="13">
        <v>7325</v>
      </c>
      <c r="C33" s="14">
        <f>(6092/B33*100)</f>
        <v>83.167235494880543</v>
      </c>
      <c r="D33" s="15">
        <v>1233</v>
      </c>
      <c r="E33" s="14">
        <v>30.040206690000002</v>
      </c>
      <c r="F33" s="16">
        <v>1.4212026099999999</v>
      </c>
      <c r="G33" s="14">
        <v>69.959793309999995</v>
      </c>
      <c r="H33" s="16">
        <v>1.4212026099999999</v>
      </c>
      <c r="I33" s="14" t="s">
        <v>139</v>
      </c>
      <c r="J33" s="16" t="s">
        <v>139</v>
      </c>
      <c r="K33" s="14">
        <v>0</v>
      </c>
      <c r="L33" s="16">
        <v>0</v>
      </c>
      <c r="M33" s="14">
        <v>0</v>
      </c>
      <c r="N33" s="16">
        <v>0</v>
      </c>
      <c r="O33" s="14">
        <v>0</v>
      </c>
      <c r="P33" s="16">
        <v>0</v>
      </c>
      <c r="Q33" s="14">
        <v>0</v>
      </c>
      <c r="R33" s="16">
        <v>0</v>
      </c>
    </row>
    <row r="34" spans="1:18" x14ac:dyDescent="0.25">
      <c r="A34" s="11" t="s">
        <v>167</v>
      </c>
      <c r="B34" s="13">
        <v>6350</v>
      </c>
      <c r="C34" s="14">
        <f>(5280/B34*100)</f>
        <v>83.149606299212593</v>
      </c>
      <c r="D34" s="15">
        <v>1070</v>
      </c>
      <c r="E34" s="14">
        <v>33.749417090000001</v>
      </c>
      <c r="F34" s="16">
        <v>1.71846929</v>
      </c>
      <c r="G34" s="14">
        <v>66.250582910000006</v>
      </c>
      <c r="H34" s="16">
        <v>1.71846929</v>
      </c>
      <c r="I34" s="14" t="s">
        <v>139</v>
      </c>
      <c r="J34" s="16" t="s">
        <v>139</v>
      </c>
      <c r="K34" s="14">
        <v>0</v>
      </c>
      <c r="L34" s="16">
        <v>0</v>
      </c>
      <c r="M34" s="14">
        <v>0</v>
      </c>
      <c r="N34" s="16">
        <v>0</v>
      </c>
      <c r="O34" s="14">
        <v>0</v>
      </c>
      <c r="P34" s="16">
        <v>0</v>
      </c>
      <c r="Q34" s="14">
        <v>0</v>
      </c>
      <c r="R34" s="16">
        <v>0</v>
      </c>
    </row>
    <row r="35" spans="1:18" x14ac:dyDescent="0.25">
      <c r="A35" s="11" t="s">
        <v>168</v>
      </c>
      <c r="B35" s="13">
        <v>6406</v>
      </c>
      <c r="C35" s="14">
        <f>(5297/B35*100)</f>
        <v>82.688104901654697</v>
      </c>
      <c r="D35" s="15">
        <v>1109</v>
      </c>
      <c r="E35" s="14">
        <v>23.266061409999999</v>
      </c>
      <c r="F35" s="16">
        <v>1.35538662</v>
      </c>
      <c r="G35" s="14">
        <v>76.733938589999994</v>
      </c>
      <c r="H35" s="16">
        <v>1.35538662</v>
      </c>
      <c r="I35" s="14" t="s">
        <v>139</v>
      </c>
      <c r="J35" s="16" t="s">
        <v>139</v>
      </c>
      <c r="K35" s="14">
        <v>0</v>
      </c>
      <c r="L35" s="16">
        <v>0</v>
      </c>
      <c r="M35" s="14">
        <v>0</v>
      </c>
      <c r="N35" s="16">
        <v>0</v>
      </c>
      <c r="O35" s="14">
        <v>0</v>
      </c>
      <c r="P35" s="16">
        <v>0</v>
      </c>
      <c r="Q35" s="14">
        <v>0</v>
      </c>
      <c r="R35" s="16">
        <v>0</v>
      </c>
    </row>
    <row r="36" spans="1:18" x14ac:dyDescent="0.25">
      <c r="A36" s="11" t="s">
        <v>169</v>
      </c>
      <c r="B36" s="13">
        <v>6736</v>
      </c>
      <c r="C36" s="14">
        <f>(5576/B36*100)</f>
        <v>82.779097387173394</v>
      </c>
      <c r="D36" s="15">
        <v>1160</v>
      </c>
      <c r="E36" s="14">
        <v>24.886134859999999</v>
      </c>
      <c r="F36" s="16">
        <v>1.17595549</v>
      </c>
      <c r="G36" s="14">
        <v>75.113865140000001</v>
      </c>
      <c r="H36" s="16">
        <v>1.17595549</v>
      </c>
      <c r="I36" s="14" t="s">
        <v>139</v>
      </c>
      <c r="J36" s="16" t="s">
        <v>139</v>
      </c>
      <c r="K36" s="14">
        <v>0</v>
      </c>
      <c r="L36" s="16">
        <v>0</v>
      </c>
      <c r="M36" s="14">
        <v>0</v>
      </c>
      <c r="N36" s="16">
        <v>0</v>
      </c>
      <c r="O36" s="14">
        <v>0</v>
      </c>
      <c r="P36" s="16">
        <v>0</v>
      </c>
      <c r="Q36" s="14">
        <v>0</v>
      </c>
      <c r="R36" s="16">
        <v>0</v>
      </c>
    </row>
    <row r="37" spans="1:18" x14ac:dyDescent="0.25">
      <c r="A37" s="11" t="s">
        <v>170</v>
      </c>
      <c r="B37" s="13">
        <v>5458</v>
      </c>
      <c r="C37" s="14">
        <f>(4554/B37*100)</f>
        <v>83.437156467570546</v>
      </c>
      <c r="D37" s="15">
        <v>904</v>
      </c>
      <c r="E37" s="14">
        <v>30.85545694</v>
      </c>
      <c r="F37" s="16">
        <v>1.6672804000000001</v>
      </c>
      <c r="G37" s="14">
        <v>69.144543060000004</v>
      </c>
      <c r="H37" s="16">
        <v>1.6672804000000001</v>
      </c>
      <c r="I37" s="14" t="s">
        <v>139</v>
      </c>
      <c r="J37" s="16" t="s">
        <v>139</v>
      </c>
      <c r="K37" s="14">
        <v>0</v>
      </c>
      <c r="L37" s="16">
        <v>0</v>
      </c>
      <c r="M37" s="14">
        <v>0</v>
      </c>
      <c r="N37" s="16">
        <v>0</v>
      </c>
      <c r="O37" s="14">
        <v>0</v>
      </c>
      <c r="P37" s="16">
        <v>0</v>
      </c>
      <c r="Q37" s="14">
        <v>0</v>
      </c>
      <c r="R37" s="16">
        <v>0</v>
      </c>
    </row>
    <row r="38" spans="1:18" x14ac:dyDescent="0.25">
      <c r="A38" s="11" t="s">
        <v>171</v>
      </c>
      <c r="B38" s="17" t="s">
        <v>154</v>
      </c>
      <c r="C38" s="17" t="s">
        <v>154</v>
      </c>
      <c r="D38" s="18" t="s">
        <v>154</v>
      </c>
      <c r="E38" s="17" t="s">
        <v>154</v>
      </c>
      <c r="F38" s="18" t="s">
        <v>154</v>
      </c>
      <c r="G38" s="17" t="s">
        <v>154</v>
      </c>
      <c r="H38" s="18" t="s">
        <v>154</v>
      </c>
      <c r="I38" s="17" t="s">
        <v>154</v>
      </c>
      <c r="J38" s="18" t="s">
        <v>154</v>
      </c>
      <c r="K38" s="17" t="s">
        <v>154</v>
      </c>
      <c r="L38" s="18" t="s">
        <v>154</v>
      </c>
      <c r="M38" s="17" t="s">
        <v>154</v>
      </c>
      <c r="N38" s="18" t="s">
        <v>154</v>
      </c>
      <c r="O38" s="17" t="s">
        <v>154</v>
      </c>
      <c r="P38" s="18" t="s">
        <v>154</v>
      </c>
      <c r="Q38" s="17" t="s">
        <v>154</v>
      </c>
      <c r="R38" s="18" t="s">
        <v>154</v>
      </c>
    </row>
    <row r="39" spans="1:18" x14ac:dyDescent="0.25">
      <c r="A39" s="11" t="s">
        <v>172</v>
      </c>
      <c r="B39" s="13">
        <v>5895</v>
      </c>
      <c r="C39" s="14">
        <f>(4869/B39*100)</f>
        <v>82.595419847328245</v>
      </c>
      <c r="D39" s="15">
        <v>1026</v>
      </c>
      <c r="E39" s="14">
        <v>47.37748878</v>
      </c>
      <c r="F39" s="16">
        <v>1.6878946800000001</v>
      </c>
      <c r="G39" s="14">
        <v>52.62251122</v>
      </c>
      <c r="H39" s="16">
        <v>1.6878946800000001</v>
      </c>
      <c r="I39" s="14" t="s">
        <v>139</v>
      </c>
      <c r="J39" s="16" t="s">
        <v>139</v>
      </c>
      <c r="K39" s="14">
        <v>0</v>
      </c>
      <c r="L39" s="16">
        <v>0</v>
      </c>
      <c r="M39" s="14">
        <v>0</v>
      </c>
      <c r="N39" s="16">
        <v>0</v>
      </c>
      <c r="O39" s="14">
        <v>0</v>
      </c>
      <c r="P39" s="16">
        <v>0</v>
      </c>
      <c r="Q39" s="14">
        <v>0</v>
      </c>
      <c r="R39" s="16">
        <v>0</v>
      </c>
    </row>
    <row r="40" spans="1:18" x14ac:dyDescent="0.25">
      <c r="A40" s="11" t="s">
        <v>173</v>
      </c>
      <c r="B40" s="13">
        <v>14157</v>
      </c>
      <c r="C40" s="14">
        <f>(11631/B40*100)</f>
        <v>82.15723670269125</v>
      </c>
      <c r="D40" s="15">
        <v>2526</v>
      </c>
      <c r="E40" s="14">
        <v>29.956655399999999</v>
      </c>
      <c r="F40" s="16">
        <v>1.59108033</v>
      </c>
      <c r="G40" s="14">
        <v>70.043344599999998</v>
      </c>
      <c r="H40" s="16">
        <v>1.59108033</v>
      </c>
      <c r="I40" s="14" t="s">
        <v>139</v>
      </c>
      <c r="J40" s="16" t="s">
        <v>139</v>
      </c>
      <c r="K40" s="14">
        <v>0</v>
      </c>
      <c r="L40" s="16">
        <v>0</v>
      </c>
      <c r="M40" s="14">
        <v>0</v>
      </c>
      <c r="N40" s="16">
        <v>0</v>
      </c>
      <c r="O40" s="14">
        <v>0</v>
      </c>
      <c r="P40" s="16">
        <v>0</v>
      </c>
      <c r="Q40" s="14">
        <v>0</v>
      </c>
      <c r="R40" s="16">
        <v>0</v>
      </c>
    </row>
    <row r="41" spans="1:18" x14ac:dyDescent="0.25">
      <c r="A41" s="11" t="s">
        <v>174</v>
      </c>
      <c r="B41" s="13">
        <v>5712</v>
      </c>
      <c r="C41" s="14">
        <f>(4753/B41*100)</f>
        <v>83.210784313725497</v>
      </c>
      <c r="D41" s="15">
        <v>959</v>
      </c>
      <c r="E41" s="14">
        <v>31.876877990000001</v>
      </c>
      <c r="F41" s="16">
        <v>1.6396991299999999</v>
      </c>
      <c r="G41" s="14">
        <v>68.123122010000003</v>
      </c>
      <c r="H41" s="16">
        <v>1.6396991299999999</v>
      </c>
      <c r="I41" s="14" t="s">
        <v>139</v>
      </c>
      <c r="J41" s="16" t="s">
        <v>139</v>
      </c>
      <c r="K41" s="14">
        <v>0</v>
      </c>
      <c r="L41" s="16">
        <v>0</v>
      </c>
      <c r="M41" s="14">
        <v>0</v>
      </c>
      <c r="N41" s="16">
        <v>0</v>
      </c>
      <c r="O41" s="14">
        <v>0</v>
      </c>
      <c r="P41" s="16">
        <v>0</v>
      </c>
      <c r="Q41" s="14">
        <v>0</v>
      </c>
      <c r="R41" s="16">
        <v>0</v>
      </c>
    </row>
    <row r="42" spans="1:18" x14ac:dyDescent="0.25">
      <c r="A42" s="11" t="s">
        <v>175</v>
      </c>
      <c r="B42" s="13">
        <f>IF(COUNT(B7:B41) &gt; 0, AVERAGE(B7:B41), "\u2014")</f>
        <v>7266.90625</v>
      </c>
      <c r="C42" s="14">
        <f>IF(COUNT(C7:C41) &gt; 0, AVERAGE(C7:C41), "—")</f>
        <v>82.93344709112597</v>
      </c>
      <c r="D42" s="15">
        <f>IF(COUNT(D7:D41) &gt; 0, AVERAGE(D7:D41), "—")</f>
        <v>1241.4375</v>
      </c>
      <c r="E42" s="14">
        <f>IF(COUNT(E7:E41) &gt; 0, AVERAGE(E7:E41), "—")</f>
        <v>31.2158126459375</v>
      </c>
      <c r="F42" s="16">
        <f>IF(COUNT(F7:F41) &gt; 0, SQRT(SUMSQ(F7:F41)/(COUNT(F7:F41)*COUNT(F7:F41)) ), "—")</f>
        <v>0.28200076624900311</v>
      </c>
      <c r="G42" s="14">
        <f>IF(COUNT(G7:G41) &gt; 0, AVERAGE(G7:G41), "—")</f>
        <v>68.784187354062496</v>
      </c>
      <c r="H42" s="16">
        <f>IF(COUNT(H7:H41) &gt; 0, SQRT(SUMSQ(H7:H41)/(COUNT(H7:H41)*COUNT(H7:H41)) ), "—")</f>
        <v>0.28200076624900311</v>
      </c>
      <c r="I42" s="14" t="str">
        <f>IF(COUNT(I7:I41) &gt; 0, AVERAGE(I7:I41), "—")</f>
        <v>—</v>
      </c>
      <c r="J42" s="16" t="str">
        <f>IF(COUNT(J7:J41) &gt; 0, SQRT(SUMSQ(J7:J41)/(COUNT(J7:J41)*COUNT(J7:J41)) ), "—")</f>
        <v>—</v>
      </c>
      <c r="K42" s="14">
        <f>IF(COUNT(K7:K41) &gt; 0, AVERAGE(K7:K41), "—")</f>
        <v>0</v>
      </c>
      <c r="L42" s="16">
        <f>IF(COUNT(L7:L41) &gt; 0, SQRT(SUMSQ(L7:L41)/(COUNT(L7:L41)*COUNT(L7:L41)) ), "—")</f>
        <v>0</v>
      </c>
      <c r="M42" s="14">
        <f>IF(COUNT(M7:M41) &gt; 0, AVERAGE(M7:M41), "—")</f>
        <v>0</v>
      </c>
      <c r="N42" s="16">
        <f>IF(COUNT(N7:N41) &gt; 0, SQRT(SUMSQ(N7:N41)/(COUNT(N7:N41)*COUNT(N7:N41)) ), "—")</f>
        <v>0</v>
      </c>
      <c r="O42" s="14">
        <f>IF(COUNT(O7:O41) &gt; 0, AVERAGE(O7:O41), "—")</f>
        <v>0</v>
      </c>
      <c r="P42" s="16">
        <f>IF(COUNT(P7:P41) &gt; 0, SQRT(SUMSQ(P7:P41)/(COUNT(P7:P41)*COUNT(P7:P41)) ), "—")</f>
        <v>0</v>
      </c>
      <c r="Q42" s="14">
        <f>IF(COUNT(Q7:Q41) &gt; 0, AVERAGE(Q7:Q41), "—")</f>
        <v>0</v>
      </c>
      <c r="R42" s="16">
        <f>IF(COUNT(R7:R41) &gt; 0, SQRT(SUMSQ(R7:R41)/(COUNT(R7:R41)*COUNT(R7:R41)) ), "—")</f>
        <v>0</v>
      </c>
    </row>
    <row r="43" spans="1:18" x14ac:dyDescent="0.25">
      <c r="A43" s="9" t="s">
        <v>176</v>
      </c>
      <c r="B43" s="10"/>
      <c r="C43" s="10"/>
      <c r="D43" s="11"/>
      <c r="E43" s="10"/>
      <c r="F43" s="11"/>
      <c r="G43" s="10"/>
      <c r="H43" s="11"/>
      <c r="I43" s="10"/>
      <c r="J43" s="11"/>
      <c r="K43" s="10"/>
      <c r="L43" s="11"/>
      <c r="M43" s="10"/>
      <c r="N43" s="11"/>
      <c r="O43" s="10"/>
      <c r="P43" s="11"/>
      <c r="Q43" s="10"/>
      <c r="R43" s="12"/>
    </row>
    <row r="44" spans="1:18" x14ac:dyDescent="0.25">
      <c r="A44" s="11" t="s">
        <v>177</v>
      </c>
      <c r="B44" s="17" t="s">
        <v>154</v>
      </c>
      <c r="C44" s="17" t="s">
        <v>154</v>
      </c>
      <c r="D44" s="18" t="s">
        <v>154</v>
      </c>
      <c r="E44" s="17" t="s">
        <v>154</v>
      </c>
      <c r="F44" s="18" t="s">
        <v>154</v>
      </c>
      <c r="G44" s="17" t="s">
        <v>154</v>
      </c>
      <c r="H44" s="18" t="s">
        <v>154</v>
      </c>
      <c r="I44" s="17" t="s">
        <v>154</v>
      </c>
      <c r="J44" s="18" t="s">
        <v>154</v>
      </c>
      <c r="K44" s="17" t="s">
        <v>154</v>
      </c>
      <c r="L44" s="18" t="s">
        <v>154</v>
      </c>
      <c r="M44" s="17" t="s">
        <v>154</v>
      </c>
      <c r="N44" s="18" t="s">
        <v>154</v>
      </c>
      <c r="O44" s="17" t="s">
        <v>154</v>
      </c>
      <c r="P44" s="18" t="s">
        <v>154</v>
      </c>
      <c r="Q44" s="17" t="s">
        <v>154</v>
      </c>
      <c r="R44" s="18" t="s">
        <v>154</v>
      </c>
    </row>
    <row r="45" spans="1:18" x14ac:dyDescent="0.25">
      <c r="A45" s="11" t="s">
        <v>178</v>
      </c>
      <c r="B45" s="17" t="s">
        <v>154</v>
      </c>
      <c r="C45" s="17" t="s">
        <v>154</v>
      </c>
      <c r="D45" s="18" t="s">
        <v>154</v>
      </c>
      <c r="E45" s="17" t="s">
        <v>154</v>
      </c>
      <c r="F45" s="18" t="s">
        <v>154</v>
      </c>
      <c r="G45" s="17" t="s">
        <v>154</v>
      </c>
      <c r="H45" s="18" t="s">
        <v>154</v>
      </c>
      <c r="I45" s="17" t="s">
        <v>154</v>
      </c>
      <c r="J45" s="18" t="s">
        <v>154</v>
      </c>
      <c r="K45" s="17" t="s">
        <v>154</v>
      </c>
      <c r="L45" s="18" t="s">
        <v>154</v>
      </c>
      <c r="M45" s="17" t="s">
        <v>154</v>
      </c>
      <c r="N45" s="18" t="s">
        <v>154</v>
      </c>
      <c r="O45" s="17" t="s">
        <v>154</v>
      </c>
      <c r="P45" s="18" t="s">
        <v>154</v>
      </c>
      <c r="Q45" s="17" t="s">
        <v>154</v>
      </c>
      <c r="R45" s="18" t="s">
        <v>154</v>
      </c>
    </row>
    <row r="46" spans="1:18" x14ac:dyDescent="0.25">
      <c r="A46" s="11" t="s">
        <v>179</v>
      </c>
      <c r="B46" s="13">
        <v>23141</v>
      </c>
      <c r="C46" s="14">
        <f>(19537/B46*100)</f>
        <v>84.425910721230707</v>
      </c>
      <c r="D46" s="15">
        <v>3604</v>
      </c>
      <c r="E46" s="14">
        <v>52.726763040000002</v>
      </c>
      <c r="F46" s="16">
        <v>1.0675003999999999</v>
      </c>
      <c r="G46" s="14">
        <v>47.273236959999998</v>
      </c>
      <c r="H46" s="16">
        <v>1.0675003999999999</v>
      </c>
      <c r="I46" s="14" t="s">
        <v>139</v>
      </c>
      <c r="J46" s="16" t="s">
        <v>139</v>
      </c>
      <c r="K46" s="14">
        <v>0</v>
      </c>
      <c r="L46" s="16">
        <v>0</v>
      </c>
      <c r="M46" s="14">
        <v>0</v>
      </c>
      <c r="N46" s="16">
        <v>0</v>
      </c>
      <c r="O46" s="14">
        <v>0</v>
      </c>
      <c r="P46" s="16">
        <v>0</v>
      </c>
      <c r="Q46" s="14">
        <v>0</v>
      </c>
      <c r="R46" s="16">
        <v>0</v>
      </c>
    </row>
    <row r="47" spans="1:18" x14ac:dyDescent="0.25">
      <c r="A47" s="11" t="s">
        <v>180</v>
      </c>
      <c r="B47" s="13">
        <v>5928</v>
      </c>
      <c r="C47" s="14">
        <f>(4918/B47*100)</f>
        <v>82.962213225371116</v>
      </c>
      <c r="D47" s="15">
        <v>1010</v>
      </c>
      <c r="E47" s="14">
        <v>39.114960779999997</v>
      </c>
      <c r="F47" s="16">
        <v>1.64888781</v>
      </c>
      <c r="G47" s="14">
        <v>60.885039220000003</v>
      </c>
      <c r="H47" s="16">
        <v>1.64888781</v>
      </c>
      <c r="I47" s="14" t="s">
        <v>139</v>
      </c>
      <c r="J47" s="16" t="s">
        <v>139</v>
      </c>
      <c r="K47" s="14">
        <v>0</v>
      </c>
      <c r="L47" s="16">
        <v>0</v>
      </c>
      <c r="M47" s="14">
        <v>0</v>
      </c>
      <c r="N47" s="16">
        <v>0</v>
      </c>
      <c r="O47" s="14">
        <v>0</v>
      </c>
      <c r="P47" s="16">
        <v>0</v>
      </c>
      <c r="Q47" s="14">
        <v>0</v>
      </c>
      <c r="R47" s="16">
        <v>0</v>
      </c>
    </row>
    <row r="48" spans="1:18" x14ac:dyDescent="0.25">
      <c r="A48" s="11" t="s">
        <v>181</v>
      </c>
      <c r="B48" s="13">
        <v>9841</v>
      </c>
      <c r="C48" s="14">
        <f>(8147/B48*100)</f>
        <v>82.786302205060451</v>
      </c>
      <c r="D48" s="15">
        <v>1694</v>
      </c>
      <c r="E48" s="14">
        <v>45.52657378</v>
      </c>
      <c r="F48" s="16">
        <v>1.6377303999999999</v>
      </c>
      <c r="G48" s="14">
        <v>54.47342622</v>
      </c>
      <c r="H48" s="16">
        <v>1.6377303999999999</v>
      </c>
      <c r="I48" s="14" t="s">
        <v>139</v>
      </c>
      <c r="J48" s="16" t="s">
        <v>139</v>
      </c>
      <c r="K48" s="14">
        <v>0</v>
      </c>
      <c r="L48" s="16">
        <v>0</v>
      </c>
      <c r="M48" s="14">
        <v>0</v>
      </c>
      <c r="N48" s="16">
        <v>0</v>
      </c>
      <c r="O48" s="14">
        <v>0</v>
      </c>
      <c r="P48" s="16">
        <v>0</v>
      </c>
      <c r="Q48" s="14">
        <v>0</v>
      </c>
      <c r="R48" s="16">
        <v>0</v>
      </c>
    </row>
    <row r="49" spans="1:18" x14ac:dyDescent="0.25">
      <c r="A49" s="11" t="s">
        <v>182</v>
      </c>
      <c r="B49" s="17" t="s">
        <v>154</v>
      </c>
      <c r="C49" s="17" t="s">
        <v>154</v>
      </c>
      <c r="D49" s="18" t="s">
        <v>154</v>
      </c>
      <c r="E49" s="17" t="s">
        <v>154</v>
      </c>
      <c r="F49" s="18" t="s">
        <v>154</v>
      </c>
      <c r="G49" s="17" t="s">
        <v>154</v>
      </c>
      <c r="H49" s="18" t="s">
        <v>154</v>
      </c>
      <c r="I49" s="17" t="s">
        <v>154</v>
      </c>
      <c r="J49" s="18" t="s">
        <v>154</v>
      </c>
      <c r="K49" s="17" t="s">
        <v>154</v>
      </c>
      <c r="L49" s="18" t="s">
        <v>154</v>
      </c>
      <c r="M49" s="17" t="s">
        <v>154</v>
      </c>
      <c r="N49" s="18" t="s">
        <v>154</v>
      </c>
      <c r="O49" s="17" t="s">
        <v>154</v>
      </c>
      <c r="P49" s="18" t="s">
        <v>154</v>
      </c>
      <c r="Q49" s="17" t="s">
        <v>154</v>
      </c>
      <c r="R49" s="18" t="s">
        <v>154</v>
      </c>
    </row>
    <row r="50" spans="1:18" x14ac:dyDescent="0.25">
      <c r="A50" s="11" t="s">
        <v>183</v>
      </c>
      <c r="B50" s="13">
        <v>11795</v>
      </c>
      <c r="C50" s="14">
        <f>(9780/B50*100)</f>
        <v>82.916490038151764</v>
      </c>
      <c r="D50" s="15">
        <v>2015</v>
      </c>
      <c r="E50" s="14">
        <v>49.167425209999998</v>
      </c>
      <c r="F50" s="16">
        <v>1.60812574</v>
      </c>
      <c r="G50" s="14">
        <v>50.832574790000002</v>
      </c>
      <c r="H50" s="16">
        <v>1.60812574</v>
      </c>
      <c r="I50" s="14" t="s">
        <v>139</v>
      </c>
      <c r="J50" s="16" t="s">
        <v>139</v>
      </c>
      <c r="K50" s="14">
        <v>0</v>
      </c>
      <c r="L50" s="16">
        <v>0</v>
      </c>
      <c r="M50" s="14">
        <v>0</v>
      </c>
      <c r="N50" s="16">
        <v>0</v>
      </c>
      <c r="O50" s="14">
        <v>0</v>
      </c>
      <c r="P50" s="16">
        <v>0</v>
      </c>
      <c r="Q50" s="14">
        <v>0</v>
      </c>
      <c r="R50" s="16">
        <v>0</v>
      </c>
    </row>
    <row r="51" spans="1:18" x14ac:dyDescent="0.25">
      <c r="A51" s="11" t="s">
        <v>184</v>
      </c>
      <c r="B51" s="13">
        <v>6866</v>
      </c>
      <c r="C51" s="14">
        <f>(5844/B51*100)</f>
        <v>85.115059714535391</v>
      </c>
      <c r="D51" s="15">
        <v>1022</v>
      </c>
      <c r="E51" s="14">
        <v>40.195669809999998</v>
      </c>
      <c r="F51" s="16">
        <v>1.78308307</v>
      </c>
      <c r="G51" s="14">
        <v>59.804330190000002</v>
      </c>
      <c r="H51" s="16">
        <v>1.78308307</v>
      </c>
      <c r="I51" s="14" t="s">
        <v>139</v>
      </c>
      <c r="J51" s="16" t="s">
        <v>139</v>
      </c>
      <c r="K51" s="14">
        <v>0</v>
      </c>
      <c r="L51" s="16">
        <v>0</v>
      </c>
      <c r="M51" s="14">
        <v>0</v>
      </c>
      <c r="N51" s="16">
        <v>0</v>
      </c>
      <c r="O51" s="14">
        <v>0</v>
      </c>
      <c r="P51" s="16">
        <v>0</v>
      </c>
      <c r="Q51" s="14">
        <v>0</v>
      </c>
      <c r="R51" s="16">
        <v>0</v>
      </c>
    </row>
    <row r="52" spans="1:18" x14ac:dyDescent="0.25">
      <c r="A52" s="11" t="s">
        <v>185</v>
      </c>
      <c r="B52" s="13">
        <v>5809</v>
      </c>
      <c r="C52" s="14">
        <f>(4801/B52*100)</f>
        <v>82.647615768634878</v>
      </c>
      <c r="D52" s="15">
        <v>1008</v>
      </c>
      <c r="E52" s="14">
        <v>33.696858380000002</v>
      </c>
      <c r="F52" s="16">
        <v>1.56207509</v>
      </c>
      <c r="G52" s="14">
        <v>66.303141620000005</v>
      </c>
      <c r="H52" s="16">
        <v>1.56207509</v>
      </c>
      <c r="I52" s="14" t="s">
        <v>139</v>
      </c>
      <c r="J52" s="16" t="s">
        <v>139</v>
      </c>
      <c r="K52" s="14">
        <v>0</v>
      </c>
      <c r="L52" s="16">
        <v>0</v>
      </c>
      <c r="M52" s="14">
        <v>0</v>
      </c>
      <c r="N52" s="16">
        <v>0</v>
      </c>
      <c r="O52" s="14">
        <v>0</v>
      </c>
      <c r="P52" s="16">
        <v>0</v>
      </c>
      <c r="Q52" s="14">
        <v>0</v>
      </c>
      <c r="R52" s="16">
        <v>0</v>
      </c>
    </row>
    <row r="53" spans="1:18" x14ac:dyDescent="0.25">
      <c r="A53" s="11" t="s">
        <v>186</v>
      </c>
      <c r="B53" s="13">
        <v>5571</v>
      </c>
      <c r="C53" s="14">
        <f>(4604/B53*100)</f>
        <v>82.642254532399932</v>
      </c>
      <c r="D53" s="15">
        <v>967</v>
      </c>
      <c r="E53" s="14">
        <v>44.344570040000001</v>
      </c>
      <c r="F53" s="16">
        <v>1.4952896</v>
      </c>
      <c r="G53" s="14">
        <v>55.655429959999999</v>
      </c>
      <c r="H53" s="16">
        <v>1.4952896</v>
      </c>
      <c r="I53" s="14" t="s">
        <v>139</v>
      </c>
      <c r="J53" s="16" t="s">
        <v>139</v>
      </c>
      <c r="K53" s="14">
        <v>0</v>
      </c>
      <c r="L53" s="16">
        <v>0</v>
      </c>
      <c r="M53" s="14">
        <v>0</v>
      </c>
      <c r="N53" s="16">
        <v>0</v>
      </c>
      <c r="O53" s="14">
        <v>0</v>
      </c>
      <c r="P53" s="16">
        <v>0</v>
      </c>
      <c r="Q53" s="14">
        <v>0</v>
      </c>
      <c r="R53" s="16">
        <v>0</v>
      </c>
    </row>
    <row r="54" spans="1:18" x14ac:dyDescent="0.25">
      <c r="A54" s="11" t="s">
        <v>187</v>
      </c>
      <c r="B54" s="17" t="s">
        <v>154</v>
      </c>
      <c r="C54" s="17" t="s">
        <v>154</v>
      </c>
      <c r="D54" s="18" t="s">
        <v>154</v>
      </c>
      <c r="E54" s="17" t="s">
        <v>154</v>
      </c>
      <c r="F54" s="18" t="s">
        <v>154</v>
      </c>
      <c r="G54" s="17" t="s">
        <v>154</v>
      </c>
      <c r="H54" s="18" t="s">
        <v>154</v>
      </c>
      <c r="I54" s="17" t="s">
        <v>154</v>
      </c>
      <c r="J54" s="18" t="s">
        <v>154</v>
      </c>
      <c r="K54" s="17" t="s">
        <v>154</v>
      </c>
      <c r="L54" s="18" t="s">
        <v>154</v>
      </c>
      <c r="M54" s="17" t="s">
        <v>154</v>
      </c>
      <c r="N54" s="18" t="s">
        <v>154</v>
      </c>
      <c r="O54" s="17" t="s">
        <v>154</v>
      </c>
      <c r="P54" s="18" t="s">
        <v>154</v>
      </c>
      <c r="Q54" s="17" t="s">
        <v>154</v>
      </c>
      <c r="R54" s="18" t="s">
        <v>154</v>
      </c>
    </row>
    <row r="55" spans="1:18" x14ac:dyDescent="0.25">
      <c r="A55" s="11" t="s">
        <v>188</v>
      </c>
      <c r="B55" s="17" t="s">
        <v>154</v>
      </c>
      <c r="C55" s="17" t="s">
        <v>154</v>
      </c>
      <c r="D55" s="18" t="s">
        <v>154</v>
      </c>
      <c r="E55" s="17" t="s">
        <v>154</v>
      </c>
      <c r="F55" s="18" t="s">
        <v>154</v>
      </c>
      <c r="G55" s="17" t="s">
        <v>154</v>
      </c>
      <c r="H55" s="18" t="s">
        <v>154</v>
      </c>
      <c r="I55" s="17" t="s">
        <v>154</v>
      </c>
      <c r="J55" s="18" t="s">
        <v>154</v>
      </c>
      <c r="K55" s="17" t="s">
        <v>154</v>
      </c>
      <c r="L55" s="18" t="s">
        <v>154</v>
      </c>
      <c r="M55" s="17" t="s">
        <v>154</v>
      </c>
      <c r="N55" s="18" t="s">
        <v>154</v>
      </c>
      <c r="O55" s="17" t="s">
        <v>154</v>
      </c>
      <c r="P55" s="18" t="s">
        <v>154</v>
      </c>
      <c r="Q55" s="17" t="s">
        <v>154</v>
      </c>
      <c r="R55" s="18" t="s">
        <v>154</v>
      </c>
    </row>
    <row r="56" spans="1:18" x14ac:dyDescent="0.25">
      <c r="A56" s="11" t="s">
        <v>189</v>
      </c>
      <c r="B56" s="13">
        <v>5359</v>
      </c>
      <c r="C56" s="14">
        <f>(4443/B56*100)</f>
        <v>82.907258816943468</v>
      </c>
      <c r="D56" s="15">
        <v>916</v>
      </c>
      <c r="E56" s="14">
        <v>33.98261462</v>
      </c>
      <c r="F56" s="16">
        <v>1.6630998400000001</v>
      </c>
      <c r="G56" s="14">
        <v>66.017385379999993</v>
      </c>
      <c r="H56" s="16">
        <v>1.6630998400000001</v>
      </c>
      <c r="I56" s="14" t="s">
        <v>139</v>
      </c>
      <c r="J56" s="16" t="s">
        <v>139</v>
      </c>
      <c r="K56" s="14">
        <v>0</v>
      </c>
      <c r="L56" s="16">
        <v>0</v>
      </c>
      <c r="M56" s="14">
        <v>0</v>
      </c>
      <c r="N56" s="16">
        <v>0</v>
      </c>
      <c r="O56" s="14">
        <v>0</v>
      </c>
      <c r="P56" s="16">
        <v>0</v>
      </c>
      <c r="Q56" s="14">
        <v>0</v>
      </c>
      <c r="R56" s="16">
        <v>0</v>
      </c>
    </row>
    <row r="57" spans="1:18" x14ac:dyDescent="0.25">
      <c r="A57" s="11" t="s">
        <v>190</v>
      </c>
      <c r="B57" s="17" t="s">
        <v>154</v>
      </c>
      <c r="C57" s="17" t="s">
        <v>154</v>
      </c>
      <c r="D57" s="18" t="s">
        <v>154</v>
      </c>
      <c r="E57" s="17" t="s">
        <v>154</v>
      </c>
      <c r="F57" s="18" t="s">
        <v>154</v>
      </c>
      <c r="G57" s="17" t="s">
        <v>154</v>
      </c>
      <c r="H57" s="18" t="s">
        <v>154</v>
      </c>
      <c r="I57" s="17" t="s">
        <v>154</v>
      </c>
      <c r="J57" s="18" t="s">
        <v>154</v>
      </c>
      <c r="K57" s="17" t="s">
        <v>154</v>
      </c>
      <c r="L57" s="18" t="s">
        <v>154</v>
      </c>
      <c r="M57" s="17" t="s">
        <v>154</v>
      </c>
      <c r="N57" s="18" t="s">
        <v>154</v>
      </c>
      <c r="O57" s="17" t="s">
        <v>154</v>
      </c>
      <c r="P57" s="18" t="s">
        <v>154</v>
      </c>
      <c r="Q57" s="17" t="s">
        <v>154</v>
      </c>
      <c r="R57" s="18" t="s">
        <v>154</v>
      </c>
    </row>
    <row r="58" spans="1:18" x14ac:dyDescent="0.25">
      <c r="A58" s="11" t="s">
        <v>191</v>
      </c>
      <c r="B58" s="17" t="s">
        <v>154</v>
      </c>
      <c r="C58" s="17" t="s">
        <v>154</v>
      </c>
      <c r="D58" s="18" t="s">
        <v>154</v>
      </c>
      <c r="E58" s="17" t="s">
        <v>154</v>
      </c>
      <c r="F58" s="18" t="s">
        <v>154</v>
      </c>
      <c r="G58" s="17" t="s">
        <v>154</v>
      </c>
      <c r="H58" s="18" t="s">
        <v>154</v>
      </c>
      <c r="I58" s="17" t="s">
        <v>154</v>
      </c>
      <c r="J58" s="18" t="s">
        <v>154</v>
      </c>
      <c r="K58" s="17" t="s">
        <v>154</v>
      </c>
      <c r="L58" s="18" t="s">
        <v>154</v>
      </c>
      <c r="M58" s="17" t="s">
        <v>154</v>
      </c>
      <c r="N58" s="18" t="s">
        <v>154</v>
      </c>
      <c r="O58" s="17" t="s">
        <v>154</v>
      </c>
      <c r="P58" s="18" t="s">
        <v>154</v>
      </c>
      <c r="Q58" s="17" t="s">
        <v>154</v>
      </c>
      <c r="R58" s="18" t="s">
        <v>154</v>
      </c>
    </row>
    <row r="59" spans="1:18" x14ac:dyDescent="0.25">
      <c r="A59" s="11" t="s">
        <v>192</v>
      </c>
      <c r="B59" s="17" t="s">
        <v>154</v>
      </c>
      <c r="C59" s="17" t="s">
        <v>154</v>
      </c>
      <c r="D59" s="18" t="s">
        <v>154</v>
      </c>
      <c r="E59" s="17" t="s">
        <v>154</v>
      </c>
      <c r="F59" s="18" t="s">
        <v>154</v>
      </c>
      <c r="G59" s="17" t="s">
        <v>154</v>
      </c>
      <c r="H59" s="18" t="s">
        <v>154</v>
      </c>
      <c r="I59" s="17" t="s">
        <v>154</v>
      </c>
      <c r="J59" s="18" t="s">
        <v>154</v>
      </c>
      <c r="K59" s="17" t="s">
        <v>154</v>
      </c>
      <c r="L59" s="18" t="s">
        <v>154</v>
      </c>
      <c r="M59" s="17" t="s">
        <v>154</v>
      </c>
      <c r="N59" s="18" t="s">
        <v>154</v>
      </c>
      <c r="O59" s="17" t="s">
        <v>154</v>
      </c>
      <c r="P59" s="18" t="s">
        <v>154</v>
      </c>
      <c r="Q59" s="17" t="s">
        <v>154</v>
      </c>
      <c r="R59" s="18" t="s">
        <v>154</v>
      </c>
    </row>
    <row r="60" spans="1:18" x14ac:dyDescent="0.25">
      <c r="A60" s="11" t="s">
        <v>193</v>
      </c>
      <c r="B60" s="17" t="s">
        <v>154</v>
      </c>
      <c r="C60" s="17" t="s">
        <v>154</v>
      </c>
      <c r="D60" s="18" t="s">
        <v>154</v>
      </c>
      <c r="E60" s="17" t="s">
        <v>154</v>
      </c>
      <c r="F60" s="18" t="s">
        <v>154</v>
      </c>
      <c r="G60" s="17" t="s">
        <v>154</v>
      </c>
      <c r="H60" s="18" t="s">
        <v>154</v>
      </c>
      <c r="I60" s="17" t="s">
        <v>154</v>
      </c>
      <c r="J60" s="18" t="s">
        <v>154</v>
      </c>
      <c r="K60" s="17" t="s">
        <v>154</v>
      </c>
      <c r="L60" s="18" t="s">
        <v>154</v>
      </c>
      <c r="M60" s="17" t="s">
        <v>154</v>
      </c>
      <c r="N60" s="18" t="s">
        <v>154</v>
      </c>
      <c r="O60" s="17" t="s">
        <v>154</v>
      </c>
      <c r="P60" s="18" t="s">
        <v>154</v>
      </c>
      <c r="Q60" s="17" t="s">
        <v>154</v>
      </c>
      <c r="R60" s="18" t="s">
        <v>154</v>
      </c>
    </row>
    <row r="61" spans="1:18" x14ac:dyDescent="0.25">
      <c r="A61" s="11" t="s">
        <v>194</v>
      </c>
      <c r="B61" s="13">
        <v>6525</v>
      </c>
      <c r="C61" s="14">
        <f>(5385/B61*100)</f>
        <v>82.528735632183896</v>
      </c>
      <c r="D61" s="15">
        <v>1140</v>
      </c>
      <c r="E61" s="14">
        <v>34.497168180000003</v>
      </c>
      <c r="F61" s="16">
        <v>1.5845746199999999</v>
      </c>
      <c r="G61" s="14">
        <v>65.502831819999997</v>
      </c>
      <c r="H61" s="16">
        <v>1.5845746199999999</v>
      </c>
      <c r="I61" s="14" t="s">
        <v>139</v>
      </c>
      <c r="J61" s="16" t="s">
        <v>139</v>
      </c>
      <c r="K61" s="14">
        <v>0</v>
      </c>
      <c r="L61" s="16">
        <v>0</v>
      </c>
      <c r="M61" s="14">
        <v>0</v>
      </c>
      <c r="N61" s="16">
        <v>0</v>
      </c>
      <c r="O61" s="14">
        <v>0</v>
      </c>
      <c r="P61" s="16">
        <v>0</v>
      </c>
      <c r="Q61" s="14">
        <v>0</v>
      </c>
      <c r="R61" s="16">
        <v>0</v>
      </c>
    </row>
    <row r="62" spans="1:18" x14ac:dyDescent="0.25">
      <c r="A62" s="11" t="s">
        <v>195</v>
      </c>
      <c r="B62" s="13">
        <v>4476</v>
      </c>
      <c r="C62" s="14">
        <f>(3693/B62*100)</f>
        <v>82.506702412868634</v>
      </c>
      <c r="D62" s="15">
        <v>783</v>
      </c>
      <c r="E62" s="14">
        <v>35.943227120000003</v>
      </c>
      <c r="F62" s="16">
        <v>1.8823135</v>
      </c>
      <c r="G62" s="14">
        <v>64.056772879999997</v>
      </c>
      <c r="H62" s="16">
        <v>1.8823135</v>
      </c>
      <c r="I62" s="14" t="s">
        <v>139</v>
      </c>
      <c r="J62" s="16" t="s">
        <v>139</v>
      </c>
      <c r="K62" s="14">
        <v>0</v>
      </c>
      <c r="L62" s="16">
        <v>0</v>
      </c>
      <c r="M62" s="14">
        <v>0</v>
      </c>
      <c r="N62" s="16">
        <v>0</v>
      </c>
      <c r="O62" s="14">
        <v>0</v>
      </c>
      <c r="P62" s="16">
        <v>0</v>
      </c>
      <c r="Q62" s="14">
        <v>0</v>
      </c>
      <c r="R62" s="16">
        <v>0</v>
      </c>
    </row>
    <row r="63" spans="1:18" x14ac:dyDescent="0.25">
      <c r="A63" s="11" t="s">
        <v>196</v>
      </c>
      <c r="B63" s="17" t="s">
        <v>154</v>
      </c>
      <c r="C63" s="17" t="s">
        <v>154</v>
      </c>
      <c r="D63" s="18" t="s">
        <v>154</v>
      </c>
      <c r="E63" s="17" t="s">
        <v>154</v>
      </c>
      <c r="F63" s="18" t="s">
        <v>154</v>
      </c>
      <c r="G63" s="17" t="s">
        <v>154</v>
      </c>
      <c r="H63" s="18" t="s">
        <v>154</v>
      </c>
      <c r="I63" s="17" t="s">
        <v>154</v>
      </c>
      <c r="J63" s="18" t="s">
        <v>154</v>
      </c>
      <c r="K63" s="17" t="s">
        <v>154</v>
      </c>
      <c r="L63" s="18" t="s">
        <v>154</v>
      </c>
      <c r="M63" s="17" t="s">
        <v>154</v>
      </c>
      <c r="N63" s="18" t="s">
        <v>154</v>
      </c>
      <c r="O63" s="17" t="s">
        <v>154</v>
      </c>
      <c r="P63" s="18" t="s">
        <v>154</v>
      </c>
      <c r="Q63" s="17" t="s">
        <v>154</v>
      </c>
      <c r="R63" s="18" t="s">
        <v>154</v>
      </c>
    </row>
    <row r="64" spans="1:18" x14ac:dyDescent="0.25">
      <c r="A64" s="11" t="s">
        <v>197</v>
      </c>
      <c r="B64" s="17" t="s">
        <v>154</v>
      </c>
      <c r="C64" s="17" t="s">
        <v>154</v>
      </c>
      <c r="D64" s="18" t="s">
        <v>154</v>
      </c>
      <c r="E64" s="17" t="s">
        <v>154</v>
      </c>
      <c r="F64" s="18" t="s">
        <v>154</v>
      </c>
      <c r="G64" s="17" t="s">
        <v>154</v>
      </c>
      <c r="H64" s="18" t="s">
        <v>154</v>
      </c>
      <c r="I64" s="17" t="s">
        <v>154</v>
      </c>
      <c r="J64" s="18" t="s">
        <v>154</v>
      </c>
      <c r="K64" s="17" t="s">
        <v>154</v>
      </c>
      <c r="L64" s="18" t="s">
        <v>154</v>
      </c>
      <c r="M64" s="17" t="s">
        <v>154</v>
      </c>
      <c r="N64" s="18" t="s">
        <v>154</v>
      </c>
      <c r="O64" s="17" t="s">
        <v>154</v>
      </c>
      <c r="P64" s="18" t="s">
        <v>154</v>
      </c>
      <c r="Q64" s="17" t="s">
        <v>154</v>
      </c>
      <c r="R64" s="18" t="s">
        <v>154</v>
      </c>
    </row>
    <row r="65" spans="1:18" x14ac:dyDescent="0.25">
      <c r="A65" s="11" t="s">
        <v>198</v>
      </c>
      <c r="B65" s="17" t="s">
        <v>154</v>
      </c>
      <c r="C65" s="17" t="s">
        <v>154</v>
      </c>
      <c r="D65" s="18" t="s">
        <v>154</v>
      </c>
      <c r="E65" s="17" t="s">
        <v>154</v>
      </c>
      <c r="F65" s="18" t="s">
        <v>154</v>
      </c>
      <c r="G65" s="17" t="s">
        <v>154</v>
      </c>
      <c r="H65" s="18" t="s">
        <v>154</v>
      </c>
      <c r="I65" s="17" t="s">
        <v>154</v>
      </c>
      <c r="J65" s="18" t="s">
        <v>154</v>
      </c>
      <c r="K65" s="17" t="s">
        <v>154</v>
      </c>
      <c r="L65" s="18" t="s">
        <v>154</v>
      </c>
      <c r="M65" s="17" t="s">
        <v>154</v>
      </c>
      <c r="N65" s="18" t="s">
        <v>154</v>
      </c>
      <c r="O65" s="17" t="s">
        <v>154</v>
      </c>
      <c r="P65" s="18" t="s">
        <v>154</v>
      </c>
      <c r="Q65" s="17" t="s">
        <v>154</v>
      </c>
      <c r="R65" s="18" t="s">
        <v>154</v>
      </c>
    </row>
    <row r="66" spans="1:18" x14ac:dyDescent="0.25">
      <c r="A66" s="11" t="s">
        <v>199</v>
      </c>
      <c r="B66" s="13">
        <v>5665</v>
      </c>
      <c r="C66" s="14">
        <f>(4694/B66*100)</f>
        <v>82.85966460723742</v>
      </c>
      <c r="D66" s="15">
        <v>971</v>
      </c>
      <c r="E66" s="14">
        <v>54.81176293</v>
      </c>
      <c r="F66" s="16">
        <v>1.63781785</v>
      </c>
      <c r="G66" s="14">
        <v>45.18823707</v>
      </c>
      <c r="H66" s="16">
        <v>1.63781785</v>
      </c>
      <c r="I66" s="14" t="s">
        <v>139</v>
      </c>
      <c r="J66" s="16" t="s">
        <v>139</v>
      </c>
      <c r="K66" s="14">
        <v>0</v>
      </c>
      <c r="L66" s="16">
        <v>0</v>
      </c>
      <c r="M66" s="14">
        <v>0</v>
      </c>
      <c r="N66" s="16">
        <v>0</v>
      </c>
      <c r="O66" s="14">
        <v>0</v>
      </c>
      <c r="P66" s="16">
        <v>0</v>
      </c>
      <c r="Q66" s="14">
        <v>0</v>
      </c>
      <c r="R66" s="16">
        <v>0</v>
      </c>
    </row>
    <row r="67" spans="1:18" x14ac:dyDescent="0.25">
      <c r="A67" s="11" t="s">
        <v>200</v>
      </c>
      <c r="B67" s="13">
        <v>6971</v>
      </c>
      <c r="C67" s="14">
        <f>(5816/B67*100)</f>
        <v>83.431358485152771</v>
      </c>
      <c r="D67" s="15">
        <v>1155</v>
      </c>
      <c r="E67" s="14">
        <v>55.83677788</v>
      </c>
      <c r="F67" s="16">
        <v>1.50833985</v>
      </c>
      <c r="G67" s="14">
        <v>44.16322212</v>
      </c>
      <c r="H67" s="16">
        <v>1.50833985</v>
      </c>
      <c r="I67" s="14" t="s">
        <v>139</v>
      </c>
      <c r="J67" s="16" t="s">
        <v>139</v>
      </c>
      <c r="K67" s="14">
        <v>0</v>
      </c>
      <c r="L67" s="16">
        <v>0</v>
      </c>
      <c r="M67" s="14">
        <v>0</v>
      </c>
      <c r="N67" s="16">
        <v>0</v>
      </c>
      <c r="O67" s="14">
        <v>0</v>
      </c>
      <c r="P67" s="16">
        <v>0</v>
      </c>
      <c r="Q67" s="14">
        <v>0</v>
      </c>
      <c r="R67" s="16">
        <v>0</v>
      </c>
    </row>
    <row r="68" spans="1:18" x14ac:dyDescent="0.25">
      <c r="A68" s="11" t="s">
        <v>201</v>
      </c>
      <c r="B68" s="17" t="s">
        <v>154</v>
      </c>
      <c r="C68" s="17" t="s">
        <v>154</v>
      </c>
      <c r="D68" s="18" t="s">
        <v>154</v>
      </c>
      <c r="E68" s="17" t="s">
        <v>154</v>
      </c>
      <c r="F68" s="18" t="s">
        <v>154</v>
      </c>
      <c r="G68" s="17" t="s">
        <v>154</v>
      </c>
      <c r="H68" s="18" t="s">
        <v>154</v>
      </c>
      <c r="I68" s="17" t="s">
        <v>154</v>
      </c>
      <c r="J68" s="18" t="s">
        <v>154</v>
      </c>
      <c r="K68" s="17" t="s">
        <v>154</v>
      </c>
      <c r="L68" s="18" t="s">
        <v>154</v>
      </c>
      <c r="M68" s="17" t="s">
        <v>154</v>
      </c>
      <c r="N68" s="18" t="s">
        <v>154</v>
      </c>
      <c r="O68" s="17" t="s">
        <v>154</v>
      </c>
      <c r="P68" s="18" t="s">
        <v>154</v>
      </c>
      <c r="Q68" s="17" t="s">
        <v>154</v>
      </c>
      <c r="R68" s="18" t="s">
        <v>154</v>
      </c>
    </row>
    <row r="69" spans="1:18" x14ac:dyDescent="0.25">
      <c r="A69" s="11" t="s">
        <v>202</v>
      </c>
      <c r="B69" s="17" t="s">
        <v>154</v>
      </c>
      <c r="C69" s="17" t="s">
        <v>154</v>
      </c>
      <c r="D69" s="18" t="s">
        <v>154</v>
      </c>
      <c r="E69" s="17" t="s">
        <v>154</v>
      </c>
      <c r="F69" s="18" t="s">
        <v>154</v>
      </c>
      <c r="G69" s="17" t="s">
        <v>154</v>
      </c>
      <c r="H69" s="18" t="s">
        <v>154</v>
      </c>
      <c r="I69" s="17" t="s">
        <v>154</v>
      </c>
      <c r="J69" s="18" t="s">
        <v>154</v>
      </c>
      <c r="K69" s="17" t="s">
        <v>154</v>
      </c>
      <c r="L69" s="18" t="s">
        <v>154</v>
      </c>
      <c r="M69" s="17" t="s">
        <v>154</v>
      </c>
      <c r="N69" s="18" t="s">
        <v>154</v>
      </c>
      <c r="O69" s="17" t="s">
        <v>154</v>
      </c>
      <c r="P69" s="18" t="s">
        <v>154</v>
      </c>
      <c r="Q69" s="17" t="s">
        <v>154</v>
      </c>
      <c r="R69" s="18" t="s">
        <v>154</v>
      </c>
    </row>
    <row r="70" spans="1:18" x14ac:dyDescent="0.25">
      <c r="A70" s="11" t="s">
        <v>203</v>
      </c>
      <c r="B70" s="13">
        <v>6036</v>
      </c>
      <c r="C70" s="14">
        <f>(4996/B70*100)</f>
        <v>82.770046388336652</v>
      </c>
      <c r="D70" s="15">
        <v>1040</v>
      </c>
      <c r="E70" s="14">
        <v>38.839889700000001</v>
      </c>
      <c r="F70" s="16">
        <v>1.3453204299999999</v>
      </c>
      <c r="G70" s="14">
        <v>61.160110299999999</v>
      </c>
      <c r="H70" s="16">
        <v>1.3453204299999999</v>
      </c>
      <c r="I70" s="14" t="s">
        <v>139</v>
      </c>
      <c r="J70" s="16" t="s">
        <v>139</v>
      </c>
      <c r="K70" s="14">
        <v>0</v>
      </c>
      <c r="L70" s="16">
        <v>0</v>
      </c>
      <c r="M70" s="14">
        <v>0</v>
      </c>
      <c r="N70" s="16">
        <v>0</v>
      </c>
      <c r="O70" s="14">
        <v>0</v>
      </c>
      <c r="P70" s="16">
        <v>0</v>
      </c>
      <c r="Q70" s="14">
        <v>0</v>
      </c>
      <c r="R70" s="16">
        <v>0</v>
      </c>
    </row>
    <row r="71" spans="1:18" x14ac:dyDescent="0.25">
      <c r="A71" s="11" t="s">
        <v>204</v>
      </c>
      <c r="B71" s="17" t="s">
        <v>154</v>
      </c>
      <c r="C71" s="17" t="s">
        <v>154</v>
      </c>
      <c r="D71" s="18" t="s">
        <v>154</v>
      </c>
      <c r="E71" s="17" t="s">
        <v>154</v>
      </c>
      <c r="F71" s="18" t="s">
        <v>154</v>
      </c>
      <c r="G71" s="17" t="s">
        <v>154</v>
      </c>
      <c r="H71" s="18" t="s">
        <v>154</v>
      </c>
      <c r="I71" s="17" t="s">
        <v>154</v>
      </c>
      <c r="J71" s="18" t="s">
        <v>154</v>
      </c>
      <c r="K71" s="17" t="s">
        <v>154</v>
      </c>
      <c r="L71" s="18" t="s">
        <v>154</v>
      </c>
      <c r="M71" s="17" t="s">
        <v>154</v>
      </c>
      <c r="N71" s="18" t="s">
        <v>154</v>
      </c>
      <c r="O71" s="17" t="s">
        <v>154</v>
      </c>
      <c r="P71" s="18" t="s">
        <v>154</v>
      </c>
      <c r="Q71" s="17" t="s">
        <v>154</v>
      </c>
      <c r="R71" s="18" t="s">
        <v>154</v>
      </c>
    </row>
    <row r="72" spans="1:18" x14ac:dyDescent="0.25">
      <c r="A72" s="11" t="s">
        <v>205</v>
      </c>
      <c r="B72" s="13">
        <v>7708</v>
      </c>
      <c r="C72" s="14">
        <f>(6389/B72*100)</f>
        <v>82.887908666320712</v>
      </c>
      <c r="D72" s="15">
        <v>1319</v>
      </c>
      <c r="E72" s="14">
        <v>34.572413670000003</v>
      </c>
      <c r="F72" s="16">
        <v>1.3532345299999999</v>
      </c>
      <c r="G72" s="14">
        <v>65.427586329999997</v>
      </c>
      <c r="H72" s="16">
        <v>1.3532345299999999</v>
      </c>
      <c r="I72" s="14" t="s">
        <v>139</v>
      </c>
      <c r="J72" s="16" t="s">
        <v>139</v>
      </c>
      <c r="K72" s="14">
        <v>0</v>
      </c>
      <c r="L72" s="16">
        <v>0</v>
      </c>
      <c r="M72" s="14">
        <v>0</v>
      </c>
      <c r="N72" s="16">
        <v>0</v>
      </c>
      <c r="O72" s="14">
        <v>0</v>
      </c>
      <c r="P72" s="16">
        <v>0</v>
      </c>
      <c r="Q72" s="14">
        <v>0</v>
      </c>
      <c r="R72" s="16">
        <v>0</v>
      </c>
    </row>
    <row r="73" spans="1:18" x14ac:dyDescent="0.25">
      <c r="A73" s="11" t="s">
        <v>206</v>
      </c>
      <c r="B73" s="13">
        <v>8249</v>
      </c>
      <c r="C73" s="14">
        <f>(6863/B73*100)</f>
        <v>83.197963389501766</v>
      </c>
      <c r="D73" s="15">
        <v>1386</v>
      </c>
      <c r="E73" s="14">
        <v>48.172842780000003</v>
      </c>
      <c r="F73" s="16">
        <v>1.59315385</v>
      </c>
      <c r="G73" s="14">
        <v>51.827157219999997</v>
      </c>
      <c r="H73" s="16">
        <v>1.59315385</v>
      </c>
      <c r="I73" s="14" t="s">
        <v>139</v>
      </c>
      <c r="J73" s="16" t="s">
        <v>139</v>
      </c>
      <c r="K73" s="14">
        <v>0</v>
      </c>
      <c r="L73" s="16">
        <v>0</v>
      </c>
      <c r="M73" s="14">
        <v>0</v>
      </c>
      <c r="N73" s="16">
        <v>0</v>
      </c>
      <c r="O73" s="14">
        <v>0</v>
      </c>
      <c r="P73" s="16">
        <v>0</v>
      </c>
      <c r="Q73" s="14">
        <v>0</v>
      </c>
      <c r="R73" s="16">
        <v>0</v>
      </c>
    </row>
    <row r="74" spans="1:18" x14ac:dyDescent="0.25">
      <c r="A74" s="11" t="s">
        <v>207</v>
      </c>
      <c r="B74" s="17" t="s">
        <v>154</v>
      </c>
      <c r="C74" s="17" t="s">
        <v>154</v>
      </c>
      <c r="D74" s="18" t="s">
        <v>154</v>
      </c>
      <c r="E74" s="17" t="s">
        <v>154</v>
      </c>
      <c r="F74" s="18" t="s">
        <v>154</v>
      </c>
      <c r="G74" s="17" t="s">
        <v>154</v>
      </c>
      <c r="H74" s="18" t="s">
        <v>154</v>
      </c>
      <c r="I74" s="17" t="s">
        <v>154</v>
      </c>
      <c r="J74" s="18" t="s">
        <v>154</v>
      </c>
      <c r="K74" s="17" t="s">
        <v>154</v>
      </c>
      <c r="L74" s="18" t="s">
        <v>154</v>
      </c>
      <c r="M74" s="17" t="s">
        <v>154</v>
      </c>
      <c r="N74" s="18" t="s">
        <v>154</v>
      </c>
      <c r="O74" s="17" t="s">
        <v>154</v>
      </c>
      <c r="P74" s="18" t="s">
        <v>154</v>
      </c>
      <c r="Q74" s="17" t="s">
        <v>154</v>
      </c>
      <c r="R74" s="18" t="s">
        <v>154</v>
      </c>
    </row>
    <row r="75" spans="1:18" x14ac:dyDescent="0.25">
      <c r="A75" s="11" t="s">
        <v>208</v>
      </c>
      <c r="B75" s="13">
        <v>5375</v>
      </c>
      <c r="C75" s="14">
        <f>(4484/B75*100)</f>
        <v>83.423255813953489</v>
      </c>
      <c r="D75" s="15">
        <v>891</v>
      </c>
      <c r="E75" s="14">
        <v>55.832887640000003</v>
      </c>
      <c r="F75" s="16">
        <v>1.9705759199999999</v>
      </c>
      <c r="G75" s="14">
        <v>44.167112359999997</v>
      </c>
      <c r="H75" s="16">
        <v>1.9705759199999999</v>
      </c>
      <c r="I75" s="14" t="s">
        <v>139</v>
      </c>
      <c r="J75" s="16" t="s">
        <v>139</v>
      </c>
      <c r="K75" s="14">
        <v>0</v>
      </c>
      <c r="L75" s="16">
        <v>0</v>
      </c>
      <c r="M75" s="14">
        <v>0</v>
      </c>
      <c r="N75" s="16">
        <v>0</v>
      </c>
      <c r="O75" s="14">
        <v>0</v>
      </c>
      <c r="P75" s="16">
        <v>0</v>
      </c>
      <c r="Q75" s="14">
        <v>0</v>
      </c>
      <c r="R75" s="16">
        <v>0</v>
      </c>
    </row>
    <row r="76" spans="1:18" x14ac:dyDescent="0.25">
      <c r="A76" s="11" t="s">
        <v>209</v>
      </c>
      <c r="B76" s="13">
        <v>14167</v>
      </c>
      <c r="C76" s="14">
        <f>(11779/B76*100)</f>
        <v>83.143926025270005</v>
      </c>
      <c r="D76" s="15">
        <v>2388</v>
      </c>
      <c r="E76" s="14">
        <v>48.060196310000002</v>
      </c>
      <c r="F76" s="16">
        <v>1.42055691</v>
      </c>
      <c r="G76" s="14">
        <v>51.939803689999998</v>
      </c>
      <c r="H76" s="16">
        <v>1.42055691</v>
      </c>
      <c r="I76" s="14" t="s">
        <v>139</v>
      </c>
      <c r="J76" s="16" t="s">
        <v>139</v>
      </c>
      <c r="K76" s="14">
        <v>0</v>
      </c>
      <c r="L76" s="16">
        <v>0</v>
      </c>
      <c r="M76" s="14">
        <v>0</v>
      </c>
      <c r="N76" s="16">
        <v>0</v>
      </c>
      <c r="O76" s="14">
        <v>0</v>
      </c>
      <c r="P76" s="16">
        <v>0</v>
      </c>
      <c r="Q76" s="14">
        <v>0</v>
      </c>
      <c r="R76" s="16">
        <v>0</v>
      </c>
    </row>
    <row r="77" spans="1:18" x14ac:dyDescent="0.25">
      <c r="A77" s="11" t="s">
        <v>210</v>
      </c>
      <c r="B77" s="13">
        <v>6062</v>
      </c>
      <c r="C77" s="14">
        <f>(4996/B77*100)</f>
        <v>82.415044539755854</v>
      </c>
      <c r="D77" s="15">
        <v>1066</v>
      </c>
      <c r="E77" s="14">
        <v>42.373685070000001</v>
      </c>
      <c r="F77" s="16">
        <v>1.5182707099999999</v>
      </c>
      <c r="G77" s="14">
        <v>57.626314929999999</v>
      </c>
      <c r="H77" s="16">
        <v>1.5182707099999999</v>
      </c>
      <c r="I77" s="14" t="s">
        <v>139</v>
      </c>
      <c r="J77" s="16" t="s">
        <v>139</v>
      </c>
      <c r="K77" s="14">
        <v>0</v>
      </c>
      <c r="L77" s="16">
        <v>0</v>
      </c>
      <c r="M77" s="14">
        <v>0</v>
      </c>
      <c r="N77" s="16">
        <v>0</v>
      </c>
      <c r="O77" s="14">
        <v>0</v>
      </c>
      <c r="P77" s="16">
        <v>0</v>
      </c>
      <c r="Q77" s="14">
        <v>0</v>
      </c>
      <c r="R77" s="16">
        <v>0</v>
      </c>
    </row>
    <row r="78" spans="1:18" x14ac:dyDescent="0.25">
      <c r="A78" s="11" t="s">
        <v>211</v>
      </c>
      <c r="B78" s="17" t="s">
        <v>154</v>
      </c>
      <c r="C78" s="17" t="s">
        <v>154</v>
      </c>
      <c r="D78" s="18" t="s">
        <v>154</v>
      </c>
      <c r="E78" s="17" t="s">
        <v>154</v>
      </c>
      <c r="F78" s="18" t="s">
        <v>154</v>
      </c>
      <c r="G78" s="17" t="s">
        <v>154</v>
      </c>
      <c r="H78" s="18" t="s">
        <v>154</v>
      </c>
      <c r="I78" s="17" t="s">
        <v>154</v>
      </c>
      <c r="J78" s="18" t="s">
        <v>154</v>
      </c>
      <c r="K78" s="17" t="s">
        <v>154</v>
      </c>
      <c r="L78" s="18" t="s">
        <v>154</v>
      </c>
      <c r="M78" s="17" t="s">
        <v>154</v>
      </c>
      <c r="N78" s="18" t="s">
        <v>154</v>
      </c>
      <c r="O78" s="17" t="s">
        <v>154</v>
      </c>
      <c r="P78" s="18" t="s">
        <v>154</v>
      </c>
      <c r="Q78" s="17" t="s">
        <v>154</v>
      </c>
      <c r="R78" s="18" t="s">
        <v>154</v>
      </c>
    </row>
    <row r="79" spans="1:18" ht="24.95" customHeight="1" x14ac:dyDescent="0.25">
      <c r="A79" s="11" t="s">
        <v>212</v>
      </c>
      <c r="B79" s="17" t="s">
        <v>154</v>
      </c>
      <c r="C79" s="17" t="s">
        <v>154</v>
      </c>
      <c r="D79" s="18" t="s">
        <v>154</v>
      </c>
      <c r="E79" s="17" t="s">
        <v>154</v>
      </c>
      <c r="F79" s="18" t="s">
        <v>154</v>
      </c>
      <c r="G79" s="17" t="s">
        <v>154</v>
      </c>
      <c r="H79" s="18" t="s">
        <v>154</v>
      </c>
      <c r="I79" s="17" t="s">
        <v>154</v>
      </c>
      <c r="J79" s="18" t="s">
        <v>154</v>
      </c>
      <c r="K79" s="17" t="s">
        <v>154</v>
      </c>
      <c r="L79" s="18" t="s">
        <v>154</v>
      </c>
      <c r="M79" s="17" t="s">
        <v>154</v>
      </c>
      <c r="N79" s="18" t="s">
        <v>154</v>
      </c>
      <c r="O79" s="17" t="s">
        <v>154</v>
      </c>
      <c r="P79" s="18" t="s">
        <v>154</v>
      </c>
      <c r="Q79" s="17" t="s">
        <v>154</v>
      </c>
      <c r="R79" s="18" t="s">
        <v>154</v>
      </c>
    </row>
    <row r="80" spans="1:18" x14ac:dyDescent="0.25">
      <c r="A80" s="11" t="s">
        <v>213</v>
      </c>
      <c r="B80" s="17" t="s">
        <v>154</v>
      </c>
      <c r="C80" s="17" t="s">
        <v>154</v>
      </c>
      <c r="D80" s="18" t="s">
        <v>154</v>
      </c>
      <c r="E80" s="17" t="s">
        <v>154</v>
      </c>
      <c r="F80" s="18" t="s">
        <v>154</v>
      </c>
      <c r="G80" s="17" t="s">
        <v>154</v>
      </c>
      <c r="H80" s="18" t="s">
        <v>154</v>
      </c>
      <c r="I80" s="17" t="s">
        <v>154</v>
      </c>
      <c r="J80" s="18" t="s">
        <v>154</v>
      </c>
      <c r="K80" s="17" t="s">
        <v>154</v>
      </c>
      <c r="L80" s="18" t="s">
        <v>154</v>
      </c>
      <c r="M80" s="17" t="s">
        <v>154</v>
      </c>
      <c r="N80" s="18" t="s">
        <v>154</v>
      </c>
      <c r="O80" s="17" t="s">
        <v>154</v>
      </c>
      <c r="P80" s="18" t="s">
        <v>154</v>
      </c>
      <c r="Q80" s="17" t="s">
        <v>154</v>
      </c>
      <c r="R80" s="18" t="s">
        <v>154</v>
      </c>
    </row>
    <row r="81" spans="1:18" x14ac:dyDescent="0.25">
      <c r="A81" s="19" t="s">
        <v>214</v>
      </c>
      <c r="B81" s="13">
        <v>8861</v>
      </c>
      <c r="C81" s="14">
        <f>(7310/B81*100)</f>
        <v>82.49633224241056</v>
      </c>
      <c r="D81" s="15">
        <v>1551</v>
      </c>
      <c r="E81" s="14">
        <v>54.188958530000001</v>
      </c>
      <c r="F81" s="16">
        <v>1.7891102800000001</v>
      </c>
      <c r="G81" s="14">
        <v>45.811041469999999</v>
      </c>
      <c r="H81" s="16">
        <v>1.7891102800000001</v>
      </c>
      <c r="I81" s="14" t="s">
        <v>139</v>
      </c>
      <c r="J81" s="16" t="s">
        <v>139</v>
      </c>
      <c r="K81" s="14">
        <v>0</v>
      </c>
      <c r="L81" s="16">
        <v>0</v>
      </c>
      <c r="M81" s="14">
        <v>0</v>
      </c>
      <c r="N81" s="16">
        <v>0</v>
      </c>
      <c r="O81" s="14">
        <v>0</v>
      </c>
      <c r="P81" s="16">
        <v>0</v>
      </c>
      <c r="Q81" s="14">
        <v>0</v>
      </c>
      <c r="R81" s="16">
        <v>0</v>
      </c>
    </row>
    <row r="82" spans="1:18" x14ac:dyDescent="0.25">
      <c r="A82" s="20"/>
      <c r="B82" s="20" t="s">
        <v>215</v>
      </c>
      <c r="C82" s="20" t="s">
        <v>215</v>
      </c>
      <c r="D82" s="20" t="s">
        <v>215</v>
      </c>
      <c r="E82" s="20" t="s">
        <v>215</v>
      </c>
      <c r="F82" s="20" t="s">
        <v>215</v>
      </c>
      <c r="G82" s="20" t="s">
        <v>215</v>
      </c>
      <c r="H82" s="20" t="s">
        <v>215</v>
      </c>
      <c r="I82" s="20" t="s">
        <v>215</v>
      </c>
      <c r="J82" s="20" t="s">
        <v>215</v>
      </c>
      <c r="K82" s="20" t="s">
        <v>215</v>
      </c>
      <c r="L82" s="20" t="s">
        <v>215</v>
      </c>
      <c r="M82" s="20" t="s">
        <v>215</v>
      </c>
      <c r="N82" s="20" t="s">
        <v>215</v>
      </c>
      <c r="O82" s="20" t="s">
        <v>215</v>
      </c>
      <c r="P82" s="20" t="s">
        <v>215</v>
      </c>
      <c r="Q82" s="20" t="s">
        <v>215</v>
      </c>
      <c r="R82" s="20" t="s">
        <v>215</v>
      </c>
    </row>
    <row r="83" spans="1:18" x14ac:dyDescent="0.25">
      <c r="A83" s="3" t="s">
        <v>216</v>
      </c>
    </row>
    <row r="84" spans="1:18" x14ac:dyDescent="0.25">
      <c r="A84" s="22" t="s">
        <v>217</v>
      </c>
      <c r="B84" s="23"/>
      <c r="C84" s="23"/>
      <c r="D84" s="23"/>
      <c r="E84" s="23"/>
      <c r="F84" s="23"/>
      <c r="G84" s="23"/>
      <c r="H84" s="23"/>
      <c r="I84" s="23"/>
      <c r="J84" s="23"/>
      <c r="K84" s="23"/>
      <c r="L84" s="23"/>
      <c r="M84" s="23"/>
      <c r="N84" s="23"/>
      <c r="O84" s="23"/>
      <c r="P84" s="23"/>
      <c r="Q84" s="23"/>
      <c r="R84" s="23"/>
    </row>
    <row r="85" spans="1:18" x14ac:dyDescent="0.25">
      <c r="A85" s="22" t="s">
        <v>218</v>
      </c>
      <c r="B85" s="23"/>
      <c r="C85" s="23"/>
      <c r="D85" s="23"/>
      <c r="E85" s="23"/>
      <c r="F85" s="23"/>
      <c r="G85" s="23"/>
      <c r="H85" s="23"/>
      <c r="I85" s="23"/>
      <c r="J85" s="23"/>
      <c r="K85" s="23"/>
      <c r="L85" s="23"/>
      <c r="M85" s="23"/>
      <c r="N85" s="23"/>
      <c r="O85" s="23"/>
      <c r="P85" s="23"/>
      <c r="Q85" s="23"/>
      <c r="R85" s="23"/>
    </row>
    <row r="86" spans="1:18" ht="30" customHeight="1" x14ac:dyDescent="0.25">
      <c r="A86" s="22" t="s">
        <v>219</v>
      </c>
      <c r="B86" s="23"/>
      <c r="C86" s="23"/>
      <c r="D86" s="23"/>
      <c r="E86" s="23"/>
      <c r="F86" s="23"/>
      <c r="G86" s="23"/>
      <c r="H86" s="23"/>
      <c r="I86" s="23"/>
      <c r="J86" s="23"/>
      <c r="K86" s="23"/>
      <c r="L86" s="23"/>
      <c r="M86" s="23"/>
      <c r="N86" s="23"/>
      <c r="O86" s="23"/>
      <c r="P86" s="23"/>
      <c r="Q86" s="23"/>
      <c r="R86" s="23"/>
    </row>
    <row r="87" spans="1:18" ht="30" customHeight="1" x14ac:dyDescent="0.25">
      <c r="A87" s="22" t="s">
        <v>215</v>
      </c>
      <c r="B87" s="23"/>
      <c r="C87" s="23"/>
      <c r="D87" s="23"/>
      <c r="E87" s="23"/>
      <c r="F87" s="23"/>
      <c r="G87" s="23"/>
      <c r="H87" s="23"/>
      <c r="I87" s="23"/>
      <c r="J87" s="23"/>
      <c r="K87" s="23"/>
      <c r="L87" s="23"/>
      <c r="M87" s="23"/>
      <c r="N87" s="23"/>
      <c r="O87" s="23"/>
      <c r="P87" s="23"/>
      <c r="Q87" s="23"/>
      <c r="R87" s="23"/>
    </row>
    <row r="88" spans="1:18" ht="30" customHeight="1" x14ac:dyDescent="0.25">
      <c r="A88" s="22" t="s">
        <v>220</v>
      </c>
      <c r="B88" s="23"/>
      <c r="C88" s="23"/>
      <c r="D88" s="23"/>
      <c r="E88" s="23"/>
      <c r="F88" s="23"/>
      <c r="G88" s="23"/>
      <c r="H88" s="23"/>
      <c r="I88" s="23"/>
      <c r="J88" s="23"/>
      <c r="K88" s="23"/>
      <c r="L88" s="23"/>
      <c r="M88" s="23"/>
      <c r="N88" s="23"/>
      <c r="O88" s="23"/>
      <c r="P88" s="23"/>
      <c r="Q88" s="23"/>
      <c r="R88" s="23"/>
    </row>
    <row r="89" spans="1:18" ht="30" customHeight="1" x14ac:dyDescent="0.25">
      <c r="A89" s="22" t="s">
        <v>221</v>
      </c>
      <c r="B89" s="23"/>
      <c r="C89" s="23"/>
      <c r="D89" s="23"/>
      <c r="E89" s="23"/>
      <c r="F89" s="23"/>
      <c r="G89" s="23"/>
      <c r="H89" s="23"/>
      <c r="I89" s="23"/>
      <c r="J89" s="23"/>
      <c r="K89" s="23"/>
      <c r="L89" s="23"/>
      <c r="M89" s="23"/>
      <c r="N89" s="23"/>
      <c r="O89" s="23"/>
      <c r="P89" s="23"/>
      <c r="Q89" s="23"/>
      <c r="R89" s="23"/>
    </row>
    <row r="90" spans="1:18" ht="30" customHeight="1" x14ac:dyDescent="0.25">
      <c r="A90" s="22" t="s">
        <v>222</v>
      </c>
      <c r="B90" s="23"/>
      <c r="C90" s="23"/>
      <c r="D90" s="23"/>
      <c r="E90" s="23"/>
      <c r="F90" s="23"/>
      <c r="G90" s="23"/>
      <c r="H90" s="23"/>
      <c r="I90" s="23"/>
      <c r="J90" s="23"/>
      <c r="K90" s="23"/>
      <c r="L90" s="23"/>
      <c r="M90" s="23"/>
      <c r="N90" s="23"/>
      <c r="O90" s="23"/>
      <c r="P90" s="23"/>
      <c r="Q90" s="23"/>
      <c r="R90" s="23"/>
    </row>
    <row r="91" spans="1:18" ht="30" customHeight="1" x14ac:dyDescent="0.25">
      <c r="A91" s="22" t="s">
        <v>223</v>
      </c>
      <c r="B91" s="23"/>
      <c r="C91" s="23"/>
      <c r="D91" s="23"/>
      <c r="E91" s="23"/>
      <c r="F91" s="23"/>
      <c r="G91" s="23"/>
      <c r="H91" s="23"/>
      <c r="I91" s="23"/>
      <c r="J91" s="23"/>
      <c r="K91" s="23"/>
      <c r="L91" s="23"/>
      <c r="M91" s="23"/>
      <c r="N91" s="23"/>
      <c r="O91" s="23"/>
      <c r="P91" s="23"/>
      <c r="Q91" s="23"/>
      <c r="R91" s="23"/>
    </row>
    <row r="92" spans="1:18" ht="30" customHeight="1" x14ac:dyDescent="0.25">
      <c r="A92" s="22" t="s">
        <v>224</v>
      </c>
      <c r="B92" s="23"/>
      <c r="C92" s="23"/>
      <c r="D92" s="23"/>
      <c r="E92" s="23"/>
      <c r="F92" s="23"/>
      <c r="G92" s="23"/>
      <c r="H92" s="23"/>
      <c r="I92" s="23"/>
      <c r="J92" s="23"/>
      <c r="K92" s="23"/>
      <c r="L92" s="23"/>
      <c r="M92" s="23"/>
      <c r="N92" s="23"/>
      <c r="O92" s="23"/>
      <c r="P92" s="23"/>
      <c r="Q92" s="23"/>
      <c r="R92" s="23"/>
    </row>
    <row r="93" spans="1:18" ht="30" customHeight="1" x14ac:dyDescent="0.25">
      <c r="A93" s="22" t="s">
        <v>225</v>
      </c>
      <c r="B93" s="23"/>
      <c r="C93" s="23"/>
      <c r="D93" s="23"/>
      <c r="E93" s="23"/>
      <c r="F93" s="23"/>
      <c r="G93" s="23"/>
      <c r="H93" s="23"/>
      <c r="I93" s="23"/>
      <c r="J93" s="23"/>
      <c r="K93" s="23"/>
      <c r="L93" s="23"/>
      <c r="M93" s="23"/>
      <c r="N93" s="23"/>
      <c r="O93" s="23"/>
      <c r="P93" s="23"/>
      <c r="Q93" s="23"/>
      <c r="R93" s="23"/>
    </row>
    <row r="94" spans="1:18" ht="30" customHeight="1" x14ac:dyDescent="0.25">
      <c r="A94" s="22" t="s">
        <v>226</v>
      </c>
      <c r="B94" s="23"/>
      <c r="C94" s="23"/>
      <c r="D94" s="23"/>
      <c r="E94" s="23"/>
      <c r="F94" s="23"/>
      <c r="G94" s="23"/>
      <c r="H94" s="23"/>
      <c r="I94" s="23"/>
      <c r="J94" s="23"/>
      <c r="K94" s="23"/>
      <c r="L94" s="23"/>
      <c r="M94" s="23"/>
      <c r="N94" s="23"/>
      <c r="O94" s="23"/>
      <c r="P94" s="23"/>
      <c r="Q94" s="23"/>
      <c r="R94" s="23"/>
    </row>
    <row r="95" spans="1:18" ht="30" customHeight="1" x14ac:dyDescent="0.25">
      <c r="A95" s="22" t="s">
        <v>227</v>
      </c>
      <c r="B95" s="23"/>
      <c r="C95" s="23"/>
      <c r="D95" s="23"/>
      <c r="E95" s="23"/>
      <c r="F95" s="23"/>
      <c r="G95" s="23"/>
      <c r="H95" s="23"/>
      <c r="I95" s="23"/>
      <c r="J95" s="23"/>
      <c r="K95" s="23"/>
      <c r="L95" s="23"/>
      <c r="M95" s="23"/>
      <c r="N95" s="23"/>
      <c r="O95" s="23"/>
      <c r="P95" s="23"/>
      <c r="Q95" s="23"/>
      <c r="R95" s="23"/>
    </row>
    <row r="96" spans="1:18" ht="30" customHeight="1" x14ac:dyDescent="0.25">
      <c r="A96" s="22" t="s">
        <v>228</v>
      </c>
      <c r="B96" s="23"/>
      <c r="C96" s="23"/>
      <c r="D96" s="23"/>
      <c r="E96" s="23"/>
      <c r="F96" s="23"/>
      <c r="G96" s="23"/>
      <c r="H96" s="23"/>
      <c r="I96" s="23"/>
      <c r="J96" s="23"/>
      <c r="K96" s="23"/>
      <c r="L96" s="23"/>
      <c r="M96" s="23"/>
      <c r="N96" s="23"/>
      <c r="O96" s="23"/>
      <c r="P96" s="23"/>
      <c r="Q96" s="23"/>
      <c r="R96" s="23"/>
    </row>
  </sheetData>
  <mergeCells count="22">
    <mergeCell ref="O4:P4"/>
    <mergeCell ref="Q4:R4"/>
    <mergeCell ref="A1:R1"/>
    <mergeCell ref="A2:R2"/>
    <mergeCell ref="A84:R84"/>
    <mergeCell ref="E4:F4"/>
    <mergeCell ref="G4:H4"/>
    <mergeCell ref="I4:J4"/>
    <mergeCell ref="K4:L4"/>
    <mergeCell ref="M4:N4"/>
    <mergeCell ref="A85:R85"/>
    <mergeCell ref="A86:R86"/>
    <mergeCell ref="A87:R87"/>
    <mergeCell ref="A88:R88"/>
    <mergeCell ref="A89:R89"/>
    <mergeCell ref="A95:R95"/>
    <mergeCell ref="A96:R96"/>
    <mergeCell ref="A90:R90"/>
    <mergeCell ref="A91:R91"/>
    <mergeCell ref="A92:R92"/>
    <mergeCell ref="A93:R93"/>
    <mergeCell ref="A94:R94"/>
  </mergeCells>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R96"/>
  <sheetViews>
    <sheetView zoomScale="80" workbookViewId="0">
      <pane xSplit="4" topLeftCell="E1" activePane="topRight" state="frozen"/>
      <selection sqref="A1:R1"/>
      <selection pane="topRight" sqref="A1:R1"/>
    </sheetView>
  </sheetViews>
  <sheetFormatPr defaultColWidth="11.42578125" defaultRowHeight="15" x14ac:dyDescent="0.25"/>
  <cols>
    <col min="1" max="1" width="50" customWidth="1"/>
  </cols>
  <sheetData>
    <row r="1" spans="1:18" x14ac:dyDescent="0.25">
      <c r="A1" s="26" t="s">
        <v>122</v>
      </c>
      <c r="B1" s="23"/>
      <c r="C1" s="23"/>
      <c r="D1" s="23"/>
      <c r="E1" s="23"/>
      <c r="F1" s="23"/>
      <c r="G1" s="23"/>
      <c r="H1" s="23"/>
      <c r="I1" s="23"/>
      <c r="J1" s="23"/>
      <c r="K1" s="23"/>
      <c r="L1" s="23"/>
      <c r="M1" s="23"/>
      <c r="N1" s="23"/>
      <c r="O1" s="23"/>
      <c r="P1" s="23"/>
      <c r="Q1" s="23"/>
      <c r="R1" s="23"/>
    </row>
    <row r="2" spans="1:18" x14ac:dyDescent="0.25">
      <c r="A2" s="27" t="s">
        <v>242</v>
      </c>
      <c r="B2" s="23"/>
      <c r="C2" s="23"/>
      <c r="D2" s="23"/>
      <c r="E2" s="23"/>
      <c r="F2" s="23"/>
      <c r="G2" s="23"/>
      <c r="H2" s="23"/>
      <c r="I2" s="23"/>
      <c r="J2" s="23"/>
      <c r="K2" s="23"/>
      <c r="L2" s="23"/>
      <c r="M2" s="23"/>
      <c r="N2" s="23"/>
      <c r="O2" s="23"/>
      <c r="P2" s="23"/>
      <c r="Q2" s="23"/>
      <c r="R2" s="23"/>
    </row>
    <row r="4" spans="1:18" ht="30" customHeight="1" x14ac:dyDescent="0.25">
      <c r="A4" s="4"/>
      <c r="B4" s="5" t="s">
        <v>123</v>
      </c>
      <c r="C4" s="5" t="s">
        <v>124</v>
      </c>
      <c r="D4" s="6" t="s">
        <v>123</v>
      </c>
      <c r="E4" s="24" t="s">
        <v>125</v>
      </c>
      <c r="F4" s="25"/>
      <c r="G4" s="24" t="s">
        <v>126</v>
      </c>
      <c r="H4" s="25"/>
      <c r="I4" s="24" t="s">
        <v>127</v>
      </c>
      <c r="J4" s="25"/>
      <c r="K4" s="24" t="s">
        <v>128</v>
      </c>
      <c r="L4" s="25"/>
      <c r="M4" s="24" t="s">
        <v>129</v>
      </c>
      <c r="N4" s="25"/>
      <c r="O4" s="24" t="s">
        <v>130</v>
      </c>
      <c r="P4" s="25"/>
      <c r="Q4" s="24" t="s">
        <v>131</v>
      </c>
      <c r="R4" s="25"/>
    </row>
    <row r="5" spans="1:18" x14ac:dyDescent="0.25">
      <c r="A5" s="7"/>
      <c r="B5" s="8" t="s">
        <v>132</v>
      </c>
      <c r="C5" s="8" t="s">
        <v>133</v>
      </c>
      <c r="D5" s="7" t="s">
        <v>134</v>
      </c>
      <c r="E5" s="8" t="s">
        <v>135</v>
      </c>
      <c r="F5" s="7" t="s">
        <v>136</v>
      </c>
      <c r="G5" s="8" t="s">
        <v>135</v>
      </c>
      <c r="H5" s="7" t="s">
        <v>136</v>
      </c>
      <c r="I5" s="8" t="s">
        <v>135</v>
      </c>
      <c r="J5" s="7" t="s">
        <v>136</v>
      </c>
      <c r="K5" s="8" t="s">
        <v>135</v>
      </c>
      <c r="L5" s="7" t="s">
        <v>136</v>
      </c>
      <c r="M5" s="8" t="s">
        <v>135</v>
      </c>
      <c r="N5" s="7" t="s">
        <v>136</v>
      </c>
      <c r="O5" s="8" t="s">
        <v>135</v>
      </c>
      <c r="P5" s="7" t="s">
        <v>136</v>
      </c>
      <c r="Q5" s="8" t="s">
        <v>135</v>
      </c>
      <c r="R5" s="7" t="s">
        <v>136</v>
      </c>
    </row>
    <row r="6" spans="1:18" x14ac:dyDescent="0.25">
      <c r="A6" s="9" t="s">
        <v>137</v>
      </c>
      <c r="B6" s="10"/>
      <c r="C6" s="10"/>
      <c r="D6" s="11"/>
      <c r="E6" s="10"/>
      <c r="F6" s="11"/>
      <c r="G6" s="10"/>
      <c r="H6" s="11"/>
      <c r="I6" s="10"/>
      <c r="J6" s="11"/>
      <c r="K6" s="10"/>
      <c r="L6" s="11"/>
      <c r="M6" s="10"/>
      <c r="N6" s="11"/>
      <c r="O6" s="10"/>
      <c r="P6" s="11"/>
      <c r="Q6" s="10"/>
      <c r="R6" s="12"/>
    </row>
    <row r="7" spans="1:18" x14ac:dyDescent="0.25">
      <c r="A7" s="11" t="s">
        <v>138</v>
      </c>
      <c r="B7" s="13">
        <v>14530</v>
      </c>
      <c r="C7" s="14">
        <f>(12068/B7*100)</f>
        <v>83.055746730901575</v>
      </c>
      <c r="D7" s="15">
        <v>2462</v>
      </c>
      <c r="E7" s="14">
        <v>33.917209219999997</v>
      </c>
      <c r="F7" s="16">
        <v>1.20869918</v>
      </c>
      <c r="G7" s="14">
        <v>66.082790779999996</v>
      </c>
      <c r="H7" s="16">
        <v>1.20869918</v>
      </c>
      <c r="I7" s="14" t="s">
        <v>139</v>
      </c>
      <c r="J7" s="16" t="s">
        <v>139</v>
      </c>
      <c r="K7" s="14">
        <v>0</v>
      </c>
      <c r="L7" s="16">
        <v>0</v>
      </c>
      <c r="M7" s="14">
        <v>0</v>
      </c>
      <c r="N7" s="16">
        <v>0</v>
      </c>
      <c r="O7" s="14">
        <v>0</v>
      </c>
      <c r="P7" s="16">
        <v>0</v>
      </c>
      <c r="Q7" s="14">
        <v>0</v>
      </c>
      <c r="R7" s="16">
        <v>0</v>
      </c>
    </row>
    <row r="8" spans="1:18" x14ac:dyDescent="0.25">
      <c r="A8" s="11" t="s">
        <v>140</v>
      </c>
      <c r="B8" s="13">
        <v>7007</v>
      </c>
      <c r="C8" s="14">
        <f>(5791/B8*100)</f>
        <v>82.645925503068369</v>
      </c>
      <c r="D8" s="15">
        <v>1216</v>
      </c>
      <c r="E8" s="14">
        <v>31.578915210000002</v>
      </c>
      <c r="F8" s="16">
        <v>1.53708062</v>
      </c>
      <c r="G8" s="14">
        <v>68.421084789999995</v>
      </c>
      <c r="H8" s="16">
        <v>1.53708062</v>
      </c>
      <c r="I8" s="14" t="s">
        <v>139</v>
      </c>
      <c r="J8" s="16" t="s">
        <v>139</v>
      </c>
      <c r="K8" s="14">
        <v>0</v>
      </c>
      <c r="L8" s="16">
        <v>0</v>
      </c>
      <c r="M8" s="14">
        <v>0</v>
      </c>
      <c r="N8" s="16">
        <v>0</v>
      </c>
      <c r="O8" s="14">
        <v>0</v>
      </c>
      <c r="P8" s="16">
        <v>0</v>
      </c>
      <c r="Q8" s="14">
        <v>0</v>
      </c>
      <c r="R8" s="16">
        <v>0</v>
      </c>
    </row>
    <row r="9" spans="1:18" x14ac:dyDescent="0.25">
      <c r="A9" s="11" t="s">
        <v>141</v>
      </c>
      <c r="B9" s="13">
        <v>9651</v>
      </c>
      <c r="C9" s="14">
        <f>(8036/B9*100)</f>
        <v>83.265982799709874</v>
      </c>
      <c r="D9" s="15">
        <v>1615</v>
      </c>
      <c r="E9" s="14">
        <v>33.90920715</v>
      </c>
      <c r="F9" s="16">
        <v>1.19521046</v>
      </c>
      <c r="G9" s="14">
        <v>66.09079285</v>
      </c>
      <c r="H9" s="16">
        <v>1.19521046</v>
      </c>
      <c r="I9" s="14" t="s">
        <v>139</v>
      </c>
      <c r="J9" s="16" t="s">
        <v>139</v>
      </c>
      <c r="K9" s="14">
        <v>0</v>
      </c>
      <c r="L9" s="16">
        <v>0</v>
      </c>
      <c r="M9" s="14">
        <v>0</v>
      </c>
      <c r="N9" s="16">
        <v>0</v>
      </c>
      <c r="O9" s="14">
        <v>0</v>
      </c>
      <c r="P9" s="16">
        <v>0</v>
      </c>
      <c r="Q9" s="14">
        <v>0</v>
      </c>
      <c r="R9" s="16">
        <v>0</v>
      </c>
    </row>
    <row r="10" spans="1:18" x14ac:dyDescent="0.25">
      <c r="A10" s="11" t="s">
        <v>142</v>
      </c>
      <c r="B10" s="13">
        <v>20058</v>
      </c>
      <c r="C10" s="14">
        <f>(16593/B10*100)</f>
        <v>82.725097218067603</v>
      </c>
      <c r="D10" s="15">
        <v>3465</v>
      </c>
      <c r="E10" s="14">
        <v>33.064633309999998</v>
      </c>
      <c r="F10" s="16">
        <v>0.95756622999999996</v>
      </c>
      <c r="G10" s="14">
        <v>66.935366689999995</v>
      </c>
      <c r="H10" s="16">
        <v>0.95756622999999996</v>
      </c>
      <c r="I10" s="14" t="s">
        <v>139</v>
      </c>
      <c r="J10" s="16" t="s">
        <v>139</v>
      </c>
      <c r="K10" s="14">
        <v>0</v>
      </c>
      <c r="L10" s="16">
        <v>0</v>
      </c>
      <c r="M10" s="14">
        <v>0</v>
      </c>
      <c r="N10" s="16">
        <v>0</v>
      </c>
      <c r="O10" s="14">
        <v>0</v>
      </c>
      <c r="P10" s="16">
        <v>0</v>
      </c>
      <c r="Q10" s="14">
        <v>0</v>
      </c>
      <c r="R10" s="16">
        <v>0</v>
      </c>
    </row>
    <row r="11" spans="1:18" x14ac:dyDescent="0.25">
      <c r="A11" s="11" t="s">
        <v>143</v>
      </c>
      <c r="B11" s="13">
        <v>7053</v>
      </c>
      <c r="C11" s="14">
        <f>(5831/B11*100)</f>
        <v>82.674039415851411</v>
      </c>
      <c r="D11" s="15">
        <v>1222</v>
      </c>
      <c r="E11" s="14">
        <v>53.401774209999999</v>
      </c>
      <c r="F11" s="16">
        <v>1.56500145</v>
      </c>
      <c r="G11" s="14">
        <v>46.598225790000001</v>
      </c>
      <c r="H11" s="16">
        <v>1.56500145</v>
      </c>
      <c r="I11" s="14" t="s">
        <v>139</v>
      </c>
      <c r="J11" s="16" t="s">
        <v>139</v>
      </c>
      <c r="K11" s="14">
        <v>0</v>
      </c>
      <c r="L11" s="16">
        <v>0</v>
      </c>
      <c r="M11" s="14">
        <v>0</v>
      </c>
      <c r="N11" s="16">
        <v>0</v>
      </c>
      <c r="O11" s="14">
        <v>0</v>
      </c>
      <c r="P11" s="16">
        <v>0</v>
      </c>
      <c r="Q11" s="14">
        <v>0</v>
      </c>
      <c r="R11" s="16">
        <v>0</v>
      </c>
    </row>
    <row r="12" spans="1:18" x14ac:dyDescent="0.25">
      <c r="A12" s="11" t="s">
        <v>144</v>
      </c>
      <c r="B12" s="13">
        <v>6894</v>
      </c>
      <c r="C12" s="14">
        <f>(5714/B12*100)</f>
        <v>82.883666956774007</v>
      </c>
      <c r="D12" s="15">
        <v>1180</v>
      </c>
      <c r="E12" s="14">
        <v>36.505371879999998</v>
      </c>
      <c r="F12" s="16">
        <v>1.88105627</v>
      </c>
      <c r="G12" s="14">
        <v>63.494628120000002</v>
      </c>
      <c r="H12" s="16">
        <v>1.88105627</v>
      </c>
      <c r="I12" s="14" t="s">
        <v>139</v>
      </c>
      <c r="J12" s="16" t="s">
        <v>139</v>
      </c>
      <c r="K12" s="14">
        <v>0</v>
      </c>
      <c r="L12" s="16">
        <v>0</v>
      </c>
      <c r="M12" s="14">
        <v>0</v>
      </c>
      <c r="N12" s="16">
        <v>0</v>
      </c>
      <c r="O12" s="14">
        <v>0</v>
      </c>
      <c r="P12" s="16">
        <v>0</v>
      </c>
      <c r="Q12" s="14">
        <v>0</v>
      </c>
      <c r="R12" s="16">
        <v>0</v>
      </c>
    </row>
    <row r="13" spans="1:18" x14ac:dyDescent="0.25">
      <c r="A13" s="11" t="s">
        <v>145</v>
      </c>
      <c r="B13" s="13">
        <v>7161</v>
      </c>
      <c r="C13" s="14">
        <f>(5991/B13*100)</f>
        <v>83.661499790532048</v>
      </c>
      <c r="D13" s="15">
        <v>1170</v>
      </c>
      <c r="E13" s="14">
        <v>30.949874130000001</v>
      </c>
      <c r="F13" s="16">
        <v>1.71127312</v>
      </c>
      <c r="G13" s="14">
        <v>69.050125870000002</v>
      </c>
      <c r="H13" s="16">
        <v>1.71127312</v>
      </c>
      <c r="I13" s="14" t="s">
        <v>139</v>
      </c>
      <c r="J13" s="16" t="s">
        <v>139</v>
      </c>
      <c r="K13" s="14">
        <v>0</v>
      </c>
      <c r="L13" s="16">
        <v>0</v>
      </c>
      <c r="M13" s="14">
        <v>0</v>
      </c>
      <c r="N13" s="16">
        <v>0</v>
      </c>
      <c r="O13" s="14">
        <v>0</v>
      </c>
      <c r="P13" s="16">
        <v>0</v>
      </c>
      <c r="Q13" s="14">
        <v>0</v>
      </c>
      <c r="R13" s="16">
        <v>0</v>
      </c>
    </row>
    <row r="14" spans="1:18" x14ac:dyDescent="0.25">
      <c r="A14" s="11" t="s">
        <v>146</v>
      </c>
      <c r="B14" s="13">
        <v>5587</v>
      </c>
      <c r="C14" s="14">
        <f>(4628/B14*100)</f>
        <v>82.835153033828533</v>
      </c>
      <c r="D14" s="15">
        <v>959</v>
      </c>
      <c r="E14" s="14">
        <v>31.271104050000002</v>
      </c>
      <c r="F14" s="16">
        <v>1.71021293</v>
      </c>
      <c r="G14" s="14">
        <v>68.728895949999995</v>
      </c>
      <c r="H14" s="16">
        <v>1.71021293</v>
      </c>
      <c r="I14" s="14" t="s">
        <v>139</v>
      </c>
      <c r="J14" s="16" t="s">
        <v>139</v>
      </c>
      <c r="K14" s="14">
        <v>0</v>
      </c>
      <c r="L14" s="16">
        <v>0</v>
      </c>
      <c r="M14" s="14">
        <v>0</v>
      </c>
      <c r="N14" s="16">
        <v>0</v>
      </c>
      <c r="O14" s="14">
        <v>0</v>
      </c>
      <c r="P14" s="16">
        <v>0</v>
      </c>
      <c r="Q14" s="14">
        <v>0</v>
      </c>
      <c r="R14" s="16">
        <v>0</v>
      </c>
    </row>
    <row r="15" spans="1:18" x14ac:dyDescent="0.25">
      <c r="A15" s="11" t="s">
        <v>147</v>
      </c>
      <c r="B15" s="13">
        <v>5882</v>
      </c>
      <c r="C15" s="14">
        <f>(4902/B15*100)</f>
        <v>83.339000340020391</v>
      </c>
      <c r="D15" s="15">
        <v>980</v>
      </c>
      <c r="E15" s="14">
        <v>29.184445830000001</v>
      </c>
      <c r="F15" s="16">
        <v>1.73647543</v>
      </c>
      <c r="G15" s="14">
        <v>70.815554169999999</v>
      </c>
      <c r="H15" s="16">
        <v>1.73647543</v>
      </c>
      <c r="I15" s="14" t="s">
        <v>139</v>
      </c>
      <c r="J15" s="16" t="s">
        <v>139</v>
      </c>
      <c r="K15" s="14">
        <v>0</v>
      </c>
      <c r="L15" s="16">
        <v>0</v>
      </c>
      <c r="M15" s="14">
        <v>0</v>
      </c>
      <c r="N15" s="16">
        <v>0</v>
      </c>
      <c r="O15" s="14">
        <v>0</v>
      </c>
      <c r="P15" s="16">
        <v>0</v>
      </c>
      <c r="Q15" s="14">
        <v>0</v>
      </c>
      <c r="R15" s="16">
        <v>0</v>
      </c>
    </row>
    <row r="16" spans="1:18" x14ac:dyDescent="0.25">
      <c r="A16" s="11" t="s">
        <v>148</v>
      </c>
      <c r="B16" s="13">
        <v>6108</v>
      </c>
      <c r="C16" s="14">
        <f>(5049/B16*100)</f>
        <v>82.662082514734763</v>
      </c>
      <c r="D16" s="15">
        <v>1059</v>
      </c>
      <c r="E16" s="14">
        <v>34.799852479999998</v>
      </c>
      <c r="F16" s="16">
        <v>1.5466529499999999</v>
      </c>
      <c r="G16" s="14">
        <v>65.200147520000002</v>
      </c>
      <c r="H16" s="16">
        <v>1.5466529499999999</v>
      </c>
      <c r="I16" s="14" t="s">
        <v>139</v>
      </c>
      <c r="J16" s="16" t="s">
        <v>139</v>
      </c>
      <c r="K16" s="14">
        <v>0</v>
      </c>
      <c r="L16" s="16">
        <v>0</v>
      </c>
      <c r="M16" s="14">
        <v>0</v>
      </c>
      <c r="N16" s="16">
        <v>0</v>
      </c>
      <c r="O16" s="14">
        <v>0</v>
      </c>
      <c r="P16" s="16">
        <v>0</v>
      </c>
      <c r="Q16" s="14">
        <v>0</v>
      </c>
      <c r="R16" s="16">
        <v>0</v>
      </c>
    </row>
    <row r="17" spans="1:18" x14ac:dyDescent="0.25">
      <c r="A17" s="11" t="s">
        <v>149</v>
      </c>
      <c r="B17" s="13">
        <v>6504</v>
      </c>
      <c r="C17" s="14">
        <f>(5406/B17*100)</f>
        <v>83.118081180811814</v>
      </c>
      <c r="D17" s="15">
        <v>1098</v>
      </c>
      <c r="E17" s="14">
        <v>27.30938076</v>
      </c>
      <c r="F17" s="16">
        <v>1.4429464400000001</v>
      </c>
      <c r="G17" s="14">
        <v>72.690619240000004</v>
      </c>
      <c r="H17" s="16">
        <v>1.4429464400000001</v>
      </c>
      <c r="I17" s="14" t="s">
        <v>139</v>
      </c>
      <c r="J17" s="16" t="s">
        <v>139</v>
      </c>
      <c r="K17" s="14">
        <v>0</v>
      </c>
      <c r="L17" s="16">
        <v>0</v>
      </c>
      <c r="M17" s="14">
        <v>0</v>
      </c>
      <c r="N17" s="16">
        <v>0</v>
      </c>
      <c r="O17" s="14">
        <v>0</v>
      </c>
      <c r="P17" s="16">
        <v>0</v>
      </c>
      <c r="Q17" s="14">
        <v>0</v>
      </c>
      <c r="R17" s="16">
        <v>0</v>
      </c>
    </row>
    <row r="18" spans="1:18" x14ac:dyDescent="0.25">
      <c r="A18" s="11" t="s">
        <v>150</v>
      </c>
      <c r="B18" s="13">
        <v>5532</v>
      </c>
      <c r="C18" s="14">
        <f>(4564/B18*100)</f>
        <v>82.501807664497477</v>
      </c>
      <c r="D18" s="15">
        <v>968</v>
      </c>
      <c r="E18" s="14">
        <v>54.388764889999997</v>
      </c>
      <c r="F18" s="16">
        <v>1.9348621800000001</v>
      </c>
      <c r="G18" s="14">
        <v>45.611235110000003</v>
      </c>
      <c r="H18" s="16">
        <v>1.9348621800000001</v>
      </c>
      <c r="I18" s="14" t="s">
        <v>139</v>
      </c>
      <c r="J18" s="16" t="s">
        <v>139</v>
      </c>
      <c r="K18" s="14">
        <v>0</v>
      </c>
      <c r="L18" s="16">
        <v>0</v>
      </c>
      <c r="M18" s="14">
        <v>0</v>
      </c>
      <c r="N18" s="16">
        <v>0</v>
      </c>
      <c r="O18" s="14">
        <v>0</v>
      </c>
      <c r="P18" s="16">
        <v>0</v>
      </c>
      <c r="Q18" s="14">
        <v>0</v>
      </c>
      <c r="R18" s="16">
        <v>0</v>
      </c>
    </row>
    <row r="19" spans="1:18" x14ac:dyDescent="0.25">
      <c r="A19" s="11" t="s">
        <v>151</v>
      </c>
      <c r="B19" s="13">
        <v>5658</v>
      </c>
      <c r="C19" s="14">
        <f>(4695/B19*100)</f>
        <v>82.979851537645814</v>
      </c>
      <c r="D19" s="15">
        <v>963</v>
      </c>
      <c r="E19" s="14">
        <v>34.196728360000002</v>
      </c>
      <c r="F19" s="16">
        <v>1.76834855</v>
      </c>
      <c r="G19" s="14">
        <v>65.803271640000006</v>
      </c>
      <c r="H19" s="16">
        <v>1.76834855</v>
      </c>
      <c r="I19" s="14" t="s">
        <v>139</v>
      </c>
      <c r="J19" s="16" t="s">
        <v>139</v>
      </c>
      <c r="K19" s="14">
        <v>0</v>
      </c>
      <c r="L19" s="16">
        <v>0</v>
      </c>
      <c r="M19" s="14">
        <v>0</v>
      </c>
      <c r="N19" s="16">
        <v>0</v>
      </c>
      <c r="O19" s="14">
        <v>0</v>
      </c>
      <c r="P19" s="16">
        <v>0</v>
      </c>
      <c r="Q19" s="14">
        <v>0</v>
      </c>
      <c r="R19" s="16">
        <v>0</v>
      </c>
    </row>
    <row r="20" spans="1:18" x14ac:dyDescent="0.25">
      <c r="A20" s="11" t="s">
        <v>152</v>
      </c>
      <c r="B20" s="13">
        <v>3371</v>
      </c>
      <c r="C20" s="14">
        <f>(2786/B20*100)</f>
        <v>82.646099080391579</v>
      </c>
      <c r="D20" s="15">
        <v>585</v>
      </c>
      <c r="E20" s="14">
        <v>40.746104150000001</v>
      </c>
      <c r="F20" s="16">
        <v>2.0518154000000002</v>
      </c>
      <c r="G20" s="14">
        <v>59.253895849999999</v>
      </c>
      <c r="H20" s="16">
        <v>2.0518154000000002</v>
      </c>
      <c r="I20" s="14" t="s">
        <v>139</v>
      </c>
      <c r="J20" s="16" t="s">
        <v>139</v>
      </c>
      <c r="K20" s="14">
        <v>0</v>
      </c>
      <c r="L20" s="16">
        <v>0</v>
      </c>
      <c r="M20" s="14">
        <v>0</v>
      </c>
      <c r="N20" s="16">
        <v>0</v>
      </c>
      <c r="O20" s="14">
        <v>0</v>
      </c>
      <c r="P20" s="16">
        <v>0</v>
      </c>
      <c r="Q20" s="14">
        <v>0</v>
      </c>
      <c r="R20" s="16">
        <v>0</v>
      </c>
    </row>
    <row r="21" spans="1:18" x14ac:dyDescent="0.25">
      <c r="A21" s="11" t="s">
        <v>153</v>
      </c>
      <c r="B21" s="17" t="s">
        <v>154</v>
      </c>
      <c r="C21" s="17" t="s">
        <v>154</v>
      </c>
      <c r="D21" s="18" t="s">
        <v>154</v>
      </c>
      <c r="E21" s="17" t="s">
        <v>154</v>
      </c>
      <c r="F21" s="18" t="s">
        <v>154</v>
      </c>
      <c r="G21" s="17" t="s">
        <v>154</v>
      </c>
      <c r="H21" s="18" t="s">
        <v>154</v>
      </c>
      <c r="I21" s="17" t="s">
        <v>154</v>
      </c>
      <c r="J21" s="18" t="s">
        <v>154</v>
      </c>
      <c r="K21" s="17" t="s">
        <v>154</v>
      </c>
      <c r="L21" s="18" t="s">
        <v>154</v>
      </c>
      <c r="M21" s="17" t="s">
        <v>154</v>
      </c>
      <c r="N21" s="18" t="s">
        <v>154</v>
      </c>
      <c r="O21" s="17" t="s">
        <v>154</v>
      </c>
      <c r="P21" s="18" t="s">
        <v>154</v>
      </c>
      <c r="Q21" s="17" t="s">
        <v>154</v>
      </c>
      <c r="R21" s="18" t="s">
        <v>154</v>
      </c>
    </row>
    <row r="22" spans="1:18" x14ac:dyDescent="0.25">
      <c r="A22" s="11" t="s">
        <v>155</v>
      </c>
      <c r="B22" s="13">
        <v>6598</v>
      </c>
      <c r="C22" s="14">
        <f>(5563/B22*100)</f>
        <v>84.313428311609584</v>
      </c>
      <c r="D22" s="15">
        <v>1035</v>
      </c>
      <c r="E22" s="14">
        <v>50.085515960000002</v>
      </c>
      <c r="F22" s="16">
        <v>1.4479680699999999</v>
      </c>
      <c r="G22" s="14">
        <v>49.914484039999998</v>
      </c>
      <c r="H22" s="16">
        <v>1.4479680699999999</v>
      </c>
      <c r="I22" s="14" t="s">
        <v>139</v>
      </c>
      <c r="J22" s="16" t="s">
        <v>139</v>
      </c>
      <c r="K22" s="14">
        <v>0</v>
      </c>
      <c r="L22" s="16">
        <v>0</v>
      </c>
      <c r="M22" s="14">
        <v>0</v>
      </c>
      <c r="N22" s="16">
        <v>0</v>
      </c>
      <c r="O22" s="14">
        <v>0</v>
      </c>
      <c r="P22" s="16">
        <v>0</v>
      </c>
      <c r="Q22" s="14">
        <v>0</v>
      </c>
      <c r="R22" s="16">
        <v>0</v>
      </c>
    </row>
    <row r="23" spans="1:18" x14ac:dyDescent="0.25">
      <c r="A23" s="11" t="s">
        <v>156</v>
      </c>
      <c r="B23" s="13">
        <v>11583</v>
      </c>
      <c r="C23" s="14">
        <f>(9598/B23*100)</f>
        <v>82.862816196149524</v>
      </c>
      <c r="D23" s="15">
        <v>1985</v>
      </c>
      <c r="E23" s="14">
        <v>46.105810630000001</v>
      </c>
      <c r="F23" s="16">
        <v>1.6339255399999999</v>
      </c>
      <c r="G23" s="14">
        <v>53.894189369999999</v>
      </c>
      <c r="H23" s="16">
        <v>1.6339255399999999</v>
      </c>
      <c r="I23" s="14" t="s">
        <v>139</v>
      </c>
      <c r="J23" s="16" t="s">
        <v>139</v>
      </c>
      <c r="K23" s="14">
        <v>0</v>
      </c>
      <c r="L23" s="16">
        <v>0</v>
      </c>
      <c r="M23" s="14">
        <v>0</v>
      </c>
      <c r="N23" s="16">
        <v>0</v>
      </c>
      <c r="O23" s="14">
        <v>0</v>
      </c>
      <c r="P23" s="16">
        <v>0</v>
      </c>
      <c r="Q23" s="14">
        <v>0</v>
      </c>
      <c r="R23" s="16">
        <v>0</v>
      </c>
    </row>
    <row r="24" spans="1:18" x14ac:dyDescent="0.25">
      <c r="A24" s="11" t="s">
        <v>157</v>
      </c>
      <c r="B24" s="13">
        <v>6647</v>
      </c>
      <c r="C24" s="14">
        <f>(5487/B24*100)</f>
        <v>82.548518128479003</v>
      </c>
      <c r="D24" s="15">
        <v>1160</v>
      </c>
      <c r="E24" s="14">
        <v>40.728591399999999</v>
      </c>
      <c r="F24" s="16">
        <v>1.54764678</v>
      </c>
      <c r="G24" s="14">
        <v>59.271408600000001</v>
      </c>
      <c r="H24" s="16">
        <v>1.54764678</v>
      </c>
      <c r="I24" s="14" t="s">
        <v>139</v>
      </c>
      <c r="J24" s="16" t="s">
        <v>139</v>
      </c>
      <c r="K24" s="14">
        <v>0</v>
      </c>
      <c r="L24" s="16">
        <v>0</v>
      </c>
      <c r="M24" s="14">
        <v>0</v>
      </c>
      <c r="N24" s="16">
        <v>0</v>
      </c>
      <c r="O24" s="14">
        <v>0</v>
      </c>
      <c r="P24" s="16">
        <v>0</v>
      </c>
      <c r="Q24" s="14">
        <v>0</v>
      </c>
      <c r="R24" s="16">
        <v>0</v>
      </c>
    </row>
    <row r="25" spans="1:18" x14ac:dyDescent="0.25">
      <c r="A25" s="11" t="s">
        <v>158</v>
      </c>
      <c r="B25" s="13">
        <v>5581</v>
      </c>
      <c r="C25" s="14">
        <f>(4615/B25*100)</f>
        <v>82.691273965239205</v>
      </c>
      <c r="D25" s="15">
        <v>966</v>
      </c>
      <c r="E25" s="14">
        <v>34.867083700000002</v>
      </c>
      <c r="F25" s="16">
        <v>1.57326718</v>
      </c>
      <c r="G25" s="14">
        <v>65.132916300000005</v>
      </c>
      <c r="H25" s="16">
        <v>1.57326718</v>
      </c>
      <c r="I25" s="14" t="s">
        <v>139</v>
      </c>
      <c r="J25" s="16" t="s">
        <v>139</v>
      </c>
      <c r="K25" s="14">
        <v>0</v>
      </c>
      <c r="L25" s="16">
        <v>0</v>
      </c>
      <c r="M25" s="14">
        <v>0</v>
      </c>
      <c r="N25" s="16">
        <v>0</v>
      </c>
      <c r="O25" s="14">
        <v>0</v>
      </c>
      <c r="P25" s="16">
        <v>0</v>
      </c>
      <c r="Q25" s="14">
        <v>0</v>
      </c>
      <c r="R25" s="16">
        <v>0</v>
      </c>
    </row>
    <row r="26" spans="1:18" x14ac:dyDescent="0.25">
      <c r="A26" s="11" t="s">
        <v>159</v>
      </c>
      <c r="B26" s="13">
        <v>4869</v>
      </c>
      <c r="C26" s="14">
        <f>(4008/B26*100)</f>
        <v>82.316697473813932</v>
      </c>
      <c r="D26" s="15">
        <v>861</v>
      </c>
      <c r="E26" s="14">
        <v>43.883462369999997</v>
      </c>
      <c r="F26" s="16">
        <v>1.76589822</v>
      </c>
      <c r="G26" s="14">
        <v>56.116537630000003</v>
      </c>
      <c r="H26" s="16">
        <v>1.76589822</v>
      </c>
      <c r="I26" s="14" t="s">
        <v>139</v>
      </c>
      <c r="J26" s="16" t="s">
        <v>139</v>
      </c>
      <c r="K26" s="14">
        <v>0</v>
      </c>
      <c r="L26" s="16">
        <v>0</v>
      </c>
      <c r="M26" s="14">
        <v>0</v>
      </c>
      <c r="N26" s="16">
        <v>0</v>
      </c>
      <c r="O26" s="14">
        <v>0</v>
      </c>
      <c r="P26" s="16">
        <v>0</v>
      </c>
      <c r="Q26" s="14">
        <v>0</v>
      </c>
      <c r="R26" s="16">
        <v>0</v>
      </c>
    </row>
    <row r="27" spans="1:18" x14ac:dyDescent="0.25">
      <c r="A27" s="11" t="s">
        <v>160</v>
      </c>
      <c r="B27" s="13">
        <v>5299</v>
      </c>
      <c r="C27" s="14">
        <f>(4377/B27*100)</f>
        <v>82.600490658614831</v>
      </c>
      <c r="D27" s="15">
        <v>922</v>
      </c>
      <c r="E27" s="14">
        <v>37.258709449999998</v>
      </c>
      <c r="F27" s="16">
        <v>1.6602634599999999</v>
      </c>
      <c r="G27" s="14">
        <v>62.741290550000002</v>
      </c>
      <c r="H27" s="16">
        <v>1.6602634599999999</v>
      </c>
      <c r="I27" s="14" t="s">
        <v>139</v>
      </c>
      <c r="J27" s="16" t="s">
        <v>139</v>
      </c>
      <c r="K27" s="14">
        <v>0</v>
      </c>
      <c r="L27" s="16">
        <v>0</v>
      </c>
      <c r="M27" s="14">
        <v>0</v>
      </c>
      <c r="N27" s="16">
        <v>0</v>
      </c>
      <c r="O27" s="14">
        <v>0</v>
      </c>
      <c r="P27" s="16">
        <v>0</v>
      </c>
      <c r="Q27" s="14">
        <v>0</v>
      </c>
      <c r="R27" s="16">
        <v>0</v>
      </c>
    </row>
    <row r="28" spans="1:18" x14ac:dyDescent="0.25">
      <c r="A28" s="11" t="s">
        <v>161</v>
      </c>
      <c r="B28" s="13">
        <v>7568</v>
      </c>
      <c r="C28" s="14">
        <f>(6313/B28*100)</f>
        <v>83.417019027484145</v>
      </c>
      <c r="D28" s="15">
        <v>1255</v>
      </c>
      <c r="E28" s="14">
        <v>58.495243449999997</v>
      </c>
      <c r="F28" s="16">
        <v>1.5709753200000001</v>
      </c>
      <c r="G28" s="14">
        <v>41.504756550000003</v>
      </c>
      <c r="H28" s="16">
        <v>1.5709753200000001</v>
      </c>
      <c r="I28" s="14" t="s">
        <v>139</v>
      </c>
      <c r="J28" s="16" t="s">
        <v>139</v>
      </c>
      <c r="K28" s="14">
        <v>0</v>
      </c>
      <c r="L28" s="16">
        <v>0</v>
      </c>
      <c r="M28" s="14">
        <v>0</v>
      </c>
      <c r="N28" s="16">
        <v>0</v>
      </c>
      <c r="O28" s="14">
        <v>0</v>
      </c>
      <c r="P28" s="16">
        <v>0</v>
      </c>
      <c r="Q28" s="14">
        <v>0</v>
      </c>
      <c r="R28" s="16">
        <v>0</v>
      </c>
    </row>
    <row r="29" spans="1:18" x14ac:dyDescent="0.25">
      <c r="A29" s="11" t="s">
        <v>162</v>
      </c>
      <c r="B29" s="13">
        <v>5385</v>
      </c>
      <c r="C29" s="14">
        <f>(4470/B29*100)</f>
        <v>83.008356545961007</v>
      </c>
      <c r="D29" s="15">
        <v>915</v>
      </c>
      <c r="E29" s="14">
        <v>39.801638109999999</v>
      </c>
      <c r="F29" s="16">
        <v>1.5133912300000001</v>
      </c>
      <c r="G29" s="14">
        <v>60.198361890000001</v>
      </c>
      <c r="H29" s="16">
        <v>1.5133912300000001</v>
      </c>
      <c r="I29" s="14" t="s">
        <v>139</v>
      </c>
      <c r="J29" s="16" t="s">
        <v>139</v>
      </c>
      <c r="K29" s="14">
        <v>0</v>
      </c>
      <c r="L29" s="16">
        <v>0</v>
      </c>
      <c r="M29" s="14">
        <v>0</v>
      </c>
      <c r="N29" s="16">
        <v>0</v>
      </c>
      <c r="O29" s="14">
        <v>0</v>
      </c>
      <c r="P29" s="16">
        <v>0</v>
      </c>
      <c r="Q29" s="14">
        <v>0</v>
      </c>
      <c r="R29" s="16">
        <v>0</v>
      </c>
    </row>
    <row r="30" spans="1:18" x14ac:dyDescent="0.25">
      <c r="A30" s="11" t="s">
        <v>163</v>
      </c>
      <c r="B30" s="13">
        <v>4520</v>
      </c>
      <c r="C30" s="14">
        <f>(3744/B30*100)</f>
        <v>82.83185840707965</v>
      </c>
      <c r="D30" s="15">
        <v>776</v>
      </c>
      <c r="E30" s="14">
        <v>34.017304099999997</v>
      </c>
      <c r="F30" s="16">
        <v>1.85789183</v>
      </c>
      <c r="G30" s="14">
        <v>65.982695899999996</v>
      </c>
      <c r="H30" s="16">
        <v>1.85789183</v>
      </c>
      <c r="I30" s="14" t="s">
        <v>139</v>
      </c>
      <c r="J30" s="16" t="s">
        <v>139</v>
      </c>
      <c r="K30" s="14">
        <v>0</v>
      </c>
      <c r="L30" s="16">
        <v>0</v>
      </c>
      <c r="M30" s="14">
        <v>0</v>
      </c>
      <c r="N30" s="16">
        <v>0</v>
      </c>
      <c r="O30" s="14">
        <v>0</v>
      </c>
      <c r="P30" s="16">
        <v>0</v>
      </c>
      <c r="Q30" s="14">
        <v>0</v>
      </c>
      <c r="R30" s="16">
        <v>0</v>
      </c>
    </row>
    <row r="31" spans="1:18" x14ac:dyDescent="0.25">
      <c r="A31" s="11" t="s">
        <v>164</v>
      </c>
      <c r="B31" s="13">
        <v>5456</v>
      </c>
      <c r="C31" s="14">
        <f>(4534/B31*100)</f>
        <v>83.101173020527867</v>
      </c>
      <c r="D31" s="15">
        <v>922</v>
      </c>
      <c r="E31" s="14">
        <v>37.53094917</v>
      </c>
      <c r="F31" s="16">
        <v>1.5605126600000001</v>
      </c>
      <c r="G31" s="14">
        <v>62.46905083</v>
      </c>
      <c r="H31" s="16">
        <v>1.5605126600000001</v>
      </c>
      <c r="I31" s="14" t="s">
        <v>139</v>
      </c>
      <c r="J31" s="16" t="s">
        <v>139</v>
      </c>
      <c r="K31" s="14">
        <v>0</v>
      </c>
      <c r="L31" s="16">
        <v>0</v>
      </c>
      <c r="M31" s="14">
        <v>0</v>
      </c>
      <c r="N31" s="16">
        <v>0</v>
      </c>
      <c r="O31" s="14">
        <v>0</v>
      </c>
      <c r="P31" s="16">
        <v>0</v>
      </c>
      <c r="Q31" s="14">
        <v>0</v>
      </c>
      <c r="R31" s="16">
        <v>0</v>
      </c>
    </row>
    <row r="32" spans="1:18" x14ac:dyDescent="0.25">
      <c r="A32" s="11" t="s">
        <v>165</v>
      </c>
      <c r="B32" s="17" t="s">
        <v>154</v>
      </c>
      <c r="C32" s="17" t="s">
        <v>154</v>
      </c>
      <c r="D32" s="18" t="s">
        <v>154</v>
      </c>
      <c r="E32" s="17" t="s">
        <v>154</v>
      </c>
      <c r="F32" s="18" t="s">
        <v>154</v>
      </c>
      <c r="G32" s="17" t="s">
        <v>154</v>
      </c>
      <c r="H32" s="18" t="s">
        <v>154</v>
      </c>
      <c r="I32" s="17" t="s">
        <v>154</v>
      </c>
      <c r="J32" s="18" t="s">
        <v>154</v>
      </c>
      <c r="K32" s="17" t="s">
        <v>154</v>
      </c>
      <c r="L32" s="18" t="s">
        <v>154</v>
      </c>
      <c r="M32" s="17" t="s">
        <v>154</v>
      </c>
      <c r="N32" s="18" t="s">
        <v>154</v>
      </c>
      <c r="O32" s="17" t="s">
        <v>154</v>
      </c>
      <c r="P32" s="18" t="s">
        <v>154</v>
      </c>
      <c r="Q32" s="17" t="s">
        <v>154</v>
      </c>
      <c r="R32" s="18" t="s">
        <v>154</v>
      </c>
    </row>
    <row r="33" spans="1:18" x14ac:dyDescent="0.25">
      <c r="A33" s="11" t="s">
        <v>166</v>
      </c>
      <c r="B33" s="13">
        <v>7325</v>
      </c>
      <c r="C33" s="14">
        <f>(6092/B33*100)</f>
        <v>83.167235494880543</v>
      </c>
      <c r="D33" s="15">
        <v>1233</v>
      </c>
      <c r="E33" s="14">
        <v>35.649458600000003</v>
      </c>
      <c r="F33" s="16">
        <v>1.6108208799999999</v>
      </c>
      <c r="G33" s="14">
        <v>64.350541399999997</v>
      </c>
      <c r="H33" s="16">
        <v>1.6108208799999999</v>
      </c>
      <c r="I33" s="14" t="s">
        <v>139</v>
      </c>
      <c r="J33" s="16" t="s">
        <v>139</v>
      </c>
      <c r="K33" s="14">
        <v>0</v>
      </c>
      <c r="L33" s="16">
        <v>0</v>
      </c>
      <c r="M33" s="14">
        <v>0</v>
      </c>
      <c r="N33" s="16">
        <v>0</v>
      </c>
      <c r="O33" s="14">
        <v>0</v>
      </c>
      <c r="P33" s="16">
        <v>0</v>
      </c>
      <c r="Q33" s="14">
        <v>0</v>
      </c>
      <c r="R33" s="16">
        <v>0</v>
      </c>
    </row>
    <row r="34" spans="1:18" x14ac:dyDescent="0.25">
      <c r="A34" s="11" t="s">
        <v>167</v>
      </c>
      <c r="B34" s="13">
        <v>6350</v>
      </c>
      <c r="C34" s="14">
        <f>(5280/B34*100)</f>
        <v>83.149606299212593</v>
      </c>
      <c r="D34" s="15">
        <v>1070</v>
      </c>
      <c r="E34" s="14">
        <v>40.67925331</v>
      </c>
      <c r="F34" s="16">
        <v>1.62042408</v>
      </c>
      <c r="G34" s="14">
        <v>59.32074669</v>
      </c>
      <c r="H34" s="16">
        <v>1.62042408</v>
      </c>
      <c r="I34" s="14" t="s">
        <v>139</v>
      </c>
      <c r="J34" s="16" t="s">
        <v>139</v>
      </c>
      <c r="K34" s="14">
        <v>0</v>
      </c>
      <c r="L34" s="16">
        <v>0</v>
      </c>
      <c r="M34" s="14">
        <v>0</v>
      </c>
      <c r="N34" s="16">
        <v>0</v>
      </c>
      <c r="O34" s="14">
        <v>0</v>
      </c>
      <c r="P34" s="16">
        <v>0</v>
      </c>
      <c r="Q34" s="14">
        <v>0</v>
      </c>
      <c r="R34" s="16">
        <v>0</v>
      </c>
    </row>
    <row r="35" spans="1:18" x14ac:dyDescent="0.25">
      <c r="A35" s="11" t="s">
        <v>168</v>
      </c>
      <c r="B35" s="13">
        <v>6406</v>
      </c>
      <c r="C35" s="14">
        <f>(5297/B35*100)</f>
        <v>82.688104901654697</v>
      </c>
      <c r="D35" s="15">
        <v>1109</v>
      </c>
      <c r="E35" s="14">
        <v>32.978738929999999</v>
      </c>
      <c r="F35" s="16">
        <v>1.6463712800000001</v>
      </c>
      <c r="G35" s="14">
        <v>67.021261069999994</v>
      </c>
      <c r="H35" s="16">
        <v>1.6463712800000001</v>
      </c>
      <c r="I35" s="14" t="s">
        <v>139</v>
      </c>
      <c r="J35" s="16" t="s">
        <v>139</v>
      </c>
      <c r="K35" s="14">
        <v>0</v>
      </c>
      <c r="L35" s="16">
        <v>0</v>
      </c>
      <c r="M35" s="14">
        <v>0</v>
      </c>
      <c r="N35" s="16">
        <v>0</v>
      </c>
      <c r="O35" s="14">
        <v>0</v>
      </c>
      <c r="P35" s="16">
        <v>0</v>
      </c>
      <c r="Q35" s="14">
        <v>0</v>
      </c>
      <c r="R35" s="16">
        <v>0</v>
      </c>
    </row>
    <row r="36" spans="1:18" x14ac:dyDescent="0.25">
      <c r="A36" s="11" t="s">
        <v>169</v>
      </c>
      <c r="B36" s="13">
        <v>6736</v>
      </c>
      <c r="C36" s="14">
        <f>(5576/B36*100)</f>
        <v>82.779097387173394</v>
      </c>
      <c r="D36" s="15">
        <v>1160</v>
      </c>
      <c r="E36" s="14">
        <v>31.391050880000002</v>
      </c>
      <c r="F36" s="16">
        <v>1.37877658</v>
      </c>
      <c r="G36" s="14">
        <v>68.608949120000005</v>
      </c>
      <c r="H36" s="16">
        <v>1.37877658</v>
      </c>
      <c r="I36" s="14" t="s">
        <v>139</v>
      </c>
      <c r="J36" s="16" t="s">
        <v>139</v>
      </c>
      <c r="K36" s="14">
        <v>0</v>
      </c>
      <c r="L36" s="16">
        <v>0</v>
      </c>
      <c r="M36" s="14">
        <v>0</v>
      </c>
      <c r="N36" s="16">
        <v>0</v>
      </c>
      <c r="O36" s="14">
        <v>0</v>
      </c>
      <c r="P36" s="16">
        <v>0</v>
      </c>
      <c r="Q36" s="14">
        <v>0</v>
      </c>
      <c r="R36" s="16">
        <v>0</v>
      </c>
    </row>
    <row r="37" spans="1:18" x14ac:dyDescent="0.25">
      <c r="A37" s="11" t="s">
        <v>170</v>
      </c>
      <c r="B37" s="13">
        <v>5458</v>
      </c>
      <c r="C37" s="14">
        <f>(4554/B37*100)</f>
        <v>83.437156467570546</v>
      </c>
      <c r="D37" s="15">
        <v>904</v>
      </c>
      <c r="E37" s="14">
        <v>39.124530200000002</v>
      </c>
      <c r="F37" s="16">
        <v>1.8796245199999999</v>
      </c>
      <c r="G37" s="14">
        <v>60.875469799999998</v>
      </c>
      <c r="H37" s="16">
        <v>1.8796245199999999</v>
      </c>
      <c r="I37" s="14" t="s">
        <v>139</v>
      </c>
      <c r="J37" s="16" t="s">
        <v>139</v>
      </c>
      <c r="K37" s="14">
        <v>0</v>
      </c>
      <c r="L37" s="16">
        <v>0</v>
      </c>
      <c r="M37" s="14">
        <v>0</v>
      </c>
      <c r="N37" s="16">
        <v>0</v>
      </c>
      <c r="O37" s="14">
        <v>0</v>
      </c>
      <c r="P37" s="16">
        <v>0</v>
      </c>
      <c r="Q37" s="14">
        <v>0</v>
      </c>
      <c r="R37" s="16">
        <v>0</v>
      </c>
    </row>
    <row r="38" spans="1:18" x14ac:dyDescent="0.25">
      <c r="A38" s="11" t="s">
        <v>171</v>
      </c>
      <c r="B38" s="17" t="s">
        <v>154</v>
      </c>
      <c r="C38" s="17" t="s">
        <v>154</v>
      </c>
      <c r="D38" s="18" t="s">
        <v>154</v>
      </c>
      <c r="E38" s="17" t="s">
        <v>154</v>
      </c>
      <c r="F38" s="18" t="s">
        <v>154</v>
      </c>
      <c r="G38" s="17" t="s">
        <v>154</v>
      </c>
      <c r="H38" s="18" t="s">
        <v>154</v>
      </c>
      <c r="I38" s="17" t="s">
        <v>154</v>
      </c>
      <c r="J38" s="18" t="s">
        <v>154</v>
      </c>
      <c r="K38" s="17" t="s">
        <v>154</v>
      </c>
      <c r="L38" s="18" t="s">
        <v>154</v>
      </c>
      <c r="M38" s="17" t="s">
        <v>154</v>
      </c>
      <c r="N38" s="18" t="s">
        <v>154</v>
      </c>
      <c r="O38" s="17" t="s">
        <v>154</v>
      </c>
      <c r="P38" s="18" t="s">
        <v>154</v>
      </c>
      <c r="Q38" s="17" t="s">
        <v>154</v>
      </c>
      <c r="R38" s="18" t="s">
        <v>154</v>
      </c>
    </row>
    <row r="39" spans="1:18" x14ac:dyDescent="0.25">
      <c r="A39" s="11" t="s">
        <v>172</v>
      </c>
      <c r="B39" s="13">
        <v>5895</v>
      </c>
      <c r="C39" s="14">
        <f>(4869/B39*100)</f>
        <v>82.595419847328245</v>
      </c>
      <c r="D39" s="15">
        <v>1026</v>
      </c>
      <c r="E39" s="14">
        <v>54.88121108</v>
      </c>
      <c r="F39" s="16">
        <v>1.69101206</v>
      </c>
      <c r="G39" s="14">
        <v>45.11878892</v>
      </c>
      <c r="H39" s="16">
        <v>1.69101206</v>
      </c>
      <c r="I39" s="14" t="s">
        <v>139</v>
      </c>
      <c r="J39" s="16" t="s">
        <v>139</v>
      </c>
      <c r="K39" s="14">
        <v>0</v>
      </c>
      <c r="L39" s="16">
        <v>0</v>
      </c>
      <c r="M39" s="14">
        <v>0</v>
      </c>
      <c r="N39" s="16">
        <v>0</v>
      </c>
      <c r="O39" s="14">
        <v>0</v>
      </c>
      <c r="P39" s="16">
        <v>0</v>
      </c>
      <c r="Q39" s="14">
        <v>0</v>
      </c>
      <c r="R39" s="16">
        <v>0</v>
      </c>
    </row>
    <row r="40" spans="1:18" x14ac:dyDescent="0.25">
      <c r="A40" s="11" t="s">
        <v>173</v>
      </c>
      <c r="B40" s="13">
        <v>14157</v>
      </c>
      <c r="C40" s="14">
        <f>(11631/B40*100)</f>
        <v>82.15723670269125</v>
      </c>
      <c r="D40" s="15">
        <v>2526</v>
      </c>
      <c r="E40" s="14">
        <v>34.893304270000002</v>
      </c>
      <c r="F40" s="16">
        <v>1.5948024300000001</v>
      </c>
      <c r="G40" s="14">
        <v>65.106695729999998</v>
      </c>
      <c r="H40" s="16">
        <v>1.5948024300000001</v>
      </c>
      <c r="I40" s="14" t="s">
        <v>139</v>
      </c>
      <c r="J40" s="16" t="s">
        <v>139</v>
      </c>
      <c r="K40" s="14">
        <v>0</v>
      </c>
      <c r="L40" s="16">
        <v>0</v>
      </c>
      <c r="M40" s="14">
        <v>0</v>
      </c>
      <c r="N40" s="16">
        <v>0</v>
      </c>
      <c r="O40" s="14">
        <v>0</v>
      </c>
      <c r="P40" s="16">
        <v>0</v>
      </c>
      <c r="Q40" s="14">
        <v>0</v>
      </c>
      <c r="R40" s="16">
        <v>0</v>
      </c>
    </row>
    <row r="41" spans="1:18" x14ac:dyDescent="0.25">
      <c r="A41" s="11" t="s">
        <v>174</v>
      </c>
      <c r="B41" s="13">
        <v>5712</v>
      </c>
      <c r="C41" s="14">
        <f>(4753/B41*100)</f>
        <v>83.210784313725497</v>
      </c>
      <c r="D41" s="15">
        <v>959</v>
      </c>
      <c r="E41" s="14">
        <v>37.071585650000003</v>
      </c>
      <c r="F41" s="16">
        <v>1.70115324</v>
      </c>
      <c r="G41" s="14">
        <v>62.928414349999997</v>
      </c>
      <c r="H41" s="16">
        <v>1.70115324</v>
      </c>
      <c r="I41" s="14" t="s">
        <v>139</v>
      </c>
      <c r="J41" s="16" t="s">
        <v>139</v>
      </c>
      <c r="K41" s="14">
        <v>0</v>
      </c>
      <c r="L41" s="16">
        <v>0</v>
      </c>
      <c r="M41" s="14">
        <v>0</v>
      </c>
      <c r="N41" s="16">
        <v>0</v>
      </c>
      <c r="O41" s="14">
        <v>0</v>
      </c>
      <c r="P41" s="16">
        <v>0</v>
      </c>
      <c r="Q41" s="14">
        <v>0</v>
      </c>
      <c r="R41" s="16">
        <v>0</v>
      </c>
    </row>
    <row r="42" spans="1:18" x14ac:dyDescent="0.25">
      <c r="A42" s="11" t="s">
        <v>175</v>
      </c>
      <c r="B42" s="13">
        <f>IF(COUNT(B7:B41) &gt; 0, AVERAGE(B7:B41), "\u2014")</f>
        <v>7266.90625</v>
      </c>
      <c r="C42" s="14">
        <f>IF(COUNT(C7:C41) &gt; 0, AVERAGE(C7:C41), "—")</f>
        <v>82.93344709112597</v>
      </c>
      <c r="D42" s="15">
        <f>IF(COUNT(D7:D41) &gt; 0, AVERAGE(D7:D41), "—")</f>
        <v>1241.4375</v>
      </c>
      <c r="E42" s="14">
        <f>IF(COUNT(E7:E41) &gt; 0, AVERAGE(E7:E41), "—")</f>
        <v>38.583337715312503</v>
      </c>
      <c r="F42" s="16">
        <f>IF(COUNT(F7:F41) &gt; 0, SQRT(SUMSQ(F7:F41)/(COUNT(F7:F41)*COUNT(F7:F41)) ), "—")</f>
        <v>0.28709031917075545</v>
      </c>
      <c r="G42" s="14">
        <f>IF(COUNT(G7:G41) &gt; 0, AVERAGE(G7:G41), "—")</f>
        <v>61.416662284687504</v>
      </c>
      <c r="H42" s="16">
        <f>IF(COUNT(H7:H41) &gt; 0, SQRT(SUMSQ(H7:H41)/(COUNT(H7:H41)*COUNT(H7:H41)) ), "—")</f>
        <v>0.28709031917075545</v>
      </c>
      <c r="I42" s="14" t="str">
        <f>IF(COUNT(I7:I41) &gt; 0, AVERAGE(I7:I41), "—")</f>
        <v>—</v>
      </c>
      <c r="J42" s="16" t="str">
        <f>IF(COUNT(J7:J41) &gt; 0, SQRT(SUMSQ(J7:J41)/(COUNT(J7:J41)*COUNT(J7:J41)) ), "—")</f>
        <v>—</v>
      </c>
      <c r="K42" s="14">
        <f>IF(COUNT(K7:K41) &gt; 0, AVERAGE(K7:K41), "—")</f>
        <v>0</v>
      </c>
      <c r="L42" s="16">
        <f>IF(COUNT(L7:L41) &gt; 0, SQRT(SUMSQ(L7:L41)/(COUNT(L7:L41)*COUNT(L7:L41)) ), "—")</f>
        <v>0</v>
      </c>
      <c r="M42" s="14">
        <f>IF(COUNT(M7:M41) &gt; 0, AVERAGE(M7:M41), "—")</f>
        <v>0</v>
      </c>
      <c r="N42" s="16">
        <f>IF(COUNT(N7:N41) &gt; 0, SQRT(SUMSQ(N7:N41)/(COUNT(N7:N41)*COUNT(N7:N41)) ), "—")</f>
        <v>0</v>
      </c>
      <c r="O42" s="14">
        <f>IF(COUNT(O7:O41) &gt; 0, AVERAGE(O7:O41), "—")</f>
        <v>0</v>
      </c>
      <c r="P42" s="16">
        <f>IF(COUNT(P7:P41) &gt; 0, SQRT(SUMSQ(P7:P41)/(COUNT(P7:P41)*COUNT(P7:P41)) ), "—")</f>
        <v>0</v>
      </c>
      <c r="Q42" s="14">
        <f>IF(COUNT(Q7:Q41) &gt; 0, AVERAGE(Q7:Q41), "—")</f>
        <v>0</v>
      </c>
      <c r="R42" s="16">
        <f>IF(COUNT(R7:R41) &gt; 0, SQRT(SUMSQ(R7:R41)/(COUNT(R7:R41)*COUNT(R7:R41)) ), "—")</f>
        <v>0</v>
      </c>
    </row>
    <row r="43" spans="1:18" x14ac:dyDescent="0.25">
      <c r="A43" s="9" t="s">
        <v>176</v>
      </c>
      <c r="B43" s="10"/>
      <c r="C43" s="10"/>
      <c r="D43" s="11"/>
      <c r="E43" s="10"/>
      <c r="F43" s="11"/>
      <c r="G43" s="10"/>
      <c r="H43" s="11"/>
      <c r="I43" s="10"/>
      <c r="J43" s="11"/>
      <c r="K43" s="10"/>
      <c r="L43" s="11"/>
      <c r="M43" s="10"/>
      <c r="N43" s="11"/>
      <c r="O43" s="10"/>
      <c r="P43" s="11"/>
      <c r="Q43" s="10"/>
      <c r="R43" s="12"/>
    </row>
    <row r="44" spans="1:18" x14ac:dyDescent="0.25">
      <c r="A44" s="11" t="s">
        <v>177</v>
      </c>
      <c r="B44" s="17" t="s">
        <v>154</v>
      </c>
      <c r="C44" s="17" t="s">
        <v>154</v>
      </c>
      <c r="D44" s="18" t="s">
        <v>154</v>
      </c>
      <c r="E44" s="17" t="s">
        <v>154</v>
      </c>
      <c r="F44" s="18" t="s">
        <v>154</v>
      </c>
      <c r="G44" s="17" t="s">
        <v>154</v>
      </c>
      <c r="H44" s="18" t="s">
        <v>154</v>
      </c>
      <c r="I44" s="17" t="s">
        <v>154</v>
      </c>
      <c r="J44" s="18" t="s">
        <v>154</v>
      </c>
      <c r="K44" s="17" t="s">
        <v>154</v>
      </c>
      <c r="L44" s="18" t="s">
        <v>154</v>
      </c>
      <c r="M44" s="17" t="s">
        <v>154</v>
      </c>
      <c r="N44" s="18" t="s">
        <v>154</v>
      </c>
      <c r="O44" s="17" t="s">
        <v>154</v>
      </c>
      <c r="P44" s="18" t="s">
        <v>154</v>
      </c>
      <c r="Q44" s="17" t="s">
        <v>154</v>
      </c>
      <c r="R44" s="18" t="s">
        <v>154</v>
      </c>
    </row>
    <row r="45" spans="1:18" x14ac:dyDescent="0.25">
      <c r="A45" s="11" t="s">
        <v>178</v>
      </c>
      <c r="B45" s="17" t="s">
        <v>154</v>
      </c>
      <c r="C45" s="17" t="s">
        <v>154</v>
      </c>
      <c r="D45" s="18" t="s">
        <v>154</v>
      </c>
      <c r="E45" s="17" t="s">
        <v>154</v>
      </c>
      <c r="F45" s="18" t="s">
        <v>154</v>
      </c>
      <c r="G45" s="17" t="s">
        <v>154</v>
      </c>
      <c r="H45" s="18" t="s">
        <v>154</v>
      </c>
      <c r="I45" s="17" t="s">
        <v>154</v>
      </c>
      <c r="J45" s="18" t="s">
        <v>154</v>
      </c>
      <c r="K45" s="17" t="s">
        <v>154</v>
      </c>
      <c r="L45" s="18" t="s">
        <v>154</v>
      </c>
      <c r="M45" s="17" t="s">
        <v>154</v>
      </c>
      <c r="N45" s="18" t="s">
        <v>154</v>
      </c>
      <c r="O45" s="17" t="s">
        <v>154</v>
      </c>
      <c r="P45" s="18" t="s">
        <v>154</v>
      </c>
      <c r="Q45" s="17" t="s">
        <v>154</v>
      </c>
      <c r="R45" s="18" t="s">
        <v>154</v>
      </c>
    </row>
    <row r="46" spans="1:18" x14ac:dyDescent="0.25">
      <c r="A46" s="11" t="s">
        <v>179</v>
      </c>
      <c r="B46" s="13">
        <v>23141</v>
      </c>
      <c r="C46" s="14">
        <f>(19537/B46*100)</f>
        <v>84.425910721230707</v>
      </c>
      <c r="D46" s="15">
        <v>3604</v>
      </c>
      <c r="E46" s="14">
        <v>59.302829449999997</v>
      </c>
      <c r="F46" s="16">
        <v>1.02763932</v>
      </c>
      <c r="G46" s="14">
        <v>40.697170550000003</v>
      </c>
      <c r="H46" s="16">
        <v>1.02763932</v>
      </c>
      <c r="I46" s="14" t="s">
        <v>139</v>
      </c>
      <c r="J46" s="16" t="s">
        <v>139</v>
      </c>
      <c r="K46" s="14">
        <v>0</v>
      </c>
      <c r="L46" s="16">
        <v>0</v>
      </c>
      <c r="M46" s="14">
        <v>0</v>
      </c>
      <c r="N46" s="16">
        <v>0</v>
      </c>
      <c r="O46" s="14">
        <v>0</v>
      </c>
      <c r="P46" s="16">
        <v>0</v>
      </c>
      <c r="Q46" s="14">
        <v>0</v>
      </c>
      <c r="R46" s="16">
        <v>0</v>
      </c>
    </row>
    <row r="47" spans="1:18" x14ac:dyDescent="0.25">
      <c r="A47" s="11" t="s">
        <v>180</v>
      </c>
      <c r="B47" s="13">
        <v>5928</v>
      </c>
      <c r="C47" s="14">
        <f>(4918/B47*100)</f>
        <v>82.962213225371116</v>
      </c>
      <c r="D47" s="15">
        <v>1010</v>
      </c>
      <c r="E47" s="14">
        <v>52.84908557</v>
      </c>
      <c r="F47" s="16">
        <v>1.82113244</v>
      </c>
      <c r="G47" s="14">
        <v>47.15091443</v>
      </c>
      <c r="H47" s="16">
        <v>1.82113244</v>
      </c>
      <c r="I47" s="14" t="s">
        <v>139</v>
      </c>
      <c r="J47" s="16" t="s">
        <v>139</v>
      </c>
      <c r="K47" s="14">
        <v>0</v>
      </c>
      <c r="L47" s="16">
        <v>0</v>
      </c>
      <c r="M47" s="14">
        <v>0</v>
      </c>
      <c r="N47" s="16">
        <v>0</v>
      </c>
      <c r="O47" s="14">
        <v>0</v>
      </c>
      <c r="P47" s="16">
        <v>0</v>
      </c>
      <c r="Q47" s="14">
        <v>0</v>
      </c>
      <c r="R47" s="16">
        <v>0</v>
      </c>
    </row>
    <row r="48" spans="1:18" x14ac:dyDescent="0.25">
      <c r="A48" s="11" t="s">
        <v>181</v>
      </c>
      <c r="B48" s="13">
        <v>9841</v>
      </c>
      <c r="C48" s="14">
        <f>(8147/B48*100)</f>
        <v>82.786302205060451</v>
      </c>
      <c r="D48" s="15">
        <v>1694</v>
      </c>
      <c r="E48" s="14">
        <v>48.180779899999997</v>
      </c>
      <c r="F48" s="16">
        <v>1.87640483</v>
      </c>
      <c r="G48" s="14">
        <v>51.819220100000003</v>
      </c>
      <c r="H48" s="16">
        <v>1.87640483</v>
      </c>
      <c r="I48" s="14" t="s">
        <v>139</v>
      </c>
      <c r="J48" s="16" t="s">
        <v>139</v>
      </c>
      <c r="K48" s="14">
        <v>0</v>
      </c>
      <c r="L48" s="16">
        <v>0</v>
      </c>
      <c r="M48" s="14">
        <v>0</v>
      </c>
      <c r="N48" s="16">
        <v>0</v>
      </c>
      <c r="O48" s="14">
        <v>0</v>
      </c>
      <c r="P48" s="16">
        <v>0</v>
      </c>
      <c r="Q48" s="14">
        <v>0</v>
      </c>
      <c r="R48" s="16">
        <v>0</v>
      </c>
    </row>
    <row r="49" spans="1:18" x14ac:dyDescent="0.25">
      <c r="A49" s="11" t="s">
        <v>182</v>
      </c>
      <c r="B49" s="17" t="s">
        <v>154</v>
      </c>
      <c r="C49" s="17" t="s">
        <v>154</v>
      </c>
      <c r="D49" s="18" t="s">
        <v>154</v>
      </c>
      <c r="E49" s="17" t="s">
        <v>154</v>
      </c>
      <c r="F49" s="18" t="s">
        <v>154</v>
      </c>
      <c r="G49" s="17" t="s">
        <v>154</v>
      </c>
      <c r="H49" s="18" t="s">
        <v>154</v>
      </c>
      <c r="I49" s="17" t="s">
        <v>154</v>
      </c>
      <c r="J49" s="18" t="s">
        <v>154</v>
      </c>
      <c r="K49" s="17" t="s">
        <v>154</v>
      </c>
      <c r="L49" s="18" t="s">
        <v>154</v>
      </c>
      <c r="M49" s="17" t="s">
        <v>154</v>
      </c>
      <c r="N49" s="18" t="s">
        <v>154</v>
      </c>
      <c r="O49" s="17" t="s">
        <v>154</v>
      </c>
      <c r="P49" s="18" t="s">
        <v>154</v>
      </c>
      <c r="Q49" s="17" t="s">
        <v>154</v>
      </c>
      <c r="R49" s="18" t="s">
        <v>154</v>
      </c>
    </row>
    <row r="50" spans="1:18" x14ac:dyDescent="0.25">
      <c r="A50" s="11" t="s">
        <v>183</v>
      </c>
      <c r="B50" s="13">
        <v>11795</v>
      </c>
      <c r="C50" s="14">
        <f>(9780/B50*100)</f>
        <v>82.916490038151764</v>
      </c>
      <c r="D50" s="15">
        <v>2015</v>
      </c>
      <c r="E50" s="14">
        <v>55.130476420000001</v>
      </c>
      <c r="F50" s="16">
        <v>1.7188690900000001</v>
      </c>
      <c r="G50" s="14">
        <v>44.869523579999999</v>
      </c>
      <c r="H50" s="16">
        <v>1.7188690900000001</v>
      </c>
      <c r="I50" s="14" t="s">
        <v>139</v>
      </c>
      <c r="J50" s="16" t="s">
        <v>139</v>
      </c>
      <c r="K50" s="14">
        <v>0</v>
      </c>
      <c r="L50" s="16">
        <v>0</v>
      </c>
      <c r="M50" s="14">
        <v>0</v>
      </c>
      <c r="N50" s="16">
        <v>0</v>
      </c>
      <c r="O50" s="14">
        <v>0</v>
      </c>
      <c r="P50" s="16">
        <v>0</v>
      </c>
      <c r="Q50" s="14">
        <v>0</v>
      </c>
      <c r="R50" s="16">
        <v>0</v>
      </c>
    </row>
    <row r="51" spans="1:18" x14ac:dyDescent="0.25">
      <c r="A51" s="11" t="s">
        <v>184</v>
      </c>
      <c r="B51" s="13">
        <v>6866</v>
      </c>
      <c r="C51" s="14">
        <f>(5844/B51*100)</f>
        <v>85.115059714535391</v>
      </c>
      <c r="D51" s="15">
        <v>1022</v>
      </c>
      <c r="E51" s="14">
        <v>52.804569839999999</v>
      </c>
      <c r="F51" s="16">
        <v>1.6624226200000001</v>
      </c>
      <c r="G51" s="14">
        <v>47.195430160000001</v>
      </c>
      <c r="H51" s="16">
        <v>1.6624226200000001</v>
      </c>
      <c r="I51" s="14" t="s">
        <v>139</v>
      </c>
      <c r="J51" s="16" t="s">
        <v>139</v>
      </c>
      <c r="K51" s="14">
        <v>0</v>
      </c>
      <c r="L51" s="16">
        <v>0</v>
      </c>
      <c r="M51" s="14">
        <v>0</v>
      </c>
      <c r="N51" s="16">
        <v>0</v>
      </c>
      <c r="O51" s="14">
        <v>0</v>
      </c>
      <c r="P51" s="16">
        <v>0</v>
      </c>
      <c r="Q51" s="14">
        <v>0</v>
      </c>
      <c r="R51" s="16">
        <v>0</v>
      </c>
    </row>
    <row r="52" spans="1:18" x14ac:dyDescent="0.25">
      <c r="A52" s="11" t="s">
        <v>185</v>
      </c>
      <c r="B52" s="13">
        <v>5809</v>
      </c>
      <c r="C52" s="14">
        <f>(4801/B52*100)</f>
        <v>82.647615768634878</v>
      </c>
      <c r="D52" s="15">
        <v>1008</v>
      </c>
      <c r="E52" s="14">
        <v>59.80114391</v>
      </c>
      <c r="F52" s="16">
        <v>1.6489402399999999</v>
      </c>
      <c r="G52" s="14">
        <v>40.19885609</v>
      </c>
      <c r="H52" s="16">
        <v>1.6489402399999999</v>
      </c>
      <c r="I52" s="14" t="s">
        <v>139</v>
      </c>
      <c r="J52" s="16" t="s">
        <v>139</v>
      </c>
      <c r="K52" s="14">
        <v>0</v>
      </c>
      <c r="L52" s="16">
        <v>0</v>
      </c>
      <c r="M52" s="14">
        <v>0</v>
      </c>
      <c r="N52" s="16">
        <v>0</v>
      </c>
      <c r="O52" s="14">
        <v>0</v>
      </c>
      <c r="P52" s="16">
        <v>0</v>
      </c>
      <c r="Q52" s="14">
        <v>0</v>
      </c>
      <c r="R52" s="16">
        <v>0</v>
      </c>
    </row>
    <row r="53" spans="1:18" x14ac:dyDescent="0.25">
      <c r="A53" s="11" t="s">
        <v>186</v>
      </c>
      <c r="B53" s="13">
        <v>5571</v>
      </c>
      <c r="C53" s="14">
        <f>(4604/B53*100)</f>
        <v>82.642254532399932</v>
      </c>
      <c r="D53" s="15">
        <v>967</v>
      </c>
      <c r="E53" s="14">
        <v>53.192087319999999</v>
      </c>
      <c r="F53" s="16">
        <v>1.6304072599999999</v>
      </c>
      <c r="G53" s="14">
        <v>46.807912680000001</v>
      </c>
      <c r="H53" s="16">
        <v>1.6304072599999999</v>
      </c>
      <c r="I53" s="14" t="s">
        <v>139</v>
      </c>
      <c r="J53" s="16" t="s">
        <v>139</v>
      </c>
      <c r="K53" s="14">
        <v>0</v>
      </c>
      <c r="L53" s="16">
        <v>0</v>
      </c>
      <c r="M53" s="14">
        <v>0</v>
      </c>
      <c r="N53" s="16">
        <v>0</v>
      </c>
      <c r="O53" s="14">
        <v>0</v>
      </c>
      <c r="P53" s="16">
        <v>0</v>
      </c>
      <c r="Q53" s="14">
        <v>0</v>
      </c>
      <c r="R53" s="16">
        <v>0</v>
      </c>
    </row>
    <row r="54" spans="1:18" x14ac:dyDescent="0.25">
      <c r="A54" s="11" t="s">
        <v>187</v>
      </c>
      <c r="B54" s="17" t="s">
        <v>154</v>
      </c>
      <c r="C54" s="17" t="s">
        <v>154</v>
      </c>
      <c r="D54" s="18" t="s">
        <v>154</v>
      </c>
      <c r="E54" s="17" t="s">
        <v>154</v>
      </c>
      <c r="F54" s="18" t="s">
        <v>154</v>
      </c>
      <c r="G54" s="17" t="s">
        <v>154</v>
      </c>
      <c r="H54" s="18" t="s">
        <v>154</v>
      </c>
      <c r="I54" s="17" t="s">
        <v>154</v>
      </c>
      <c r="J54" s="18" t="s">
        <v>154</v>
      </c>
      <c r="K54" s="17" t="s">
        <v>154</v>
      </c>
      <c r="L54" s="18" t="s">
        <v>154</v>
      </c>
      <c r="M54" s="17" t="s">
        <v>154</v>
      </c>
      <c r="N54" s="18" t="s">
        <v>154</v>
      </c>
      <c r="O54" s="17" t="s">
        <v>154</v>
      </c>
      <c r="P54" s="18" t="s">
        <v>154</v>
      </c>
      <c r="Q54" s="17" t="s">
        <v>154</v>
      </c>
      <c r="R54" s="18" t="s">
        <v>154</v>
      </c>
    </row>
    <row r="55" spans="1:18" x14ac:dyDescent="0.25">
      <c r="A55" s="11" t="s">
        <v>188</v>
      </c>
      <c r="B55" s="17" t="s">
        <v>154</v>
      </c>
      <c r="C55" s="17" t="s">
        <v>154</v>
      </c>
      <c r="D55" s="18" t="s">
        <v>154</v>
      </c>
      <c r="E55" s="17" t="s">
        <v>154</v>
      </c>
      <c r="F55" s="18" t="s">
        <v>154</v>
      </c>
      <c r="G55" s="17" t="s">
        <v>154</v>
      </c>
      <c r="H55" s="18" t="s">
        <v>154</v>
      </c>
      <c r="I55" s="17" t="s">
        <v>154</v>
      </c>
      <c r="J55" s="18" t="s">
        <v>154</v>
      </c>
      <c r="K55" s="17" t="s">
        <v>154</v>
      </c>
      <c r="L55" s="18" t="s">
        <v>154</v>
      </c>
      <c r="M55" s="17" t="s">
        <v>154</v>
      </c>
      <c r="N55" s="18" t="s">
        <v>154</v>
      </c>
      <c r="O55" s="17" t="s">
        <v>154</v>
      </c>
      <c r="P55" s="18" t="s">
        <v>154</v>
      </c>
      <c r="Q55" s="17" t="s">
        <v>154</v>
      </c>
      <c r="R55" s="18" t="s">
        <v>154</v>
      </c>
    </row>
    <row r="56" spans="1:18" x14ac:dyDescent="0.25">
      <c r="A56" s="11" t="s">
        <v>189</v>
      </c>
      <c r="B56" s="13">
        <v>5359</v>
      </c>
      <c r="C56" s="14">
        <f>(4443/B56*100)</f>
        <v>82.907258816943468</v>
      </c>
      <c r="D56" s="15">
        <v>916</v>
      </c>
      <c r="E56" s="14">
        <v>31.915867380000002</v>
      </c>
      <c r="F56" s="16">
        <v>1.5284366599999999</v>
      </c>
      <c r="G56" s="14">
        <v>68.084132620000005</v>
      </c>
      <c r="H56" s="16">
        <v>1.5284366599999999</v>
      </c>
      <c r="I56" s="14" t="s">
        <v>139</v>
      </c>
      <c r="J56" s="16" t="s">
        <v>139</v>
      </c>
      <c r="K56" s="14">
        <v>0</v>
      </c>
      <c r="L56" s="16">
        <v>0</v>
      </c>
      <c r="M56" s="14">
        <v>0</v>
      </c>
      <c r="N56" s="16">
        <v>0</v>
      </c>
      <c r="O56" s="14">
        <v>0</v>
      </c>
      <c r="P56" s="16">
        <v>0</v>
      </c>
      <c r="Q56" s="14">
        <v>0</v>
      </c>
      <c r="R56" s="16">
        <v>0</v>
      </c>
    </row>
    <row r="57" spans="1:18" x14ac:dyDescent="0.25">
      <c r="A57" s="11" t="s">
        <v>190</v>
      </c>
      <c r="B57" s="17" t="s">
        <v>154</v>
      </c>
      <c r="C57" s="17" t="s">
        <v>154</v>
      </c>
      <c r="D57" s="18" t="s">
        <v>154</v>
      </c>
      <c r="E57" s="17" t="s">
        <v>154</v>
      </c>
      <c r="F57" s="18" t="s">
        <v>154</v>
      </c>
      <c r="G57" s="17" t="s">
        <v>154</v>
      </c>
      <c r="H57" s="18" t="s">
        <v>154</v>
      </c>
      <c r="I57" s="17" t="s">
        <v>154</v>
      </c>
      <c r="J57" s="18" t="s">
        <v>154</v>
      </c>
      <c r="K57" s="17" t="s">
        <v>154</v>
      </c>
      <c r="L57" s="18" t="s">
        <v>154</v>
      </c>
      <c r="M57" s="17" t="s">
        <v>154</v>
      </c>
      <c r="N57" s="18" t="s">
        <v>154</v>
      </c>
      <c r="O57" s="17" t="s">
        <v>154</v>
      </c>
      <c r="P57" s="18" t="s">
        <v>154</v>
      </c>
      <c r="Q57" s="17" t="s">
        <v>154</v>
      </c>
      <c r="R57" s="18" t="s">
        <v>154</v>
      </c>
    </row>
    <row r="58" spans="1:18" x14ac:dyDescent="0.25">
      <c r="A58" s="11" t="s">
        <v>191</v>
      </c>
      <c r="B58" s="17" t="s">
        <v>154</v>
      </c>
      <c r="C58" s="17" t="s">
        <v>154</v>
      </c>
      <c r="D58" s="18" t="s">
        <v>154</v>
      </c>
      <c r="E58" s="17" t="s">
        <v>154</v>
      </c>
      <c r="F58" s="18" t="s">
        <v>154</v>
      </c>
      <c r="G58" s="17" t="s">
        <v>154</v>
      </c>
      <c r="H58" s="18" t="s">
        <v>154</v>
      </c>
      <c r="I58" s="17" t="s">
        <v>154</v>
      </c>
      <c r="J58" s="18" t="s">
        <v>154</v>
      </c>
      <c r="K58" s="17" t="s">
        <v>154</v>
      </c>
      <c r="L58" s="18" t="s">
        <v>154</v>
      </c>
      <c r="M58" s="17" t="s">
        <v>154</v>
      </c>
      <c r="N58" s="18" t="s">
        <v>154</v>
      </c>
      <c r="O58" s="17" t="s">
        <v>154</v>
      </c>
      <c r="P58" s="18" t="s">
        <v>154</v>
      </c>
      <c r="Q58" s="17" t="s">
        <v>154</v>
      </c>
      <c r="R58" s="18" t="s">
        <v>154</v>
      </c>
    </row>
    <row r="59" spans="1:18" x14ac:dyDescent="0.25">
      <c r="A59" s="11" t="s">
        <v>192</v>
      </c>
      <c r="B59" s="17" t="s">
        <v>154</v>
      </c>
      <c r="C59" s="17" t="s">
        <v>154</v>
      </c>
      <c r="D59" s="18" t="s">
        <v>154</v>
      </c>
      <c r="E59" s="17" t="s">
        <v>154</v>
      </c>
      <c r="F59" s="18" t="s">
        <v>154</v>
      </c>
      <c r="G59" s="17" t="s">
        <v>154</v>
      </c>
      <c r="H59" s="18" t="s">
        <v>154</v>
      </c>
      <c r="I59" s="17" t="s">
        <v>154</v>
      </c>
      <c r="J59" s="18" t="s">
        <v>154</v>
      </c>
      <c r="K59" s="17" t="s">
        <v>154</v>
      </c>
      <c r="L59" s="18" t="s">
        <v>154</v>
      </c>
      <c r="M59" s="17" t="s">
        <v>154</v>
      </c>
      <c r="N59" s="18" t="s">
        <v>154</v>
      </c>
      <c r="O59" s="17" t="s">
        <v>154</v>
      </c>
      <c r="P59" s="18" t="s">
        <v>154</v>
      </c>
      <c r="Q59" s="17" t="s">
        <v>154</v>
      </c>
      <c r="R59" s="18" t="s">
        <v>154</v>
      </c>
    </row>
    <row r="60" spans="1:18" x14ac:dyDescent="0.25">
      <c r="A60" s="11" t="s">
        <v>193</v>
      </c>
      <c r="B60" s="17" t="s">
        <v>154</v>
      </c>
      <c r="C60" s="17" t="s">
        <v>154</v>
      </c>
      <c r="D60" s="18" t="s">
        <v>154</v>
      </c>
      <c r="E60" s="17" t="s">
        <v>154</v>
      </c>
      <c r="F60" s="18" t="s">
        <v>154</v>
      </c>
      <c r="G60" s="17" t="s">
        <v>154</v>
      </c>
      <c r="H60" s="18" t="s">
        <v>154</v>
      </c>
      <c r="I60" s="17" t="s">
        <v>154</v>
      </c>
      <c r="J60" s="18" t="s">
        <v>154</v>
      </c>
      <c r="K60" s="17" t="s">
        <v>154</v>
      </c>
      <c r="L60" s="18" t="s">
        <v>154</v>
      </c>
      <c r="M60" s="17" t="s">
        <v>154</v>
      </c>
      <c r="N60" s="18" t="s">
        <v>154</v>
      </c>
      <c r="O60" s="17" t="s">
        <v>154</v>
      </c>
      <c r="P60" s="18" t="s">
        <v>154</v>
      </c>
      <c r="Q60" s="17" t="s">
        <v>154</v>
      </c>
      <c r="R60" s="18" t="s">
        <v>154</v>
      </c>
    </row>
    <row r="61" spans="1:18" x14ac:dyDescent="0.25">
      <c r="A61" s="11" t="s">
        <v>194</v>
      </c>
      <c r="B61" s="13">
        <v>6525</v>
      </c>
      <c r="C61" s="14">
        <f>(5385/B61*100)</f>
        <v>82.528735632183896</v>
      </c>
      <c r="D61" s="15">
        <v>1140</v>
      </c>
      <c r="E61" s="14">
        <v>51.447515549999999</v>
      </c>
      <c r="F61" s="16">
        <v>1.81175318</v>
      </c>
      <c r="G61" s="14">
        <v>48.552484450000001</v>
      </c>
      <c r="H61" s="16">
        <v>1.81175318</v>
      </c>
      <c r="I61" s="14" t="s">
        <v>139</v>
      </c>
      <c r="J61" s="16" t="s">
        <v>139</v>
      </c>
      <c r="K61" s="14">
        <v>0</v>
      </c>
      <c r="L61" s="16">
        <v>0</v>
      </c>
      <c r="M61" s="14">
        <v>0</v>
      </c>
      <c r="N61" s="16">
        <v>0</v>
      </c>
      <c r="O61" s="14">
        <v>0</v>
      </c>
      <c r="P61" s="16">
        <v>0</v>
      </c>
      <c r="Q61" s="14">
        <v>0</v>
      </c>
      <c r="R61" s="16">
        <v>0</v>
      </c>
    </row>
    <row r="62" spans="1:18" x14ac:dyDescent="0.25">
      <c r="A62" s="11" t="s">
        <v>195</v>
      </c>
      <c r="B62" s="13">
        <v>4476</v>
      </c>
      <c r="C62" s="14">
        <f>(3693/B62*100)</f>
        <v>82.506702412868634</v>
      </c>
      <c r="D62" s="15">
        <v>783</v>
      </c>
      <c r="E62" s="14">
        <v>37.123352619999999</v>
      </c>
      <c r="F62" s="16">
        <v>1.86514969</v>
      </c>
      <c r="G62" s="14">
        <v>62.876647380000001</v>
      </c>
      <c r="H62" s="16">
        <v>1.86514969</v>
      </c>
      <c r="I62" s="14" t="s">
        <v>139</v>
      </c>
      <c r="J62" s="16" t="s">
        <v>139</v>
      </c>
      <c r="K62" s="14">
        <v>0</v>
      </c>
      <c r="L62" s="16">
        <v>0</v>
      </c>
      <c r="M62" s="14">
        <v>0</v>
      </c>
      <c r="N62" s="16">
        <v>0</v>
      </c>
      <c r="O62" s="14">
        <v>0</v>
      </c>
      <c r="P62" s="16">
        <v>0</v>
      </c>
      <c r="Q62" s="14">
        <v>0</v>
      </c>
      <c r="R62" s="16">
        <v>0</v>
      </c>
    </row>
    <row r="63" spans="1:18" x14ac:dyDescent="0.25">
      <c r="A63" s="11" t="s">
        <v>196</v>
      </c>
      <c r="B63" s="17" t="s">
        <v>154</v>
      </c>
      <c r="C63" s="17" t="s">
        <v>154</v>
      </c>
      <c r="D63" s="18" t="s">
        <v>154</v>
      </c>
      <c r="E63" s="17" t="s">
        <v>154</v>
      </c>
      <c r="F63" s="18" t="s">
        <v>154</v>
      </c>
      <c r="G63" s="17" t="s">
        <v>154</v>
      </c>
      <c r="H63" s="18" t="s">
        <v>154</v>
      </c>
      <c r="I63" s="17" t="s">
        <v>154</v>
      </c>
      <c r="J63" s="18" t="s">
        <v>154</v>
      </c>
      <c r="K63" s="17" t="s">
        <v>154</v>
      </c>
      <c r="L63" s="18" t="s">
        <v>154</v>
      </c>
      <c r="M63" s="17" t="s">
        <v>154</v>
      </c>
      <c r="N63" s="18" t="s">
        <v>154</v>
      </c>
      <c r="O63" s="17" t="s">
        <v>154</v>
      </c>
      <c r="P63" s="18" t="s">
        <v>154</v>
      </c>
      <c r="Q63" s="17" t="s">
        <v>154</v>
      </c>
      <c r="R63" s="18" t="s">
        <v>154</v>
      </c>
    </row>
    <row r="64" spans="1:18" x14ac:dyDescent="0.25">
      <c r="A64" s="11" t="s">
        <v>197</v>
      </c>
      <c r="B64" s="17" t="s">
        <v>154</v>
      </c>
      <c r="C64" s="17" t="s">
        <v>154</v>
      </c>
      <c r="D64" s="18" t="s">
        <v>154</v>
      </c>
      <c r="E64" s="17" t="s">
        <v>154</v>
      </c>
      <c r="F64" s="18" t="s">
        <v>154</v>
      </c>
      <c r="G64" s="17" t="s">
        <v>154</v>
      </c>
      <c r="H64" s="18" t="s">
        <v>154</v>
      </c>
      <c r="I64" s="17" t="s">
        <v>154</v>
      </c>
      <c r="J64" s="18" t="s">
        <v>154</v>
      </c>
      <c r="K64" s="17" t="s">
        <v>154</v>
      </c>
      <c r="L64" s="18" t="s">
        <v>154</v>
      </c>
      <c r="M64" s="17" t="s">
        <v>154</v>
      </c>
      <c r="N64" s="18" t="s">
        <v>154</v>
      </c>
      <c r="O64" s="17" t="s">
        <v>154</v>
      </c>
      <c r="P64" s="18" t="s">
        <v>154</v>
      </c>
      <c r="Q64" s="17" t="s">
        <v>154</v>
      </c>
      <c r="R64" s="18" t="s">
        <v>154</v>
      </c>
    </row>
    <row r="65" spans="1:18" x14ac:dyDescent="0.25">
      <c r="A65" s="11" t="s">
        <v>198</v>
      </c>
      <c r="B65" s="17" t="s">
        <v>154</v>
      </c>
      <c r="C65" s="17" t="s">
        <v>154</v>
      </c>
      <c r="D65" s="18" t="s">
        <v>154</v>
      </c>
      <c r="E65" s="17" t="s">
        <v>154</v>
      </c>
      <c r="F65" s="18" t="s">
        <v>154</v>
      </c>
      <c r="G65" s="17" t="s">
        <v>154</v>
      </c>
      <c r="H65" s="18" t="s">
        <v>154</v>
      </c>
      <c r="I65" s="17" t="s">
        <v>154</v>
      </c>
      <c r="J65" s="18" t="s">
        <v>154</v>
      </c>
      <c r="K65" s="17" t="s">
        <v>154</v>
      </c>
      <c r="L65" s="18" t="s">
        <v>154</v>
      </c>
      <c r="M65" s="17" t="s">
        <v>154</v>
      </c>
      <c r="N65" s="18" t="s">
        <v>154</v>
      </c>
      <c r="O65" s="17" t="s">
        <v>154</v>
      </c>
      <c r="P65" s="18" t="s">
        <v>154</v>
      </c>
      <c r="Q65" s="17" t="s">
        <v>154</v>
      </c>
      <c r="R65" s="18" t="s">
        <v>154</v>
      </c>
    </row>
    <row r="66" spans="1:18" x14ac:dyDescent="0.25">
      <c r="A66" s="11" t="s">
        <v>199</v>
      </c>
      <c r="B66" s="13">
        <v>5665</v>
      </c>
      <c r="C66" s="14">
        <f>(4694/B66*100)</f>
        <v>82.85966460723742</v>
      </c>
      <c r="D66" s="15">
        <v>971</v>
      </c>
      <c r="E66" s="14">
        <v>64.049595170000003</v>
      </c>
      <c r="F66" s="16">
        <v>1.6500659099999999</v>
      </c>
      <c r="G66" s="14">
        <v>35.950404829999997</v>
      </c>
      <c r="H66" s="16">
        <v>1.6500659099999999</v>
      </c>
      <c r="I66" s="14" t="s">
        <v>139</v>
      </c>
      <c r="J66" s="16" t="s">
        <v>139</v>
      </c>
      <c r="K66" s="14">
        <v>0</v>
      </c>
      <c r="L66" s="16">
        <v>0</v>
      </c>
      <c r="M66" s="14">
        <v>0</v>
      </c>
      <c r="N66" s="16">
        <v>0</v>
      </c>
      <c r="O66" s="14">
        <v>0</v>
      </c>
      <c r="P66" s="16">
        <v>0</v>
      </c>
      <c r="Q66" s="14">
        <v>0</v>
      </c>
      <c r="R66" s="16">
        <v>0</v>
      </c>
    </row>
    <row r="67" spans="1:18" x14ac:dyDescent="0.25">
      <c r="A67" s="11" t="s">
        <v>200</v>
      </c>
      <c r="B67" s="13">
        <v>6971</v>
      </c>
      <c r="C67" s="14">
        <f>(5816/B67*100)</f>
        <v>83.431358485152771</v>
      </c>
      <c r="D67" s="15">
        <v>1155</v>
      </c>
      <c r="E67" s="14">
        <v>64.673348720000007</v>
      </c>
      <c r="F67" s="16">
        <v>1.51727075</v>
      </c>
      <c r="G67" s="14">
        <v>35.32665128</v>
      </c>
      <c r="H67" s="16">
        <v>1.51727075</v>
      </c>
      <c r="I67" s="14" t="s">
        <v>139</v>
      </c>
      <c r="J67" s="16" t="s">
        <v>139</v>
      </c>
      <c r="K67" s="14">
        <v>0</v>
      </c>
      <c r="L67" s="16">
        <v>0</v>
      </c>
      <c r="M67" s="14">
        <v>0</v>
      </c>
      <c r="N67" s="16">
        <v>0</v>
      </c>
      <c r="O67" s="14">
        <v>0</v>
      </c>
      <c r="P67" s="16">
        <v>0</v>
      </c>
      <c r="Q67" s="14">
        <v>0</v>
      </c>
      <c r="R67" s="16">
        <v>0</v>
      </c>
    </row>
    <row r="68" spans="1:18" x14ac:dyDescent="0.25">
      <c r="A68" s="11" t="s">
        <v>201</v>
      </c>
      <c r="B68" s="17" t="s">
        <v>154</v>
      </c>
      <c r="C68" s="17" t="s">
        <v>154</v>
      </c>
      <c r="D68" s="18" t="s">
        <v>154</v>
      </c>
      <c r="E68" s="17" t="s">
        <v>154</v>
      </c>
      <c r="F68" s="18" t="s">
        <v>154</v>
      </c>
      <c r="G68" s="17" t="s">
        <v>154</v>
      </c>
      <c r="H68" s="18" t="s">
        <v>154</v>
      </c>
      <c r="I68" s="17" t="s">
        <v>154</v>
      </c>
      <c r="J68" s="18" t="s">
        <v>154</v>
      </c>
      <c r="K68" s="17" t="s">
        <v>154</v>
      </c>
      <c r="L68" s="18" t="s">
        <v>154</v>
      </c>
      <c r="M68" s="17" t="s">
        <v>154</v>
      </c>
      <c r="N68" s="18" t="s">
        <v>154</v>
      </c>
      <c r="O68" s="17" t="s">
        <v>154</v>
      </c>
      <c r="P68" s="18" t="s">
        <v>154</v>
      </c>
      <c r="Q68" s="17" t="s">
        <v>154</v>
      </c>
      <c r="R68" s="18" t="s">
        <v>154</v>
      </c>
    </row>
    <row r="69" spans="1:18" x14ac:dyDescent="0.25">
      <c r="A69" s="11" t="s">
        <v>202</v>
      </c>
      <c r="B69" s="17" t="s">
        <v>154</v>
      </c>
      <c r="C69" s="17" t="s">
        <v>154</v>
      </c>
      <c r="D69" s="18" t="s">
        <v>154</v>
      </c>
      <c r="E69" s="17" t="s">
        <v>154</v>
      </c>
      <c r="F69" s="18" t="s">
        <v>154</v>
      </c>
      <c r="G69" s="17" t="s">
        <v>154</v>
      </c>
      <c r="H69" s="18" t="s">
        <v>154</v>
      </c>
      <c r="I69" s="17" t="s">
        <v>154</v>
      </c>
      <c r="J69" s="18" t="s">
        <v>154</v>
      </c>
      <c r="K69" s="17" t="s">
        <v>154</v>
      </c>
      <c r="L69" s="18" t="s">
        <v>154</v>
      </c>
      <c r="M69" s="17" t="s">
        <v>154</v>
      </c>
      <c r="N69" s="18" t="s">
        <v>154</v>
      </c>
      <c r="O69" s="17" t="s">
        <v>154</v>
      </c>
      <c r="P69" s="18" t="s">
        <v>154</v>
      </c>
      <c r="Q69" s="17" t="s">
        <v>154</v>
      </c>
      <c r="R69" s="18" t="s">
        <v>154</v>
      </c>
    </row>
    <row r="70" spans="1:18" x14ac:dyDescent="0.25">
      <c r="A70" s="11" t="s">
        <v>203</v>
      </c>
      <c r="B70" s="13">
        <v>6036</v>
      </c>
      <c r="C70" s="14">
        <f>(4996/B70*100)</f>
        <v>82.770046388336652</v>
      </c>
      <c r="D70" s="15">
        <v>1040</v>
      </c>
      <c r="E70" s="14">
        <v>50.867590939999999</v>
      </c>
      <c r="F70" s="16">
        <v>1.6055493999999999</v>
      </c>
      <c r="G70" s="14">
        <v>49.132409060000001</v>
      </c>
      <c r="H70" s="16">
        <v>1.6055493999999999</v>
      </c>
      <c r="I70" s="14" t="s">
        <v>139</v>
      </c>
      <c r="J70" s="16" t="s">
        <v>139</v>
      </c>
      <c r="K70" s="14">
        <v>0</v>
      </c>
      <c r="L70" s="16">
        <v>0</v>
      </c>
      <c r="M70" s="14">
        <v>0</v>
      </c>
      <c r="N70" s="16">
        <v>0</v>
      </c>
      <c r="O70" s="14">
        <v>0</v>
      </c>
      <c r="P70" s="16">
        <v>0</v>
      </c>
      <c r="Q70" s="14">
        <v>0</v>
      </c>
      <c r="R70" s="16">
        <v>0</v>
      </c>
    </row>
    <row r="71" spans="1:18" x14ac:dyDescent="0.25">
      <c r="A71" s="11" t="s">
        <v>204</v>
      </c>
      <c r="B71" s="17" t="s">
        <v>154</v>
      </c>
      <c r="C71" s="17" t="s">
        <v>154</v>
      </c>
      <c r="D71" s="18" t="s">
        <v>154</v>
      </c>
      <c r="E71" s="17" t="s">
        <v>154</v>
      </c>
      <c r="F71" s="18" t="s">
        <v>154</v>
      </c>
      <c r="G71" s="17" t="s">
        <v>154</v>
      </c>
      <c r="H71" s="18" t="s">
        <v>154</v>
      </c>
      <c r="I71" s="17" t="s">
        <v>154</v>
      </c>
      <c r="J71" s="18" t="s">
        <v>154</v>
      </c>
      <c r="K71" s="17" t="s">
        <v>154</v>
      </c>
      <c r="L71" s="18" t="s">
        <v>154</v>
      </c>
      <c r="M71" s="17" t="s">
        <v>154</v>
      </c>
      <c r="N71" s="18" t="s">
        <v>154</v>
      </c>
      <c r="O71" s="17" t="s">
        <v>154</v>
      </c>
      <c r="P71" s="18" t="s">
        <v>154</v>
      </c>
      <c r="Q71" s="17" t="s">
        <v>154</v>
      </c>
      <c r="R71" s="18" t="s">
        <v>154</v>
      </c>
    </row>
    <row r="72" spans="1:18" x14ac:dyDescent="0.25">
      <c r="A72" s="11" t="s">
        <v>205</v>
      </c>
      <c r="B72" s="13">
        <v>7708</v>
      </c>
      <c r="C72" s="14">
        <f>(6389/B72*100)</f>
        <v>82.887908666320712</v>
      </c>
      <c r="D72" s="15">
        <v>1319</v>
      </c>
      <c r="E72" s="14">
        <v>42.792809820000002</v>
      </c>
      <c r="F72" s="16">
        <v>1.5643602299999999</v>
      </c>
      <c r="G72" s="14">
        <v>57.207190179999998</v>
      </c>
      <c r="H72" s="16">
        <v>1.5643602299999999</v>
      </c>
      <c r="I72" s="14" t="s">
        <v>139</v>
      </c>
      <c r="J72" s="16" t="s">
        <v>139</v>
      </c>
      <c r="K72" s="14">
        <v>0</v>
      </c>
      <c r="L72" s="16">
        <v>0</v>
      </c>
      <c r="M72" s="14">
        <v>0</v>
      </c>
      <c r="N72" s="16">
        <v>0</v>
      </c>
      <c r="O72" s="14">
        <v>0</v>
      </c>
      <c r="P72" s="16">
        <v>0</v>
      </c>
      <c r="Q72" s="14">
        <v>0</v>
      </c>
      <c r="R72" s="16">
        <v>0</v>
      </c>
    </row>
    <row r="73" spans="1:18" x14ac:dyDescent="0.25">
      <c r="A73" s="11" t="s">
        <v>206</v>
      </c>
      <c r="B73" s="13">
        <v>8249</v>
      </c>
      <c r="C73" s="14">
        <f>(6863/B73*100)</f>
        <v>83.197963389501766</v>
      </c>
      <c r="D73" s="15">
        <v>1386</v>
      </c>
      <c r="E73" s="14">
        <v>54.369677879999998</v>
      </c>
      <c r="F73" s="16">
        <v>1.66380146</v>
      </c>
      <c r="G73" s="14">
        <v>45.630322120000002</v>
      </c>
      <c r="H73" s="16">
        <v>1.66380146</v>
      </c>
      <c r="I73" s="14" t="s">
        <v>139</v>
      </c>
      <c r="J73" s="16" t="s">
        <v>139</v>
      </c>
      <c r="K73" s="14">
        <v>0</v>
      </c>
      <c r="L73" s="16">
        <v>0</v>
      </c>
      <c r="M73" s="14">
        <v>0</v>
      </c>
      <c r="N73" s="16">
        <v>0</v>
      </c>
      <c r="O73" s="14">
        <v>0</v>
      </c>
      <c r="P73" s="16">
        <v>0</v>
      </c>
      <c r="Q73" s="14">
        <v>0</v>
      </c>
      <c r="R73" s="16">
        <v>0</v>
      </c>
    </row>
    <row r="74" spans="1:18" x14ac:dyDescent="0.25">
      <c r="A74" s="11" t="s">
        <v>207</v>
      </c>
      <c r="B74" s="17" t="s">
        <v>154</v>
      </c>
      <c r="C74" s="17" t="s">
        <v>154</v>
      </c>
      <c r="D74" s="18" t="s">
        <v>154</v>
      </c>
      <c r="E74" s="17" t="s">
        <v>154</v>
      </c>
      <c r="F74" s="18" t="s">
        <v>154</v>
      </c>
      <c r="G74" s="17" t="s">
        <v>154</v>
      </c>
      <c r="H74" s="18" t="s">
        <v>154</v>
      </c>
      <c r="I74" s="17" t="s">
        <v>154</v>
      </c>
      <c r="J74" s="18" t="s">
        <v>154</v>
      </c>
      <c r="K74" s="17" t="s">
        <v>154</v>
      </c>
      <c r="L74" s="18" t="s">
        <v>154</v>
      </c>
      <c r="M74" s="17" t="s">
        <v>154</v>
      </c>
      <c r="N74" s="18" t="s">
        <v>154</v>
      </c>
      <c r="O74" s="17" t="s">
        <v>154</v>
      </c>
      <c r="P74" s="18" t="s">
        <v>154</v>
      </c>
      <c r="Q74" s="17" t="s">
        <v>154</v>
      </c>
      <c r="R74" s="18" t="s">
        <v>154</v>
      </c>
    </row>
    <row r="75" spans="1:18" x14ac:dyDescent="0.25">
      <c r="A75" s="11" t="s">
        <v>208</v>
      </c>
      <c r="B75" s="13">
        <v>5375</v>
      </c>
      <c r="C75" s="14">
        <f>(4484/B75*100)</f>
        <v>83.423255813953489</v>
      </c>
      <c r="D75" s="15">
        <v>891</v>
      </c>
      <c r="E75" s="14">
        <v>70.557121289999998</v>
      </c>
      <c r="F75" s="16">
        <v>1.75072866</v>
      </c>
      <c r="G75" s="14">
        <v>29.442878709999999</v>
      </c>
      <c r="H75" s="16">
        <v>1.75072866</v>
      </c>
      <c r="I75" s="14" t="s">
        <v>139</v>
      </c>
      <c r="J75" s="16" t="s">
        <v>139</v>
      </c>
      <c r="K75" s="14">
        <v>0</v>
      </c>
      <c r="L75" s="16">
        <v>0</v>
      </c>
      <c r="M75" s="14">
        <v>0</v>
      </c>
      <c r="N75" s="16">
        <v>0</v>
      </c>
      <c r="O75" s="14">
        <v>0</v>
      </c>
      <c r="P75" s="16">
        <v>0</v>
      </c>
      <c r="Q75" s="14">
        <v>0</v>
      </c>
      <c r="R75" s="16">
        <v>0</v>
      </c>
    </row>
    <row r="76" spans="1:18" x14ac:dyDescent="0.25">
      <c r="A76" s="11" t="s">
        <v>209</v>
      </c>
      <c r="B76" s="13">
        <v>14167</v>
      </c>
      <c r="C76" s="14">
        <f>(11779/B76*100)</f>
        <v>83.143926025270005</v>
      </c>
      <c r="D76" s="15">
        <v>2388</v>
      </c>
      <c r="E76" s="14">
        <v>56.136781589999998</v>
      </c>
      <c r="F76" s="16">
        <v>1.1161248100000001</v>
      </c>
      <c r="G76" s="14">
        <v>43.863218410000002</v>
      </c>
      <c r="H76" s="16">
        <v>1.1161248100000001</v>
      </c>
      <c r="I76" s="14" t="s">
        <v>139</v>
      </c>
      <c r="J76" s="16" t="s">
        <v>139</v>
      </c>
      <c r="K76" s="14">
        <v>0</v>
      </c>
      <c r="L76" s="16">
        <v>0</v>
      </c>
      <c r="M76" s="14">
        <v>0</v>
      </c>
      <c r="N76" s="16">
        <v>0</v>
      </c>
      <c r="O76" s="14">
        <v>0</v>
      </c>
      <c r="P76" s="16">
        <v>0</v>
      </c>
      <c r="Q76" s="14">
        <v>0</v>
      </c>
      <c r="R76" s="16">
        <v>0</v>
      </c>
    </row>
    <row r="77" spans="1:18" x14ac:dyDescent="0.25">
      <c r="A77" s="11" t="s">
        <v>210</v>
      </c>
      <c r="B77" s="13">
        <v>6062</v>
      </c>
      <c r="C77" s="14">
        <f>(4996/B77*100)</f>
        <v>82.415044539755854</v>
      </c>
      <c r="D77" s="15">
        <v>1066</v>
      </c>
      <c r="E77" s="14">
        <v>48.172759749999997</v>
      </c>
      <c r="F77" s="16">
        <v>1.82858235</v>
      </c>
      <c r="G77" s="14">
        <v>51.827240250000003</v>
      </c>
      <c r="H77" s="16">
        <v>1.82858235</v>
      </c>
      <c r="I77" s="14" t="s">
        <v>139</v>
      </c>
      <c r="J77" s="16" t="s">
        <v>139</v>
      </c>
      <c r="K77" s="14">
        <v>0</v>
      </c>
      <c r="L77" s="16">
        <v>0</v>
      </c>
      <c r="M77" s="14">
        <v>0</v>
      </c>
      <c r="N77" s="16">
        <v>0</v>
      </c>
      <c r="O77" s="14">
        <v>0</v>
      </c>
      <c r="P77" s="16">
        <v>0</v>
      </c>
      <c r="Q77" s="14">
        <v>0</v>
      </c>
      <c r="R77" s="16">
        <v>0</v>
      </c>
    </row>
    <row r="78" spans="1:18" x14ac:dyDescent="0.25">
      <c r="A78" s="11" t="s">
        <v>211</v>
      </c>
      <c r="B78" s="17" t="s">
        <v>154</v>
      </c>
      <c r="C78" s="17" t="s">
        <v>154</v>
      </c>
      <c r="D78" s="18" t="s">
        <v>154</v>
      </c>
      <c r="E78" s="17" t="s">
        <v>154</v>
      </c>
      <c r="F78" s="18" t="s">
        <v>154</v>
      </c>
      <c r="G78" s="17" t="s">
        <v>154</v>
      </c>
      <c r="H78" s="18" t="s">
        <v>154</v>
      </c>
      <c r="I78" s="17" t="s">
        <v>154</v>
      </c>
      <c r="J78" s="18" t="s">
        <v>154</v>
      </c>
      <c r="K78" s="17" t="s">
        <v>154</v>
      </c>
      <c r="L78" s="18" t="s">
        <v>154</v>
      </c>
      <c r="M78" s="17" t="s">
        <v>154</v>
      </c>
      <c r="N78" s="18" t="s">
        <v>154</v>
      </c>
      <c r="O78" s="17" t="s">
        <v>154</v>
      </c>
      <c r="P78" s="18" t="s">
        <v>154</v>
      </c>
      <c r="Q78" s="17" t="s">
        <v>154</v>
      </c>
      <c r="R78" s="18" t="s">
        <v>154</v>
      </c>
    </row>
    <row r="79" spans="1:18" ht="24.95" customHeight="1" x14ac:dyDescent="0.25">
      <c r="A79" s="11" t="s">
        <v>212</v>
      </c>
      <c r="B79" s="17" t="s">
        <v>154</v>
      </c>
      <c r="C79" s="17" t="s">
        <v>154</v>
      </c>
      <c r="D79" s="18" t="s">
        <v>154</v>
      </c>
      <c r="E79" s="17" t="s">
        <v>154</v>
      </c>
      <c r="F79" s="18" t="s">
        <v>154</v>
      </c>
      <c r="G79" s="17" t="s">
        <v>154</v>
      </c>
      <c r="H79" s="18" t="s">
        <v>154</v>
      </c>
      <c r="I79" s="17" t="s">
        <v>154</v>
      </c>
      <c r="J79" s="18" t="s">
        <v>154</v>
      </c>
      <c r="K79" s="17" t="s">
        <v>154</v>
      </c>
      <c r="L79" s="18" t="s">
        <v>154</v>
      </c>
      <c r="M79" s="17" t="s">
        <v>154</v>
      </c>
      <c r="N79" s="18" t="s">
        <v>154</v>
      </c>
      <c r="O79" s="17" t="s">
        <v>154</v>
      </c>
      <c r="P79" s="18" t="s">
        <v>154</v>
      </c>
      <c r="Q79" s="17" t="s">
        <v>154</v>
      </c>
      <c r="R79" s="18" t="s">
        <v>154</v>
      </c>
    </row>
    <row r="80" spans="1:18" x14ac:dyDescent="0.25">
      <c r="A80" s="11" t="s">
        <v>213</v>
      </c>
      <c r="B80" s="17" t="s">
        <v>154</v>
      </c>
      <c r="C80" s="17" t="s">
        <v>154</v>
      </c>
      <c r="D80" s="18" t="s">
        <v>154</v>
      </c>
      <c r="E80" s="17" t="s">
        <v>154</v>
      </c>
      <c r="F80" s="18" t="s">
        <v>154</v>
      </c>
      <c r="G80" s="17" t="s">
        <v>154</v>
      </c>
      <c r="H80" s="18" t="s">
        <v>154</v>
      </c>
      <c r="I80" s="17" t="s">
        <v>154</v>
      </c>
      <c r="J80" s="18" t="s">
        <v>154</v>
      </c>
      <c r="K80" s="17" t="s">
        <v>154</v>
      </c>
      <c r="L80" s="18" t="s">
        <v>154</v>
      </c>
      <c r="M80" s="17" t="s">
        <v>154</v>
      </c>
      <c r="N80" s="18" t="s">
        <v>154</v>
      </c>
      <c r="O80" s="17" t="s">
        <v>154</v>
      </c>
      <c r="P80" s="18" t="s">
        <v>154</v>
      </c>
      <c r="Q80" s="17" t="s">
        <v>154</v>
      </c>
      <c r="R80" s="18" t="s">
        <v>154</v>
      </c>
    </row>
    <row r="81" spans="1:18" x14ac:dyDescent="0.25">
      <c r="A81" s="19" t="s">
        <v>214</v>
      </c>
      <c r="B81" s="13">
        <v>8861</v>
      </c>
      <c r="C81" s="14">
        <f>(7310/B81*100)</f>
        <v>82.49633224241056</v>
      </c>
      <c r="D81" s="15">
        <v>1551</v>
      </c>
      <c r="E81" s="14">
        <v>62.716749909999997</v>
      </c>
      <c r="F81" s="16">
        <v>1.74697854</v>
      </c>
      <c r="G81" s="14">
        <v>37.283250090000003</v>
      </c>
      <c r="H81" s="16">
        <v>1.74697854</v>
      </c>
      <c r="I81" s="14" t="s">
        <v>139</v>
      </c>
      <c r="J81" s="16" t="s">
        <v>139</v>
      </c>
      <c r="K81" s="14">
        <v>0</v>
      </c>
      <c r="L81" s="16">
        <v>0</v>
      </c>
      <c r="M81" s="14">
        <v>0</v>
      </c>
      <c r="N81" s="16">
        <v>0</v>
      </c>
      <c r="O81" s="14">
        <v>0</v>
      </c>
      <c r="P81" s="16">
        <v>0</v>
      </c>
      <c r="Q81" s="14">
        <v>0</v>
      </c>
      <c r="R81" s="16">
        <v>0</v>
      </c>
    </row>
    <row r="82" spans="1:18" x14ac:dyDescent="0.25">
      <c r="A82" s="20"/>
      <c r="B82" s="20" t="s">
        <v>215</v>
      </c>
      <c r="C82" s="20" t="s">
        <v>215</v>
      </c>
      <c r="D82" s="20" t="s">
        <v>215</v>
      </c>
      <c r="E82" s="20" t="s">
        <v>215</v>
      </c>
      <c r="F82" s="20" t="s">
        <v>215</v>
      </c>
      <c r="G82" s="20" t="s">
        <v>215</v>
      </c>
      <c r="H82" s="20" t="s">
        <v>215</v>
      </c>
      <c r="I82" s="20" t="s">
        <v>215</v>
      </c>
      <c r="J82" s="20" t="s">
        <v>215</v>
      </c>
      <c r="K82" s="20" t="s">
        <v>215</v>
      </c>
      <c r="L82" s="20" t="s">
        <v>215</v>
      </c>
      <c r="M82" s="20" t="s">
        <v>215</v>
      </c>
      <c r="N82" s="20" t="s">
        <v>215</v>
      </c>
      <c r="O82" s="20" t="s">
        <v>215</v>
      </c>
      <c r="P82" s="20" t="s">
        <v>215</v>
      </c>
      <c r="Q82" s="20" t="s">
        <v>215</v>
      </c>
      <c r="R82" s="20" t="s">
        <v>215</v>
      </c>
    </row>
    <row r="83" spans="1:18" x14ac:dyDescent="0.25">
      <c r="A83" s="3" t="s">
        <v>216</v>
      </c>
    </row>
    <row r="84" spans="1:18" x14ac:dyDescent="0.25">
      <c r="A84" s="22" t="s">
        <v>217</v>
      </c>
      <c r="B84" s="23"/>
      <c r="C84" s="23"/>
      <c r="D84" s="23"/>
      <c r="E84" s="23"/>
      <c r="F84" s="23"/>
      <c r="G84" s="23"/>
      <c r="H84" s="23"/>
      <c r="I84" s="23"/>
      <c r="J84" s="23"/>
      <c r="K84" s="23"/>
      <c r="L84" s="23"/>
      <c r="M84" s="23"/>
      <c r="N84" s="23"/>
      <c r="O84" s="23"/>
      <c r="P84" s="23"/>
      <c r="Q84" s="23"/>
      <c r="R84" s="23"/>
    </row>
    <row r="85" spans="1:18" x14ac:dyDescent="0.25">
      <c r="A85" s="22" t="s">
        <v>218</v>
      </c>
      <c r="B85" s="23"/>
      <c r="C85" s="23"/>
      <c r="D85" s="23"/>
      <c r="E85" s="23"/>
      <c r="F85" s="23"/>
      <c r="G85" s="23"/>
      <c r="H85" s="23"/>
      <c r="I85" s="23"/>
      <c r="J85" s="23"/>
      <c r="K85" s="23"/>
      <c r="L85" s="23"/>
      <c r="M85" s="23"/>
      <c r="N85" s="23"/>
      <c r="O85" s="23"/>
      <c r="P85" s="23"/>
      <c r="Q85" s="23"/>
      <c r="R85" s="23"/>
    </row>
    <row r="86" spans="1:18" ht="30" customHeight="1" x14ac:dyDescent="0.25">
      <c r="A86" s="22" t="s">
        <v>219</v>
      </c>
      <c r="B86" s="23"/>
      <c r="C86" s="23"/>
      <c r="D86" s="23"/>
      <c r="E86" s="23"/>
      <c r="F86" s="23"/>
      <c r="G86" s="23"/>
      <c r="H86" s="23"/>
      <c r="I86" s="23"/>
      <c r="J86" s="23"/>
      <c r="K86" s="23"/>
      <c r="L86" s="23"/>
      <c r="M86" s="23"/>
      <c r="N86" s="23"/>
      <c r="O86" s="23"/>
      <c r="P86" s="23"/>
      <c r="Q86" s="23"/>
      <c r="R86" s="23"/>
    </row>
    <row r="87" spans="1:18" ht="30" customHeight="1" x14ac:dyDescent="0.25">
      <c r="A87" s="22" t="s">
        <v>215</v>
      </c>
      <c r="B87" s="23"/>
      <c r="C87" s="23"/>
      <c r="D87" s="23"/>
      <c r="E87" s="23"/>
      <c r="F87" s="23"/>
      <c r="G87" s="23"/>
      <c r="H87" s="23"/>
      <c r="I87" s="23"/>
      <c r="J87" s="23"/>
      <c r="K87" s="23"/>
      <c r="L87" s="23"/>
      <c r="M87" s="23"/>
      <c r="N87" s="23"/>
      <c r="O87" s="23"/>
      <c r="P87" s="23"/>
      <c r="Q87" s="23"/>
      <c r="R87" s="23"/>
    </row>
    <row r="88" spans="1:18" ht="30" customHeight="1" x14ac:dyDescent="0.25">
      <c r="A88" s="22" t="s">
        <v>220</v>
      </c>
      <c r="B88" s="23"/>
      <c r="C88" s="23"/>
      <c r="D88" s="23"/>
      <c r="E88" s="23"/>
      <c r="F88" s="23"/>
      <c r="G88" s="23"/>
      <c r="H88" s="23"/>
      <c r="I88" s="23"/>
      <c r="J88" s="23"/>
      <c r="K88" s="23"/>
      <c r="L88" s="23"/>
      <c r="M88" s="23"/>
      <c r="N88" s="23"/>
      <c r="O88" s="23"/>
      <c r="P88" s="23"/>
      <c r="Q88" s="23"/>
      <c r="R88" s="23"/>
    </row>
    <row r="89" spans="1:18" ht="30" customHeight="1" x14ac:dyDescent="0.25">
      <c r="A89" s="22" t="s">
        <v>221</v>
      </c>
      <c r="B89" s="23"/>
      <c r="C89" s="23"/>
      <c r="D89" s="23"/>
      <c r="E89" s="23"/>
      <c r="F89" s="23"/>
      <c r="G89" s="23"/>
      <c r="H89" s="23"/>
      <c r="I89" s="23"/>
      <c r="J89" s="23"/>
      <c r="K89" s="23"/>
      <c r="L89" s="23"/>
      <c r="M89" s="23"/>
      <c r="N89" s="23"/>
      <c r="O89" s="23"/>
      <c r="P89" s="23"/>
      <c r="Q89" s="23"/>
      <c r="R89" s="23"/>
    </row>
    <row r="90" spans="1:18" ht="30" customHeight="1" x14ac:dyDescent="0.25">
      <c r="A90" s="22" t="s">
        <v>222</v>
      </c>
      <c r="B90" s="23"/>
      <c r="C90" s="23"/>
      <c r="D90" s="23"/>
      <c r="E90" s="23"/>
      <c r="F90" s="23"/>
      <c r="G90" s="23"/>
      <c r="H90" s="23"/>
      <c r="I90" s="23"/>
      <c r="J90" s="23"/>
      <c r="K90" s="23"/>
      <c r="L90" s="23"/>
      <c r="M90" s="23"/>
      <c r="N90" s="23"/>
      <c r="O90" s="23"/>
      <c r="P90" s="23"/>
      <c r="Q90" s="23"/>
      <c r="R90" s="23"/>
    </row>
    <row r="91" spans="1:18" ht="30" customHeight="1" x14ac:dyDescent="0.25">
      <c r="A91" s="22" t="s">
        <v>223</v>
      </c>
      <c r="B91" s="23"/>
      <c r="C91" s="23"/>
      <c r="D91" s="23"/>
      <c r="E91" s="23"/>
      <c r="F91" s="23"/>
      <c r="G91" s="23"/>
      <c r="H91" s="23"/>
      <c r="I91" s="23"/>
      <c r="J91" s="23"/>
      <c r="K91" s="23"/>
      <c r="L91" s="23"/>
      <c r="M91" s="23"/>
      <c r="N91" s="23"/>
      <c r="O91" s="23"/>
      <c r="P91" s="23"/>
      <c r="Q91" s="23"/>
      <c r="R91" s="23"/>
    </row>
    <row r="92" spans="1:18" ht="30" customHeight="1" x14ac:dyDescent="0.25">
      <c r="A92" s="22" t="s">
        <v>224</v>
      </c>
      <c r="B92" s="23"/>
      <c r="C92" s="23"/>
      <c r="D92" s="23"/>
      <c r="E92" s="23"/>
      <c r="F92" s="23"/>
      <c r="G92" s="23"/>
      <c r="H92" s="23"/>
      <c r="I92" s="23"/>
      <c r="J92" s="23"/>
      <c r="K92" s="23"/>
      <c r="L92" s="23"/>
      <c r="M92" s="23"/>
      <c r="N92" s="23"/>
      <c r="O92" s="23"/>
      <c r="P92" s="23"/>
      <c r="Q92" s="23"/>
      <c r="R92" s="23"/>
    </row>
    <row r="93" spans="1:18" ht="30" customHeight="1" x14ac:dyDescent="0.25">
      <c r="A93" s="22" t="s">
        <v>225</v>
      </c>
      <c r="B93" s="23"/>
      <c r="C93" s="23"/>
      <c r="D93" s="23"/>
      <c r="E93" s="23"/>
      <c r="F93" s="23"/>
      <c r="G93" s="23"/>
      <c r="H93" s="23"/>
      <c r="I93" s="23"/>
      <c r="J93" s="23"/>
      <c r="K93" s="23"/>
      <c r="L93" s="23"/>
      <c r="M93" s="23"/>
      <c r="N93" s="23"/>
      <c r="O93" s="23"/>
      <c r="P93" s="23"/>
      <c r="Q93" s="23"/>
      <c r="R93" s="23"/>
    </row>
    <row r="94" spans="1:18" ht="30" customHeight="1" x14ac:dyDescent="0.25">
      <c r="A94" s="22" t="s">
        <v>226</v>
      </c>
      <c r="B94" s="23"/>
      <c r="C94" s="23"/>
      <c r="D94" s="23"/>
      <c r="E94" s="23"/>
      <c r="F94" s="23"/>
      <c r="G94" s="23"/>
      <c r="H94" s="23"/>
      <c r="I94" s="23"/>
      <c r="J94" s="23"/>
      <c r="K94" s="23"/>
      <c r="L94" s="23"/>
      <c r="M94" s="23"/>
      <c r="N94" s="23"/>
      <c r="O94" s="23"/>
      <c r="P94" s="23"/>
      <c r="Q94" s="23"/>
      <c r="R94" s="23"/>
    </row>
    <row r="95" spans="1:18" ht="30" customHeight="1" x14ac:dyDescent="0.25">
      <c r="A95" s="22" t="s">
        <v>227</v>
      </c>
      <c r="B95" s="23"/>
      <c r="C95" s="23"/>
      <c r="D95" s="23"/>
      <c r="E95" s="23"/>
      <c r="F95" s="23"/>
      <c r="G95" s="23"/>
      <c r="H95" s="23"/>
      <c r="I95" s="23"/>
      <c r="J95" s="23"/>
      <c r="K95" s="23"/>
      <c r="L95" s="23"/>
      <c r="M95" s="23"/>
      <c r="N95" s="23"/>
      <c r="O95" s="23"/>
      <c r="P95" s="23"/>
      <c r="Q95" s="23"/>
      <c r="R95" s="23"/>
    </row>
    <row r="96" spans="1:18" ht="30" customHeight="1" x14ac:dyDescent="0.25">
      <c r="A96" s="22" t="s">
        <v>228</v>
      </c>
      <c r="B96" s="23"/>
      <c r="C96" s="23"/>
      <c r="D96" s="23"/>
      <c r="E96" s="23"/>
      <c r="F96" s="23"/>
      <c r="G96" s="23"/>
      <c r="H96" s="23"/>
      <c r="I96" s="23"/>
      <c r="J96" s="23"/>
      <c r="K96" s="23"/>
      <c r="L96" s="23"/>
      <c r="M96" s="23"/>
      <c r="N96" s="23"/>
      <c r="O96" s="23"/>
      <c r="P96" s="23"/>
      <c r="Q96" s="23"/>
      <c r="R96" s="23"/>
    </row>
  </sheetData>
  <mergeCells count="22">
    <mergeCell ref="O4:P4"/>
    <mergeCell ref="Q4:R4"/>
    <mergeCell ref="A1:R1"/>
    <mergeCell ref="A2:R2"/>
    <mergeCell ref="A84:R84"/>
    <mergeCell ref="E4:F4"/>
    <mergeCell ref="G4:H4"/>
    <mergeCell ref="I4:J4"/>
    <mergeCell ref="K4:L4"/>
    <mergeCell ref="M4:N4"/>
    <mergeCell ref="A85:R85"/>
    <mergeCell ref="A86:R86"/>
    <mergeCell ref="A87:R87"/>
    <mergeCell ref="A88:R88"/>
    <mergeCell ref="A89:R89"/>
    <mergeCell ref="A95:R95"/>
    <mergeCell ref="A96:R96"/>
    <mergeCell ref="A90:R90"/>
    <mergeCell ref="A91:R91"/>
    <mergeCell ref="A92:R92"/>
    <mergeCell ref="A93:R93"/>
    <mergeCell ref="A94:R94"/>
  </mergeCells>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R96"/>
  <sheetViews>
    <sheetView zoomScale="80" workbookViewId="0">
      <pane xSplit="4" topLeftCell="E1" activePane="topRight" state="frozen"/>
      <selection sqref="A1:R1"/>
      <selection pane="topRight" sqref="A1:R1"/>
    </sheetView>
  </sheetViews>
  <sheetFormatPr defaultColWidth="11.42578125" defaultRowHeight="15" x14ac:dyDescent="0.25"/>
  <cols>
    <col min="1" max="1" width="50" customWidth="1"/>
  </cols>
  <sheetData>
    <row r="1" spans="1:18" x14ac:dyDescent="0.25">
      <c r="A1" s="26" t="s">
        <v>122</v>
      </c>
      <c r="B1" s="23"/>
      <c r="C1" s="23"/>
      <c r="D1" s="23"/>
      <c r="E1" s="23"/>
      <c r="F1" s="23"/>
      <c r="G1" s="23"/>
      <c r="H1" s="23"/>
      <c r="I1" s="23"/>
      <c r="J1" s="23"/>
      <c r="K1" s="23"/>
      <c r="L1" s="23"/>
      <c r="M1" s="23"/>
      <c r="N1" s="23"/>
      <c r="O1" s="23"/>
      <c r="P1" s="23"/>
      <c r="Q1" s="23"/>
      <c r="R1" s="23"/>
    </row>
    <row r="2" spans="1:18" x14ac:dyDescent="0.25">
      <c r="A2" s="27" t="s">
        <v>243</v>
      </c>
      <c r="B2" s="23"/>
      <c r="C2" s="23"/>
      <c r="D2" s="23"/>
      <c r="E2" s="23"/>
      <c r="F2" s="23"/>
      <c r="G2" s="23"/>
      <c r="H2" s="23"/>
      <c r="I2" s="23"/>
      <c r="J2" s="23"/>
      <c r="K2" s="23"/>
      <c r="L2" s="23"/>
      <c r="M2" s="23"/>
      <c r="N2" s="23"/>
      <c r="O2" s="23"/>
      <c r="P2" s="23"/>
      <c r="Q2" s="23"/>
      <c r="R2" s="23"/>
    </row>
    <row r="4" spans="1:18" ht="30" customHeight="1" x14ac:dyDescent="0.25">
      <c r="A4" s="4"/>
      <c r="B4" s="5" t="s">
        <v>123</v>
      </c>
      <c r="C4" s="5" t="s">
        <v>124</v>
      </c>
      <c r="D4" s="6" t="s">
        <v>123</v>
      </c>
      <c r="E4" s="24" t="s">
        <v>125</v>
      </c>
      <c r="F4" s="25"/>
      <c r="G4" s="24" t="s">
        <v>126</v>
      </c>
      <c r="H4" s="25"/>
      <c r="I4" s="24" t="s">
        <v>127</v>
      </c>
      <c r="J4" s="25"/>
      <c r="K4" s="24" t="s">
        <v>128</v>
      </c>
      <c r="L4" s="25"/>
      <c r="M4" s="24" t="s">
        <v>129</v>
      </c>
      <c r="N4" s="25"/>
      <c r="O4" s="24" t="s">
        <v>130</v>
      </c>
      <c r="P4" s="25"/>
      <c r="Q4" s="24" t="s">
        <v>131</v>
      </c>
      <c r="R4" s="25"/>
    </row>
    <row r="5" spans="1:18" x14ac:dyDescent="0.25">
      <c r="A5" s="7"/>
      <c r="B5" s="8" t="s">
        <v>132</v>
      </c>
      <c r="C5" s="8" t="s">
        <v>133</v>
      </c>
      <c r="D5" s="7" t="s">
        <v>134</v>
      </c>
      <c r="E5" s="8" t="s">
        <v>135</v>
      </c>
      <c r="F5" s="7" t="s">
        <v>136</v>
      </c>
      <c r="G5" s="8" t="s">
        <v>135</v>
      </c>
      <c r="H5" s="7" t="s">
        <v>136</v>
      </c>
      <c r="I5" s="8" t="s">
        <v>135</v>
      </c>
      <c r="J5" s="7" t="s">
        <v>136</v>
      </c>
      <c r="K5" s="8" t="s">
        <v>135</v>
      </c>
      <c r="L5" s="7" t="s">
        <v>136</v>
      </c>
      <c r="M5" s="8" t="s">
        <v>135</v>
      </c>
      <c r="N5" s="7" t="s">
        <v>136</v>
      </c>
      <c r="O5" s="8" t="s">
        <v>135</v>
      </c>
      <c r="P5" s="7" t="s">
        <v>136</v>
      </c>
      <c r="Q5" s="8" t="s">
        <v>135</v>
      </c>
      <c r="R5" s="7" t="s">
        <v>136</v>
      </c>
    </row>
    <row r="6" spans="1:18" x14ac:dyDescent="0.25">
      <c r="A6" s="9" t="s">
        <v>137</v>
      </c>
      <c r="B6" s="10"/>
      <c r="C6" s="10"/>
      <c r="D6" s="11"/>
      <c r="E6" s="10"/>
      <c r="F6" s="11"/>
      <c r="G6" s="10"/>
      <c r="H6" s="11"/>
      <c r="I6" s="10"/>
      <c r="J6" s="11"/>
      <c r="K6" s="10"/>
      <c r="L6" s="11"/>
      <c r="M6" s="10"/>
      <c r="N6" s="11"/>
      <c r="O6" s="10"/>
      <c r="P6" s="11"/>
      <c r="Q6" s="10"/>
      <c r="R6" s="12"/>
    </row>
    <row r="7" spans="1:18" x14ac:dyDescent="0.25">
      <c r="A7" s="11" t="s">
        <v>138</v>
      </c>
      <c r="B7" s="13">
        <v>14530</v>
      </c>
      <c r="C7" s="14">
        <f>(12068/B7*100)</f>
        <v>83.055746730901575</v>
      </c>
      <c r="D7" s="15">
        <v>2462</v>
      </c>
      <c r="E7" s="14">
        <v>0</v>
      </c>
      <c r="F7" s="16">
        <v>0</v>
      </c>
      <c r="G7" s="14">
        <v>0</v>
      </c>
      <c r="H7" s="16">
        <v>0</v>
      </c>
      <c r="I7" s="14" t="s">
        <v>139</v>
      </c>
      <c r="J7" s="16" t="s">
        <v>139</v>
      </c>
      <c r="K7" s="14">
        <v>0</v>
      </c>
      <c r="L7" s="16">
        <v>0</v>
      </c>
      <c r="M7" s="14">
        <v>100</v>
      </c>
      <c r="N7" s="16">
        <v>0</v>
      </c>
      <c r="O7" s="14">
        <v>0</v>
      </c>
      <c r="P7" s="16">
        <v>0</v>
      </c>
      <c r="Q7" s="14">
        <v>0</v>
      </c>
      <c r="R7" s="16">
        <v>0</v>
      </c>
    </row>
    <row r="8" spans="1:18" x14ac:dyDescent="0.25">
      <c r="A8" s="11" t="s">
        <v>140</v>
      </c>
      <c r="B8" s="13">
        <v>7007</v>
      </c>
      <c r="C8" s="14">
        <f>(5791/B8*100)</f>
        <v>82.645925503068369</v>
      </c>
      <c r="D8" s="15">
        <v>1216</v>
      </c>
      <c r="E8" s="14">
        <v>0</v>
      </c>
      <c r="F8" s="16">
        <v>0</v>
      </c>
      <c r="G8" s="14">
        <v>0</v>
      </c>
      <c r="H8" s="16">
        <v>0</v>
      </c>
      <c r="I8" s="14" t="s">
        <v>139</v>
      </c>
      <c r="J8" s="16" t="s">
        <v>139</v>
      </c>
      <c r="K8" s="14">
        <v>0</v>
      </c>
      <c r="L8" s="16">
        <v>0</v>
      </c>
      <c r="M8" s="14">
        <v>100</v>
      </c>
      <c r="N8" s="16">
        <v>0</v>
      </c>
      <c r="O8" s="14">
        <v>0</v>
      </c>
      <c r="P8" s="16">
        <v>0</v>
      </c>
      <c r="Q8" s="14">
        <v>0</v>
      </c>
      <c r="R8" s="16">
        <v>0</v>
      </c>
    </row>
    <row r="9" spans="1:18" x14ac:dyDescent="0.25">
      <c r="A9" s="11" t="s">
        <v>141</v>
      </c>
      <c r="B9" s="13">
        <v>9651</v>
      </c>
      <c r="C9" s="14">
        <f>(8036/B9*100)</f>
        <v>83.265982799709874</v>
      </c>
      <c r="D9" s="15">
        <v>1615</v>
      </c>
      <c r="E9" s="14">
        <v>0</v>
      </c>
      <c r="F9" s="16">
        <v>0</v>
      </c>
      <c r="G9" s="14">
        <v>0</v>
      </c>
      <c r="H9" s="16">
        <v>0</v>
      </c>
      <c r="I9" s="14" t="s">
        <v>139</v>
      </c>
      <c r="J9" s="16" t="s">
        <v>139</v>
      </c>
      <c r="K9" s="14">
        <v>0</v>
      </c>
      <c r="L9" s="16">
        <v>0</v>
      </c>
      <c r="M9" s="14">
        <v>100</v>
      </c>
      <c r="N9" s="16">
        <v>0</v>
      </c>
      <c r="O9" s="14">
        <v>0</v>
      </c>
      <c r="P9" s="16">
        <v>0</v>
      </c>
      <c r="Q9" s="14">
        <v>0</v>
      </c>
      <c r="R9" s="16">
        <v>0</v>
      </c>
    </row>
    <row r="10" spans="1:18" x14ac:dyDescent="0.25">
      <c r="A10" s="11" t="s">
        <v>142</v>
      </c>
      <c r="B10" s="13">
        <v>20058</v>
      </c>
      <c r="C10" s="14">
        <f>(16593/B10*100)</f>
        <v>82.725097218067603</v>
      </c>
      <c r="D10" s="15">
        <v>3465</v>
      </c>
      <c r="E10" s="14">
        <v>0</v>
      </c>
      <c r="F10" s="16">
        <v>0</v>
      </c>
      <c r="G10" s="14">
        <v>0</v>
      </c>
      <c r="H10" s="16">
        <v>0</v>
      </c>
      <c r="I10" s="14" t="s">
        <v>139</v>
      </c>
      <c r="J10" s="16" t="s">
        <v>139</v>
      </c>
      <c r="K10" s="14">
        <v>0</v>
      </c>
      <c r="L10" s="16">
        <v>0</v>
      </c>
      <c r="M10" s="14">
        <v>100</v>
      </c>
      <c r="N10" s="16">
        <v>0</v>
      </c>
      <c r="O10" s="14">
        <v>0</v>
      </c>
      <c r="P10" s="16">
        <v>0</v>
      </c>
      <c r="Q10" s="14">
        <v>0</v>
      </c>
      <c r="R10" s="16">
        <v>0</v>
      </c>
    </row>
    <row r="11" spans="1:18" x14ac:dyDescent="0.25">
      <c r="A11" s="11" t="s">
        <v>143</v>
      </c>
      <c r="B11" s="13">
        <v>7053</v>
      </c>
      <c r="C11" s="14">
        <f>(5831/B11*100)</f>
        <v>82.674039415851411</v>
      </c>
      <c r="D11" s="15">
        <v>1222</v>
      </c>
      <c r="E11" s="14">
        <v>0</v>
      </c>
      <c r="F11" s="16">
        <v>0</v>
      </c>
      <c r="G11" s="14">
        <v>0</v>
      </c>
      <c r="H11" s="16">
        <v>0</v>
      </c>
      <c r="I11" s="14" t="s">
        <v>139</v>
      </c>
      <c r="J11" s="16" t="s">
        <v>139</v>
      </c>
      <c r="K11" s="14">
        <v>0</v>
      </c>
      <c r="L11" s="16">
        <v>0</v>
      </c>
      <c r="M11" s="14">
        <v>100</v>
      </c>
      <c r="N11" s="16">
        <v>0</v>
      </c>
      <c r="O11" s="14">
        <v>0</v>
      </c>
      <c r="P11" s="16">
        <v>0</v>
      </c>
      <c r="Q11" s="14">
        <v>0</v>
      </c>
      <c r="R11" s="16">
        <v>0</v>
      </c>
    </row>
    <row r="12" spans="1:18" x14ac:dyDescent="0.25">
      <c r="A12" s="11" t="s">
        <v>144</v>
      </c>
      <c r="B12" s="13">
        <v>6894</v>
      </c>
      <c r="C12" s="14">
        <f>(5714/B12*100)</f>
        <v>82.883666956774007</v>
      </c>
      <c r="D12" s="15">
        <v>1180</v>
      </c>
      <c r="E12" s="14">
        <v>0</v>
      </c>
      <c r="F12" s="16">
        <v>0</v>
      </c>
      <c r="G12" s="14">
        <v>0</v>
      </c>
      <c r="H12" s="16">
        <v>0</v>
      </c>
      <c r="I12" s="14" t="s">
        <v>139</v>
      </c>
      <c r="J12" s="16" t="s">
        <v>139</v>
      </c>
      <c r="K12" s="14">
        <v>0</v>
      </c>
      <c r="L12" s="16">
        <v>0</v>
      </c>
      <c r="M12" s="14">
        <v>100</v>
      </c>
      <c r="N12" s="16">
        <v>0</v>
      </c>
      <c r="O12" s="14">
        <v>0</v>
      </c>
      <c r="P12" s="16">
        <v>0</v>
      </c>
      <c r="Q12" s="14">
        <v>0</v>
      </c>
      <c r="R12" s="16">
        <v>0</v>
      </c>
    </row>
    <row r="13" spans="1:18" x14ac:dyDescent="0.25">
      <c r="A13" s="11" t="s">
        <v>145</v>
      </c>
      <c r="B13" s="13">
        <v>7161</v>
      </c>
      <c r="C13" s="14">
        <f>(5991/B13*100)</f>
        <v>83.661499790532048</v>
      </c>
      <c r="D13" s="15">
        <v>1170</v>
      </c>
      <c r="E13" s="14">
        <v>0</v>
      </c>
      <c r="F13" s="16">
        <v>0</v>
      </c>
      <c r="G13" s="14">
        <v>0</v>
      </c>
      <c r="H13" s="16">
        <v>0</v>
      </c>
      <c r="I13" s="14" t="s">
        <v>139</v>
      </c>
      <c r="J13" s="16" t="s">
        <v>139</v>
      </c>
      <c r="K13" s="14">
        <v>0</v>
      </c>
      <c r="L13" s="16">
        <v>0</v>
      </c>
      <c r="M13" s="14">
        <v>100</v>
      </c>
      <c r="N13" s="16">
        <v>0</v>
      </c>
      <c r="O13" s="14">
        <v>0</v>
      </c>
      <c r="P13" s="16">
        <v>0</v>
      </c>
      <c r="Q13" s="14">
        <v>0</v>
      </c>
      <c r="R13" s="16">
        <v>0</v>
      </c>
    </row>
    <row r="14" spans="1:18" x14ac:dyDescent="0.25">
      <c r="A14" s="11" t="s">
        <v>146</v>
      </c>
      <c r="B14" s="13">
        <v>5587</v>
      </c>
      <c r="C14" s="14">
        <f>(4628/B14*100)</f>
        <v>82.835153033828533</v>
      </c>
      <c r="D14" s="15">
        <v>959</v>
      </c>
      <c r="E14" s="14">
        <v>0</v>
      </c>
      <c r="F14" s="16">
        <v>0</v>
      </c>
      <c r="G14" s="14">
        <v>0</v>
      </c>
      <c r="H14" s="16">
        <v>0</v>
      </c>
      <c r="I14" s="14" t="s">
        <v>139</v>
      </c>
      <c r="J14" s="16" t="s">
        <v>139</v>
      </c>
      <c r="K14" s="14">
        <v>0</v>
      </c>
      <c r="L14" s="16">
        <v>0</v>
      </c>
      <c r="M14" s="14">
        <v>100</v>
      </c>
      <c r="N14" s="16">
        <v>0</v>
      </c>
      <c r="O14" s="14">
        <v>0</v>
      </c>
      <c r="P14" s="16">
        <v>0</v>
      </c>
      <c r="Q14" s="14">
        <v>0</v>
      </c>
      <c r="R14" s="16">
        <v>0</v>
      </c>
    </row>
    <row r="15" spans="1:18" x14ac:dyDescent="0.25">
      <c r="A15" s="11" t="s">
        <v>147</v>
      </c>
      <c r="B15" s="13">
        <v>5882</v>
      </c>
      <c r="C15" s="14">
        <f>(4902/B15*100)</f>
        <v>83.339000340020391</v>
      </c>
      <c r="D15" s="15">
        <v>980</v>
      </c>
      <c r="E15" s="14">
        <v>0</v>
      </c>
      <c r="F15" s="16">
        <v>0</v>
      </c>
      <c r="G15" s="14">
        <v>0</v>
      </c>
      <c r="H15" s="16">
        <v>0</v>
      </c>
      <c r="I15" s="14" t="s">
        <v>139</v>
      </c>
      <c r="J15" s="16" t="s">
        <v>139</v>
      </c>
      <c r="K15" s="14">
        <v>0</v>
      </c>
      <c r="L15" s="16">
        <v>0</v>
      </c>
      <c r="M15" s="14">
        <v>100</v>
      </c>
      <c r="N15" s="16">
        <v>0</v>
      </c>
      <c r="O15" s="14">
        <v>0</v>
      </c>
      <c r="P15" s="16">
        <v>0</v>
      </c>
      <c r="Q15" s="14">
        <v>0</v>
      </c>
      <c r="R15" s="16">
        <v>0</v>
      </c>
    </row>
    <row r="16" spans="1:18" x14ac:dyDescent="0.25">
      <c r="A16" s="11" t="s">
        <v>148</v>
      </c>
      <c r="B16" s="13">
        <v>6108</v>
      </c>
      <c r="C16" s="14">
        <f>(5049/B16*100)</f>
        <v>82.662082514734763</v>
      </c>
      <c r="D16" s="15">
        <v>1059</v>
      </c>
      <c r="E16" s="14">
        <v>0</v>
      </c>
      <c r="F16" s="16">
        <v>0</v>
      </c>
      <c r="G16" s="14">
        <v>0</v>
      </c>
      <c r="H16" s="16">
        <v>0</v>
      </c>
      <c r="I16" s="14" t="s">
        <v>139</v>
      </c>
      <c r="J16" s="16" t="s">
        <v>139</v>
      </c>
      <c r="K16" s="14">
        <v>0</v>
      </c>
      <c r="L16" s="16">
        <v>0</v>
      </c>
      <c r="M16" s="14">
        <v>100</v>
      </c>
      <c r="N16" s="16">
        <v>0</v>
      </c>
      <c r="O16" s="14">
        <v>0</v>
      </c>
      <c r="P16" s="16">
        <v>0</v>
      </c>
      <c r="Q16" s="14">
        <v>0</v>
      </c>
      <c r="R16" s="16">
        <v>0</v>
      </c>
    </row>
    <row r="17" spans="1:18" x14ac:dyDescent="0.25">
      <c r="A17" s="11" t="s">
        <v>149</v>
      </c>
      <c r="B17" s="13">
        <v>6504</v>
      </c>
      <c r="C17" s="14">
        <f>(5406/B17*100)</f>
        <v>83.118081180811814</v>
      </c>
      <c r="D17" s="15">
        <v>1098</v>
      </c>
      <c r="E17" s="14">
        <v>0</v>
      </c>
      <c r="F17" s="16">
        <v>0</v>
      </c>
      <c r="G17" s="14">
        <v>0</v>
      </c>
      <c r="H17" s="16">
        <v>0</v>
      </c>
      <c r="I17" s="14" t="s">
        <v>139</v>
      </c>
      <c r="J17" s="16" t="s">
        <v>139</v>
      </c>
      <c r="K17" s="14">
        <v>0</v>
      </c>
      <c r="L17" s="16">
        <v>0</v>
      </c>
      <c r="M17" s="14">
        <v>100</v>
      </c>
      <c r="N17" s="16">
        <v>0</v>
      </c>
      <c r="O17" s="14">
        <v>0</v>
      </c>
      <c r="P17" s="16">
        <v>0</v>
      </c>
      <c r="Q17" s="14">
        <v>0</v>
      </c>
      <c r="R17" s="16">
        <v>0</v>
      </c>
    </row>
    <row r="18" spans="1:18" x14ac:dyDescent="0.25">
      <c r="A18" s="11" t="s">
        <v>150</v>
      </c>
      <c r="B18" s="13">
        <v>5532</v>
      </c>
      <c r="C18" s="14">
        <f>(4564/B18*100)</f>
        <v>82.501807664497477</v>
      </c>
      <c r="D18" s="15">
        <v>968</v>
      </c>
      <c r="E18" s="14">
        <v>0</v>
      </c>
      <c r="F18" s="16">
        <v>0</v>
      </c>
      <c r="G18" s="14">
        <v>0</v>
      </c>
      <c r="H18" s="16">
        <v>0</v>
      </c>
      <c r="I18" s="14" t="s">
        <v>139</v>
      </c>
      <c r="J18" s="16" t="s">
        <v>139</v>
      </c>
      <c r="K18" s="14">
        <v>0</v>
      </c>
      <c r="L18" s="16">
        <v>0</v>
      </c>
      <c r="M18" s="14">
        <v>100</v>
      </c>
      <c r="N18" s="16">
        <v>0</v>
      </c>
      <c r="O18" s="14">
        <v>0</v>
      </c>
      <c r="P18" s="16">
        <v>0</v>
      </c>
      <c r="Q18" s="14">
        <v>0</v>
      </c>
      <c r="R18" s="16">
        <v>0</v>
      </c>
    </row>
    <row r="19" spans="1:18" x14ac:dyDescent="0.25">
      <c r="A19" s="11" t="s">
        <v>151</v>
      </c>
      <c r="B19" s="13">
        <v>5658</v>
      </c>
      <c r="C19" s="14">
        <f>(4695/B19*100)</f>
        <v>82.979851537645814</v>
      </c>
      <c r="D19" s="15">
        <v>963</v>
      </c>
      <c r="E19" s="14">
        <v>0</v>
      </c>
      <c r="F19" s="16">
        <v>0</v>
      </c>
      <c r="G19" s="14">
        <v>0</v>
      </c>
      <c r="H19" s="16">
        <v>0</v>
      </c>
      <c r="I19" s="14" t="s">
        <v>139</v>
      </c>
      <c r="J19" s="16" t="s">
        <v>139</v>
      </c>
      <c r="K19" s="14">
        <v>0</v>
      </c>
      <c r="L19" s="16">
        <v>0</v>
      </c>
      <c r="M19" s="14">
        <v>100</v>
      </c>
      <c r="N19" s="16">
        <v>0</v>
      </c>
      <c r="O19" s="14">
        <v>0</v>
      </c>
      <c r="P19" s="16">
        <v>0</v>
      </c>
      <c r="Q19" s="14">
        <v>0</v>
      </c>
      <c r="R19" s="16">
        <v>0</v>
      </c>
    </row>
    <row r="20" spans="1:18" x14ac:dyDescent="0.25">
      <c r="A20" s="11" t="s">
        <v>152</v>
      </c>
      <c r="B20" s="13">
        <v>3371</v>
      </c>
      <c r="C20" s="14">
        <f>(2786/B20*100)</f>
        <v>82.646099080391579</v>
      </c>
      <c r="D20" s="15">
        <v>585</v>
      </c>
      <c r="E20" s="14">
        <v>0</v>
      </c>
      <c r="F20" s="16">
        <v>0</v>
      </c>
      <c r="G20" s="14">
        <v>0</v>
      </c>
      <c r="H20" s="16">
        <v>0</v>
      </c>
      <c r="I20" s="14" t="s">
        <v>139</v>
      </c>
      <c r="J20" s="16" t="s">
        <v>139</v>
      </c>
      <c r="K20" s="14">
        <v>0</v>
      </c>
      <c r="L20" s="16">
        <v>0</v>
      </c>
      <c r="M20" s="14">
        <v>100</v>
      </c>
      <c r="N20" s="16">
        <v>0</v>
      </c>
      <c r="O20" s="14">
        <v>0</v>
      </c>
      <c r="P20" s="16">
        <v>0</v>
      </c>
      <c r="Q20" s="14">
        <v>0</v>
      </c>
      <c r="R20" s="16">
        <v>0</v>
      </c>
    </row>
    <row r="21" spans="1:18" x14ac:dyDescent="0.25">
      <c r="A21" s="11" t="s">
        <v>153</v>
      </c>
      <c r="B21" s="17" t="s">
        <v>154</v>
      </c>
      <c r="C21" s="17" t="s">
        <v>154</v>
      </c>
      <c r="D21" s="18" t="s">
        <v>154</v>
      </c>
      <c r="E21" s="17" t="s">
        <v>154</v>
      </c>
      <c r="F21" s="18" t="s">
        <v>154</v>
      </c>
      <c r="G21" s="17" t="s">
        <v>154</v>
      </c>
      <c r="H21" s="18" t="s">
        <v>154</v>
      </c>
      <c r="I21" s="17" t="s">
        <v>154</v>
      </c>
      <c r="J21" s="18" t="s">
        <v>154</v>
      </c>
      <c r="K21" s="17" t="s">
        <v>154</v>
      </c>
      <c r="L21" s="18" t="s">
        <v>154</v>
      </c>
      <c r="M21" s="17" t="s">
        <v>154</v>
      </c>
      <c r="N21" s="18" t="s">
        <v>154</v>
      </c>
      <c r="O21" s="17" t="s">
        <v>154</v>
      </c>
      <c r="P21" s="18" t="s">
        <v>154</v>
      </c>
      <c r="Q21" s="17" t="s">
        <v>154</v>
      </c>
      <c r="R21" s="18" t="s">
        <v>154</v>
      </c>
    </row>
    <row r="22" spans="1:18" x14ac:dyDescent="0.25">
      <c r="A22" s="11" t="s">
        <v>155</v>
      </c>
      <c r="B22" s="13">
        <v>6598</v>
      </c>
      <c r="C22" s="14">
        <f>(5563/B22*100)</f>
        <v>84.313428311609584</v>
      </c>
      <c r="D22" s="15">
        <v>1035</v>
      </c>
      <c r="E22" s="14">
        <v>0</v>
      </c>
      <c r="F22" s="16">
        <v>0</v>
      </c>
      <c r="G22" s="14">
        <v>0</v>
      </c>
      <c r="H22" s="16">
        <v>0</v>
      </c>
      <c r="I22" s="14" t="s">
        <v>139</v>
      </c>
      <c r="J22" s="16" t="s">
        <v>139</v>
      </c>
      <c r="K22" s="14">
        <v>0</v>
      </c>
      <c r="L22" s="16">
        <v>0</v>
      </c>
      <c r="M22" s="14">
        <v>100</v>
      </c>
      <c r="N22" s="16">
        <v>0</v>
      </c>
      <c r="O22" s="14">
        <v>0</v>
      </c>
      <c r="P22" s="16">
        <v>0</v>
      </c>
      <c r="Q22" s="14">
        <v>0</v>
      </c>
      <c r="R22" s="16">
        <v>0</v>
      </c>
    </row>
    <row r="23" spans="1:18" x14ac:dyDescent="0.25">
      <c r="A23" s="11" t="s">
        <v>156</v>
      </c>
      <c r="B23" s="13">
        <v>11583</v>
      </c>
      <c r="C23" s="14">
        <f>(9598/B23*100)</f>
        <v>82.862816196149524</v>
      </c>
      <c r="D23" s="15">
        <v>1985</v>
      </c>
      <c r="E23" s="14">
        <v>0</v>
      </c>
      <c r="F23" s="16">
        <v>0</v>
      </c>
      <c r="G23" s="14">
        <v>0</v>
      </c>
      <c r="H23" s="16">
        <v>0</v>
      </c>
      <c r="I23" s="14" t="s">
        <v>139</v>
      </c>
      <c r="J23" s="16" t="s">
        <v>139</v>
      </c>
      <c r="K23" s="14">
        <v>0</v>
      </c>
      <c r="L23" s="16">
        <v>0</v>
      </c>
      <c r="M23" s="14">
        <v>100</v>
      </c>
      <c r="N23" s="16">
        <v>0</v>
      </c>
      <c r="O23" s="14">
        <v>0</v>
      </c>
      <c r="P23" s="16">
        <v>0</v>
      </c>
      <c r="Q23" s="14">
        <v>0</v>
      </c>
      <c r="R23" s="16">
        <v>0</v>
      </c>
    </row>
    <row r="24" spans="1:18" x14ac:dyDescent="0.25">
      <c r="A24" s="11" t="s">
        <v>157</v>
      </c>
      <c r="B24" s="13">
        <v>6647</v>
      </c>
      <c r="C24" s="14">
        <f>(5487/B24*100)</f>
        <v>82.548518128479003</v>
      </c>
      <c r="D24" s="15">
        <v>1160</v>
      </c>
      <c r="E24" s="14">
        <v>0</v>
      </c>
      <c r="F24" s="16">
        <v>0</v>
      </c>
      <c r="G24" s="14">
        <v>0</v>
      </c>
      <c r="H24" s="16">
        <v>0</v>
      </c>
      <c r="I24" s="14" t="s">
        <v>139</v>
      </c>
      <c r="J24" s="16" t="s">
        <v>139</v>
      </c>
      <c r="K24" s="14">
        <v>0</v>
      </c>
      <c r="L24" s="16">
        <v>0</v>
      </c>
      <c r="M24" s="14">
        <v>100</v>
      </c>
      <c r="N24" s="16">
        <v>0</v>
      </c>
      <c r="O24" s="14">
        <v>0</v>
      </c>
      <c r="P24" s="16">
        <v>0</v>
      </c>
      <c r="Q24" s="14">
        <v>0</v>
      </c>
      <c r="R24" s="16">
        <v>0</v>
      </c>
    </row>
    <row r="25" spans="1:18" x14ac:dyDescent="0.25">
      <c r="A25" s="11" t="s">
        <v>158</v>
      </c>
      <c r="B25" s="13">
        <v>5581</v>
      </c>
      <c r="C25" s="14">
        <f>(4615/B25*100)</f>
        <v>82.691273965239205</v>
      </c>
      <c r="D25" s="15">
        <v>966</v>
      </c>
      <c r="E25" s="14">
        <v>0</v>
      </c>
      <c r="F25" s="16">
        <v>0</v>
      </c>
      <c r="G25" s="14">
        <v>0</v>
      </c>
      <c r="H25" s="16">
        <v>0</v>
      </c>
      <c r="I25" s="14" t="s">
        <v>139</v>
      </c>
      <c r="J25" s="16" t="s">
        <v>139</v>
      </c>
      <c r="K25" s="14">
        <v>0</v>
      </c>
      <c r="L25" s="16">
        <v>0</v>
      </c>
      <c r="M25" s="14">
        <v>100</v>
      </c>
      <c r="N25" s="16">
        <v>0</v>
      </c>
      <c r="O25" s="14">
        <v>0</v>
      </c>
      <c r="P25" s="16">
        <v>0</v>
      </c>
      <c r="Q25" s="14">
        <v>0</v>
      </c>
      <c r="R25" s="16">
        <v>0</v>
      </c>
    </row>
    <row r="26" spans="1:18" x14ac:dyDescent="0.25">
      <c r="A26" s="11" t="s">
        <v>159</v>
      </c>
      <c r="B26" s="13">
        <v>4869</v>
      </c>
      <c r="C26" s="14">
        <f>(4008/B26*100)</f>
        <v>82.316697473813932</v>
      </c>
      <c r="D26" s="15">
        <v>861</v>
      </c>
      <c r="E26" s="14">
        <v>0</v>
      </c>
      <c r="F26" s="16">
        <v>0</v>
      </c>
      <c r="G26" s="14">
        <v>0</v>
      </c>
      <c r="H26" s="16">
        <v>0</v>
      </c>
      <c r="I26" s="14" t="s">
        <v>139</v>
      </c>
      <c r="J26" s="16" t="s">
        <v>139</v>
      </c>
      <c r="K26" s="14">
        <v>0</v>
      </c>
      <c r="L26" s="16">
        <v>0</v>
      </c>
      <c r="M26" s="14">
        <v>100</v>
      </c>
      <c r="N26" s="16">
        <v>0</v>
      </c>
      <c r="O26" s="14">
        <v>0</v>
      </c>
      <c r="P26" s="16">
        <v>0</v>
      </c>
      <c r="Q26" s="14">
        <v>0</v>
      </c>
      <c r="R26" s="16">
        <v>0</v>
      </c>
    </row>
    <row r="27" spans="1:18" x14ac:dyDescent="0.25">
      <c r="A27" s="11" t="s">
        <v>160</v>
      </c>
      <c r="B27" s="13">
        <v>5299</v>
      </c>
      <c r="C27" s="14">
        <f>(4377/B27*100)</f>
        <v>82.600490658614831</v>
      </c>
      <c r="D27" s="15">
        <v>922</v>
      </c>
      <c r="E27" s="14">
        <v>0</v>
      </c>
      <c r="F27" s="16">
        <v>0</v>
      </c>
      <c r="G27" s="14">
        <v>0</v>
      </c>
      <c r="H27" s="16">
        <v>0</v>
      </c>
      <c r="I27" s="14" t="s">
        <v>139</v>
      </c>
      <c r="J27" s="16" t="s">
        <v>139</v>
      </c>
      <c r="K27" s="14">
        <v>0</v>
      </c>
      <c r="L27" s="16">
        <v>0</v>
      </c>
      <c r="M27" s="14">
        <v>100</v>
      </c>
      <c r="N27" s="16">
        <v>0</v>
      </c>
      <c r="O27" s="14">
        <v>0</v>
      </c>
      <c r="P27" s="16">
        <v>0</v>
      </c>
      <c r="Q27" s="14">
        <v>0</v>
      </c>
      <c r="R27" s="16">
        <v>0</v>
      </c>
    </row>
    <row r="28" spans="1:18" x14ac:dyDescent="0.25">
      <c r="A28" s="11" t="s">
        <v>161</v>
      </c>
      <c r="B28" s="13">
        <v>7568</v>
      </c>
      <c r="C28" s="14">
        <f>(6313/B28*100)</f>
        <v>83.417019027484145</v>
      </c>
      <c r="D28" s="15">
        <v>1255</v>
      </c>
      <c r="E28" s="14">
        <v>0</v>
      </c>
      <c r="F28" s="16">
        <v>0</v>
      </c>
      <c r="G28" s="14">
        <v>0</v>
      </c>
      <c r="H28" s="16">
        <v>0</v>
      </c>
      <c r="I28" s="14" t="s">
        <v>139</v>
      </c>
      <c r="J28" s="16" t="s">
        <v>139</v>
      </c>
      <c r="K28" s="14">
        <v>0</v>
      </c>
      <c r="L28" s="16">
        <v>0</v>
      </c>
      <c r="M28" s="14">
        <v>100</v>
      </c>
      <c r="N28" s="16">
        <v>0</v>
      </c>
      <c r="O28" s="14">
        <v>0</v>
      </c>
      <c r="P28" s="16">
        <v>0</v>
      </c>
      <c r="Q28" s="14">
        <v>0</v>
      </c>
      <c r="R28" s="16">
        <v>0</v>
      </c>
    </row>
    <row r="29" spans="1:18" x14ac:dyDescent="0.25">
      <c r="A29" s="11" t="s">
        <v>162</v>
      </c>
      <c r="B29" s="13">
        <v>5385</v>
      </c>
      <c r="C29" s="14">
        <f>(4470/B29*100)</f>
        <v>83.008356545961007</v>
      </c>
      <c r="D29" s="15">
        <v>915</v>
      </c>
      <c r="E29" s="14">
        <v>0</v>
      </c>
      <c r="F29" s="16">
        <v>0</v>
      </c>
      <c r="G29" s="14">
        <v>0</v>
      </c>
      <c r="H29" s="16">
        <v>0</v>
      </c>
      <c r="I29" s="14" t="s">
        <v>139</v>
      </c>
      <c r="J29" s="16" t="s">
        <v>139</v>
      </c>
      <c r="K29" s="14">
        <v>0</v>
      </c>
      <c r="L29" s="16">
        <v>0</v>
      </c>
      <c r="M29" s="14">
        <v>100</v>
      </c>
      <c r="N29" s="16">
        <v>0</v>
      </c>
      <c r="O29" s="14">
        <v>0</v>
      </c>
      <c r="P29" s="16">
        <v>0</v>
      </c>
      <c r="Q29" s="14">
        <v>0</v>
      </c>
      <c r="R29" s="16">
        <v>0</v>
      </c>
    </row>
    <row r="30" spans="1:18" x14ac:dyDescent="0.25">
      <c r="A30" s="11" t="s">
        <v>163</v>
      </c>
      <c r="B30" s="13">
        <v>4520</v>
      </c>
      <c r="C30" s="14">
        <f>(3744/B30*100)</f>
        <v>82.83185840707965</v>
      </c>
      <c r="D30" s="15">
        <v>776</v>
      </c>
      <c r="E30" s="14">
        <v>0</v>
      </c>
      <c r="F30" s="16">
        <v>0</v>
      </c>
      <c r="G30" s="14">
        <v>0</v>
      </c>
      <c r="H30" s="16">
        <v>0</v>
      </c>
      <c r="I30" s="14" t="s">
        <v>139</v>
      </c>
      <c r="J30" s="16" t="s">
        <v>139</v>
      </c>
      <c r="K30" s="14">
        <v>0</v>
      </c>
      <c r="L30" s="16">
        <v>0</v>
      </c>
      <c r="M30" s="14">
        <v>100</v>
      </c>
      <c r="N30" s="16">
        <v>0</v>
      </c>
      <c r="O30" s="14">
        <v>0</v>
      </c>
      <c r="P30" s="16">
        <v>0</v>
      </c>
      <c r="Q30" s="14">
        <v>0</v>
      </c>
      <c r="R30" s="16">
        <v>0</v>
      </c>
    </row>
    <row r="31" spans="1:18" x14ac:dyDescent="0.25">
      <c r="A31" s="11" t="s">
        <v>164</v>
      </c>
      <c r="B31" s="13">
        <v>5456</v>
      </c>
      <c r="C31" s="14">
        <f>(4534/B31*100)</f>
        <v>83.101173020527867</v>
      </c>
      <c r="D31" s="15">
        <v>922</v>
      </c>
      <c r="E31" s="14">
        <v>0</v>
      </c>
      <c r="F31" s="16">
        <v>0</v>
      </c>
      <c r="G31" s="14">
        <v>0</v>
      </c>
      <c r="H31" s="16">
        <v>0</v>
      </c>
      <c r="I31" s="14" t="s">
        <v>139</v>
      </c>
      <c r="J31" s="16" t="s">
        <v>139</v>
      </c>
      <c r="K31" s="14">
        <v>0</v>
      </c>
      <c r="L31" s="16">
        <v>0</v>
      </c>
      <c r="M31" s="14">
        <v>100</v>
      </c>
      <c r="N31" s="16">
        <v>0</v>
      </c>
      <c r="O31" s="14">
        <v>0</v>
      </c>
      <c r="P31" s="16">
        <v>0</v>
      </c>
      <c r="Q31" s="14">
        <v>0</v>
      </c>
      <c r="R31" s="16">
        <v>0</v>
      </c>
    </row>
    <row r="32" spans="1:18" x14ac:dyDescent="0.25">
      <c r="A32" s="11" t="s">
        <v>165</v>
      </c>
      <c r="B32" s="17" t="s">
        <v>154</v>
      </c>
      <c r="C32" s="17" t="s">
        <v>154</v>
      </c>
      <c r="D32" s="18" t="s">
        <v>154</v>
      </c>
      <c r="E32" s="17" t="s">
        <v>154</v>
      </c>
      <c r="F32" s="18" t="s">
        <v>154</v>
      </c>
      <c r="G32" s="17" t="s">
        <v>154</v>
      </c>
      <c r="H32" s="18" t="s">
        <v>154</v>
      </c>
      <c r="I32" s="17" t="s">
        <v>154</v>
      </c>
      <c r="J32" s="18" t="s">
        <v>154</v>
      </c>
      <c r="K32" s="17" t="s">
        <v>154</v>
      </c>
      <c r="L32" s="18" t="s">
        <v>154</v>
      </c>
      <c r="M32" s="17" t="s">
        <v>154</v>
      </c>
      <c r="N32" s="18" t="s">
        <v>154</v>
      </c>
      <c r="O32" s="17" t="s">
        <v>154</v>
      </c>
      <c r="P32" s="18" t="s">
        <v>154</v>
      </c>
      <c r="Q32" s="17" t="s">
        <v>154</v>
      </c>
      <c r="R32" s="18" t="s">
        <v>154</v>
      </c>
    </row>
    <row r="33" spans="1:18" x14ac:dyDescent="0.25">
      <c r="A33" s="11" t="s">
        <v>166</v>
      </c>
      <c r="B33" s="13">
        <v>7325</v>
      </c>
      <c r="C33" s="14">
        <f>(6092/B33*100)</f>
        <v>83.167235494880543</v>
      </c>
      <c r="D33" s="15">
        <v>1233</v>
      </c>
      <c r="E33" s="14">
        <v>0</v>
      </c>
      <c r="F33" s="16">
        <v>0</v>
      </c>
      <c r="G33" s="14">
        <v>0</v>
      </c>
      <c r="H33" s="16">
        <v>0</v>
      </c>
      <c r="I33" s="14" t="s">
        <v>139</v>
      </c>
      <c r="J33" s="16" t="s">
        <v>139</v>
      </c>
      <c r="K33" s="14">
        <v>0</v>
      </c>
      <c r="L33" s="16">
        <v>0</v>
      </c>
      <c r="M33" s="14">
        <v>100</v>
      </c>
      <c r="N33" s="16">
        <v>0</v>
      </c>
      <c r="O33" s="14">
        <v>0</v>
      </c>
      <c r="P33" s="16">
        <v>0</v>
      </c>
      <c r="Q33" s="14">
        <v>0</v>
      </c>
      <c r="R33" s="16">
        <v>0</v>
      </c>
    </row>
    <row r="34" spans="1:18" x14ac:dyDescent="0.25">
      <c r="A34" s="11" t="s">
        <v>167</v>
      </c>
      <c r="B34" s="13">
        <v>6350</v>
      </c>
      <c r="C34" s="14">
        <f>(5280/B34*100)</f>
        <v>83.149606299212593</v>
      </c>
      <c r="D34" s="15">
        <v>1070</v>
      </c>
      <c r="E34" s="14">
        <v>0</v>
      </c>
      <c r="F34" s="16">
        <v>0</v>
      </c>
      <c r="G34" s="14">
        <v>0</v>
      </c>
      <c r="H34" s="16">
        <v>0</v>
      </c>
      <c r="I34" s="14" t="s">
        <v>139</v>
      </c>
      <c r="J34" s="16" t="s">
        <v>139</v>
      </c>
      <c r="K34" s="14">
        <v>0</v>
      </c>
      <c r="L34" s="16">
        <v>0</v>
      </c>
      <c r="M34" s="14">
        <v>100</v>
      </c>
      <c r="N34" s="16">
        <v>0</v>
      </c>
      <c r="O34" s="14">
        <v>0</v>
      </c>
      <c r="P34" s="16">
        <v>0</v>
      </c>
      <c r="Q34" s="14">
        <v>0</v>
      </c>
      <c r="R34" s="16">
        <v>0</v>
      </c>
    </row>
    <row r="35" spans="1:18" x14ac:dyDescent="0.25">
      <c r="A35" s="11" t="s">
        <v>168</v>
      </c>
      <c r="B35" s="13">
        <v>6406</v>
      </c>
      <c r="C35" s="14">
        <f>(5297/B35*100)</f>
        <v>82.688104901654697</v>
      </c>
      <c r="D35" s="15">
        <v>1109</v>
      </c>
      <c r="E35" s="14">
        <v>0</v>
      </c>
      <c r="F35" s="16">
        <v>0</v>
      </c>
      <c r="G35" s="14">
        <v>0</v>
      </c>
      <c r="H35" s="16">
        <v>0</v>
      </c>
      <c r="I35" s="14" t="s">
        <v>139</v>
      </c>
      <c r="J35" s="16" t="s">
        <v>139</v>
      </c>
      <c r="K35" s="14">
        <v>0</v>
      </c>
      <c r="L35" s="16">
        <v>0</v>
      </c>
      <c r="M35" s="14">
        <v>100</v>
      </c>
      <c r="N35" s="16">
        <v>0</v>
      </c>
      <c r="O35" s="14">
        <v>0</v>
      </c>
      <c r="P35" s="16">
        <v>0</v>
      </c>
      <c r="Q35" s="14">
        <v>0</v>
      </c>
      <c r="R35" s="16">
        <v>0</v>
      </c>
    </row>
    <row r="36" spans="1:18" x14ac:dyDescent="0.25">
      <c r="A36" s="11" t="s">
        <v>169</v>
      </c>
      <c r="B36" s="13">
        <v>6736</v>
      </c>
      <c r="C36" s="14">
        <f>(5576/B36*100)</f>
        <v>82.779097387173394</v>
      </c>
      <c r="D36" s="15">
        <v>1160</v>
      </c>
      <c r="E36" s="14">
        <v>0</v>
      </c>
      <c r="F36" s="16">
        <v>0</v>
      </c>
      <c r="G36" s="14">
        <v>0</v>
      </c>
      <c r="H36" s="16">
        <v>0</v>
      </c>
      <c r="I36" s="14" t="s">
        <v>139</v>
      </c>
      <c r="J36" s="16" t="s">
        <v>139</v>
      </c>
      <c r="K36" s="14">
        <v>0</v>
      </c>
      <c r="L36" s="16">
        <v>0</v>
      </c>
      <c r="M36" s="14">
        <v>100</v>
      </c>
      <c r="N36" s="16">
        <v>0</v>
      </c>
      <c r="O36" s="14">
        <v>0</v>
      </c>
      <c r="P36" s="16">
        <v>0</v>
      </c>
      <c r="Q36" s="14">
        <v>0</v>
      </c>
      <c r="R36" s="16">
        <v>0</v>
      </c>
    </row>
    <row r="37" spans="1:18" x14ac:dyDescent="0.25">
      <c r="A37" s="11" t="s">
        <v>170</v>
      </c>
      <c r="B37" s="13">
        <v>5458</v>
      </c>
      <c r="C37" s="14">
        <f>(4554/B37*100)</f>
        <v>83.437156467570546</v>
      </c>
      <c r="D37" s="15">
        <v>904</v>
      </c>
      <c r="E37" s="14">
        <v>0</v>
      </c>
      <c r="F37" s="16">
        <v>0</v>
      </c>
      <c r="G37" s="14">
        <v>0</v>
      </c>
      <c r="H37" s="16">
        <v>0</v>
      </c>
      <c r="I37" s="14" t="s">
        <v>139</v>
      </c>
      <c r="J37" s="16" t="s">
        <v>139</v>
      </c>
      <c r="K37" s="14">
        <v>0</v>
      </c>
      <c r="L37" s="16">
        <v>0</v>
      </c>
      <c r="M37" s="14">
        <v>100</v>
      </c>
      <c r="N37" s="16">
        <v>0</v>
      </c>
      <c r="O37" s="14">
        <v>0</v>
      </c>
      <c r="P37" s="16">
        <v>0</v>
      </c>
      <c r="Q37" s="14">
        <v>0</v>
      </c>
      <c r="R37" s="16">
        <v>0</v>
      </c>
    </row>
    <row r="38" spans="1:18" x14ac:dyDescent="0.25">
      <c r="A38" s="11" t="s">
        <v>171</v>
      </c>
      <c r="B38" s="17" t="s">
        <v>154</v>
      </c>
      <c r="C38" s="17" t="s">
        <v>154</v>
      </c>
      <c r="D38" s="18" t="s">
        <v>154</v>
      </c>
      <c r="E38" s="17" t="s">
        <v>154</v>
      </c>
      <c r="F38" s="18" t="s">
        <v>154</v>
      </c>
      <c r="G38" s="17" t="s">
        <v>154</v>
      </c>
      <c r="H38" s="18" t="s">
        <v>154</v>
      </c>
      <c r="I38" s="17" t="s">
        <v>154</v>
      </c>
      <c r="J38" s="18" t="s">
        <v>154</v>
      </c>
      <c r="K38" s="17" t="s">
        <v>154</v>
      </c>
      <c r="L38" s="18" t="s">
        <v>154</v>
      </c>
      <c r="M38" s="17" t="s">
        <v>154</v>
      </c>
      <c r="N38" s="18" t="s">
        <v>154</v>
      </c>
      <c r="O38" s="17" t="s">
        <v>154</v>
      </c>
      <c r="P38" s="18" t="s">
        <v>154</v>
      </c>
      <c r="Q38" s="17" t="s">
        <v>154</v>
      </c>
      <c r="R38" s="18" t="s">
        <v>154</v>
      </c>
    </row>
    <row r="39" spans="1:18" x14ac:dyDescent="0.25">
      <c r="A39" s="11" t="s">
        <v>172</v>
      </c>
      <c r="B39" s="13">
        <v>5895</v>
      </c>
      <c r="C39" s="14">
        <f>(4869/B39*100)</f>
        <v>82.595419847328245</v>
      </c>
      <c r="D39" s="15">
        <v>1026</v>
      </c>
      <c r="E39" s="14">
        <v>0</v>
      </c>
      <c r="F39" s="16">
        <v>0</v>
      </c>
      <c r="G39" s="14">
        <v>0</v>
      </c>
      <c r="H39" s="16">
        <v>0</v>
      </c>
      <c r="I39" s="14" t="s">
        <v>139</v>
      </c>
      <c r="J39" s="16" t="s">
        <v>139</v>
      </c>
      <c r="K39" s="14">
        <v>0</v>
      </c>
      <c r="L39" s="16">
        <v>0</v>
      </c>
      <c r="M39" s="14">
        <v>100</v>
      </c>
      <c r="N39" s="16">
        <v>0</v>
      </c>
      <c r="O39" s="14">
        <v>0</v>
      </c>
      <c r="P39" s="16">
        <v>0</v>
      </c>
      <c r="Q39" s="14">
        <v>0</v>
      </c>
      <c r="R39" s="16">
        <v>0</v>
      </c>
    </row>
    <row r="40" spans="1:18" x14ac:dyDescent="0.25">
      <c r="A40" s="11" t="s">
        <v>173</v>
      </c>
      <c r="B40" s="13">
        <v>14157</v>
      </c>
      <c r="C40" s="14">
        <f>(11631/B40*100)</f>
        <v>82.15723670269125</v>
      </c>
      <c r="D40" s="15">
        <v>2526</v>
      </c>
      <c r="E40" s="14">
        <v>0</v>
      </c>
      <c r="F40" s="16">
        <v>0</v>
      </c>
      <c r="G40" s="14">
        <v>0</v>
      </c>
      <c r="H40" s="16">
        <v>0</v>
      </c>
      <c r="I40" s="14" t="s">
        <v>139</v>
      </c>
      <c r="J40" s="16" t="s">
        <v>139</v>
      </c>
      <c r="K40" s="14">
        <v>0</v>
      </c>
      <c r="L40" s="16">
        <v>0</v>
      </c>
      <c r="M40" s="14">
        <v>100</v>
      </c>
      <c r="N40" s="16">
        <v>0</v>
      </c>
      <c r="O40" s="14">
        <v>0</v>
      </c>
      <c r="P40" s="16">
        <v>0</v>
      </c>
      <c r="Q40" s="14">
        <v>0</v>
      </c>
      <c r="R40" s="16">
        <v>0</v>
      </c>
    </row>
    <row r="41" spans="1:18" x14ac:dyDescent="0.25">
      <c r="A41" s="11" t="s">
        <v>174</v>
      </c>
      <c r="B41" s="13">
        <v>5712</v>
      </c>
      <c r="C41" s="14">
        <f>(4753/B41*100)</f>
        <v>83.210784313725497</v>
      </c>
      <c r="D41" s="15">
        <v>959</v>
      </c>
      <c r="E41" s="14">
        <v>0</v>
      </c>
      <c r="F41" s="16">
        <v>0</v>
      </c>
      <c r="G41" s="14">
        <v>0</v>
      </c>
      <c r="H41" s="16">
        <v>0</v>
      </c>
      <c r="I41" s="14" t="s">
        <v>139</v>
      </c>
      <c r="J41" s="16" t="s">
        <v>139</v>
      </c>
      <c r="K41" s="14">
        <v>0</v>
      </c>
      <c r="L41" s="16">
        <v>0</v>
      </c>
      <c r="M41" s="14">
        <v>100</v>
      </c>
      <c r="N41" s="16">
        <v>0</v>
      </c>
      <c r="O41" s="14">
        <v>0</v>
      </c>
      <c r="P41" s="16">
        <v>0</v>
      </c>
      <c r="Q41" s="14">
        <v>0</v>
      </c>
      <c r="R41" s="16">
        <v>0</v>
      </c>
    </row>
    <row r="42" spans="1:18" x14ac:dyDescent="0.25">
      <c r="A42" s="11" t="s">
        <v>175</v>
      </c>
      <c r="B42" s="13">
        <f>IF(COUNT(B7:B41) &gt; 0, AVERAGE(B7:B41), "\u2014")</f>
        <v>7266.90625</v>
      </c>
      <c r="C42" s="14">
        <f>IF(COUNT(C7:C41) &gt; 0, AVERAGE(C7:C41), "—")</f>
        <v>82.93344709112597</v>
      </c>
      <c r="D42" s="15">
        <f>IF(COUNT(D7:D41) &gt; 0, AVERAGE(D7:D41), "—")</f>
        <v>1241.4375</v>
      </c>
      <c r="E42" s="14">
        <f>IF(COUNT(E7:E41) &gt; 0, AVERAGE(E7:E41), "—")</f>
        <v>0</v>
      </c>
      <c r="F42" s="16">
        <f>IF(COUNT(F7:F41) &gt; 0, SQRT(SUMSQ(F7:F41)/(COUNT(F7:F41)*COUNT(F7:F41)) ), "—")</f>
        <v>0</v>
      </c>
      <c r="G42" s="14">
        <f>IF(COUNT(G7:G41) &gt; 0, AVERAGE(G7:G41), "—")</f>
        <v>0</v>
      </c>
      <c r="H42" s="16">
        <f>IF(COUNT(H7:H41) &gt; 0, SQRT(SUMSQ(H7:H41)/(COUNT(H7:H41)*COUNT(H7:H41)) ), "—")</f>
        <v>0</v>
      </c>
      <c r="I42" s="14" t="str">
        <f>IF(COUNT(I7:I41) &gt; 0, AVERAGE(I7:I41), "—")</f>
        <v>—</v>
      </c>
      <c r="J42" s="16" t="str">
        <f>IF(COUNT(J7:J41) &gt; 0, SQRT(SUMSQ(J7:J41)/(COUNT(J7:J41)*COUNT(J7:J41)) ), "—")</f>
        <v>—</v>
      </c>
      <c r="K42" s="14">
        <f>IF(COUNT(K7:K41) &gt; 0, AVERAGE(K7:K41), "—")</f>
        <v>0</v>
      </c>
      <c r="L42" s="16">
        <f>IF(COUNT(L7:L41) &gt; 0, SQRT(SUMSQ(L7:L41)/(COUNT(L7:L41)*COUNT(L7:L41)) ), "—")</f>
        <v>0</v>
      </c>
      <c r="M42" s="14">
        <f>IF(COUNT(M7:M41) &gt; 0, AVERAGE(M7:M41), "—")</f>
        <v>100</v>
      </c>
      <c r="N42" s="16">
        <f>IF(COUNT(N7:N41) &gt; 0, SQRT(SUMSQ(N7:N41)/(COUNT(N7:N41)*COUNT(N7:N41)) ), "—")</f>
        <v>0</v>
      </c>
      <c r="O42" s="14">
        <f>IF(COUNT(O7:O41) &gt; 0, AVERAGE(O7:O41), "—")</f>
        <v>0</v>
      </c>
      <c r="P42" s="16">
        <f>IF(COUNT(P7:P41) &gt; 0, SQRT(SUMSQ(P7:P41)/(COUNT(P7:P41)*COUNT(P7:P41)) ), "—")</f>
        <v>0</v>
      </c>
      <c r="Q42" s="14">
        <f>IF(COUNT(Q7:Q41) &gt; 0, AVERAGE(Q7:Q41), "—")</f>
        <v>0</v>
      </c>
      <c r="R42" s="16">
        <f>IF(COUNT(R7:R41) &gt; 0, SQRT(SUMSQ(R7:R41)/(COUNT(R7:R41)*COUNT(R7:R41)) ), "—")</f>
        <v>0</v>
      </c>
    </row>
    <row r="43" spans="1:18" x14ac:dyDescent="0.25">
      <c r="A43" s="9" t="s">
        <v>176</v>
      </c>
      <c r="B43" s="10"/>
      <c r="C43" s="10"/>
      <c r="D43" s="11"/>
      <c r="E43" s="10"/>
      <c r="F43" s="11"/>
      <c r="G43" s="10"/>
      <c r="H43" s="11"/>
      <c r="I43" s="10"/>
      <c r="J43" s="11"/>
      <c r="K43" s="10"/>
      <c r="L43" s="11"/>
      <c r="M43" s="10"/>
      <c r="N43" s="11"/>
      <c r="O43" s="10"/>
      <c r="P43" s="11"/>
      <c r="Q43" s="10"/>
      <c r="R43" s="12"/>
    </row>
    <row r="44" spans="1:18" x14ac:dyDescent="0.25">
      <c r="A44" s="11" t="s">
        <v>177</v>
      </c>
      <c r="B44" s="17" t="s">
        <v>154</v>
      </c>
      <c r="C44" s="17" t="s">
        <v>154</v>
      </c>
      <c r="D44" s="18" t="s">
        <v>154</v>
      </c>
      <c r="E44" s="17" t="s">
        <v>154</v>
      </c>
      <c r="F44" s="18" t="s">
        <v>154</v>
      </c>
      <c r="G44" s="17" t="s">
        <v>154</v>
      </c>
      <c r="H44" s="18" t="s">
        <v>154</v>
      </c>
      <c r="I44" s="17" t="s">
        <v>154</v>
      </c>
      <c r="J44" s="18" t="s">
        <v>154</v>
      </c>
      <c r="K44" s="17" t="s">
        <v>154</v>
      </c>
      <c r="L44" s="18" t="s">
        <v>154</v>
      </c>
      <c r="M44" s="17" t="s">
        <v>154</v>
      </c>
      <c r="N44" s="18" t="s">
        <v>154</v>
      </c>
      <c r="O44" s="17" t="s">
        <v>154</v>
      </c>
      <c r="P44" s="18" t="s">
        <v>154</v>
      </c>
      <c r="Q44" s="17" t="s">
        <v>154</v>
      </c>
      <c r="R44" s="18" t="s">
        <v>154</v>
      </c>
    </row>
    <row r="45" spans="1:18" x14ac:dyDescent="0.25">
      <c r="A45" s="11" t="s">
        <v>178</v>
      </c>
      <c r="B45" s="17" t="s">
        <v>154</v>
      </c>
      <c r="C45" s="17" t="s">
        <v>154</v>
      </c>
      <c r="D45" s="18" t="s">
        <v>154</v>
      </c>
      <c r="E45" s="17" t="s">
        <v>154</v>
      </c>
      <c r="F45" s="18" t="s">
        <v>154</v>
      </c>
      <c r="G45" s="17" t="s">
        <v>154</v>
      </c>
      <c r="H45" s="18" t="s">
        <v>154</v>
      </c>
      <c r="I45" s="17" t="s">
        <v>154</v>
      </c>
      <c r="J45" s="18" t="s">
        <v>154</v>
      </c>
      <c r="K45" s="17" t="s">
        <v>154</v>
      </c>
      <c r="L45" s="18" t="s">
        <v>154</v>
      </c>
      <c r="M45" s="17" t="s">
        <v>154</v>
      </c>
      <c r="N45" s="18" t="s">
        <v>154</v>
      </c>
      <c r="O45" s="17" t="s">
        <v>154</v>
      </c>
      <c r="P45" s="18" t="s">
        <v>154</v>
      </c>
      <c r="Q45" s="17" t="s">
        <v>154</v>
      </c>
      <c r="R45" s="18" t="s">
        <v>154</v>
      </c>
    </row>
    <row r="46" spans="1:18" x14ac:dyDescent="0.25">
      <c r="A46" s="11" t="s">
        <v>179</v>
      </c>
      <c r="B46" s="13">
        <v>23141</v>
      </c>
      <c r="C46" s="14">
        <f>(19537/B46*100)</f>
        <v>84.425910721230707</v>
      </c>
      <c r="D46" s="15">
        <v>3604</v>
      </c>
      <c r="E46" s="14">
        <v>0</v>
      </c>
      <c r="F46" s="16">
        <v>0</v>
      </c>
      <c r="G46" s="14">
        <v>0</v>
      </c>
      <c r="H46" s="16">
        <v>0</v>
      </c>
      <c r="I46" s="14" t="s">
        <v>139</v>
      </c>
      <c r="J46" s="16" t="s">
        <v>139</v>
      </c>
      <c r="K46" s="14">
        <v>0</v>
      </c>
      <c r="L46" s="16">
        <v>0</v>
      </c>
      <c r="M46" s="14">
        <v>100</v>
      </c>
      <c r="N46" s="16">
        <v>0</v>
      </c>
      <c r="O46" s="14">
        <v>0</v>
      </c>
      <c r="P46" s="16">
        <v>0</v>
      </c>
      <c r="Q46" s="14">
        <v>0</v>
      </c>
      <c r="R46" s="16">
        <v>0</v>
      </c>
    </row>
    <row r="47" spans="1:18" x14ac:dyDescent="0.25">
      <c r="A47" s="11" t="s">
        <v>180</v>
      </c>
      <c r="B47" s="13">
        <v>5928</v>
      </c>
      <c r="C47" s="14">
        <f>(4918/B47*100)</f>
        <v>82.962213225371116</v>
      </c>
      <c r="D47" s="15">
        <v>1010</v>
      </c>
      <c r="E47" s="14">
        <v>0</v>
      </c>
      <c r="F47" s="16">
        <v>0</v>
      </c>
      <c r="G47" s="14">
        <v>0</v>
      </c>
      <c r="H47" s="16">
        <v>0</v>
      </c>
      <c r="I47" s="14" t="s">
        <v>139</v>
      </c>
      <c r="J47" s="16" t="s">
        <v>139</v>
      </c>
      <c r="K47" s="14">
        <v>0</v>
      </c>
      <c r="L47" s="16">
        <v>0</v>
      </c>
      <c r="M47" s="14">
        <v>100</v>
      </c>
      <c r="N47" s="16">
        <v>0</v>
      </c>
      <c r="O47" s="14">
        <v>0</v>
      </c>
      <c r="P47" s="16">
        <v>0</v>
      </c>
      <c r="Q47" s="14">
        <v>0</v>
      </c>
      <c r="R47" s="16">
        <v>0</v>
      </c>
    </row>
    <row r="48" spans="1:18" x14ac:dyDescent="0.25">
      <c r="A48" s="11" t="s">
        <v>181</v>
      </c>
      <c r="B48" s="13">
        <v>9841</v>
      </c>
      <c r="C48" s="14">
        <f>(8147/B48*100)</f>
        <v>82.786302205060451</v>
      </c>
      <c r="D48" s="15">
        <v>1694</v>
      </c>
      <c r="E48" s="14">
        <v>0</v>
      </c>
      <c r="F48" s="16">
        <v>0</v>
      </c>
      <c r="G48" s="14">
        <v>0</v>
      </c>
      <c r="H48" s="16">
        <v>0</v>
      </c>
      <c r="I48" s="14" t="s">
        <v>139</v>
      </c>
      <c r="J48" s="16" t="s">
        <v>139</v>
      </c>
      <c r="K48" s="14">
        <v>0</v>
      </c>
      <c r="L48" s="16">
        <v>0</v>
      </c>
      <c r="M48" s="14">
        <v>100</v>
      </c>
      <c r="N48" s="16">
        <v>0</v>
      </c>
      <c r="O48" s="14">
        <v>0</v>
      </c>
      <c r="P48" s="16">
        <v>0</v>
      </c>
      <c r="Q48" s="14">
        <v>0</v>
      </c>
      <c r="R48" s="16">
        <v>0</v>
      </c>
    </row>
    <row r="49" spans="1:18" x14ac:dyDescent="0.25">
      <c r="A49" s="11" t="s">
        <v>182</v>
      </c>
      <c r="B49" s="17" t="s">
        <v>154</v>
      </c>
      <c r="C49" s="17" t="s">
        <v>154</v>
      </c>
      <c r="D49" s="18" t="s">
        <v>154</v>
      </c>
      <c r="E49" s="17" t="s">
        <v>154</v>
      </c>
      <c r="F49" s="18" t="s">
        <v>154</v>
      </c>
      <c r="G49" s="17" t="s">
        <v>154</v>
      </c>
      <c r="H49" s="18" t="s">
        <v>154</v>
      </c>
      <c r="I49" s="17" t="s">
        <v>154</v>
      </c>
      <c r="J49" s="18" t="s">
        <v>154</v>
      </c>
      <c r="K49" s="17" t="s">
        <v>154</v>
      </c>
      <c r="L49" s="18" t="s">
        <v>154</v>
      </c>
      <c r="M49" s="17" t="s">
        <v>154</v>
      </c>
      <c r="N49" s="18" t="s">
        <v>154</v>
      </c>
      <c r="O49" s="17" t="s">
        <v>154</v>
      </c>
      <c r="P49" s="18" t="s">
        <v>154</v>
      </c>
      <c r="Q49" s="17" t="s">
        <v>154</v>
      </c>
      <c r="R49" s="18" t="s">
        <v>154</v>
      </c>
    </row>
    <row r="50" spans="1:18" x14ac:dyDescent="0.25">
      <c r="A50" s="11" t="s">
        <v>183</v>
      </c>
      <c r="B50" s="13">
        <v>11795</v>
      </c>
      <c r="C50" s="14">
        <f>(9780/B50*100)</f>
        <v>82.916490038151764</v>
      </c>
      <c r="D50" s="15">
        <v>2015</v>
      </c>
      <c r="E50" s="14">
        <v>0</v>
      </c>
      <c r="F50" s="16">
        <v>0</v>
      </c>
      <c r="G50" s="14">
        <v>0</v>
      </c>
      <c r="H50" s="16">
        <v>0</v>
      </c>
      <c r="I50" s="14" t="s">
        <v>139</v>
      </c>
      <c r="J50" s="16" t="s">
        <v>139</v>
      </c>
      <c r="K50" s="14">
        <v>0</v>
      </c>
      <c r="L50" s="16">
        <v>0</v>
      </c>
      <c r="M50" s="14">
        <v>100</v>
      </c>
      <c r="N50" s="16">
        <v>0</v>
      </c>
      <c r="O50" s="14">
        <v>0</v>
      </c>
      <c r="P50" s="16">
        <v>0</v>
      </c>
      <c r="Q50" s="14">
        <v>0</v>
      </c>
      <c r="R50" s="16">
        <v>0</v>
      </c>
    </row>
    <row r="51" spans="1:18" x14ac:dyDescent="0.25">
      <c r="A51" s="11" t="s">
        <v>184</v>
      </c>
      <c r="B51" s="13">
        <v>6866</v>
      </c>
      <c r="C51" s="14">
        <f>(5844/B51*100)</f>
        <v>85.115059714535391</v>
      </c>
      <c r="D51" s="15">
        <v>1022</v>
      </c>
      <c r="E51" s="14">
        <v>0</v>
      </c>
      <c r="F51" s="16">
        <v>0</v>
      </c>
      <c r="G51" s="14">
        <v>0</v>
      </c>
      <c r="H51" s="16">
        <v>0</v>
      </c>
      <c r="I51" s="14" t="s">
        <v>139</v>
      </c>
      <c r="J51" s="16" t="s">
        <v>139</v>
      </c>
      <c r="K51" s="14">
        <v>0</v>
      </c>
      <c r="L51" s="16">
        <v>0</v>
      </c>
      <c r="M51" s="14">
        <v>100</v>
      </c>
      <c r="N51" s="16">
        <v>0</v>
      </c>
      <c r="O51" s="14">
        <v>0</v>
      </c>
      <c r="P51" s="16">
        <v>0</v>
      </c>
      <c r="Q51" s="14">
        <v>0</v>
      </c>
      <c r="R51" s="16">
        <v>0</v>
      </c>
    </row>
    <row r="52" spans="1:18" x14ac:dyDescent="0.25">
      <c r="A52" s="11" t="s">
        <v>185</v>
      </c>
      <c r="B52" s="13">
        <v>5809</v>
      </c>
      <c r="C52" s="14">
        <f>(4801/B52*100)</f>
        <v>82.647615768634878</v>
      </c>
      <c r="D52" s="15">
        <v>1008</v>
      </c>
      <c r="E52" s="14">
        <v>0</v>
      </c>
      <c r="F52" s="16">
        <v>0</v>
      </c>
      <c r="G52" s="14">
        <v>0</v>
      </c>
      <c r="H52" s="16">
        <v>0</v>
      </c>
      <c r="I52" s="14" t="s">
        <v>139</v>
      </c>
      <c r="J52" s="16" t="s">
        <v>139</v>
      </c>
      <c r="K52" s="14">
        <v>0</v>
      </c>
      <c r="L52" s="16">
        <v>0</v>
      </c>
      <c r="M52" s="14">
        <v>100</v>
      </c>
      <c r="N52" s="16">
        <v>0</v>
      </c>
      <c r="O52" s="14">
        <v>0</v>
      </c>
      <c r="P52" s="16">
        <v>0</v>
      </c>
      <c r="Q52" s="14">
        <v>0</v>
      </c>
      <c r="R52" s="16">
        <v>0</v>
      </c>
    </row>
    <row r="53" spans="1:18" x14ac:dyDescent="0.25">
      <c r="A53" s="11" t="s">
        <v>186</v>
      </c>
      <c r="B53" s="13">
        <v>5571</v>
      </c>
      <c r="C53" s="14">
        <f>(4604/B53*100)</f>
        <v>82.642254532399932</v>
      </c>
      <c r="D53" s="15">
        <v>967</v>
      </c>
      <c r="E53" s="14">
        <v>0</v>
      </c>
      <c r="F53" s="16">
        <v>0</v>
      </c>
      <c r="G53" s="14">
        <v>0</v>
      </c>
      <c r="H53" s="16">
        <v>0</v>
      </c>
      <c r="I53" s="14" t="s">
        <v>139</v>
      </c>
      <c r="J53" s="16" t="s">
        <v>139</v>
      </c>
      <c r="K53" s="14">
        <v>0</v>
      </c>
      <c r="L53" s="16">
        <v>0</v>
      </c>
      <c r="M53" s="14">
        <v>100</v>
      </c>
      <c r="N53" s="16">
        <v>0</v>
      </c>
      <c r="O53" s="14">
        <v>0</v>
      </c>
      <c r="P53" s="16">
        <v>0</v>
      </c>
      <c r="Q53" s="14">
        <v>0</v>
      </c>
      <c r="R53" s="16">
        <v>0</v>
      </c>
    </row>
    <row r="54" spans="1:18" x14ac:dyDescent="0.25">
      <c r="A54" s="11" t="s">
        <v>187</v>
      </c>
      <c r="B54" s="17" t="s">
        <v>154</v>
      </c>
      <c r="C54" s="17" t="s">
        <v>154</v>
      </c>
      <c r="D54" s="18" t="s">
        <v>154</v>
      </c>
      <c r="E54" s="17" t="s">
        <v>154</v>
      </c>
      <c r="F54" s="18" t="s">
        <v>154</v>
      </c>
      <c r="G54" s="17" t="s">
        <v>154</v>
      </c>
      <c r="H54" s="18" t="s">
        <v>154</v>
      </c>
      <c r="I54" s="17" t="s">
        <v>154</v>
      </c>
      <c r="J54" s="18" t="s">
        <v>154</v>
      </c>
      <c r="K54" s="17" t="s">
        <v>154</v>
      </c>
      <c r="L54" s="18" t="s">
        <v>154</v>
      </c>
      <c r="M54" s="17" t="s">
        <v>154</v>
      </c>
      <c r="N54" s="18" t="s">
        <v>154</v>
      </c>
      <c r="O54" s="17" t="s">
        <v>154</v>
      </c>
      <c r="P54" s="18" t="s">
        <v>154</v>
      </c>
      <c r="Q54" s="17" t="s">
        <v>154</v>
      </c>
      <c r="R54" s="18" t="s">
        <v>154</v>
      </c>
    </row>
    <row r="55" spans="1:18" x14ac:dyDescent="0.25">
      <c r="A55" s="11" t="s">
        <v>188</v>
      </c>
      <c r="B55" s="17" t="s">
        <v>154</v>
      </c>
      <c r="C55" s="17" t="s">
        <v>154</v>
      </c>
      <c r="D55" s="18" t="s">
        <v>154</v>
      </c>
      <c r="E55" s="17" t="s">
        <v>154</v>
      </c>
      <c r="F55" s="18" t="s">
        <v>154</v>
      </c>
      <c r="G55" s="17" t="s">
        <v>154</v>
      </c>
      <c r="H55" s="18" t="s">
        <v>154</v>
      </c>
      <c r="I55" s="17" t="s">
        <v>154</v>
      </c>
      <c r="J55" s="18" t="s">
        <v>154</v>
      </c>
      <c r="K55" s="17" t="s">
        <v>154</v>
      </c>
      <c r="L55" s="18" t="s">
        <v>154</v>
      </c>
      <c r="M55" s="17" t="s">
        <v>154</v>
      </c>
      <c r="N55" s="18" t="s">
        <v>154</v>
      </c>
      <c r="O55" s="17" t="s">
        <v>154</v>
      </c>
      <c r="P55" s="18" t="s">
        <v>154</v>
      </c>
      <c r="Q55" s="17" t="s">
        <v>154</v>
      </c>
      <c r="R55" s="18" t="s">
        <v>154</v>
      </c>
    </row>
    <row r="56" spans="1:18" x14ac:dyDescent="0.25">
      <c r="A56" s="11" t="s">
        <v>189</v>
      </c>
      <c r="B56" s="13">
        <v>5359</v>
      </c>
      <c r="C56" s="14">
        <f>(4443/B56*100)</f>
        <v>82.907258816943468</v>
      </c>
      <c r="D56" s="15">
        <v>916</v>
      </c>
      <c r="E56" s="14">
        <v>0</v>
      </c>
      <c r="F56" s="16">
        <v>0</v>
      </c>
      <c r="G56" s="14">
        <v>0</v>
      </c>
      <c r="H56" s="16">
        <v>0</v>
      </c>
      <c r="I56" s="14" t="s">
        <v>139</v>
      </c>
      <c r="J56" s="16" t="s">
        <v>139</v>
      </c>
      <c r="K56" s="14">
        <v>0</v>
      </c>
      <c r="L56" s="16">
        <v>0</v>
      </c>
      <c r="M56" s="14">
        <v>100</v>
      </c>
      <c r="N56" s="16">
        <v>0</v>
      </c>
      <c r="O56" s="14">
        <v>0</v>
      </c>
      <c r="P56" s="16">
        <v>0</v>
      </c>
      <c r="Q56" s="14">
        <v>0</v>
      </c>
      <c r="R56" s="16">
        <v>0</v>
      </c>
    </row>
    <row r="57" spans="1:18" x14ac:dyDescent="0.25">
      <c r="A57" s="11" t="s">
        <v>190</v>
      </c>
      <c r="B57" s="17" t="s">
        <v>154</v>
      </c>
      <c r="C57" s="17" t="s">
        <v>154</v>
      </c>
      <c r="D57" s="18" t="s">
        <v>154</v>
      </c>
      <c r="E57" s="17" t="s">
        <v>154</v>
      </c>
      <c r="F57" s="18" t="s">
        <v>154</v>
      </c>
      <c r="G57" s="17" t="s">
        <v>154</v>
      </c>
      <c r="H57" s="18" t="s">
        <v>154</v>
      </c>
      <c r="I57" s="17" t="s">
        <v>154</v>
      </c>
      <c r="J57" s="18" t="s">
        <v>154</v>
      </c>
      <c r="K57" s="17" t="s">
        <v>154</v>
      </c>
      <c r="L57" s="18" t="s">
        <v>154</v>
      </c>
      <c r="M57" s="17" t="s">
        <v>154</v>
      </c>
      <c r="N57" s="18" t="s">
        <v>154</v>
      </c>
      <c r="O57" s="17" t="s">
        <v>154</v>
      </c>
      <c r="P57" s="18" t="s">
        <v>154</v>
      </c>
      <c r="Q57" s="17" t="s">
        <v>154</v>
      </c>
      <c r="R57" s="18" t="s">
        <v>154</v>
      </c>
    </row>
    <row r="58" spans="1:18" x14ac:dyDescent="0.25">
      <c r="A58" s="11" t="s">
        <v>191</v>
      </c>
      <c r="B58" s="17" t="s">
        <v>154</v>
      </c>
      <c r="C58" s="17" t="s">
        <v>154</v>
      </c>
      <c r="D58" s="18" t="s">
        <v>154</v>
      </c>
      <c r="E58" s="17" t="s">
        <v>154</v>
      </c>
      <c r="F58" s="18" t="s">
        <v>154</v>
      </c>
      <c r="G58" s="17" t="s">
        <v>154</v>
      </c>
      <c r="H58" s="18" t="s">
        <v>154</v>
      </c>
      <c r="I58" s="17" t="s">
        <v>154</v>
      </c>
      <c r="J58" s="18" t="s">
        <v>154</v>
      </c>
      <c r="K58" s="17" t="s">
        <v>154</v>
      </c>
      <c r="L58" s="18" t="s">
        <v>154</v>
      </c>
      <c r="M58" s="17" t="s">
        <v>154</v>
      </c>
      <c r="N58" s="18" t="s">
        <v>154</v>
      </c>
      <c r="O58" s="17" t="s">
        <v>154</v>
      </c>
      <c r="P58" s="18" t="s">
        <v>154</v>
      </c>
      <c r="Q58" s="17" t="s">
        <v>154</v>
      </c>
      <c r="R58" s="18" t="s">
        <v>154</v>
      </c>
    </row>
    <row r="59" spans="1:18" x14ac:dyDescent="0.25">
      <c r="A59" s="11" t="s">
        <v>192</v>
      </c>
      <c r="B59" s="17" t="s">
        <v>154</v>
      </c>
      <c r="C59" s="17" t="s">
        <v>154</v>
      </c>
      <c r="D59" s="18" t="s">
        <v>154</v>
      </c>
      <c r="E59" s="17" t="s">
        <v>154</v>
      </c>
      <c r="F59" s="18" t="s">
        <v>154</v>
      </c>
      <c r="G59" s="17" t="s">
        <v>154</v>
      </c>
      <c r="H59" s="18" t="s">
        <v>154</v>
      </c>
      <c r="I59" s="17" t="s">
        <v>154</v>
      </c>
      <c r="J59" s="18" t="s">
        <v>154</v>
      </c>
      <c r="K59" s="17" t="s">
        <v>154</v>
      </c>
      <c r="L59" s="18" t="s">
        <v>154</v>
      </c>
      <c r="M59" s="17" t="s">
        <v>154</v>
      </c>
      <c r="N59" s="18" t="s">
        <v>154</v>
      </c>
      <c r="O59" s="17" t="s">
        <v>154</v>
      </c>
      <c r="P59" s="18" t="s">
        <v>154</v>
      </c>
      <c r="Q59" s="17" t="s">
        <v>154</v>
      </c>
      <c r="R59" s="18" t="s">
        <v>154</v>
      </c>
    </row>
    <row r="60" spans="1:18" x14ac:dyDescent="0.25">
      <c r="A60" s="11" t="s">
        <v>193</v>
      </c>
      <c r="B60" s="17" t="s">
        <v>154</v>
      </c>
      <c r="C60" s="17" t="s">
        <v>154</v>
      </c>
      <c r="D60" s="18" t="s">
        <v>154</v>
      </c>
      <c r="E60" s="17" t="s">
        <v>154</v>
      </c>
      <c r="F60" s="18" t="s">
        <v>154</v>
      </c>
      <c r="G60" s="17" t="s">
        <v>154</v>
      </c>
      <c r="H60" s="18" t="s">
        <v>154</v>
      </c>
      <c r="I60" s="17" t="s">
        <v>154</v>
      </c>
      <c r="J60" s="18" t="s">
        <v>154</v>
      </c>
      <c r="K60" s="17" t="s">
        <v>154</v>
      </c>
      <c r="L60" s="18" t="s">
        <v>154</v>
      </c>
      <c r="M60" s="17" t="s">
        <v>154</v>
      </c>
      <c r="N60" s="18" t="s">
        <v>154</v>
      </c>
      <c r="O60" s="17" t="s">
        <v>154</v>
      </c>
      <c r="P60" s="18" t="s">
        <v>154</v>
      </c>
      <c r="Q60" s="17" t="s">
        <v>154</v>
      </c>
      <c r="R60" s="18" t="s">
        <v>154</v>
      </c>
    </row>
    <row r="61" spans="1:18" x14ac:dyDescent="0.25">
      <c r="A61" s="11" t="s">
        <v>194</v>
      </c>
      <c r="B61" s="13">
        <v>6525</v>
      </c>
      <c r="C61" s="14">
        <f>(5385/B61*100)</f>
        <v>82.528735632183896</v>
      </c>
      <c r="D61" s="15">
        <v>1140</v>
      </c>
      <c r="E61" s="14">
        <v>0</v>
      </c>
      <c r="F61" s="16">
        <v>0</v>
      </c>
      <c r="G61" s="14">
        <v>0</v>
      </c>
      <c r="H61" s="16">
        <v>0</v>
      </c>
      <c r="I61" s="14" t="s">
        <v>139</v>
      </c>
      <c r="J61" s="16" t="s">
        <v>139</v>
      </c>
      <c r="K61" s="14">
        <v>0</v>
      </c>
      <c r="L61" s="16">
        <v>0</v>
      </c>
      <c r="M61" s="14">
        <v>100</v>
      </c>
      <c r="N61" s="16">
        <v>0</v>
      </c>
      <c r="O61" s="14">
        <v>0</v>
      </c>
      <c r="P61" s="16">
        <v>0</v>
      </c>
      <c r="Q61" s="14">
        <v>0</v>
      </c>
      <c r="R61" s="16">
        <v>0</v>
      </c>
    </row>
    <row r="62" spans="1:18" x14ac:dyDescent="0.25">
      <c r="A62" s="11" t="s">
        <v>195</v>
      </c>
      <c r="B62" s="13">
        <v>4476</v>
      </c>
      <c r="C62" s="14">
        <f>(3693/B62*100)</f>
        <v>82.506702412868634</v>
      </c>
      <c r="D62" s="15">
        <v>783</v>
      </c>
      <c r="E62" s="14">
        <v>0</v>
      </c>
      <c r="F62" s="16">
        <v>0</v>
      </c>
      <c r="G62" s="14">
        <v>0</v>
      </c>
      <c r="H62" s="16">
        <v>0</v>
      </c>
      <c r="I62" s="14" t="s">
        <v>139</v>
      </c>
      <c r="J62" s="16" t="s">
        <v>139</v>
      </c>
      <c r="K62" s="14">
        <v>0</v>
      </c>
      <c r="L62" s="16">
        <v>0</v>
      </c>
      <c r="M62" s="14">
        <v>100</v>
      </c>
      <c r="N62" s="16">
        <v>0</v>
      </c>
      <c r="O62" s="14">
        <v>0</v>
      </c>
      <c r="P62" s="16">
        <v>0</v>
      </c>
      <c r="Q62" s="14">
        <v>0</v>
      </c>
      <c r="R62" s="16">
        <v>0</v>
      </c>
    </row>
    <row r="63" spans="1:18" x14ac:dyDescent="0.25">
      <c r="A63" s="11" t="s">
        <v>196</v>
      </c>
      <c r="B63" s="17" t="s">
        <v>154</v>
      </c>
      <c r="C63" s="17" t="s">
        <v>154</v>
      </c>
      <c r="D63" s="18" t="s">
        <v>154</v>
      </c>
      <c r="E63" s="17" t="s">
        <v>154</v>
      </c>
      <c r="F63" s="18" t="s">
        <v>154</v>
      </c>
      <c r="G63" s="17" t="s">
        <v>154</v>
      </c>
      <c r="H63" s="18" t="s">
        <v>154</v>
      </c>
      <c r="I63" s="17" t="s">
        <v>154</v>
      </c>
      <c r="J63" s="18" t="s">
        <v>154</v>
      </c>
      <c r="K63" s="17" t="s">
        <v>154</v>
      </c>
      <c r="L63" s="18" t="s">
        <v>154</v>
      </c>
      <c r="M63" s="17" t="s">
        <v>154</v>
      </c>
      <c r="N63" s="18" t="s">
        <v>154</v>
      </c>
      <c r="O63" s="17" t="s">
        <v>154</v>
      </c>
      <c r="P63" s="18" t="s">
        <v>154</v>
      </c>
      <c r="Q63" s="17" t="s">
        <v>154</v>
      </c>
      <c r="R63" s="18" t="s">
        <v>154</v>
      </c>
    </row>
    <row r="64" spans="1:18" x14ac:dyDescent="0.25">
      <c r="A64" s="11" t="s">
        <v>197</v>
      </c>
      <c r="B64" s="17" t="s">
        <v>154</v>
      </c>
      <c r="C64" s="17" t="s">
        <v>154</v>
      </c>
      <c r="D64" s="18" t="s">
        <v>154</v>
      </c>
      <c r="E64" s="17" t="s">
        <v>154</v>
      </c>
      <c r="F64" s="18" t="s">
        <v>154</v>
      </c>
      <c r="G64" s="17" t="s">
        <v>154</v>
      </c>
      <c r="H64" s="18" t="s">
        <v>154</v>
      </c>
      <c r="I64" s="17" t="s">
        <v>154</v>
      </c>
      <c r="J64" s="18" t="s">
        <v>154</v>
      </c>
      <c r="K64" s="17" t="s">
        <v>154</v>
      </c>
      <c r="L64" s="18" t="s">
        <v>154</v>
      </c>
      <c r="M64" s="17" t="s">
        <v>154</v>
      </c>
      <c r="N64" s="18" t="s">
        <v>154</v>
      </c>
      <c r="O64" s="17" t="s">
        <v>154</v>
      </c>
      <c r="P64" s="18" t="s">
        <v>154</v>
      </c>
      <c r="Q64" s="17" t="s">
        <v>154</v>
      </c>
      <c r="R64" s="18" t="s">
        <v>154</v>
      </c>
    </row>
    <row r="65" spans="1:18" x14ac:dyDescent="0.25">
      <c r="A65" s="11" t="s">
        <v>198</v>
      </c>
      <c r="B65" s="17" t="s">
        <v>154</v>
      </c>
      <c r="C65" s="17" t="s">
        <v>154</v>
      </c>
      <c r="D65" s="18" t="s">
        <v>154</v>
      </c>
      <c r="E65" s="17" t="s">
        <v>154</v>
      </c>
      <c r="F65" s="18" t="s">
        <v>154</v>
      </c>
      <c r="G65" s="17" t="s">
        <v>154</v>
      </c>
      <c r="H65" s="18" t="s">
        <v>154</v>
      </c>
      <c r="I65" s="17" t="s">
        <v>154</v>
      </c>
      <c r="J65" s="18" t="s">
        <v>154</v>
      </c>
      <c r="K65" s="17" t="s">
        <v>154</v>
      </c>
      <c r="L65" s="18" t="s">
        <v>154</v>
      </c>
      <c r="M65" s="17" t="s">
        <v>154</v>
      </c>
      <c r="N65" s="18" t="s">
        <v>154</v>
      </c>
      <c r="O65" s="17" t="s">
        <v>154</v>
      </c>
      <c r="P65" s="18" t="s">
        <v>154</v>
      </c>
      <c r="Q65" s="17" t="s">
        <v>154</v>
      </c>
      <c r="R65" s="18" t="s">
        <v>154</v>
      </c>
    </row>
    <row r="66" spans="1:18" x14ac:dyDescent="0.25">
      <c r="A66" s="11" t="s">
        <v>199</v>
      </c>
      <c r="B66" s="13">
        <v>5665</v>
      </c>
      <c r="C66" s="14">
        <f>(4694/B66*100)</f>
        <v>82.85966460723742</v>
      </c>
      <c r="D66" s="15">
        <v>971</v>
      </c>
      <c r="E66" s="14">
        <v>0</v>
      </c>
      <c r="F66" s="16">
        <v>0</v>
      </c>
      <c r="G66" s="14">
        <v>0</v>
      </c>
      <c r="H66" s="16">
        <v>0</v>
      </c>
      <c r="I66" s="14" t="s">
        <v>139</v>
      </c>
      <c r="J66" s="16" t="s">
        <v>139</v>
      </c>
      <c r="K66" s="14">
        <v>0</v>
      </c>
      <c r="L66" s="16">
        <v>0</v>
      </c>
      <c r="M66" s="14">
        <v>100</v>
      </c>
      <c r="N66" s="16">
        <v>0</v>
      </c>
      <c r="O66" s="14">
        <v>0</v>
      </c>
      <c r="P66" s="16">
        <v>0</v>
      </c>
      <c r="Q66" s="14">
        <v>0</v>
      </c>
      <c r="R66" s="16">
        <v>0</v>
      </c>
    </row>
    <row r="67" spans="1:18" x14ac:dyDescent="0.25">
      <c r="A67" s="11" t="s">
        <v>200</v>
      </c>
      <c r="B67" s="13">
        <v>6971</v>
      </c>
      <c r="C67" s="14">
        <f>(5816/B67*100)</f>
        <v>83.431358485152771</v>
      </c>
      <c r="D67" s="15">
        <v>1155</v>
      </c>
      <c r="E67" s="14">
        <v>0</v>
      </c>
      <c r="F67" s="16">
        <v>0</v>
      </c>
      <c r="G67" s="14">
        <v>0</v>
      </c>
      <c r="H67" s="16">
        <v>0</v>
      </c>
      <c r="I67" s="14" t="s">
        <v>139</v>
      </c>
      <c r="J67" s="16" t="s">
        <v>139</v>
      </c>
      <c r="K67" s="14">
        <v>0</v>
      </c>
      <c r="L67" s="16">
        <v>0</v>
      </c>
      <c r="M67" s="14">
        <v>100</v>
      </c>
      <c r="N67" s="16">
        <v>0</v>
      </c>
      <c r="O67" s="14">
        <v>0</v>
      </c>
      <c r="P67" s="16">
        <v>0</v>
      </c>
      <c r="Q67" s="14">
        <v>0</v>
      </c>
      <c r="R67" s="16">
        <v>0</v>
      </c>
    </row>
    <row r="68" spans="1:18" x14ac:dyDescent="0.25">
      <c r="A68" s="11" t="s">
        <v>201</v>
      </c>
      <c r="B68" s="17" t="s">
        <v>154</v>
      </c>
      <c r="C68" s="17" t="s">
        <v>154</v>
      </c>
      <c r="D68" s="18" t="s">
        <v>154</v>
      </c>
      <c r="E68" s="17" t="s">
        <v>154</v>
      </c>
      <c r="F68" s="18" t="s">
        <v>154</v>
      </c>
      <c r="G68" s="17" t="s">
        <v>154</v>
      </c>
      <c r="H68" s="18" t="s">
        <v>154</v>
      </c>
      <c r="I68" s="17" t="s">
        <v>154</v>
      </c>
      <c r="J68" s="18" t="s">
        <v>154</v>
      </c>
      <c r="K68" s="17" t="s">
        <v>154</v>
      </c>
      <c r="L68" s="18" t="s">
        <v>154</v>
      </c>
      <c r="M68" s="17" t="s">
        <v>154</v>
      </c>
      <c r="N68" s="18" t="s">
        <v>154</v>
      </c>
      <c r="O68" s="17" t="s">
        <v>154</v>
      </c>
      <c r="P68" s="18" t="s">
        <v>154</v>
      </c>
      <c r="Q68" s="17" t="s">
        <v>154</v>
      </c>
      <c r="R68" s="18" t="s">
        <v>154</v>
      </c>
    </row>
    <row r="69" spans="1:18" x14ac:dyDescent="0.25">
      <c r="A69" s="11" t="s">
        <v>202</v>
      </c>
      <c r="B69" s="17" t="s">
        <v>154</v>
      </c>
      <c r="C69" s="17" t="s">
        <v>154</v>
      </c>
      <c r="D69" s="18" t="s">
        <v>154</v>
      </c>
      <c r="E69" s="17" t="s">
        <v>154</v>
      </c>
      <c r="F69" s="18" t="s">
        <v>154</v>
      </c>
      <c r="G69" s="17" t="s">
        <v>154</v>
      </c>
      <c r="H69" s="18" t="s">
        <v>154</v>
      </c>
      <c r="I69" s="17" t="s">
        <v>154</v>
      </c>
      <c r="J69" s="18" t="s">
        <v>154</v>
      </c>
      <c r="K69" s="17" t="s">
        <v>154</v>
      </c>
      <c r="L69" s="18" t="s">
        <v>154</v>
      </c>
      <c r="M69" s="17" t="s">
        <v>154</v>
      </c>
      <c r="N69" s="18" t="s">
        <v>154</v>
      </c>
      <c r="O69" s="17" t="s">
        <v>154</v>
      </c>
      <c r="P69" s="18" t="s">
        <v>154</v>
      </c>
      <c r="Q69" s="17" t="s">
        <v>154</v>
      </c>
      <c r="R69" s="18" t="s">
        <v>154</v>
      </c>
    </row>
    <row r="70" spans="1:18" x14ac:dyDescent="0.25">
      <c r="A70" s="11" t="s">
        <v>203</v>
      </c>
      <c r="B70" s="13">
        <v>6036</v>
      </c>
      <c r="C70" s="14">
        <f>(4996/B70*100)</f>
        <v>82.770046388336652</v>
      </c>
      <c r="D70" s="15">
        <v>1040</v>
      </c>
      <c r="E70" s="14">
        <v>0</v>
      </c>
      <c r="F70" s="16">
        <v>0</v>
      </c>
      <c r="G70" s="14">
        <v>0</v>
      </c>
      <c r="H70" s="16">
        <v>0</v>
      </c>
      <c r="I70" s="14" t="s">
        <v>139</v>
      </c>
      <c r="J70" s="16" t="s">
        <v>139</v>
      </c>
      <c r="K70" s="14">
        <v>0</v>
      </c>
      <c r="L70" s="16">
        <v>0</v>
      </c>
      <c r="M70" s="14">
        <v>100</v>
      </c>
      <c r="N70" s="16">
        <v>0</v>
      </c>
      <c r="O70" s="14">
        <v>0</v>
      </c>
      <c r="P70" s="16">
        <v>0</v>
      </c>
      <c r="Q70" s="14">
        <v>0</v>
      </c>
      <c r="R70" s="16">
        <v>0</v>
      </c>
    </row>
    <row r="71" spans="1:18" x14ac:dyDescent="0.25">
      <c r="A71" s="11" t="s">
        <v>204</v>
      </c>
      <c r="B71" s="17" t="s">
        <v>154</v>
      </c>
      <c r="C71" s="17" t="s">
        <v>154</v>
      </c>
      <c r="D71" s="18" t="s">
        <v>154</v>
      </c>
      <c r="E71" s="17" t="s">
        <v>154</v>
      </c>
      <c r="F71" s="18" t="s">
        <v>154</v>
      </c>
      <c r="G71" s="17" t="s">
        <v>154</v>
      </c>
      <c r="H71" s="18" t="s">
        <v>154</v>
      </c>
      <c r="I71" s="17" t="s">
        <v>154</v>
      </c>
      <c r="J71" s="18" t="s">
        <v>154</v>
      </c>
      <c r="K71" s="17" t="s">
        <v>154</v>
      </c>
      <c r="L71" s="18" t="s">
        <v>154</v>
      </c>
      <c r="M71" s="17" t="s">
        <v>154</v>
      </c>
      <c r="N71" s="18" t="s">
        <v>154</v>
      </c>
      <c r="O71" s="17" t="s">
        <v>154</v>
      </c>
      <c r="P71" s="18" t="s">
        <v>154</v>
      </c>
      <c r="Q71" s="17" t="s">
        <v>154</v>
      </c>
      <c r="R71" s="18" t="s">
        <v>154</v>
      </c>
    </row>
    <row r="72" spans="1:18" x14ac:dyDescent="0.25">
      <c r="A72" s="11" t="s">
        <v>205</v>
      </c>
      <c r="B72" s="13">
        <v>7708</v>
      </c>
      <c r="C72" s="14">
        <f>(6389/B72*100)</f>
        <v>82.887908666320712</v>
      </c>
      <c r="D72" s="15">
        <v>1319</v>
      </c>
      <c r="E72" s="14">
        <v>0</v>
      </c>
      <c r="F72" s="16">
        <v>0</v>
      </c>
      <c r="G72" s="14">
        <v>0</v>
      </c>
      <c r="H72" s="16">
        <v>0</v>
      </c>
      <c r="I72" s="14" t="s">
        <v>139</v>
      </c>
      <c r="J72" s="16" t="s">
        <v>139</v>
      </c>
      <c r="K72" s="14">
        <v>0</v>
      </c>
      <c r="L72" s="16">
        <v>0</v>
      </c>
      <c r="M72" s="14">
        <v>100</v>
      </c>
      <c r="N72" s="16">
        <v>0</v>
      </c>
      <c r="O72" s="14">
        <v>0</v>
      </c>
      <c r="P72" s="16">
        <v>0</v>
      </c>
      <c r="Q72" s="14">
        <v>0</v>
      </c>
      <c r="R72" s="16">
        <v>0</v>
      </c>
    </row>
    <row r="73" spans="1:18" x14ac:dyDescent="0.25">
      <c r="A73" s="11" t="s">
        <v>206</v>
      </c>
      <c r="B73" s="13">
        <v>8249</v>
      </c>
      <c r="C73" s="14">
        <f>(6863/B73*100)</f>
        <v>83.197963389501766</v>
      </c>
      <c r="D73" s="15">
        <v>1386</v>
      </c>
      <c r="E73" s="14">
        <v>0</v>
      </c>
      <c r="F73" s="16">
        <v>0</v>
      </c>
      <c r="G73" s="14">
        <v>0</v>
      </c>
      <c r="H73" s="16">
        <v>0</v>
      </c>
      <c r="I73" s="14" t="s">
        <v>139</v>
      </c>
      <c r="J73" s="16" t="s">
        <v>139</v>
      </c>
      <c r="K73" s="14">
        <v>0</v>
      </c>
      <c r="L73" s="16">
        <v>0</v>
      </c>
      <c r="M73" s="14">
        <v>100</v>
      </c>
      <c r="N73" s="16">
        <v>0</v>
      </c>
      <c r="O73" s="14">
        <v>0</v>
      </c>
      <c r="P73" s="16">
        <v>0</v>
      </c>
      <c r="Q73" s="14">
        <v>0</v>
      </c>
      <c r="R73" s="16">
        <v>0</v>
      </c>
    </row>
    <row r="74" spans="1:18" x14ac:dyDescent="0.25">
      <c r="A74" s="11" t="s">
        <v>207</v>
      </c>
      <c r="B74" s="17" t="s">
        <v>154</v>
      </c>
      <c r="C74" s="17" t="s">
        <v>154</v>
      </c>
      <c r="D74" s="18" t="s">
        <v>154</v>
      </c>
      <c r="E74" s="17" t="s">
        <v>154</v>
      </c>
      <c r="F74" s="18" t="s">
        <v>154</v>
      </c>
      <c r="G74" s="17" t="s">
        <v>154</v>
      </c>
      <c r="H74" s="18" t="s">
        <v>154</v>
      </c>
      <c r="I74" s="17" t="s">
        <v>154</v>
      </c>
      <c r="J74" s="18" t="s">
        <v>154</v>
      </c>
      <c r="K74" s="17" t="s">
        <v>154</v>
      </c>
      <c r="L74" s="18" t="s">
        <v>154</v>
      </c>
      <c r="M74" s="17" t="s">
        <v>154</v>
      </c>
      <c r="N74" s="18" t="s">
        <v>154</v>
      </c>
      <c r="O74" s="17" t="s">
        <v>154</v>
      </c>
      <c r="P74" s="18" t="s">
        <v>154</v>
      </c>
      <c r="Q74" s="17" t="s">
        <v>154</v>
      </c>
      <c r="R74" s="18" t="s">
        <v>154</v>
      </c>
    </row>
    <row r="75" spans="1:18" x14ac:dyDescent="0.25">
      <c r="A75" s="11" t="s">
        <v>208</v>
      </c>
      <c r="B75" s="13">
        <v>5375</v>
      </c>
      <c r="C75" s="14">
        <f>(4484/B75*100)</f>
        <v>83.423255813953489</v>
      </c>
      <c r="D75" s="15">
        <v>891</v>
      </c>
      <c r="E75" s="14">
        <v>0</v>
      </c>
      <c r="F75" s="16">
        <v>0</v>
      </c>
      <c r="G75" s="14">
        <v>0</v>
      </c>
      <c r="H75" s="16">
        <v>0</v>
      </c>
      <c r="I75" s="14" t="s">
        <v>139</v>
      </c>
      <c r="J75" s="16" t="s">
        <v>139</v>
      </c>
      <c r="K75" s="14">
        <v>0</v>
      </c>
      <c r="L75" s="16">
        <v>0</v>
      </c>
      <c r="M75" s="14">
        <v>100</v>
      </c>
      <c r="N75" s="16">
        <v>0</v>
      </c>
      <c r="O75" s="14">
        <v>0</v>
      </c>
      <c r="P75" s="16">
        <v>0</v>
      </c>
      <c r="Q75" s="14">
        <v>0</v>
      </c>
      <c r="R75" s="16">
        <v>0</v>
      </c>
    </row>
    <row r="76" spans="1:18" x14ac:dyDescent="0.25">
      <c r="A76" s="11" t="s">
        <v>209</v>
      </c>
      <c r="B76" s="13">
        <v>14167</v>
      </c>
      <c r="C76" s="14">
        <f>(11779/B76*100)</f>
        <v>83.143926025270005</v>
      </c>
      <c r="D76" s="15">
        <v>2388</v>
      </c>
      <c r="E76" s="14">
        <v>0</v>
      </c>
      <c r="F76" s="16">
        <v>0</v>
      </c>
      <c r="G76" s="14">
        <v>0</v>
      </c>
      <c r="H76" s="16">
        <v>0</v>
      </c>
      <c r="I76" s="14" t="s">
        <v>139</v>
      </c>
      <c r="J76" s="16" t="s">
        <v>139</v>
      </c>
      <c r="K76" s="14">
        <v>0</v>
      </c>
      <c r="L76" s="16">
        <v>0</v>
      </c>
      <c r="M76" s="14">
        <v>100</v>
      </c>
      <c r="N76" s="16">
        <v>0</v>
      </c>
      <c r="O76" s="14">
        <v>0</v>
      </c>
      <c r="P76" s="16">
        <v>0</v>
      </c>
      <c r="Q76" s="14">
        <v>0</v>
      </c>
      <c r="R76" s="16">
        <v>0</v>
      </c>
    </row>
    <row r="77" spans="1:18" x14ac:dyDescent="0.25">
      <c r="A77" s="11" t="s">
        <v>210</v>
      </c>
      <c r="B77" s="13">
        <v>6062</v>
      </c>
      <c r="C77" s="14">
        <f>(4996/B77*100)</f>
        <v>82.415044539755854</v>
      </c>
      <c r="D77" s="15">
        <v>1066</v>
      </c>
      <c r="E77" s="14">
        <v>0</v>
      </c>
      <c r="F77" s="16">
        <v>0</v>
      </c>
      <c r="G77" s="14">
        <v>0</v>
      </c>
      <c r="H77" s="16">
        <v>0</v>
      </c>
      <c r="I77" s="14" t="s">
        <v>139</v>
      </c>
      <c r="J77" s="16" t="s">
        <v>139</v>
      </c>
      <c r="K77" s="14">
        <v>0</v>
      </c>
      <c r="L77" s="16">
        <v>0</v>
      </c>
      <c r="M77" s="14">
        <v>100</v>
      </c>
      <c r="N77" s="16">
        <v>0</v>
      </c>
      <c r="O77" s="14">
        <v>0</v>
      </c>
      <c r="P77" s="16">
        <v>0</v>
      </c>
      <c r="Q77" s="14">
        <v>0</v>
      </c>
      <c r="R77" s="16">
        <v>0</v>
      </c>
    </row>
    <row r="78" spans="1:18" x14ac:dyDescent="0.25">
      <c r="A78" s="11" t="s">
        <v>211</v>
      </c>
      <c r="B78" s="17" t="s">
        <v>154</v>
      </c>
      <c r="C78" s="17" t="s">
        <v>154</v>
      </c>
      <c r="D78" s="18" t="s">
        <v>154</v>
      </c>
      <c r="E78" s="17" t="s">
        <v>154</v>
      </c>
      <c r="F78" s="18" t="s">
        <v>154</v>
      </c>
      <c r="G78" s="17" t="s">
        <v>154</v>
      </c>
      <c r="H78" s="18" t="s">
        <v>154</v>
      </c>
      <c r="I78" s="17" t="s">
        <v>154</v>
      </c>
      <c r="J78" s="18" t="s">
        <v>154</v>
      </c>
      <c r="K78" s="17" t="s">
        <v>154</v>
      </c>
      <c r="L78" s="18" t="s">
        <v>154</v>
      </c>
      <c r="M78" s="17" t="s">
        <v>154</v>
      </c>
      <c r="N78" s="18" t="s">
        <v>154</v>
      </c>
      <c r="O78" s="17" t="s">
        <v>154</v>
      </c>
      <c r="P78" s="18" t="s">
        <v>154</v>
      </c>
      <c r="Q78" s="17" t="s">
        <v>154</v>
      </c>
      <c r="R78" s="18" t="s">
        <v>154</v>
      </c>
    </row>
    <row r="79" spans="1:18" ht="24.95" customHeight="1" x14ac:dyDescent="0.25">
      <c r="A79" s="11" t="s">
        <v>212</v>
      </c>
      <c r="B79" s="17" t="s">
        <v>154</v>
      </c>
      <c r="C79" s="17" t="s">
        <v>154</v>
      </c>
      <c r="D79" s="18" t="s">
        <v>154</v>
      </c>
      <c r="E79" s="17" t="s">
        <v>154</v>
      </c>
      <c r="F79" s="18" t="s">
        <v>154</v>
      </c>
      <c r="G79" s="17" t="s">
        <v>154</v>
      </c>
      <c r="H79" s="18" t="s">
        <v>154</v>
      </c>
      <c r="I79" s="17" t="s">
        <v>154</v>
      </c>
      <c r="J79" s="18" t="s">
        <v>154</v>
      </c>
      <c r="K79" s="17" t="s">
        <v>154</v>
      </c>
      <c r="L79" s="18" t="s">
        <v>154</v>
      </c>
      <c r="M79" s="17" t="s">
        <v>154</v>
      </c>
      <c r="N79" s="18" t="s">
        <v>154</v>
      </c>
      <c r="O79" s="17" t="s">
        <v>154</v>
      </c>
      <c r="P79" s="18" t="s">
        <v>154</v>
      </c>
      <c r="Q79" s="17" t="s">
        <v>154</v>
      </c>
      <c r="R79" s="18" t="s">
        <v>154</v>
      </c>
    </row>
    <row r="80" spans="1:18" x14ac:dyDescent="0.25">
      <c r="A80" s="11" t="s">
        <v>213</v>
      </c>
      <c r="B80" s="17" t="s">
        <v>154</v>
      </c>
      <c r="C80" s="17" t="s">
        <v>154</v>
      </c>
      <c r="D80" s="18" t="s">
        <v>154</v>
      </c>
      <c r="E80" s="17" t="s">
        <v>154</v>
      </c>
      <c r="F80" s="18" t="s">
        <v>154</v>
      </c>
      <c r="G80" s="17" t="s">
        <v>154</v>
      </c>
      <c r="H80" s="18" t="s">
        <v>154</v>
      </c>
      <c r="I80" s="17" t="s">
        <v>154</v>
      </c>
      <c r="J80" s="18" t="s">
        <v>154</v>
      </c>
      <c r="K80" s="17" t="s">
        <v>154</v>
      </c>
      <c r="L80" s="18" t="s">
        <v>154</v>
      </c>
      <c r="M80" s="17" t="s">
        <v>154</v>
      </c>
      <c r="N80" s="18" t="s">
        <v>154</v>
      </c>
      <c r="O80" s="17" t="s">
        <v>154</v>
      </c>
      <c r="P80" s="18" t="s">
        <v>154</v>
      </c>
      <c r="Q80" s="17" t="s">
        <v>154</v>
      </c>
      <c r="R80" s="18" t="s">
        <v>154</v>
      </c>
    </row>
    <row r="81" spans="1:18" x14ac:dyDescent="0.25">
      <c r="A81" s="19" t="s">
        <v>214</v>
      </c>
      <c r="B81" s="13">
        <v>8861</v>
      </c>
      <c r="C81" s="14">
        <f>(7310/B81*100)</f>
        <v>82.49633224241056</v>
      </c>
      <c r="D81" s="15">
        <v>1551</v>
      </c>
      <c r="E81" s="14">
        <v>0</v>
      </c>
      <c r="F81" s="16">
        <v>0</v>
      </c>
      <c r="G81" s="14">
        <v>0</v>
      </c>
      <c r="H81" s="16">
        <v>0</v>
      </c>
      <c r="I81" s="14" t="s">
        <v>139</v>
      </c>
      <c r="J81" s="16" t="s">
        <v>139</v>
      </c>
      <c r="K81" s="14">
        <v>0</v>
      </c>
      <c r="L81" s="16">
        <v>0</v>
      </c>
      <c r="M81" s="14">
        <v>100</v>
      </c>
      <c r="N81" s="16">
        <v>0</v>
      </c>
      <c r="O81" s="14">
        <v>0</v>
      </c>
      <c r="P81" s="16">
        <v>0</v>
      </c>
      <c r="Q81" s="14">
        <v>0</v>
      </c>
      <c r="R81" s="16">
        <v>0</v>
      </c>
    </row>
    <row r="82" spans="1:18" x14ac:dyDescent="0.25">
      <c r="A82" s="20"/>
      <c r="B82" s="20" t="s">
        <v>215</v>
      </c>
      <c r="C82" s="20" t="s">
        <v>215</v>
      </c>
      <c r="D82" s="20" t="s">
        <v>215</v>
      </c>
      <c r="E82" s="20" t="s">
        <v>215</v>
      </c>
      <c r="F82" s="20" t="s">
        <v>215</v>
      </c>
      <c r="G82" s="20" t="s">
        <v>215</v>
      </c>
      <c r="H82" s="20" t="s">
        <v>215</v>
      </c>
      <c r="I82" s="20" t="s">
        <v>215</v>
      </c>
      <c r="J82" s="20" t="s">
        <v>215</v>
      </c>
      <c r="K82" s="20" t="s">
        <v>215</v>
      </c>
      <c r="L82" s="20" t="s">
        <v>215</v>
      </c>
      <c r="M82" s="20" t="s">
        <v>215</v>
      </c>
      <c r="N82" s="20" t="s">
        <v>215</v>
      </c>
      <c r="O82" s="20" t="s">
        <v>215</v>
      </c>
      <c r="P82" s="20" t="s">
        <v>215</v>
      </c>
      <c r="Q82" s="20" t="s">
        <v>215</v>
      </c>
      <c r="R82" s="20" t="s">
        <v>215</v>
      </c>
    </row>
    <row r="83" spans="1:18" x14ac:dyDescent="0.25">
      <c r="A83" s="3" t="s">
        <v>216</v>
      </c>
    </row>
    <row r="84" spans="1:18" x14ac:dyDescent="0.25">
      <c r="A84" s="22" t="s">
        <v>217</v>
      </c>
      <c r="B84" s="23"/>
      <c r="C84" s="23"/>
      <c r="D84" s="23"/>
      <c r="E84" s="23"/>
      <c r="F84" s="23"/>
      <c r="G84" s="23"/>
      <c r="H84" s="23"/>
      <c r="I84" s="23"/>
      <c r="J84" s="23"/>
      <c r="K84" s="23"/>
      <c r="L84" s="23"/>
      <c r="M84" s="23"/>
      <c r="N84" s="23"/>
      <c r="O84" s="23"/>
      <c r="P84" s="23"/>
      <c r="Q84" s="23"/>
      <c r="R84" s="23"/>
    </row>
    <row r="85" spans="1:18" x14ac:dyDescent="0.25">
      <c r="A85" s="22" t="s">
        <v>218</v>
      </c>
      <c r="B85" s="23"/>
      <c r="C85" s="23"/>
      <c r="D85" s="23"/>
      <c r="E85" s="23"/>
      <c r="F85" s="23"/>
      <c r="G85" s="23"/>
      <c r="H85" s="23"/>
      <c r="I85" s="23"/>
      <c r="J85" s="23"/>
      <c r="K85" s="23"/>
      <c r="L85" s="23"/>
      <c r="M85" s="23"/>
      <c r="N85" s="23"/>
      <c r="O85" s="23"/>
      <c r="P85" s="23"/>
      <c r="Q85" s="23"/>
      <c r="R85" s="23"/>
    </row>
    <row r="86" spans="1:18" ht="30" customHeight="1" x14ac:dyDescent="0.25">
      <c r="A86" s="22" t="s">
        <v>219</v>
      </c>
      <c r="B86" s="23"/>
      <c r="C86" s="23"/>
      <c r="D86" s="23"/>
      <c r="E86" s="23"/>
      <c r="F86" s="23"/>
      <c r="G86" s="23"/>
      <c r="H86" s="23"/>
      <c r="I86" s="23"/>
      <c r="J86" s="23"/>
      <c r="K86" s="23"/>
      <c r="L86" s="23"/>
      <c r="M86" s="23"/>
      <c r="N86" s="23"/>
      <c r="O86" s="23"/>
      <c r="P86" s="23"/>
      <c r="Q86" s="23"/>
      <c r="R86" s="23"/>
    </row>
    <row r="87" spans="1:18" ht="30" customHeight="1" x14ac:dyDescent="0.25">
      <c r="A87" s="22" t="s">
        <v>215</v>
      </c>
      <c r="B87" s="23"/>
      <c r="C87" s="23"/>
      <c r="D87" s="23"/>
      <c r="E87" s="23"/>
      <c r="F87" s="23"/>
      <c r="G87" s="23"/>
      <c r="H87" s="23"/>
      <c r="I87" s="23"/>
      <c r="J87" s="23"/>
      <c r="K87" s="23"/>
      <c r="L87" s="23"/>
      <c r="M87" s="23"/>
      <c r="N87" s="23"/>
      <c r="O87" s="23"/>
      <c r="P87" s="23"/>
      <c r="Q87" s="23"/>
      <c r="R87" s="23"/>
    </row>
    <row r="88" spans="1:18" ht="30" customHeight="1" x14ac:dyDescent="0.25">
      <c r="A88" s="22" t="s">
        <v>220</v>
      </c>
      <c r="B88" s="23"/>
      <c r="C88" s="23"/>
      <c r="D88" s="23"/>
      <c r="E88" s="23"/>
      <c r="F88" s="23"/>
      <c r="G88" s="23"/>
      <c r="H88" s="23"/>
      <c r="I88" s="23"/>
      <c r="J88" s="23"/>
      <c r="K88" s="23"/>
      <c r="L88" s="23"/>
      <c r="M88" s="23"/>
      <c r="N88" s="23"/>
      <c r="O88" s="23"/>
      <c r="P88" s="23"/>
      <c r="Q88" s="23"/>
      <c r="R88" s="23"/>
    </row>
    <row r="89" spans="1:18" ht="30" customHeight="1" x14ac:dyDescent="0.25">
      <c r="A89" s="22" t="s">
        <v>221</v>
      </c>
      <c r="B89" s="23"/>
      <c r="C89" s="23"/>
      <c r="D89" s="23"/>
      <c r="E89" s="23"/>
      <c r="F89" s="23"/>
      <c r="G89" s="23"/>
      <c r="H89" s="23"/>
      <c r="I89" s="23"/>
      <c r="J89" s="23"/>
      <c r="K89" s="23"/>
      <c r="L89" s="23"/>
      <c r="M89" s="23"/>
      <c r="N89" s="23"/>
      <c r="O89" s="23"/>
      <c r="P89" s="23"/>
      <c r="Q89" s="23"/>
      <c r="R89" s="23"/>
    </row>
    <row r="90" spans="1:18" ht="30" customHeight="1" x14ac:dyDescent="0.25">
      <c r="A90" s="22" t="s">
        <v>222</v>
      </c>
      <c r="B90" s="23"/>
      <c r="C90" s="23"/>
      <c r="D90" s="23"/>
      <c r="E90" s="23"/>
      <c r="F90" s="23"/>
      <c r="G90" s="23"/>
      <c r="H90" s="23"/>
      <c r="I90" s="23"/>
      <c r="J90" s="23"/>
      <c r="K90" s="23"/>
      <c r="L90" s="23"/>
      <c r="M90" s="23"/>
      <c r="N90" s="23"/>
      <c r="O90" s="23"/>
      <c r="P90" s="23"/>
      <c r="Q90" s="23"/>
      <c r="R90" s="23"/>
    </row>
    <row r="91" spans="1:18" ht="30" customHeight="1" x14ac:dyDescent="0.25">
      <c r="A91" s="22" t="s">
        <v>223</v>
      </c>
      <c r="B91" s="23"/>
      <c r="C91" s="23"/>
      <c r="D91" s="23"/>
      <c r="E91" s="23"/>
      <c r="F91" s="23"/>
      <c r="G91" s="23"/>
      <c r="H91" s="23"/>
      <c r="I91" s="23"/>
      <c r="J91" s="23"/>
      <c r="K91" s="23"/>
      <c r="L91" s="23"/>
      <c r="M91" s="23"/>
      <c r="N91" s="23"/>
      <c r="O91" s="23"/>
      <c r="P91" s="23"/>
      <c r="Q91" s="23"/>
      <c r="R91" s="23"/>
    </row>
    <row r="92" spans="1:18" ht="30" customHeight="1" x14ac:dyDescent="0.25">
      <c r="A92" s="22" t="s">
        <v>224</v>
      </c>
      <c r="B92" s="23"/>
      <c r="C92" s="23"/>
      <c r="D92" s="23"/>
      <c r="E92" s="23"/>
      <c r="F92" s="23"/>
      <c r="G92" s="23"/>
      <c r="H92" s="23"/>
      <c r="I92" s="23"/>
      <c r="J92" s="23"/>
      <c r="K92" s="23"/>
      <c r="L92" s="23"/>
      <c r="M92" s="23"/>
      <c r="N92" s="23"/>
      <c r="O92" s="23"/>
      <c r="P92" s="23"/>
      <c r="Q92" s="23"/>
      <c r="R92" s="23"/>
    </row>
    <row r="93" spans="1:18" ht="30" customHeight="1" x14ac:dyDescent="0.25">
      <c r="A93" s="22" t="s">
        <v>225</v>
      </c>
      <c r="B93" s="23"/>
      <c r="C93" s="23"/>
      <c r="D93" s="23"/>
      <c r="E93" s="23"/>
      <c r="F93" s="23"/>
      <c r="G93" s="23"/>
      <c r="H93" s="23"/>
      <c r="I93" s="23"/>
      <c r="J93" s="23"/>
      <c r="K93" s="23"/>
      <c r="L93" s="23"/>
      <c r="M93" s="23"/>
      <c r="N93" s="23"/>
      <c r="O93" s="23"/>
      <c r="P93" s="23"/>
      <c r="Q93" s="23"/>
      <c r="R93" s="23"/>
    </row>
    <row r="94" spans="1:18" ht="30" customHeight="1" x14ac:dyDescent="0.25">
      <c r="A94" s="22" t="s">
        <v>226</v>
      </c>
      <c r="B94" s="23"/>
      <c r="C94" s="23"/>
      <c r="D94" s="23"/>
      <c r="E94" s="23"/>
      <c r="F94" s="23"/>
      <c r="G94" s="23"/>
      <c r="H94" s="23"/>
      <c r="I94" s="23"/>
      <c r="J94" s="23"/>
      <c r="K94" s="23"/>
      <c r="L94" s="23"/>
      <c r="M94" s="23"/>
      <c r="N94" s="23"/>
      <c r="O94" s="23"/>
      <c r="P94" s="23"/>
      <c r="Q94" s="23"/>
      <c r="R94" s="23"/>
    </row>
    <row r="95" spans="1:18" ht="30" customHeight="1" x14ac:dyDescent="0.25">
      <c r="A95" s="22" t="s">
        <v>227</v>
      </c>
      <c r="B95" s="23"/>
      <c r="C95" s="23"/>
      <c r="D95" s="23"/>
      <c r="E95" s="23"/>
      <c r="F95" s="23"/>
      <c r="G95" s="23"/>
      <c r="H95" s="23"/>
      <c r="I95" s="23"/>
      <c r="J95" s="23"/>
      <c r="K95" s="23"/>
      <c r="L95" s="23"/>
      <c r="M95" s="23"/>
      <c r="N95" s="23"/>
      <c r="O95" s="23"/>
      <c r="P95" s="23"/>
      <c r="Q95" s="23"/>
      <c r="R95" s="23"/>
    </row>
    <row r="96" spans="1:18" ht="30" customHeight="1" x14ac:dyDescent="0.25">
      <c r="A96" s="22" t="s">
        <v>228</v>
      </c>
      <c r="B96" s="23"/>
      <c r="C96" s="23"/>
      <c r="D96" s="23"/>
      <c r="E96" s="23"/>
      <c r="F96" s="23"/>
      <c r="G96" s="23"/>
      <c r="H96" s="23"/>
      <c r="I96" s="23"/>
      <c r="J96" s="23"/>
      <c r="K96" s="23"/>
      <c r="L96" s="23"/>
      <c r="M96" s="23"/>
      <c r="N96" s="23"/>
      <c r="O96" s="23"/>
      <c r="P96" s="23"/>
      <c r="Q96" s="23"/>
      <c r="R96" s="23"/>
    </row>
  </sheetData>
  <mergeCells count="22">
    <mergeCell ref="O4:P4"/>
    <mergeCell ref="Q4:R4"/>
    <mergeCell ref="A1:R1"/>
    <mergeCell ref="A2:R2"/>
    <mergeCell ref="A84:R84"/>
    <mergeCell ref="E4:F4"/>
    <mergeCell ref="G4:H4"/>
    <mergeCell ref="I4:J4"/>
    <mergeCell ref="K4:L4"/>
    <mergeCell ref="M4:N4"/>
    <mergeCell ref="A85:R85"/>
    <mergeCell ref="A86:R86"/>
    <mergeCell ref="A87:R87"/>
    <mergeCell ref="A88:R88"/>
    <mergeCell ref="A89:R89"/>
    <mergeCell ref="A95:R95"/>
    <mergeCell ref="A96:R96"/>
    <mergeCell ref="A90:R90"/>
    <mergeCell ref="A91:R91"/>
    <mergeCell ref="A92:R92"/>
    <mergeCell ref="A93:R93"/>
    <mergeCell ref="A94:R94"/>
  </mergeCells>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R96"/>
  <sheetViews>
    <sheetView zoomScale="80" workbookViewId="0">
      <pane xSplit="4" topLeftCell="E1" activePane="topRight" state="frozen"/>
      <selection sqref="A1:R1"/>
      <selection pane="topRight" sqref="A1:R1"/>
    </sheetView>
  </sheetViews>
  <sheetFormatPr defaultColWidth="11.42578125" defaultRowHeight="15" x14ac:dyDescent="0.25"/>
  <cols>
    <col min="1" max="1" width="50" customWidth="1"/>
  </cols>
  <sheetData>
    <row r="1" spans="1:18" x14ac:dyDescent="0.25">
      <c r="A1" s="26" t="s">
        <v>122</v>
      </c>
      <c r="B1" s="23"/>
      <c r="C1" s="23"/>
      <c r="D1" s="23"/>
      <c r="E1" s="23"/>
      <c r="F1" s="23"/>
      <c r="G1" s="23"/>
      <c r="H1" s="23"/>
      <c r="I1" s="23"/>
      <c r="J1" s="23"/>
      <c r="K1" s="23"/>
      <c r="L1" s="23"/>
      <c r="M1" s="23"/>
      <c r="N1" s="23"/>
      <c r="O1" s="23"/>
      <c r="P1" s="23"/>
      <c r="Q1" s="23"/>
      <c r="R1" s="23"/>
    </row>
    <row r="2" spans="1:18" x14ac:dyDescent="0.25">
      <c r="A2" s="27" t="s">
        <v>244</v>
      </c>
      <c r="B2" s="23"/>
      <c r="C2" s="23"/>
      <c r="D2" s="23"/>
      <c r="E2" s="23"/>
      <c r="F2" s="23"/>
      <c r="G2" s="23"/>
      <c r="H2" s="23"/>
      <c r="I2" s="23"/>
      <c r="J2" s="23"/>
      <c r="K2" s="23"/>
      <c r="L2" s="23"/>
      <c r="M2" s="23"/>
      <c r="N2" s="23"/>
      <c r="O2" s="23"/>
      <c r="P2" s="23"/>
      <c r="Q2" s="23"/>
      <c r="R2" s="23"/>
    </row>
    <row r="4" spans="1:18" ht="30" customHeight="1" x14ac:dyDescent="0.25">
      <c r="A4" s="4"/>
      <c r="B4" s="5" t="s">
        <v>123</v>
      </c>
      <c r="C4" s="5" t="s">
        <v>124</v>
      </c>
      <c r="D4" s="6" t="s">
        <v>123</v>
      </c>
      <c r="E4" s="24" t="s">
        <v>125</v>
      </c>
      <c r="F4" s="25"/>
      <c r="G4" s="24" t="s">
        <v>126</v>
      </c>
      <c r="H4" s="25"/>
      <c r="I4" s="24" t="s">
        <v>127</v>
      </c>
      <c r="J4" s="25"/>
      <c r="K4" s="24" t="s">
        <v>128</v>
      </c>
      <c r="L4" s="25"/>
      <c r="M4" s="24" t="s">
        <v>129</v>
      </c>
      <c r="N4" s="25"/>
      <c r="O4" s="24" t="s">
        <v>130</v>
      </c>
      <c r="P4" s="25"/>
      <c r="Q4" s="24" t="s">
        <v>131</v>
      </c>
      <c r="R4" s="25"/>
    </row>
    <row r="5" spans="1:18" x14ac:dyDescent="0.25">
      <c r="A5" s="7"/>
      <c r="B5" s="8" t="s">
        <v>132</v>
      </c>
      <c r="C5" s="8" t="s">
        <v>133</v>
      </c>
      <c r="D5" s="7" t="s">
        <v>134</v>
      </c>
      <c r="E5" s="8" t="s">
        <v>135</v>
      </c>
      <c r="F5" s="7" t="s">
        <v>136</v>
      </c>
      <c r="G5" s="8" t="s">
        <v>135</v>
      </c>
      <c r="H5" s="7" t="s">
        <v>136</v>
      </c>
      <c r="I5" s="8" t="s">
        <v>135</v>
      </c>
      <c r="J5" s="7" t="s">
        <v>136</v>
      </c>
      <c r="K5" s="8" t="s">
        <v>135</v>
      </c>
      <c r="L5" s="7" t="s">
        <v>136</v>
      </c>
      <c r="M5" s="8" t="s">
        <v>135</v>
      </c>
      <c r="N5" s="7" t="s">
        <v>136</v>
      </c>
      <c r="O5" s="8" t="s">
        <v>135</v>
      </c>
      <c r="P5" s="7" t="s">
        <v>136</v>
      </c>
      <c r="Q5" s="8" t="s">
        <v>135</v>
      </c>
      <c r="R5" s="7" t="s">
        <v>136</v>
      </c>
    </row>
    <row r="6" spans="1:18" x14ac:dyDescent="0.25">
      <c r="A6" s="9" t="s">
        <v>137</v>
      </c>
      <c r="B6" s="10"/>
      <c r="C6" s="10"/>
      <c r="D6" s="11"/>
      <c r="E6" s="10"/>
      <c r="F6" s="11"/>
      <c r="G6" s="10"/>
      <c r="H6" s="11"/>
      <c r="I6" s="10"/>
      <c r="J6" s="11"/>
      <c r="K6" s="10"/>
      <c r="L6" s="11"/>
      <c r="M6" s="10"/>
      <c r="N6" s="11"/>
      <c r="O6" s="10"/>
      <c r="P6" s="11"/>
      <c r="Q6" s="10"/>
      <c r="R6" s="12"/>
    </row>
    <row r="7" spans="1:18" x14ac:dyDescent="0.25">
      <c r="A7" s="11" t="s">
        <v>138</v>
      </c>
      <c r="B7" s="13">
        <v>14530</v>
      </c>
      <c r="C7" s="14">
        <f>(12068/B7*100)</f>
        <v>83.055746730901575</v>
      </c>
      <c r="D7" s="15">
        <v>2462</v>
      </c>
      <c r="E7" s="14">
        <v>59.108490590000002</v>
      </c>
      <c r="F7" s="16">
        <v>1.1923511</v>
      </c>
      <c r="G7" s="14">
        <v>40.891509409999998</v>
      </c>
      <c r="H7" s="16">
        <v>1.1923511</v>
      </c>
      <c r="I7" s="14" t="s">
        <v>139</v>
      </c>
      <c r="J7" s="16" t="s">
        <v>139</v>
      </c>
      <c r="K7" s="14">
        <v>0</v>
      </c>
      <c r="L7" s="16">
        <v>0</v>
      </c>
      <c r="M7" s="14">
        <v>0</v>
      </c>
      <c r="N7" s="16">
        <v>0</v>
      </c>
      <c r="O7" s="14">
        <v>0</v>
      </c>
      <c r="P7" s="16">
        <v>0</v>
      </c>
      <c r="Q7" s="14">
        <v>0</v>
      </c>
      <c r="R7" s="16">
        <v>0</v>
      </c>
    </row>
    <row r="8" spans="1:18" x14ac:dyDescent="0.25">
      <c r="A8" s="11" t="s">
        <v>140</v>
      </c>
      <c r="B8" s="13">
        <v>7007</v>
      </c>
      <c r="C8" s="14">
        <f>(5791/B8*100)</f>
        <v>82.645925503068369</v>
      </c>
      <c r="D8" s="15">
        <v>1216</v>
      </c>
      <c r="E8" s="14">
        <v>62.574818649999997</v>
      </c>
      <c r="F8" s="16">
        <v>1.60998945</v>
      </c>
      <c r="G8" s="14">
        <v>37.425181350000003</v>
      </c>
      <c r="H8" s="16">
        <v>1.60998945</v>
      </c>
      <c r="I8" s="14" t="s">
        <v>139</v>
      </c>
      <c r="J8" s="16" t="s">
        <v>139</v>
      </c>
      <c r="K8" s="14">
        <v>0</v>
      </c>
      <c r="L8" s="16">
        <v>0</v>
      </c>
      <c r="M8" s="14">
        <v>0</v>
      </c>
      <c r="N8" s="16">
        <v>0</v>
      </c>
      <c r="O8" s="14">
        <v>0</v>
      </c>
      <c r="P8" s="16">
        <v>0</v>
      </c>
      <c r="Q8" s="14">
        <v>0</v>
      </c>
      <c r="R8" s="16">
        <v>0</v>
      </c>
    </row>
    <row r="9" spans="1:18" x14ac:dyDescent="0.25">
      <c r="A9" s="11" t="s">
        <v>141</v>
      </c>
      <c r="B9" s="13">
        <v>9651</v>
      </c>
      <c r="C9" s="14">
        <f>(8036/B9*100)</f>
        <v>83.265982799709874</v>
      </c>
      <c r="D9" s="15">
        <v>1615</v>
      </c>
      <c r="E9" s="14">
        <v>63.056383349999997</v>
      </c>
      <c r="F9" s="16">
        <v>1.22229513</v>
      </c>
      <c r="G9" s="14">
        <v>36.943616650000003</v>
      </c>
      <c r="H9" s="16">
        <v>1.22229513</v>
      </c>
      <c r="I9" s="14" t="s">
        <v>139</v>
      </c>
      <c r="J9" s="16" t="s">
        <v>139</v>
      </c>
      <c r="K9" s="14">
        <v>0</v>
      </c>
      <c r="L9" s="16">
        <v>0</v>
      </c>
      <c r="M9" s="14">
        <v>0</v>
      </c>
      <c r="N9" s="16">
        <v>0</v>
      </c>
      <c r="O9" s="14">
        <v>0</v>
      </c>
      <c r="P9" s="16">
        <v>0</v>
      </c>
      <c r="Q9" s="14">
        <v>0</v>
      </c>
      <c r="R9" s="16">
        <v>0</v>
      </c>
    </row>
    <row r="10" spans="1:18" x14ac:dyDescent="0.25">
      <c r="A10" s="11" t="s">
        <v>142</v>
      </c>
      <c r="B10" s="13">
        <v>20058</v>
      </c>
      <c r="C10" s="14">
        <f>(16593/B10*100)</f>
        <v>82.725097218067603</v>
      </c>
      <c r="D10" s="15">
        <v>3465</v>
      </c>
      <c r="E10" s="14">
        <v>56.346167600000001</v>
      </c>
      <c r="F10" s="16">
        <v>1.2177919699999999</v>
      </c>
      <c r="G10" s="14">
        <v>43.653832399999999</v>
      </c>
      <c r="H10" s="16">
        <v>1.2177919699999999</v>
      </c>
      <c r="I10" s="14" t="s">
        <v>139</v>
      </c>
      <c r="J10" s="16" t="s">
        <v>139</v>
      </c>
      <c r="K10" s="14">
        <v>0</v>
      </c>
      <c r="L10" s="16">
        <v>0</v>
      </c>
      <c r="M10" s="14">
        <v>0</v>
      </c>
      <c r="N10" s="16">
        <v>0</v>
      </c>
      <c r="O10" s="14">
        <v>0</v>
      </c>
      <c r="P10" s="16">
        <v>0</v>
      </c>
      <c r="Q10" s="14">
        <v>0</v>
      </c>
      <c r="R10" s="16">
        <v>0</v>
      </c>
    </row>
    <row r="11" spans="1:18" x14ac:dyDescent="0.25">
      <c r="A11" s="11" t="s">
        <v>143</v>
      </c>
      <c r="B11" s="13">
        <v>7053</v>
      </c>
      <c r="C11" s="14">
        <f>(5831/B11*100)</f>
        <v>82.674039415851411</v>
      </c>
      <c r="D11" s="15">
        <v>1222</v>
      </c>
      <c r="E11" s="14">
        <v>73.757837620000004</v>
      </c>
      <c r="F11" s="16">
        <v>1.20672431</v>
      </c>
      <c r="G11" s="14">
        <v>26.24216238</v>
      </c>
      <c r="H11" s="16">
        <v>1.20672431</v>
      </c>
      <c r="I11" s="14" t="s">
        <v>139</v>
      </c>
      <c r="J11" s="16" t="s">
        <v>139</v>
      </c>
      <c r="K11" s="14">
        <v>0</v>
      </c>
      <c r="L11" s="16">
        <v>0</v>
      </c>
      <c r="M11" s="14">
        <v>0</v>
      </c>
      <c r="N11" s="16">
        <v>0</v>
      </c>
      <c r="O11" s="14">
        <v>0</v>
      </c>
      <c r="P11" s="16">
        <v>0</v>
      </c>
      <c r="Q11" s="14">
        <v>0</v>
      </c>
      <c r="R11" s="16">
        <v>0</v>
      </c>
    </row>
    <row r="12" spans="1:18" x14ac:dyDescent="0.25">
      <c r="A12" s="11" t="s">
        <v>144</v>
      </c>
      <c r="B12" s="13">
        <v>6894</v>
      </c>
      <c r="C12" s="14">
        <f>(5714/B12*100)</f>
        <v>82.883666956774007</v>
      </c>
      <c r="D12" s="15">
        <v>1180</v>
      </c>
      <c r="E12" s="14">
        <v>68.562378760000001</v>
      </c>
      <c r="F12" s="16">
        <v>1.2497721799999999</v>
      </c>
      <c r="G12" s="14">
        <v>31.437621239999999</v>
      </c>
      <c r="H12" s="16">
        <v>1.2497721799999999</v>
      </c>
      <c r="I12" s="14" t="s">
        <v>139</v>
      </c>
      <c r="J12" s="16" t="s">
        <v>139</v>
      </c>
      <c r="K12" s="14">
        <v>0</v>
      </c>
      <c r="L12" s="16">
        <v>0</v>
      </c>
      <c r="M12" s="14">
        <v>0</v>
      </c>
      <c r="N12" s="16">
        <v>0</v>
      </c>
      <c r="O12" s="14">
        <v>0</v>
      </c>
      <c r="P12" s="16">
        <v>0</v>
      </c>
      <c r="Q12" s="14">
        <v>0</v>
      </c>
      <c r="R12" s="16">
        <v>0</v>
      </c>
    </row>
    <row r="13" spans="1:18" x14ac:dyDescent="0.25">
      <c r="A13" s="11" t="s">
        <v>145</v>
      </c>
      <c r="B13" s="13">
        <v>7161</v>
      </c>
      <c r="C13" s="14">
        <f>(5991/B13*100)</f>
        <v>83.661499790532048</v>
      </c>
      <c r="D13" s="15">
        <v>1170</v>
      </c>
      <c r="E13" s="14">
        <v>62.521742289999999</v>
      </c>
      <c r="F13" s="16">
        <v>1.7696638600000001</v>
      </c>
      <c r="G13" s="14">
        <v>37.478257710000001</v>
      </c>
      <c r="H13" s="16">
        <v>1.7696638600000001</v>
      </c>
      <c r="I13" s="14" t="s">
        <v>139</v>
      </c>
      <c r="J13" s="16" t="s">
        <v>139</v>
      </c>
      <c r="K13" s="14">
        <v>0</v>
      </c>
      <c r="L13" s="16">
        <v>0</v>
      </c>
      <c r="M13" s="14">
        <v>0</v>
      </c>
      <c r="N13" s="16">
        <v>0</v>
      </c>
      <c r="O13" s="14">
        <v>0</v>
      </c>
      <c r="P13" s="16">
        <v>0</v>
      </c>
      <c r="Q13" s="14">
        <v>0</v>
      </c>
      <c r="R13" s="16">
        <v>0</v>
      </c>
    </row>
    <row r="14" spans="1:18" x14ac:dyDescent="0.25">
      <c r="A14" s="11" t="s">
        <v>146</v>
      </c>
      <c r="B14" s="13">
        <v>5587</v>
      </c>
      <c r="C14" s="14">
        <f>(4628/B14*100)</f>
        <v>82.835153033828533</v>
      </c>
      <c r="D14" s="15">
        <v>959</v>
      </c>
      <c r="E14" s="14">
        <v>63.121081160000003</v>
      </c>
      <c r="F14" s="16">
        <v>1.6214954100000001</v>
      </c>
      <c r="G14" s="14">
        <v>36.878918839999997</v>
      </c>
      <c r="H14" s="16">
        <v>1.6214954100000001</v>
      </c>
      <c r="I14" s="14" t="s">
        <v>139</v>
      </c>
      <c r="J14" s="16" t="s">
        <v>139</v>
      </c>
      <c r="K14" s="14">
        <v>0</v>
      </c>
      <c r="L14" s="16">
        <v>0</v>
      </c>
      <c r="M14" s="14">
        <v>0</v>
      </c>
      <c r="N14" s="16">
        <v>0</v>
      </c>
      <c r="O14" s="14">
        <v>0</v>
      </c>
      <c r="P14" s="16">
        <v>0</v>
      </c>
      <c r="Q14" s="14">
        <v>0</v>
      </c>
      <c r="R14" s="16">
        <v>0</v>
      </c>
    </row>
    <row r="15" spans="1:18" x14ac:dyDescent="0.25">
      <c r="A15" s="11" t="s">
        <v>147</v>
      </c>
      <c r="B15" s="13">
        <v>5882</v>
      </c>
      <c r="C15" s="14">
        <f>(4902/B15*100)</f>
        <v>83.339000340020391</v>
      </c>
      <c r="D15" s="15">
        <v>980</v>
      </c>
      <c r="E15" s="14">
        <v>58.147640490000001</v>
      </c>
      <c r="F15" s="16">
        <v>1.72388593</v>
      </c>
      <c r="G15" s="14">
        <v>41.852359509999999</v>
      </c>
      <c r="H15" s="16">
        <v>1.72388593</v>
      </c>
      <c r="I15" s="14" t="s">
        <v>139</v>
      </c>
      <c r="J15" s="16" t="s">
        <v>139</v>
      </c>
      <c r="K15" s="14">
        <v>0</v>
      </c>
      <c r="L15" s="16">
        <v>0</v>
      </c>
      <c r="M15" s="14">
        <v>0</v>
      </c>
      <c r="N15" s="16">
        <v>0</v>
      </c>
      <c r="O15" s="14">
        <v>0</v>
      </c>
      <c r="P15" s="16">
        <v>0</v>
      </c>
      <c r="Q15" s="14">
        <v>0</v>
      </c>
      <c r="R15" s="16">
        <v>0</v>
      </c>
    </row>
    <row r="16" spans="1:18" x14ac:dyDescent="0.25">
      <c r="A16" s="11" t="s">
        <v>148</v>
      </c>
      <c r="B16" s="13">
        <v>6108</v>
      </c>
      <c r="C16" s="14">
        <f>(5049/B16*100)</f>
        <v>82.662082514734763</v>
      </c>
      <c r="D16" s="15">
        <v>1059</v>
      </c>
      <c r="E16" s="14">
        <v>65.333680830000006</v>
      </c>
      <c r="F16" s="16">
        <v>1.31052843</v>
      </c>
      <c r="G16" s="14">
        <v>34.666319170000001</v>
      </c>
      <c r="H16" s="16">
        <v>1.31052843</v>
      </c>
      <c r="I16" s="14" t="s">
        <v>139</v>
      </c>
      <c r="J16" s="16" t="s">
        <v>139</v>
      </c>
      <c r="K16" s="14">
        <v>0</v>
      </c>
      <c r="L16" s="16">
        <v>0</v>
      </c>
      <c r="M16" s="14">
        <v>0</v>
      </c>
      <c r="N16" s="16">
        <v>0</v>
      </c>
      <c r="O16" s="14">
        <v>0</v>
      </c>
      <c r="P16" s="16">
        <v>0</v>
      </c>
      <c r="Q16" s="14">
        <v>0</v>
      </c>
      <c r="R16" s="16">
        <v>0</v>
      </c>
    </row>
    <row r="17" spans="1:18" x14ac:dyDescent="0.25">
      <c r="A17" s="11" t="s">
        <v>149</v>
      </c>
      <c r="B17" s="13">
        <v>6504</v>
      </c>
      <c r="C17" s="14">
        <f>(5406/B17*100)</f>
        <v>83.118081180811814</v>
      </c>
      <c r="D17" s="15">
        <v>1098</v>
      </c>
      <c r="E17" s="14">
        <v>63.102107009999997</v>
      </c>
      <c r="F17" s="16">
        <v>1.6732764899999999</v>
      </c>
      <c r="G17" s="14">
        <v>36.897892990000003</v>
      </c>
      <c r="H17" s="16">
        <v>1.6732764899999999</v>
      </c>
      <c r="I17" s="14" t="s">
        <v>139</v>
      </c>
      <c r="J17" s="16" t="s">
        <v>139</v>
      </c>
      <c r="K17" s="14">
        <v>0</v>
      </c>
      <c r="L17" s="16">
        <v>0</v>
      </c>
      <c r="M17" s="14">
        <v>0</v>
      </c>
      <c r="N17" s="16">
        <v>0</v>
      </c>
      <c r="O17" s="14">
        <v>0</v>
      </c>
      <c r="P17" s="16">
        <v>0</v>
      </c>
      <c r="Q17" s="14">
        <v>0</v>
      </c>
      <c r="R17" s="16">
        <v>0</v>
      </c>
    </row>
    <row r="18" spans="1:18" x14ac:dyDescent="0.25">
      <c r="A18" s="11" t="s">
        <v>150</v>
      </c>
      <c r="B18" s="13">
        <v>5532</v>
      </c>
      <c r="C18" s="14">
        <f>(4564/B18*100)</f>
        <v>82.501807664497477</v>
      </c>
      <c r="D18" s="15">
        <v>968</v>
      </c>
      <c r="E18" s="14">
        <v>79.631962290000004</v>
      </c>
      <c r="F18" s="16">
        <v>1.4294845199999999</v>
      </c>
      <c r="G18" s="14">
        <v>20.368037709999999</v>
      </c>
      <c r="H18" s="16">
        <v>1.4294845199999999</v>
      </c>
      <c r="I18" s="14" t="s">
        <v>139</v>
      </c>
      <c r="J18" s="16" t="s">
        <v>139</v>
      </c>
      <c r="K18" s="14">
        <v>0</v>
      </c>
      <c r="L18" s="16">
        <v>0</v>
      </c>
      <c r="M18" s="14">
        <v>0</v>
      </c>
      <c r="N18" s="16">
        <v>0</v>
      </c>
      <c r="O18" s="14">
        <v>0</v>
      </c>
      <c r="P18" s="16">
        <v>0</v>
      </c>
      <c r="Q18" s="14">
        <v>0</v>
      </c>
      <c r="R18" s="16">
        <v>0</v>
      </c>
    </row>
    <row r="19" spans="1:18" x14ac:dyDescent="0.25">
      <c r="A19" s="11" t="s">
        <v>151</v>
      </c>
      <c r="B19" s="13">
        <v>5658</v>
      </c>
      <c r="C19" s="14">
        <f>(4695/B19*100)</f>
        <v>82.979851537645814</v>
      </c>
      <c r="D19" s="15">
        <v>963</v>
      </c>
      <c r="E19" s="14">
        <v>72.338488389999995</v>
      </c>
      <c r="F19" s="16">
        <v>1.53898489</v>
      </c>
      <c r="G19" s="14">
        <v>27.661511610000002</v>
      </c>
      <c r="H19" s="16">
        <v>1.53898489</v>
      </c>
      <c r="I19" s="14" t="s">
        <v>139</v>
      </c>
      <c r="J19" s="16" t="s">
        <v>139</v>
      </c>
      <c r="K19" s="14">
        <v>0</v>
      </c>
      <c r="L19" s="16">
        <v>0</v>
      </c>
      <c r="M19" s="14">
        <v>0</v>
      </c>
      <c r="N19" s="16">
        <v>0</v>
      </c>
      <c r="O19" s="14">
        <v>0</v>
      </c>
      <c r="P19" s="16">
        <v>0</v>
      </c>
      <c r="Q19" s="14">
        <v>0</v>
      </c>
      <c r="R19" s="16">
        <v>0</v>
      </c>
    </row>
    <row r="20" spans="1:18" x14ac:dyDescent="0.25">
      <c r="A20" s="11" t="s">
        <v>152</v>
      </c>
      <c r="B20" s="13">
        <v>3371</v>
      </c>
      <c r="C20" s="14">
        <f>(2786/B20*100)</f>
        <v>82.646099080391579</v>
      </c>
      <c r="D20" s="15">
        <v>585</v>
      </c>
      <c r="E20" s="14">
        <v>60.643301440000002</v>
      </c>
      <c r="F20" s="16">
        <v>1.6968482199999999</v>
      </c>
      <c r="G20" s="14">
        <v>39.356698559999998</v>
      </c>
      <c r="H20" s="16">
        <v>1.6968482199999999</v>
      </c>
      <c r="I20" s="14" t="s">
        <v>139</v>
      </c>
      <c r="J20" s="16" t="s">
        <v>139</v>
      </c>
      <c r="K20" s="14">
        <v>0</v>
      </c>
      <c r="L20" s="16">
        <v>0</v>
      </c>
      <c r="M20" s="14">
        <v>0</v>
      </c>
      <c r="N20" s="16">
        <v>0</v>
      </c>
      <c r="O20" s="14">
        <v>0</v>
      </c>
      <c r="P20" s="16">
        <v>0</v>
      </c>
      <c r="Q20" s="14">
        <v>0</v>
      </c>
      <c r="R20" s="16">
        <v>0</v>
      </c>
    </row>
    <row r="21" spans="1:18" x14ac:dyDescent="0.25">
      <c r="A21" s="11" t="s">
        <v>153</v>
      </c>
      <c r="B21" s="17" t="s">
        <v>154</v>
      </c>
      <c r="C21" s="17" t="s">
        <v>154</v>
      </c>
      <c r="D21" s="18" t="s">
        <v>154</v>
      </c>
      <c r="E21" s="17" t="s">
        <v>154</v>
      </c>
      <c r="F21" s="18" t="s">
        <v>154</v>
      </c>
      <c r="G21" s="17" t="s">
        <v>154</v>
      </c>
      <c r="H21" s="18" t="s">
        <v>154</v>
      </c>
      <c r="I21" s="17" t="s">
        <v>154</v>
      </c>
      <c r="J21" s="18" t="s">
        <v>154</v>
      </c>
      <c r="K21" s="17" t="s">
        <v>154</v>
      </c>
      <c r="L21" s="18" t="s">
        <v>154</v>
      </c>
      <c r="M21" s="17" t="s">
        <v>154</v>
      </c>
      <c r="N21" s="18" t="s">
        <v>154</v>
      </c>
      <c r="O21" s="17" t="s">
        <v>154</v>
      </c>
      <c r="P21" s="18" t="s">
        <v>154</v>
      </c>
      <c r="Q21" s="17" t="s">
        <v>154</v>
      </c>
      <c r="R21" s="18" t="s">
        <v>154</v>
      </c>
    </row>
    <row r="22" spans="1:18" x14ac:dyDescent="0.25">
      <c r="A22" s="11" t="s">
        <v>155</v>
      </c>
      <c r="B22" s="13">
        <v>6598</v>
      </c>
      <c r="C22" s="14">
        <f>(5563/B22*100)</f>
        <v>84.313428311609584</v>
      </c>
      <c r="D22" s="15">
        <v>1035</v>
      </c>
      <c r="E22" s="14">
        <v>76.836618920000006</v>
      </c>
      <c r="F22" s="16">
        <v>1.2944007900000001</v>
      </c>
      <c r="G22" s="14">
        <v>23.163381080000001</v>
      </c>
      <c r="H22" s="16">
        <v>1.2944007900000001</v>
      </c>
      <c r="I22" s="14" t="s">
        <v>139</v>
      </c>
      <c r="J22" s="16" t="s">
        <v>139</v>
      </c>
      <c r="K22" s="14">
        <v>0</v>
      </c>
      <c r="L22" s="16">
        <v>0</v>
      </c>
      <c r="M22" s="14">
        <v>0</v>
      </c>
      <c r="N22" s="16">
        <v>0</v>
      </c>
      <c r="O22" s="14">
        <v>0</v>
      </c>
      <c r="P22" s="16">
        <v>0</v>
      </c>
      <c r="Q22" s="14">
        <v>0</v>
      </c>
      <c r="R22" s="16">
        <v>0</v>
      </c>
    </row>
    <row r="23" spans="1:18" x14ac:dyDescent="0.25">
      <c r="A23" s="11" t="s">
        <v>156</v>
      </c>
      <c r="B23" s="13">
        <v>11583</v>
      </c>
      <c r="C23" s="14">
        <f>(9598/B23*100)</f>
        <v>82.862816196149524</v>
      </c>
      <c r="D23" s="15">
        <v>1985</v>
      </c>
      <c r="E23" s="14">
        <v>71.838311950000005</v>
      </c>
      <c r="F23" s="16">
        <v>1.4790386499999999</v>
      </c>
      <c r="G23" s="14">
        <v>28.161688049999999</v>
      </c>
      <c r="H23" s="16">
        <v>1.4790386499999999</v>
      </c>
      <c r="I23" s="14" t="s">
        <v>139</v>
      </c>
      <c r="J23" s="16" t="s">
        <v>139</v>
      </c>
      <c r="K23" s="14">
        <v>0</v>
      </c>
      <c r="L23" s="16">
        <v>0</v>
      </c>
      <c r="M23" s="14">
        <v>0</v>
      </c>
      <c r="N23" s="16">
        <v>0</v>
      </c>
      <c r="O23" s="14">
        <v>0</v>
      </c>
      <c r="P23" s="16">
        <v>0</v>
      </c>
      <c r="Q23" s="14">
        <v>0</v>
      </c>
      <c r="R23" s="16">
        <v>0</v>
      </c>
    </row>
    <row r="24" spans="1:18" x14ac:dyDescent="0.25">
      <c r="A24" s="11" t="s">
        <v>157</v>
      </c>
      <c r="B24" s="13">
        <v>6647</v>
      </c>
      <c r="C24" s="14">
        <f>(5487/B24*100)</f>
        <v>82.548518128479003</v>
      </c>
      <c r="D24" s="15">
        <v>1160</v>
      </c>
      <c r="E24" s="14">
        <v>62.330448779999998</v>
      </c>
      <c r="F24" s="16">
        <v>1.50599259</v>
      </c>
      <c r="G24" s="14">
        <v>37.669551220000002</v>
      </c>
      <c r="H24" s="16">
        <v>1.50599259</v>
      </c>
      <c r="I24" s="14" t="s">
        <v>139</v>
      </c>
      <c r="J24" s="16" t="s">
        <v>139</v>
      </c>
      <c r="K24" s="14">
        <v>0</v>
      </c>
      <c r="L24" s="16">
        <v>0</v>
      </c>
      <c r="M24" s="14">
        <v>0</v>
      </c>
      <c r="N24" s="16">
        <v>0</v>
      </c>
      <c r="O24" s="14">
        <v>0</v>
      </c>
      <c r="P24" s="16">
        <v>0</v>
      </c>
      <c r="Q24" s="14">
        <v>0</v>
      </c>
      <c r="R24" s="16">
        <v>0</v>
      </c>
    </row>
    <row r="25" spans="1:18" x14ac:dyDescent="0.25">
      <c r="A25" s="11" t="s">
        <v>158</v>
      </c>
      <c r="B25" s="13">
        <v>5581</v>
      </c>
      <c r="C25" s="14">
        <f>(4615/B25*100)</f>
        <v>82.691273965239205</v>
      </c>
      <c r="D25" s="15">
        <v>966</v>
      </c>
      <c r="E25" s="14">
        <v>73.984966</v>
      </c>
      <c r="F25" s="16">
        <v>1.5519655999999999</v>
      </c>
      <c r="G25" s="14">
        <v>26.015034</v>
      </c>
      <c r="H25" s="16">
        <v>1.5519655999999999</v>
      </c>
      <c r="I25" s="14" t="s">
        <v>139</v>
      </c>
      <c r="J25" s="16" t="s">
        <v>139</v>
      </c>
      <c r="K25" s="14">
        <v>0</v>
      </c>
      <c r="L25" s="16">
        <v>0</v>
      </c>
      <c r="M25" s="14">
        <v>0</v>
      </c>
      <c r="N25" s="16">
        <v>0</v>
      </c>
      <c r="O25" s="14">
        <v>0</v>
      </c>
      <c r="P25" s="16">
        <v>0</v>
      </c>
      <c r="Q25" s="14">
        <v>0</v>
      </c>
      <c r="R25" s="16">
        <v>0</v>
      </c>
    </row>
    <row r="26" spans="1:18" x14ac:dyDescent="0.25">
      <c r="A26" s="11" t="s">
        <v>159</v>
      </c>
      <c r="B26" s="13">
        <v>4869</v>
      </c>
      <c r="C26" s="14">
        <f>(4008/B26*100)</f>
        <v>82.316697473813932</v>
      </c>
      <c r="D26" s="15">
        <v>861</v>
      </c>
      <c r="E26" s="14">
        <v>71.111715660000002</v>
      </c>
      <c r="F26" s="16">
        <v>1.36764621</v>
      </c>
      <c r="G26" s="14">
        <v>28.888284339999998</v>
      </c>
      <c r="H26" s="16">
        <v>1.36764621</v>
      </c>
      <c r="I26" s="14" t="s">
        <v>139</v>
      </c>
      <c r="J26" s="16" t="s">
        <v>139</v>
      </c>
      <c r="K26" s="14">
        <v>0</v>
      </c>
      <c r="L26" s="16">
        <v>0</v>
      </c>
      <c r="M26" s="14">
        <v>0</v>
      </c>
      <c r="N26" s="16">
        <v>0</v>
      </c>
      <c r="O26" s="14">
        <v>0</v>
      </c>
      <c r="P26" s="16">
        <v>0</v>
      </c>
      <c r="Q26" s="14">
        <v>0</v>
      </c>
      <c r="R26" s="16">
        <v>0</v>
      </c>
    </row>
    <row r="27" spans="1:18" x14ac:dyDescent="0.25">
      <c r="A27" s="11" t="s">
        <v>160</v>
      </c>
      <c r="B27" s="13">
        <v>5299</v>
      </c>
      <c r="C27" s="14">
        <f>(4377/B27*100)</f>
        <v>82.600490658614831</v>
      </c>
      <c r="D27" s="15">
        <v>922</v>
      </c>
      <c r="E27" s="14">
        <v>66.056699440000003</v>
      </c>
      <c r="F27" s="16">
        <v>1.6036911899999999</v>
      </c>
      <c r="G27" s="14">
        <v>33.943300559999997</v>
      </c>
      <c r="H27" s="16">
        <v>1.6036911899999999</v>
      </c>
      <c r="I27" s="14" t="s">
        <v>139</v>
      </c>
      <c r="J27" s="16" t="s">
        <v>139</v>
      </c>
      <c r="K27" s="14">
        <v>0</v>
      </c>
      <c r="L27" s="16">
        <v>0</v>
      </c>
      <c r="M27" s="14">
        <v>0</v>
      </c>
      <c r="N27" s="16">
        <v>0</v>
      </c>
      <c r="O27" s="14">
        <v>0</v>
      </c>
      <c r="P27" s="16">
        <v>0</v>
      </c>
      <c r="Q27" s="14">
        <v>0</v>
      </c>
      <c r="R27" s="16">
        <v>0</v>
      </c>
    </row>
    <row r="28" spans="1:18" x14ac:dyDescent="0.25">
      <c r="A28" s="11" t="s">
        <v>161</v>
      </c>
      <c r="B28" s="13">
        <v>7568</v>
      </c>
      <c r="C28" s="14">
        <f>(6313/B28*100)</f>
        <v>83.417019027484145</v>
      </c>
      <c r="D28" s="15">
        <v>1255</v>
      </c>
      <c r="E28" s="14">
        <v>84.786334010000004</v>
      </c>
      <c r="F28" s="16">
        <v>1.14887698</v>
      </c>
      <c r="G28" s="14">
        <v>15.213665990000001</v>
      </c>
      <c r="H28" s="16">
        <v>1.14887698</v>
      </c>
      <c r="I28" s="14" t="s">
        <v>139</v>
      </c>
      <c r="J28" s="16" t="s">
        <v>139</v>
      </c>
      <c r="K28" s="14">
        <v>0</v>
      </c>
      <c r="L28" s="16">
        <v>0</v>
      </c>
      <c r="M28" s="14">
        <v>0</v>
      </c>
      <c r="N28" s="16">
        <v>0</v>
      </c>
      <c r="O28" s="14">
        <v>0</v>
      </c>
      <c r="P28" s="16">
        <v>0</v>
      </c>
      <c r="Q28" s="14">
        <v>0</v>
      </c>
      <c r="R28" s="16">
        <v>0</v>
      </c>
    </row>
    <row r="29" spans="1:18" x14ac:dyDescent="0.25">
      <c r="A29" s="11" t="s">
        <v>162</v>
      </c>
      <c r="B29" s="13">
        <v>5385</v>
      </c>
      <c r="C29" s="14">
        <f>(4470/B29*100)</f>
        <v>83.008356545961007</v>
      </c>
      <c r="D29" s="15">
        <v>915</v>
      </c>
      <c r="E29" s="14">
        <v>61.487732620000003</v>
      </c>
      <c r="F29" s="16">
        <v>1.5814969800000001</v>
      </c>
      <c r="G29" s="14">
        <v>38.512267379999997</v>
      </c>
      <c r="H29" s="16">
        <v>1.5814969800000001</v>
      </c>
      <c r="I29" s="14" t="s">
        <v>139</v>
      </c>
      <c r="J29" s="16" t="s">
        <v>139</v>
      </c>
      <c r="K29" s="14">
        <v>0</v>
      </c>
      <c r="L29" s="16">
        <v>0</v>
      </c>
      <c r="M29" s="14">
        <v>0</v>
      </c>
      <c r="N29" s="16">
        <v>0</v>
      </c>
      <c r="O29" s="14">
        <v>0</v>
      </c>
      <c r="P29" s="16">
        <v>0</v>
      </c>
      <c r="Q29" s="14">
        <v>0</v>
      </c>
      <c r="R29" s="16">
        <v>0</v>
      </c>
    </row>
    <row r="30" spans="1:18" x14ac:dyDescent="0.25">
      <c r="A30" s="11" t="s">
        <v>163</v>
      </c>
      <c r="B30" s="13">
        <v>4520</v>
      </c>
      <c r="C30" s="14">
        <f>(3744/B30*100)</f>
        <v>82.83185840707965</v>
      </c>
      <c r="D30" s="15">
        <v>776</v>
      </c>
      <c r="E30" s="14">
        <v>59.360212519999997</v>
      </c>
      <c r="F30" s="16">
        <v>1.9817465400000001</v>
      </c>
      <c r="G30" s="14">
        <v>40.639787480000003</v>
      </c>
      <c r="H30" s="16">
        <v>1.9817465400000001</v>
      </c>
      <c r="I30" s="14" t="s">
        <v>139</v>
      </c>
      <c r="J30" s="16" t="s">
        <v>139</v>
      </c>
      <c r="K30" s="14">
        <v>0</v>
      </c>
      <c r="L30" s="16">
        <v>0</v>
      </c>
      <c r="M30" s="14">
        <v>0</v>
      </c>
      <c r="N30" s="16">
        <v>0</v>
      </c>
      <c r="O30" s="14">
        <v>0</v>
      </c>
      <c r="P30" s="16">
        <v>0</v>
      </c>
      <c r="Q30" s="14">
        <v>0</v>
      </c>
      <c r="R30" s="16">
        <v>0</v>
      </c>
    </row>
    <row r="31" spans="1:18" x14ac:dyDescent="0.25">
      <c r="A31" s="11" t="s">
        <v>164</v>
      </c>
      <c r="B31" s="13">
        <v>5456</v>
      </c>
      <c r="C31" s="14">
        <f>(4534/B31*100)</f>
        <v>83.101173020527867</v>
      </c>
      <c r="D31" s="15">
        <v>922</v>
      </c>
      <c r="E31" s="14">
        <v>67.34525266</v>
      </c>
      <c r="F31" s="16">
        <v>1.4170177799999999</v>
      </c>
      <c r="G31" s="14">
        <v>32.65474734</v>
      </c>
      <c r="H31" s="16">
        <v>1.4170177799999999</v>
      </c>
      <c r="I31" s="14" t="s">
        <v>139</v>
      </c>
      <c r="J31" s="16" t="s">
        <v>139</v>
      </c>
      <c r="K31" s="14">
        <v>0</v>
      </c>
      <c r="L31" s="16">
        <v>0</v>
      </c>
      <c r="M31" s="14">
        <v>0</v>
      </c>
      <c r="N31" s="16">
        <v>0</v>
      </c>
      <c r="O31" s="14">
        <v>0</v>
      </c>
      <c r="P31" s="16">
        <v>0</v>
      </c>
      <c r="Q31" s="14">
        <v>0</v>
      </c>
      <c r="R31" s="16">
        <v>0</v>
      </c>
    </row>
    <row r="32" spans="1:18" x14ac:dyDescent="0.25">
      <c r="A32" s="11" t="s">
        <v>165</v>
      </c>
      <c r="B32" s="17" t="s">
        <v>154</v>
      </c>
      <c r="C32" s="17" t="s">
        <v>154</v>
      </c>
      <c r="D32" s="18" t="s">
        <v>154</v>
      </c>
      <c r="E32" s="17" t="s">
        <v>154</v>
      </c>
      <c r="F32" s="18" t="s">
        <v>154</v>
      </c>
      <c r="G32" s="17" t="s">
        <v>154</v>
      </c>
      <c r="H32" s="18" t="s">
        <v>154</v>
      </c>
      <c r="I32" s="17" t="s">
        <v>154</v>
      </c>
      <c r="J32" s="18" t="s">
        <v>154</v>
      </c>
      <c r="K32" s="17" t="s">
        <v>154</v>
      </c>
      <c r="L32" s="18" t="s">
        <v>154</v>
      </c>
      <c r="M32" s="17" t="s">
        <v>154</v>
      </c>
      <c r="N32" s="18" t="s">
        <v>154</v>
      </c>
      <c r="O32" s="17" t="s">
        <v>154</v>
      </c>
      <c r="P32" s="18" t="s">
        <v>154</v>
      </c>
      <c r="Q32" s="17" t="s">
        <v>154</v>
      </c>
      <c r="R32" s="18" t="s">
        <v>154</v>
      </c>
    </row>
    <row r="33" spans="1:18" x14ac:dyDescent="0.25">
      <c r="A33" s="11" t="s">
        <v>166</v>
      </c>
      <c r="B33" s="13">
        <v>7325</v>
      </c>
      <c r="C33" s="14">
        <f>(6092/B33*100)</f>
        <v>83.167235494880543</v>
      </c>
      <c r="D33" s="15">
        <v>1233</v>
      </c>
      <c r="E33" s="14">
        <v>74.884672339999995</v>
      </c>
      <c r="F33" s="16">
        <v>1.32413103</v>
      </c>
      <c r="G33" s="14">
        <v>25.115327659999998</v>
      </c>
      <c r="H33" s="16">
        <v>1.32413103</v>
      </c>
      <c r="I33" s="14" t="s">
        <v>139</v>
      </c>
      <c r="J33" s="16" t="s">
        <v>139</v>
      </c>
      <c r="K33" s="14">
        <v>0</v>
      </c>
      <c r="L33" s="16">
        <v>0</v>
      </c>
      <c r="M33" s="14">
        <v>0</v>
      </c>
      <c r="N33" s="16">
        <v>0</v>
      </c>
      <c r="O33" s="14">
        <v>0</v>
      </c>
      <c r="P33" s="16">
        <v>0</v>
      </c>
      <c r="Q33" s="14">
        <v>0</v>
      </c>
      <c r="R33" s="16">
        <v>0</v>
      </c>
    </row>
    <row r="34" spans="1:18" x14ac:dyDescent="0.25">
      <c r="A34" s="11" t="s">
        <v>167</v>
      </c>
      <c r="B34" s="13">
        <v>6350</v>
      </c>
      <c r="C34" s="14">
        <f>(5280/B34*100)</f>
        <v>83.149606299212593</v>
      </c>
      <c r="D34" s="15">
        <v>1070</v>
      </c>
      <c r="E34" s="14">
        <v>73.127882189999994</v>
      </c>
      <c r="F34" s="16">
        <v>1.3354784900000001</v>
      </c>
      <c r="G34" s="14">
        <v>26.872117809999999</v>
      </c>
      <c r="H34" s="16">
        <v>1.3354784900000001</v>
      </c>
      <c r="I34" s="14" t="s">
        <v>139</v>
      </c>
      <c r="J34" s="16" t="s">
        <v>139</v>
      </c>
      <c r="K34" s="14">
        <v>0</v>
      </c>
      <c r="L34" s="16">
        <v>0</v>
      </c>
      <c r="M34" s="14">
        <v>0</v>
      </c>
      <c r="N34" s="16">
        <v>0</v>
      </c>
      <c r="O34" s="14">
        <v>0</v>
      </c>
      <c r="P34" s="16">
        <v>0</v>
      </c>
      <c r="Q34" s="14">
        <v>0</v>
      </c>
      <c r="R34" s="16">
        <v>0</v>
      </c>
    </row>
    <row r="35" spans="1:18" x14ac:dyDescent="0.25">
      <c r="A35" s="11" t="s">
        <v>168</v>
      </c>
      <c r="B35" s="13">
        <v>6406</v>
      </c>
      <c r="C35" s="14">
        <f>(5297/B35*100)</f>
        <v>82.688104901654697</v>
      </c>
      <c r="D35" s="15">
        <v>1109</v>
      </c>
      <c r="E35" s="14">
        <v>68.546807920000006</v>
      </c>
      <c r="F35" s="16">
        <v>1.71800844</v>
      </c>
      <c r="G35" s="14">
        <v>31.453192080000001</v>
      </c>
      <c r="H35" s="16">
        <v>1.71800844</v>
      </c>
      <c r="I35" s="14" t="s">
        <v>139</v>
      </c>
      <c r="J35" s="16" t="s">
        <v>139</v>
      </c>
      <c r="K35" s="14">
        <v>0</v>
      </c>
      <c r="L35" s="16">
        <v>0</v>
      </c>
      <c r="M35" s="14">
        <v>0</v>
      </c>
      <c r="N35" s="16">
        <v>0</v>
      </c>
      <c r="O35" s="14">
        <v>0</v>
      </c>
      <c r="P35" s="16">
        <v>0</v>
      </c>
      <c r="Q35" s="14">
        <v>0</v>
      </c>
      <c r="R35" s="16">
        <v>0</v>
      </c>
    </row>
    <row r="36" spans="1:18" x14ac:dyDescent="0.25">
      <c r="A36" s="11" t="s">
        <v>169</v>
      </c>
      <c r="B36" s="13">
        <v>6736</v>
      </c>
      <c r="C36" s="14">
        <f>(5576/B36*100)</f>
        <v>82.779097387173394</v>
      </c>
      <c r="D36" s="15">
        <v>1160</v>
      </c>
      <c r="E36" s="14">
        <v>66.837050559999994</v>
      </c>
      <c r="F36" s="16">
        <v>1.4818358599999999</v>
      </c>
      <c r="G36" s="14">
        <v>33.162949439999998</v>
      </c>
      <c r="H36" s="16">
        <v>1.4818358599999999</v>
      </c>
      <c r="I36" s="14" t="s">
        <v>139</v>
      </c>
      <c r="J36" s="16" t="s">
        <v>139</v>
      </c>
      <c r="K36" s="14">
        <v>0</v>
      </c>
      <c r="L36" s="16">
        <v>0</v>
      </c>
      <c r="M36" s="14">
        <v>0</v>
      </c>
      <c r="N36" s="16">
        <v>0</v>
      </c>
      <c r="O36" s="14">
        <v>0</v>
      </c>
      <c r="P36" s="16">
        <v>0</v>
      </c>
      <c r="Q36" s="14">
        <v>0</v>
      </c>
      <c r="R36" s="16">
        <v>0</v>
      </c>
    </row>
    <row r="37" spans="1:18" x14ac:dyDescent="0.25">
      <c r="A37" s="11" t="s">
        <v>170</v>
      </c>
      <c r="B37" s="13">
        <v>5458</v>
      </c>
      <c r="C37" s="14">
        <f>(4554/B37*100)</f>
        <v>83.437156467570546</v>
      </c>
      <c r="D37" s="15">
        <v>904</v>
      </c>
      <c r="E37" s="14">
        <v>62.170418069999997</v>
      </c>
      <c r="F37" s="16">
        <v>1.5696338599999999</v>
      </c>
      <c r="G37" s="14">
        <v>37.829581930000003</v>
      </c>
      <c r="H37" s="16">
        <v>1.5696338599999999</v>
      </c>
      <c r="I37" s="14" t="s">
        <v>139</v>
      </c>
      <c r="J37" s="16" t="s">
        <v>139</v>
      </c>
      <c r="K37" s="14">
        <v>0</v>
      </c>
      <c r="L37" s="16">
        <v>0</v>
      </c>
      <c r="M37" s="14">
        <v>0</v>
      </c>
      <c r="N37" s="16">
        <v>0</v>
      </c>
      <c r="O37" s="14">
        <v>0</v>
      </c>
      <c r="P37" s="16">
        <v>0</v>
      </c>
      <c r="Q37" s="14">
        <v>0</v>
      </c>
      <c r="R37" s="16">
        <v>0</v>
      </c>
    </row>
    <row r="38" spans="1:18" x14ac:dyDescent="0.25">
      <c r="A38" s="11" t="s">
        <v>171</v>
      </c>
      <c r="B38" s="17" t="s">
        <v>154</v>
      </c>
      <c r="C38" s="17" t="s">
        <v>154</v>
      </c>
      <c r="D38" s="18" t="s">
        <v>154</v>
      </c>
      <c r="E38" s="17" t="s">
        <v>154</v>
      </c>
      <c r="F38" s="18" t="s">
        <v>154</v>
      </c>
      <c r="G38" s="17" t="s">
        <v>154</v>
      </c>
      <c r="H38" s="18" t="s">
        <v>154</v>
      </c>
      <c r="I38" s="17" t="s">
        <v>154</v>
      </c>
      <c r="J38" s="18" t="s">
        <v>154</v>
      </c>
      <c r="K38" s="17" t="s">
        <v>154</v>
      </c>
      <c r="L38" s="18" t="s">
        <v>154</v>
      </c>
      <c r="M38" s="17" t="s">
        <v>154</v>
      </c>
      <c r="N38" s="18" t="s">
        <v>154</v>
      </c>
      <c r="O38" s="17" t="s">
        <v>154</v>
      </c>
      <c r="P38" s="18" t="s">
        <v>154</v>
      </c>
      <c r="Q38" s="17" t="s">
        <v>154</v>
      </c>
      <c r="R38" s="18" t="s">
        <v>154</v>
      </c>
    </row>
    <row r="39" spans="1:18" x14ac:dyDescent="0.25">
      <c r="A39" s="11" t="s">
        <v>172</v>
      </c>
      <c r="B39" s="13">
        <v>5895</v>
      </c>
      <c r="C39" s="14">
        <f>(4869/B39*100)</f>
        <v>82.595419847328245</v>
      </c>
      <c r="D39" s="15">
        <v>1026</v>
      </c>
      <c r="E39" s="14">
        <v>86.791513539999997</v>
      </c>
      <c r="F39" s="16">
        <v>1.2030461800000001</v>
      </c>
      <c r="G39" s="14">
        <v>13.20848646</v>
      </c>
      <c r="H39" s="16">
        <v>1.2030461800000001</v>
      </c>
      <c r="I39" s="14" t="s">
        <v>139</v>
      </c>
      <c r="J39" s="16" t="s">
        <v>139</v>
      </c>
      <c r="K39" s="14">
        <v>0</v>
      </c>
      <c r="L39" s="16">
        <v>0</v>
      </c>
      <c r="M39" s="14">
        <v>0</v>
      </c>
      <c r="N39" s="16">
        <v>0</v>
      </c>
      <c r="O39" s="14">
        <v>0</v>
      </c>
      <c r="P39" s="16">
        <v>0</v>
      </c>
      <c r="Q39" s="14">
        <v>0</v>
      </c>
      <c r="R39" s="16">
        <v>0</v>
      </c>
    </row>
    <row r="40" spans="1:18" x14ac:dyDescent="0.25">
      <c r="A40" s="11" t="s">
        <v>173</v>
      </c>
      <c r="B40" s="13">
        <v>14157</v>
      </c>
      <c r="C40" s="14">
        <f>(11631/B40*100)</f>
        <v>82.15723670269125</v>
      </c>
      <c r="D40" s="15">
        <v>2526</v>
      </c>
      <c r="E40" s="14">
        <v>63.877379480000002</v>
      </c>
      <c r="F40" s="16">
        <v>1.3470035499999999</v>
      </c>
      <c r="G40" s="14">
        <v>36.122620519999998</v>
      </c>
      <c r="H40" s="16">
        <v>1.3470035499999999</v>
      </c>
      <c r="I40" s="14" t="s">
        <v>139</v>
      </c>
      <c r="J40" s="16" t="s">
        <v>139</v>
      </c>
      <c r="K40" s="14">
        <v>0</v>
      </c>
      <c r="L40" s="16">
        <v>0</v>
      </c>
      <c r="M40" s="14">
        <v>0</v>
      </c>
      <c r="N40" s="16">
        <v>0</v>
      </c>
      <c r="O40" s="14">
        <v>0</v>
      </c>
      <c r="P40" s="16">
        <v>0</v>
      </c>
      <c r="Q40" s="14">
        <v>0</v>
      </c>
      <c r="R40" s="16">
        <v>0</v>
      </c>
    </row>
    <row r="41" spans="1:18" x14ac:dyDescent="0.25">
      <c r="A41" s="11" t="s">
        <v>174</v>
      </c>
      <c r="B41" s="13">
        <v>5712</v>
      </c>
      <c r="C41" s="14">
        <f>(4753/B41*100)</f>
        <v>83.210784313725497</v>
      </c>
      <c r="D41" s="15">
        <v>959</v>
      </c>
      <c r="E41" s="14">
        <v>66.386457579999998</v>
      </c>
      <c r="F41" s="16">
        <v>1.7459632599999999</v>
      </c>
      <c r="G41" s="14">
        <v>33.613542420000002</v>
      </c>
      <c r="H41" s="16">
        <v>1.7459632599999999</v>
      </c>
      <c r="I41" s="14" t="s">
        <v>139</v>
      </c>
      <c r="J41" s="16" t="s">
        <v>139</v>
      </c>
      <c r="K41" s="14">
        <v>0</v>
      </c>
      <c r="L41" s="16">
        <v>0</v>
      </c>
      <c r="M41" s="14">
        <v>0</v>
      </c>
      <c r="N41" s="16">
        <v>0</v>
      </c>
      <c r="O41" s="14">
        <v>0</v>
      </c>
      <c r="P41" s="16">
        <v>0</v>
      </c>
      <c r="Q41" s="14">
        <v>0</v>
      </c>
      <c r="R41" s="16">
        <v>0</v>
      </c>
    </row>
    <row r="42" spans="1:18" x14ac:dyDescent="0.25">
      <c r="A42" s="11" t="s">
        <v>175</v>
      </c>
      <c r="B42" s="13">
        <f>IF(COUNT(B7:B41) &gt; 0, AVERAGE(B7:B41), "\u2014")</f>
        <v>7266.90625</v>
      </c>
      <c r="C42" s="14">
        <f>IF(COUNT(C7:C41) &gt; 0, AVERAGE(C7:C41), "—")</f>
        <v>82.93344709112597</v>
      </c>
      <c r="D42" s="15">
        <f>IF(COUNT(D7:D41) &gt; 0, AVERAGE(D7:D41), "—")</f>
        <v>1241.4375</v>
      </c>
      <c r="E42" s="14">
        <f>IF(COUNT(E7:E41) &gt; 0, AVERAGE(E7:E41), "—")</f>
        <v>67.687704834687509</v>
      </c>
      <c r="F42" s="16">
        <f>IF(COUNT(F7:F41) &gt; 0, SQRT(SUMSQ(F7:F41)/(COUNT(F7:F41)*COUNT(F7:F41)) ), "—")</f>
        <v>0.26284668624172869</v>
      </c>
      <c r="G42" s="14">
        <f>IF(COUNT(G7:G41) &gt; 0, AVERAGE(G7:G41), "—")</f>
        <v>32.312295165312499</v>
      </c>
      <c r="H42" s="16">
        <f>IF(COUNT(H7:H41) &gt; 0, SQRT(SUMSQ(H7:H41)/(COUNT(H7:H41)*COUNT(H7:H41)) ), "—")</f>
        <v>0.26284668624172869</v>
      </c>
      <c r="I42" s="14" t="str">
        <f>IF(COUNT(I7:I41) &gt; 0, AVERAGE(I7:I41), "—")</f>
        <v>—</v>
      </c>
      <c r="J42" s="16" t="str">
        <f>IF(COUNT(J7:J41) &gt; 0, SQRT(SUMSQ(J7:J41)/(COUNT(J7:J41)*COUNT(J7:J41)) ), "—")</f>
        <v>—</v>
      </c>
      <c r="K42" s="14">
        <f>IF(COUNT(K7:K41) &gt; 0, AVERAGE(K7:K41), "—")</f>
        <v>0</v>
      </c>
      <c r="L42" s="16">
        <f>IF(COUNT(L7:L41) &gt; 0, SQRT(SUMSQ(L7:L41)/(COUNT(L7:L41)*COUNT(L7:L41)) ), "—")</f>
        <v>0</v>
      </c>
      <c r="M42" s="14">
        <f>IF(COUNT(M7:M41) &gt; 0, AVERAGE(M7:M41), "—")</f>
        <v>0</v>
      </c>
      <c r="N42" s="16">
        <f>IF(COUNT(N7:N41) &gt; 0, SQRT(SUMSQ(N7:N41)/(COUNT(N7:N41)*COUNT(N7:N41)) ), "—")</f>
        <v>0</v>
      </c>
      <c r="O42" s="14">
        <f>IF(COUNT(O7:O41) &gt; 0, AVERAGE(O7:O41), "—")</f>
        <v>0</v>
      </c>
      <c r="P42" s="16">
        <f>IF(COUNT(P7:P41) &gt; 0, SQRT(SUMSQ(P7:P41)/(COUNT(P7:P41)*COUNT(P7:P41)) ), "—")</f>
        <v>0</v>
      </c>
      <c r="Q42" s="14">
        <f>IF(COUNT(Q7:Q41) &gt; 0, AVERAGE(Q7:Q41), "—")</f>
        <v>0</v>
      </c>
      <c r="R42" s="16">
        <f>IF(COUNT(R7:R41) &gt; 0, SQRT(SUMSQ(R7:R41)/(COUNT(R7:R41)*COUNT(R7:R41)) ), "—")</f>
        <v>0</v>
      </c>
    </row>
    <row r="43" spans="1:18" x14ac:dyDescent="0.25">
      <c r="A43" s="9" t="s">
        <v>176</v>
      </c>
      <c r="B43" s="10"/>
      <c r="C43" s="10"/>
      <c r="D43" s="11"/>
      <c r="E43" s="10"/>
      <c r="F43" s="11"/>
      <c r="G43" s="10"/>
      <c r="H43" s="11"/>
      <c r="I43" s="10"/>
      <c r="J43" s="11"/>
      <c r="K43" s="10"/>
      <c r="L43" s="11"/>
      <c r="M43" s="10"/>
      <c r="N43" s="11"/>
      <c r="O43" s="10"/>
      <c r="P43" s="11"/>
      <c r="Q43" s="10"/>
      <c r="R43" s="12"/>
    </row>
    <row r="44" spans="1:18" x14ac:dyDescent="0.25">
      <c r="A44" s="11" t="s">
        <v>177</v>
      </c>
      <c r="B44" s="17" t="s">
        <v>154</v>
      </c>
      <c r="C44" s="17" t="s">
        <v>154</v>
      </c>
      <c r="D44" s="18" t="s">
        <v>154</v>
      </c>
      <c r="E44" s="17" t="s">
        <v>154</v>
      </c>
      <c r="F44" s="18" t="s">
        <v>154</v>
      </c>
      <c r="G44" s="17" t="s">
        <v>154</v>
      </c>
      <c r="H44" s="18" t="s">
        <v>154</v>
      </c>
      <c r="I44" s="17" t="s">
        <v>154</v>
      </c>
      <c r="J44" s="18" t="s">
        <v>154</v>
      </c>
      <c r="K44" s="17" t="s">
        <v>154</v>
      </c>
      <c r="L44" s="18" t="s">
        <v>154</v>
      </c>
      <c r="M44" s="17" t="s">
        <v>154</v>
      </c>
      <c r="N44" s="18" t="s">
        <v>154</v>
      </c>
      <c r="O44" s="17" t="s">
        <v>154</v>
      </c>
      <c r="P44" s="18" t="s">
        <v>154</v>
      </c>
      <c r="Q44" s="17" t="s">
        <v>154</v>
      </c>
      <c r="R44" s="18" t="s">
        <v>154</v>
      </c>
    </row>
    <row r="45" spans="1:18" x14ac:dyDescent="0.25">
      <c r="A45" s="11" t="s">
        <v>178</v>
      </c>
      <c r="B45" s="17" t="s">
        <v>154</v>
      </c>
      <c r="C45" s="17" t="s">
        <v>154</v>
      </c>
      <c r="D45" s="18" t="s">
        <v>154</v>
      </c>
      <c r="E45" s="17" t="s">
        <v>154</v>
      </c>
      <c r="F45" s="18" t="s">
        <v>154</v>
      </c>
      <c r="G45" s="17" t="s">
        <v>154</v>
      </c>
      <c r="H45" s="18" t="s">
        <v>154</v>
      </c>
      <c r="I45" s="17" t="s">
        <v>154</v>
      </c>
      <c r="J45" s="18" t="s">
        <v>154</v>
      </c>
      <c r="K45" s="17" t="s">
        <v>154</v>
      </c>
      <c r="L45" s="18" t="s">
        <v>154</v>
      </c>
      <c r="M45" s="17" t="s">
        <v>154</v>
      </c>
      <c r="N45" s="18" t="s">
        <v>154</v>
      </c>
      <c r="O45" s="17" t="s">
        <v>154</v>
      </c>
      <c r="P45" s="18" t="s">
        <v>154</v>
      </c>
      <c r="Q45" s="17" t="s">
        <v>154</v>
      </c>
      <c r="R45" s="18" t="s">
        <v>154</v>
      </c>
    </row>
    <row r="46" spans="1:18" x14ac:dyDescent="0.25">
      <c r="A46" s="11" t="s">
        <v>179</v>
      </c>
      <c r="B46" s="13">
        <v>23141</v>
      </c>
      <c r="C46" s="14">
        <f>(19537/B46*100)</f>
        <v>84.425910721230707</v>
      </c>
      <c r="D46" s="15">
        <v>3604</v>
      </c>
      <c r="E46" s="14">
        <v>84.166370420000007</v>
      </c>
      <c r="F46" s="16">
        <v>0.83275885999999999</v>
      </c>
      <c r="G46" s="14">
        <v>15.83362958</v>
      </c>
      <c r="H46" s="16">
        <v>0.83275885999999999</v>
      </c>
      <c r="I46" s="14" t="s">
        <v>139</v>
      </c>
      <c r="J46" s="16" t="s">
        <v>139</v>
      </c>
      <c r="K46" s="14">
        <v>0</v>
      </c>
      <c r="L46" s="16">
        <v>0</v>
      </c>
      <c r="M46" s="14">
        <v>0</v>
      </c>
      <c r="N46" s="16">
        <v>0</v>
      </c>
      <c r="O46" s="14">
        <v>0</v>
      </c>
      <c r="P46" s="16">
        <v>0</v>
      </c>
      <c r="Q46" s="14">
        <v>0</v>
      </c>
      <c r="R46" s="16">
        <v>0</v>
      </c>
    </row>
    <row r="47" spans="1:18" x14ac:dyDescent="0.25">
      <c r="A47" s="11" t="s">
        <v>180</v>
      </c>
      <c r="B47" s="13">
        <v>5928</v>
      </c>
      <c r="C47" s="14">
        <f>(4918/B47*100)</f>
        <v>82.962213225371116</v>
      </c>
      <c r="D47" s="15">
        <v>1010</v>
      </c>
      <c r="E47" s="14">
        <v>80.427236230000005</v>
      </c>
      <c r="F47" s="16">
        <v>1.4650549799999999</v>
      </c>
      <c r="G47" s="14">
        <v>19.572763770000002</v>
      </c>
      <c r="H47" s="16">
        <v>1.4650549799999999</v>
      </c>
      <c r="I47" s="14" t="s">
        <v>139</v>
      </c>
      <c r="J47" s="16" t="s">
        <v>139</v>
      </c>
      <c r="K47" s="14">
        <v>0</v>
      </c>
      <c r="L47" s="16">
        <v>0</v>
      </c>
      <c r="M47" s="14">
        <v>0</v>
      </c>
      <c r="N47" s="16">
        <v>0</v>
      </c>
      <c r="O47" s="14">
        <v>0</v>
      </c>
      <c r="P47" s="16">
        <v>0</v>
      </c>
      <c r="Q47" s="14">
        <v>0</v>
      </c>
      <c r="R47" s="16">
        <v>0</v>
      </c>
    </row>
    <row r="48" spans="1:18" x14ac:dyDescent="0.25">
      <c r="A48" s="11" t="s">
        <v>181</v>
      </c>
      <c r="B48" s="13">
        <v>9841</v>
      </c>
      <c r="C48" s="14">
        <f>(8147/B48*100)</f>
        <v>82.786302205060451</v>
      </c>
      <c r="D48" s="15">
        <v>1694</v>
      </c>
      <c r="E48" s="14">
        <v>73.260793340000006</v>
      </c>
      <c r="F48" s="16">
        <v>1.53230741</v>
      </c>
      <c r="G48" s="14">
        <v>26.739206660000001</v>
      </c>
      <c r="H48" s="16">
        <v>1.53230741</v>
      </c>
      <c r="I48" s="14" t="s">
        <v>139</v>
      </c>
      <c r="J48" s="16" t="s">
        <v>139</v>
      </c>
      <c r="K48" s="14">
        <v>0</v>
      </c>
      <c r="L48" s="16">
        <v>0</v>
      </c>
      <c r="M48" s="14">
        <v>0</v>
      </c>
      <c r="N48" s="16">
        <v>0</v>
      </c>
      <c r="O48" s="14">
        <v>0</v>
      </c>
      <c r="P48" s="16">
        <v>0</v>
      </c>
      <c r="Q48" s="14">
        <v>0</v>
      </c>
      <c r="R48" s="16">
        <v>0</v>
      </c>
    </row>
    <row r="49" spans="1:18" x14ac:dyDescent="0.25">
      <c r="A49" s="11" t="s">
        <v>182</v>
      </c>
      <c r="B49" s="17" t="s">
        <v>154</v>
      </c>
      <c r="C49" s="17" t="s">
        <v>154</v>
      </c>
      <c r="D49" s="18" t="s">
        <v>154</v>
      </c>
      <c r="E49" s="17" t="s">
        <v>154</v>
      </c>
      <c r="F49" s="18" t="s">
        <v>154</v>
      </c>
      <c r="G49" s="17" t="s">
        <v>154</v>
      </c>
      <c r="H49" s="18" t="s">
        <v>154</v>
      </c>
      <c r="I49" s="17" t="s">
        <v>154</v>
      </c>
      <c r="J49" s="18" t="s">
        <v>154</v>
      </c>
      <c r="K49" s="17" t="s">
        <v>154</v>
      </c>
      <c r="L49" s="18" t="s">
        <v>154</v>
      </c>
      <c r="M49" s="17" t="s">
        <v>154</v>
      </c>
      <c r="N49" s="18" t="s">
        <v>154</v>
      </c>
      <c r="O49" s="17" t="s">
        <v>154</v>
      </c>
      <c r="P49" s="18" t="s">
        <v>154</v>
      </c>
      <c r="Q49" s="17" t="s">
        <v>154</v>
      </c>
      <c r="R49" s="18" t="s">
        <v>154</v>
      </c>
    </row>
    <row r="50" spans="1:18" x14ac:dyDescent="0.25">
      <c r="A50" s="11" t="s">
        <v>183</v>
      </c>
      <c r="B50" s="13">
        <v>11795</v>
      </c>
      <c r="C50" s="14">
        <f>(9780/B50*100)</f>
        <v>82.916490038151764</v>
      </c>
      <c r="D50" s="15">
        <v>2015</v>
      </c>
      <c r="E50" s="14">
        <v>79.695973170000002</v>
      </c>
      <c r="F50" s="16">
        <v>0.97907133999999996</v>
      </c>
      <c r="G50" s="14">
        <v>20.304026830000002</v>
      </c>
      <c r="H50" s="16">
        <v>0.97907133999999996</v>
      </c>
      <c r="I50" s="14" t="s">
        <v>139</v>
      </c>
      <c r="J50" s="16" t="s">
        <v>139</v>
      </c>
      <c r="K50" s="14">
        <v>0</v>
      </c>
      <c r="L50" s="16">
        <v>0</v>
      </c>
      <c r="M50" s="14">
        <v>0</v>
      </c>
      <c r="N50" s="16">
        <v>0</v>
      </c>
      <c r="O50" s="14">
        <v>0</v>
      </c>
      <c r="P50" s="16">
        <v>0</v>
      </c>
      <c r="Q50" s="14">
        <v>0</v>
      </c>
      <c r="R50" s="16">
        <v>0</v>
      </c>
    </row>
    <row r="51" spans="1:18" x14ac:dyDescent="0.25">
      <c r="A51" s="11" t="s">
        <v>184</v>
      </c>
      <c r="B51" s="13">
        <v>6866</v>
      </c>
      <c r="C51" s="14">
        <f>(5844/B51*100)</f>
        <v>85.115059714535391</v>
      </c>
      <c r="D51" s="15">
        <v>1022</v>
      </c>
      <c r="E51" s="14">
        <v>82.179486690000005</v>
      </c>
      <c r="F51" s="16">
        <v>1.21365627</v>
      </c>
      <c r="G51" s="14">
        <v>17.820513309999999</v>
      </c>
      <c r="H51" s="16">
        <v>1.21365627</v>
      </c>
      <c r="I51" s="14" t="s">
        <v>139</v>
      </c>
      <c r="J51" s="16" t="s">
        <v>139</v>
      </c>
      <c r="K51" s="14">
        <v>0</v>
      </c>
      <c r="L51" s="16">
        <v>0</v>
      </c>
      <c r="M51" s="14">
        <v>0</v>
      </c>
      <c r="N51" s="16">
        <v>0</v>
      </c>
      <c r="O51" s="14">
        <v>0</v>
      </c>
      <c r="P51" s="16">
        <v>0</v>
      </c>
      <c r="Q51" s="14">
        <v>0</v>
      </c>
      <c r="R51" s="16">
        <v>0</v>
      </c>
    </row>
    <row r="52" spans="1:18" x14ac:dyDescent="0.25">
      <c r="A52" s="11" t="s">
        <v>185</v>
      </c>
      <c r="B52" s="13">
        <v>5809</v>
      </c>
      <c r="C52" s="14">
        <f>(4801/B52*100)</f>
        <v>82.647615768634878</v>
      </c>
      <c r="D52" s="15">
        <v>1008</v>
      </c>
      <c r="E52" s="14">
        <v>81.790115909999997</v>
      </c>
      <c r="F52" s="16">
        <v>1.2949960599999999</v>
      </c>
      <c r="G52" s="14">
        <v>18.209884089999999</v>
      </c>
      <c r="H52" s="16">
        <v>1.2949960599999999</v>
      </c>
      <c r="I52" s="14" t="s">
        <v>139</v>
      </c>
      <c r="J52" s="16" t="s">
        <v>139</v>
      </c>
      <c r="K52" s="14">
        <v>0</v>
      </c>
      <c r="L52" s="16">
        <v>0</v>
      </c>
      <c r="M52" s="14">
        <v>0</v>
      </c>
      <c r="N52" s="16">
        <v>0</v>
      </c>
      <c r="O52" s="14">
        <v>0</v>
      </c>
      <c r="P52" s="16">
        <v>0</v>
      </c>
      <c r="Q52" s="14">
        <v>0</v>
      </c>
      <c r="R52" s="16">
        <v>0</v>
      </c>
    </row>
    <row r="53" spans="1:18" x14ac:dyDescent="0.25">
      <c r="A53" s="11" t="s">
        <v>186</v>
      </c>
      <c r="B53" s="13">
        <v>5571</v>
      </c>
      <c r="C53" s="14">
        <f>(4604/B53*100)</f>
        <v>82.642254532399932</v>
      </c>
      <c r="D53" s="15">
        <v>967</v>
      </c>
      <c r="E53" s="14">
        <v>80.942489730000005</v>
      </c>
      <c r="F53" s="16">
        <v>1.1998237700000001</v>
      </c>
      <c r="G53" s="14">
        <v>19.057510270000002</v>
      </c>
      <c r="H53" s="16">
        <v>1.1998237700000001</v>
      </c>
      <c r="I53" s="14" t="s">
        <v>139</v>
      </c>
      <c r="J53" s="16" t="s">
        <v>139</v>
      </c>
      <c r="K53" s="14">
        <v>0</v>
      </c>
      <c r="L53" s="16">
        <v>0</v>
      </c>
      <c r="M53" s="14">
        <v>0</v>
      </c>
      <c r="N53" s="16">
        <v>0</v>
      </c>
      <c r="O53" s="14">
        <v>0</v>
      </c>
      <c r="P53" s="16">
        <v>0</v>
      </c>
      <c r="Q53" s="14">
        <v>0</v>
      </c>
      <c r="R53" s="16">
        <v>0</v>
      </c>
    </row>
    <row r="54" spans="1:18" x14ac:dyDescent="0.25">
      <c r="A54" s="11" t="s">
        <v>187</v>
      </c>
      <c r="B54" s="17" t="s">
        <v>154</v>
      </c>
      <c r="C54" s="17" t="s">
        <v>154</v>
      </c>
      <c r="D54" s="18" t="s">
        <v>154</v>
      </c>
      <c r="E54" s="17" t="s">
        <v>154</v>
      </c>
      <c r="F54" s="18" t="s">
        <v>154</v>
      </c>
      <c r="G54" s="17" t="s">
        <v>154</v>
      </c>
      <c r="H54" s="18" t="s">
        <v>154</v>
      </c>
      <c r="I54" s="17" t="s">
        <v>154</v>
      </c>
      <c r="J54" s="18" t="s">
        <v>154</v>
      </c>
      <c r="K54" s="17" t="s">
        <v>154</v>
      </c>
      <c r="L54" s="18" t="s">
        <v>154</v>
      </c>
      <c r="M54" s="17" t="s">
        <v>154</v>
      </c>
      <c r="N54" s="18" t="s">
        <v>154</v>
      </c>
      <c r="O54" s="17" t="s">
        <v>154</v>
      </c>
      <c r="P54" s="18" t="s">
        <v>154</v>
      </c>
      <c r="Q54" s="17" t="s">
        <v>154</v>
      </c>
      <c r="R54" s="18" t="s">
        <v>154</v>
      </c>
    </row>
    <row r="55" spans="1:18" x14ac:dyDescent="0.25">
      <c r="A55" s="11" t="s">
        <v>188</v>
      </c>
      <c r="B55" s="17" t="s">
        <v>154</v>
      </c>
      <c r="C55" s="17" t="s">
        <v>154</v>
      </c>
      <c r="D55" s="18" t="s">
        <v>154</v>
      </c>
      <c r="E55" s="17" t="s">
        <v>154</v>
      </c>
      <c r="F55" s="18" t="s">
        <v>154</v>
      </c>
      <c r="G55" s="17" t="s">
        <v>154</v>
      </c>
      <c r="H55" s="18" t="s">
        <v>154</v>
      </c>
      <c r="I55" s="17" t="s">
        <v>154</v>
      </c>
      <c r="J55" s="18" t="s">
        <v>154</v>
      </c>
      <c r="K55" s="17" t="s">
        <v>154</v>
      </c>
      <c r="L55" s="18" t="s">
        <v>154</v>
      </c>
      <c r="M55" s="17" t="s">
        <v>154</v>
      </c>
      <c r="N55" s="18" t="s">
        <v>154</v>
      </c>
      <c r="O55" s="17" t="s">
        <v>154</v>
      </c>
      <c r="P55" s="18" t="s">
        <v>154</v>
      </c>
      <c r="Q55" s="17" t="s">
        <v>154</v>
      </c>
      <c r="R55" s="18" t="s">
        <v>154</v>
      </c>
    </row>
    <row r="56" spans="1:18" x14ac:dyDescent="0.25">
      <c r="A56" s="11" t="s">
        <v>189</v>
      </c>
      <c r="B56" s="13">
        <v>5359</v>
      </c>
      <c r="C56" s="14">
        <f>(4443/B56*100)</f>
        <v>82.907258816943468</v>
      </c>
      <c r="D56" s="15">
        <v>916</v>
      </c>
      <c r="E56" s="14">
        <v>56.073214450000002</v>
      </c>
      <c r="F56" s="16">
        <v>1.77900587</v>
      </c>
      <c r="G56" s="14">
        <v>43.926785549999998</v>
      </c>
      <c r="H56" s="16">
        <v>1.77900587</v>
      </c>
      <c r="I56" s="14" t="s">
        <v>139</v>
      </c>
      <c r="J56" s="16" t="s">
        <v>139</v>
      </c>
      <c r="K56" s="14">
        <v>0</v>
      </c>
      <c r="L56" s="16">
        <v>0</v>
      </c>
      <c r="M56" s="14">
        <v>0</v>
      </c>
      <c r="N56" s="16">
        <v>0</v>
      </c>
      <c r="O56" s="14">
        <v>0</v>
      </c>
      <c r="P56" s="16">
        <v>0</v>
      </c>
      <c r="Q56" s="14">
        <v>0</v>
      </c>
      <c r="R56" s="16">
        <v>0</v>
      </c>
    </row>
    <row r="57" spans="1:18" x14ac:dyDescent="0.25">
      <c r="A57" s="11" t="s">
        <v>190</v>
      </c>
      <c r="B57" s="17" t="s">
        <v>154</v>
      </c>
      <c r="C57" s="17" t="s">
        <v>154</v>
      </c>
      <c r="D57" s="18" t="s">
        <v>154</v>
      </c>
      <c r="E57" s="17" t="s">
        <v>154</v>
      </c>
      <c r="F57" s="18" t="s">
        <v>154</v>
      </c>
      <c r="G57" s="17" t="s">
        <v>154</v>
      </c>
      <c r="H57" s="18" t="s">
        <v>154</v>
      </c>
      <c r="I57" s="17" t="s">
        <v>154</v>
      </c>
      <c r="J57" s="18" t="s">
        <v>154</v>
      </c>
      <c r="K57" s="17" t="s">
        <v>154</v>
      </c>
      <c r="L57" s="18" t="s">
        <v>154</v>
      </c>
      <c r="M57" s="17" t="s">
        <v>154</v>
      </c>
      <c r="N57" s="18" t="s">
        <v>154</v>
      </c>
      <c r="O57" s="17" t="s">
        <v>154</v>
      </c>
      <c r="P57" s="18" t="s">
        <v>154</v>
      </c>
      <c r="Q57" s="17" t="s">
        <v>154</v>
      </c>
      <c r="R57" s="18" t="s">
        <v>154</v>
      </c>
    </row>
    <row r="58" spans="1:18" x14ac:dyDescent="0.25">
      <c r="A58" s="11" t="s">
        <v>191</v>
      </c>
      <c r="B58" s="17" t="s">
        <v>154</v>
      </c>
      <c r="C58" s="17" t="s">
        <v>154</v>
      </c>
      <c r="D58" s="18" t="s">
        <v>154</v>
      </c>
      <c r="E58" s="17" t="s">
        <v>154</v>
      </c>
      <c r="F58" s="18" t="s">
        <v>154</v>
      </c>
      <c r="G58" s="17" t="s">
        <v>154</v>
      </c>
      <c r="H58" s="18" t="s">
        <v>154</v>
      </c>
      <c r="I58" s="17" t="s">
        <v>154</v>
      </c>
      <c r="J58" s="18" t="s">
        <v>154</v>
      </c>
      <c r="K58" s="17" t="s">
        <v>154</v>
      </c>
      <c r="L58" s="18" t="s">
        <v>154</v>
      </c>
      <c r="M58" s="17" t="s">
        <v>154</v>
      </c>
      <c r="N58" s="18" t="s">
        <v>154</v>
      </c>
      <c r="O58" s="17" t="s">
        <v>154</v>
      </c>
      <c r="P58" s="18" t="s">
        <v>154</v>
      </c>
      <c r="Q58" s="17" t="s">
        <v>154</v>
      </c>
      <c r="R58" s="18" t="s">
        <v>154</v>
      </c>
    </row>
    <row r="59" spans="1:18" x14ac:dyDescent="0.25">
      <c r="A59" s="11" t="s">
        <v>192</v>
      </c>
      <c r="B59" s="17" t="s">
        <v>154</v>
      </c>
      <c r="C59" s="17" t="s">
        <v>154</v>
      </c>
      <c r="D59" s="18" t="s">
        <v>154</v>
      </c>
      <c r="E59" s="17" t="s">
        <v>154</v>
      </c>
      <c r="F59" s="18" t="s">
        <v>154</v>
      </c>
      <c r="G59" s="17" t="s">
        <v>154</v>
      </c>
      <c r="H59" s="18" t="s">
        <v>154</v>
      </c>
      <c r="I59" s="17" t="s">
        <v>154</v>
      </c>
      <c r="J59" s="18" t="s">
        <v>154</v>
      </c>
      <c r="K59" s="17" t="s">
        <v>154</v>
      </c>
      <c r="L59" s="18" t="s">
        <v>154</v>
      </c>
      <c r="M59" s="17" t="s">
        <v>154</v>
      </c>
      <c r="N59" s="18" t="s">
        <v>154</v>
      </c>
      <c r="O59" s="17" t="s">
        <v>154</v>
      </c>
      <c r="P59" s="18" t="s">
        <v>154</v>
      </c>
      <c r="Q59" s="17" t="s">
        <v>154</v>
      </c>
      <c r="R59" s="18" t="s">
        <v>154</v>
      </c>
    </row>
    <row r="60" spans="1:18" x14ac:dyDescent="0.25">
      <c r="A60" s="11" t="s">
        <v>193</v>
      </c>
      <c r="B60" s="17" t="s">
        <v>154</v>
      </c>
      <c r="C60" s="17" t="s">
        <v>154</v>
      </c>
      <c r="D60" s="18" t="s">
        <v>154</v>
      </c>
      <c r="E60" s="17" t="s">
        <v>154</v>
      </c>
      <c r="F60" s="18" t="s">
        <v>154</v>
      </c>
      <c r="G60" s="17" t="s">
        <v>154</v>
      </c>
      <c r="H60" s="18" t="s">
        <v>154</v>
      </c>
      <c r="I60" s="17" t="s">
        <v>154</v>
      </c>
      <c r="J60" s="18" t="s">
        <v>154</v>
      </c>
      <c r="K60" s="17" t="s">
        <v>154</v>
      </c>
      <c r="L60" s="18" t="s">
        <v>154</v>
      </c>
      <c r="M60" s="17" t="s">
        <v>154</v>
      </c>
      <c r="N60" s="18" t="s">
        <v>154</v>
      </c>
      <c r="O60" s="17" t="s">
        <v>154</v>
      </c>
      <c r="P60" s="18" t="s">
        <v>154</v>
      </c>
      <c r="Q60" s="17" t="s">
        <v>154</v>
      </c>
      <c r="R60" s="18" t="s">
        <v>154</v>
      </c>
    </row>
    <row r="61" spans="1:18" x14ac:dyDescent="0.25">
      <c r="A61" s="11" t="s">
        <v>194</v>
      </c>
      <c r="B61" s="13">
        <v>6525</v>
      </c>
      <c r="C61" s="14">
        <f>(5385/B61*100)</f>
        <v>82.528735632183896</v>
      </c>
      <c r="D61" s="15">
        <v>1140</v>
      </c>
      <c r="E61" s="14">
        <v>75.29424539</v>
      </c>
      <c r="F61" s="16">
        <v>1.6883667899999999</v>
      </c>
      <c r="G61" s="14">
        <v>24.70575461</v>
      </c>
      <c r="H61" s="16">
        <v>1.6883667899999999</v>
      </c>
      <c r="I61" s="14" t="s">
        <v>139</v>
      </c>
      <c r="J61" s="16" t="s">
        <v>139</v>
      </c>
      <c r="K61" s="14">
        <v>0</v>
      </c>
      <c r="L61" s="16">
        <v>0</v>
      </c>
      <c r="M61" s="14">
        <v>0</v>
      </c>
      <c r="N61" s="16">
        <v>0</v>
      </c>
      <c r="O61" s="14">
        <v>0</v>
      </c>
      <c r="P61" s="16">
        <v>0</v>
      </c>
      <c r="Q61" s="14">
        <v>0</v>
      </c>
      <c r="R61" s="16">
        <v>0</v>
      </c>
    </row>
    <row r="62" spans="1:18" x14ac:dyDescent="0.25">
      <c r="A62" s="11" t="s">
        <v>195</v>
      </c>
      <c r="B62" s="13">
        <v>4476</v>
      </c>
      <c r="C62" s="14">
        <f>(3693/B62*100)</f>
        <v>82.506702412868634</v>
      </c>
      <c r="D62" s="15">
        <v>783</v>
      </c>
      <c r="E62" s="14">
        <v>61.96038188</v>
      </c>
      <c r="F62" s="16">
        <v>1.74294722</v>
      </c>
      <c r="G62" s="14">
        <v>38.03961812</v>
      </c>
      <c r="H62" s="16">
        <v>1.74294722</v>
      </c>
      <c r="I62" s="14" t="s">
        <v>139</v>
      </c>
      <c r="J62" s="16" t="s">
        <v>139</v>
      </c>
      <c r="K62" s="14">
        <v>0</v>
      </c>
      <c r="L62" s="16">
        <v>0</v>
      </c>
      <c r="M62" s="14">
        <v>0</v>
      </c>
      <c r="N62" s="16">
        <v>0</v>
      </c>
      <c r="O62" s="14">
        <v>0</v>
      </c>
      <c r="P62" s="16">
        <v>0</v>
      </c>
      <c r="Q62" s="14">
        <v>0</v>
      </c>
      <c r="R62" s="16">
        <v>0</v>
      </c>
    </row>
    <row r="63" spans="1:18" x14ac:dyDescent="0.25">
      <c r="A63" s="11" t="s">
        <v>196</v>
      </c>
      <c r="B63" s="17" t="s">
        <v>154</v>
      </c>
      <c r="C63" s="17" t="s">
        <v>154</v>
      </c>
      <c r="D63" s="18" t="s">
        <v>154</v>
      </c>
      <c r="E63" s="17" t="s">
        <v>154</v>
      </c>
      <c r="F63" s="18" t="s">
        <v>154</v>
      </c>
      <c r="G63" s="17" t="s">
        <v>154</v>
      </c>
      <c r="H63" s="18" t="s">
        <v>154</v>
      </c>
      <c r="I63" s="17" t="s">
        <v>154</v>
      </c>
      <c r="J63" s="18" t="s">
        <v>154</v>
      </c>
      <c r="K63" s="17" t="s">
        <v>154</v>
      </c>
      <c r="L63" s="18" t="s">
        <v>154</v>
      </c>
      <c r="M63" s="17" t="s">
        <v>154</v>
      </c>
      <c r="N63" s="18" t="s">
        <v>154</v>
      </c>
      <c r="O63" s="17" t="s">
        <v>154</v>
      </c>
      <c r="P63" s="18" t="s">
        <v>154</v>
      </c>
      <c r="Q63" s="17" t="s">
        <v>154</v>
      </c>
      <c r="R63" s="18" t="s">
        <v>154</v>
      </c>
    </row>
    <row r="64" spans="1:18" x14ac:dyDescent="0.25">
      <c r="A64" s="11" t="s">
        <v>197</v>
      </c>
      <c r="B64" s="17" t="s">
        <v>154</v>
      </c>
      <c r="C64" s="17" t="s">
        <v>154</v>
      </c>
      <c r="D64" s="18" t="s">
        <v>154</v>
      </c>
      <c r="E64" s="17" t="s">
        <v>154</v>
      </c>
      <c r="F64" s="18" t="s">
        <v>154</v>
      </c>
      <c r="G64" s="17" t="s">
        <v>154</v>
      </c>
      <c r="H64" s="18" t="s">
        <v>154</v>
      </c>
      <c r="I64" s="17" t="s">
        <v>154</v>
      </c>
      <c r="J64" s="18" t="s">
        <v>154</v>
      </c>
      <c r="K64" s="17" t="s">
        <v>154</v>
      </c>
      <c r="L64" s="18" t="s">
        <v>154</v>
      </c>
      <c r="M64" s="17" t="s">
        <v>154</v>
      </c>
      <c r="N64" s="18" t="s">
        <v>154</v>
      </c>
      <c r="O64" s="17" t="s">
        <v>154</v>
      </c>
      <c r="P64" s="18" t="s">
        <v>154</v>
      </c>
      <c r="Q64" s="17" t="s">
        <v>154</v>
      </c>
      <c r="R64" s="18" t="s">
        <v>154</v>
      </c>
    </row>
    <row r="65" spans="1:18" x14ac:dyDescent="0.25">
      <c r="A65" s="11" t="s">
        <v>198</v>
      </c>
      <c r="B65" s="17" t="s">
        <v>154</v>
      </c>
      <c r="C65" s="17" t="s">
        <v>154</v>
      </c>
      <c r="D65" s="18" t="s">
        <v>154</v>
      </c>
      <c r="E65" s="17" t="s">
        <v>154</v>
      </c>
      <c r="F65" s="18" t="s">
        <v>154</v>
      </c>
      <c r="G65" s="17" t="s">
        <v>154</v>
      </c>
      <c r="H65" s="18" t="s">
        <v>154</v>
      </c>
      <c r="I65" s="17" t="s">
        <v>154</v>
      </c>
      <c r="J65" s="18" t="s">
        <v>154</v>
      </c>
      <c r="K65" s="17" t="s">
        <v>154</v>
      </c>
      <c r="L65" s="18" t="s">
        <v>154</v>
      </c>
      <c r="M65" s="17" t="s">
        <v>154</v>
      </c>
      <c r="N65" s="18" t="s">
        <v>154</v>
      </c>
      <c r="O65" s="17" t="s">
        <v>154</v>
      </c>
      <c r="P65" s="18" t="s">
        <v>154</v>
      </c>
      <c r="Q65" s="17" t="s">
        <v>154</v>
      </c>
      <c r="R65" s="18" t="s">
        <v>154</v>
      </c>
    </row>
    <row r="66" spans="1:18" x14ac:dyDescent="0.25">
      <c r="A66" s="11" t="s">
        <v>199</v>
      </c>
      <c r="B66" s="13">
        <v>5665</v>
      </c>
      <c r="C66" s="14">
        <f>(4694/B66*100)</f>
        <v>82.85966460723742</v>
      </c>
      <c r="D66" s="15">
        <v>971</v>
      </c>
      <c r="E66" s="14">
        <v>88.330347939999996</v>
      </c>
      <c r="F66" s="16">
        <v>1.0757052600000001</v>
      </c>
      <c r="G66" s="14">
        <v>11.669652060000001</v>
      </c>
      <c r="H66" s="16">
        <v>1.0757052600000001</v>
      </c>
      <c r="I66" s="14" t="s">
        <v>139</v>
      </c>
      <c r="J66" s="16" t="s">
        <v>139</v>
      </c>
      <c r="K66" s="14">
        <v>0</v>
      </c>
      <c r="L66" s="16">
        <v>0</v>
      </c>
      <c r="M66" s="14">
        <v>0</v>
      </c>
      <c r="N66" s="16">
        <v>0</v>
      </c>
      <c r="O66" s="14">
        <v>0</v>
      </c>
      <c r="P66" s="16">
        <v>0</v>
      </c>
      <c r="Q66" s="14">
        <v>0</v>
      </c>
      <c r="R66" s="16">
        <v>0</v>
      </c>
    </row>
    <row r="67" spans="1:18" x14ac:dyDescent="0.25">
      <c r="A67" s="11" t="s">
        <v>200</v>
      </c>
      <c r="B67" s="13">
        <v>6971</v>
      </c>
      <c r="C67" s="14">
        <f>(5816/B67*100)</f>
        <v>83.431358485152771</v>
      </c>
      <c r="D67" s="15">
        <v>1155</v>
      </c>
      <c r="E67" s="14">
        <v>81.078273409999994</v>
      </c>
      <c r="F67" s="16">
        <v>1.24483733</v>
      </c>
      <c r="G67" s="14">
        <v>18.921726589999999</v>
      </c>
      <c r="H67" s="16">
        <v>1.24483733</v>
      </c>
      <c r="I67" s="14" t="s">
        <v>139</v>
      </c>
      <c r="J67" s="16" t="s">
        <v>139</v>
      </c>
      <c r="K67" s="14">
        <v>0</v>
      </c>
      <c r="L67" s="16">
        <v>0</v>
      </c>
      <c r="M67" s="14">
        <v>0</v>
      </c>
      <c r="N67" s="16">
        <v>0</v>
      </c>
      <c r="O67" s="14">
        <v>0</v>
      </c>
      <c r="P67" s="16">
        <v>0</v>
      </c>
      <c r="Q67" s="14">
        <v>0</v>
      </c>
      <c r="R67" s="16">
        <v>0</v>
      </c>
    </row>
    <row r="68" spans="1:18" x14ac:dyDescent="0.25">
      <c r="A68" s="11" t="s">
        <v>201</v>
      </c>
      <c r="B68" s="17" t="s">
        <v>154</v>
      </c>
      <c r="C68" s="17" t="s">
        <v>154</v>
      </c>
      <c r="D68" s="18" t="s">
        <v>154</v>
      </c>
      <c r="E68" s="17" t="s">
        <v>154</v>
      </c>
      <c r="F68" s="18" t="s">
        <v>154</v>
      </c>
      <c r="G68" s="17" t="s">
        <v>154</v>
      </c>
      <c r="H68" s="18" t="s">
        <v>154</v>
      </c>
      <c r="I68" s="17" t="s">
        <v>154</v>
      </c>
      <c r="J68" s="18" t="s">
        <v>154</v>
      </c>
      <c r="K68" s="17" t="s">
        <v>154</v>
      </c>
      <c r="L68" s="18" t="s">
        <v>154</v>
      </c>
      <c r="M68" s="17" t="s">
        <v>154</v>
      </c>
      <c r="N68" s="18" t="s">
        <v>154</v>
      </c>
      <c r="O68" s="17" t="s">
        <v>154</v>
      </c>
      <c r="P68" s="18" t="s">
        <v>154</v>
      </c>
      <c r="Q68" s="17" t="s">
        <v>154</v>
      </c>
      <c r="R68" s="18" t="s">
        <v>154</v>
      </c>
    </row>
    <row r="69" spans="1:18" x14ac:dyDescent="0.25">
      <c r="A69" s="11" t="s">
        <v>202</v>
      </c>
      <c r="B69" s="17" t="s">
        <v>154</v>
      </c>
      <c r="C69" s="17" t="s">
        <v>154</v>
      </c>
      <c r="D69" s="18" t="s">
        <v>154</v>
      </c>
      <c r="E69" s="17" t="s">
        <v>154</v>
      </c>
      <c r="F69" s="18" t="s">
        <v>154</v>
      </c>
      <c r="G69" s="17" t="s">
        <v>154</v>
      </c>
      <c r="H69" s="18" t="s">
        <v>154</v>
      </c>
      <c r="I69" s="17" t="s">
        <v>154</v>
      </c>
      <c r="J69" s="18" t="s">
        <v>154</v>
      </c>
      <c r="K69" s="17" t="s">
        <v>154</v>
      </c>
      <c r="L69" s="18" t="s">
        <v>154</v>
      </c>
      <c r="M69" s="17" t="s">
        <v>154</v>
      </c>
      <c r="N69" s="18" t="s">
        <v>154</v>
      </c>
      <c r="O69" s="17" t="s">
        <v>154</v>
      </c>
      <c r="P69" s="18" t="s">
        <v>154</v>
      </c>
      <c r="Q69" s="17" t="s">
        <v>154</v>
      </c>
      <c r="R69" s="18" t="s">
        <v>154</v>
      </c>
    </row>
    <row r="70" spans="1:18" x14ac:dyDescent="0.25">
      <c r="A70" s="11" t="s">
        <v>203</v>
      </c>
      <c r="B70" s="13">
        <v>6036</v>
      </c>
      <c r="C70" s="14">
        <f>(4996/B70*100)</f>
        <v>82.770046388336652</v>
      </c>
      <c r="D70" s="15">
        <v>1040</v>
      </c>
      <c r="E70" s="14">
        <v>77.111024610000001</v>
      </c>
      <c r="F70" s="16">
        <v>1.6014627400000001</v>
      </c>
      <c r="G70" s="14">
        <v>22.888975389999999</v>
      </c>
      <c r="H70" s="16">
        <v>1.6014627400000001</v>
      </c>
      <c r="I70" s="14" t="s">
        <v>139</v>
      </c>
      <c r="J70" s="16" t="s">
        <v>139</v>
      </c>
      <c r="K70" s="14">
        <v>0</v>
      </c>
      <c r="L70" s="16">
        <v>0</v>
      </c>
      <c r="M70" s="14">
        <v>0</v>
      </c>
      <c r="N70" s="16">
        <v>0</v>
      </c>
      <c r="O70" s="14">
        <v>0</v>
      </c>
      <c r="P70" s="16">
        <v>0</v>
      </c>
      <c r="Q70" s="14">
        <v>0</v>
      </c>
      <c r="R70" s="16">
        <v>0</v>
      </c>
    </row>
    <row r="71" spans="1:18" x14ac:dyDescent="0.25">
      <c r="A71" s="11" t="s">
        <v>204</v>
      </c>
      <c r="B71" s="17" t="s">
        <v>154</v>
      </c>
      <c r="C71" s="17" t="s">
        <v>154</v>
      </c>
      <c r="D71" s="18" t="s">
        <v>154</v>
      </c>
      <c r="E71" s="17" t="s">
        <v>154</v>
      </c>
      <c r="F71" s="18" t="s">
        <v>154</v>
      </c>
      <c r="G71" s="17" t="s">
        <v>154</v>
      </c>
      <c r="H71" s="18" t="s">
        <v>154</v>
      </c>
      <c r="I71" s="17" t="s">
        <v>154</v>
      </c>
      <c r="J71" s="18" t="s">
        <v>154</v>
      </c>
      <c r="K71" s="17" t="s">
        <v>154</v>
      </c>
      <c r="L71" s="18" t="s">
        <v>154</v>
      </c>
      <c r="M71" s="17" t="s">
        <v>154</v>
      </c>
      <c r="N71" s="18" t="s">
        <v>154</v>
      </c>
      <c r="O71" s="17" t="s">
        <v>154</v>
      </c>
      <c r="P71" s="18" t="s">
        <v>154</v>
      </c>
      <c r="Q71" s="17" t="s">
        <v>154</v>
      </c>
      <c r="R71" s="18" t="s">
        <v>154</v>
      </c>
    </row>
    <row r="72" spans="1:18" x14ac:dyDescent="0.25">
      <c r="A72" s="11" t="s">
        <v>205</v>
      </c>
      <c r="B72" s="13">
        <v>7708</v>
      </c>
      <c r="C72" s="14">
        <f>(6389/B72*100)</f>
        <v>82.887908666320712</v>
      </c>
      <c r="D72" s="15">
        <v>1319</v>
      </c>
      <c r="E72" s="14">
        <v>65.302714140000006</v>
      </c>
      <c r="F72" s="16">
        <v>1.3248420700000001</v>
      </c>
      <c r="G72" s="14">
        <v>34.697285860000001</v>
      </c>
      <c r="H72" s="16">
        <v>1.3248420700000001</v>
      </c>
      <c r="I72" s="14" t="s">
        <v>139</v>
      </c>
      <c r="J72" s="16" t="s">
        <v>139</v>
      </c>
      <c r="K72" s="14">
        <v>0</v>
      </c>
      <c r="L72" s="16">
        <v>0</v>
      </c>
      <c r="M72" s="14">
        <v>0</v>
      </c>
      <c r="N72" s="16">
        <v>0</v>
      </c>
      <c r="O72" s="14">
        <v>0</v>
      </c>
      <c r="P72" s="16">
        <v>0</v>
      </c>
      <c r="Q72" s="14">
        <v>0</v>
      </c>
      <c r="R72" s="16">
        <v>0</v>
      </c>
    </row>
    <row r="73" spans="1:18" x14ac:dyDescent="0.25">
      <c r="A73" s="11" t="s">
        <v>206</v>
      </c>
      <c r="B73" s="13">
        <v>8249</v>
      </c>
      <c r="C73" s="14">
        <f>(6863/B73*100)</f>
        <v>83.197963389501766</v>
      </c>
      <c r="D73" s="15">
        <v>1386</v>
      </c>
      <c r="E73" s="14">
        <v>87.185360560000007</v>
      </c>
      <c r="F73" s="16">
        <v>1.1894076200000001</v>
      </c>
      <c r="G73" s="14">
        <v>12.814639440000001</v>
      </c>
      <c r="H73" s="16">
        <v>1.1894076200000001</v>
      </c>
      <c r="I73" s="14" t="s">
        <v>139</v>
      </c>
      <c r="J73" s="16" t="s">
        <v>139</v>
      </c>
      <c r="K73" s="14">
        <v>0</v>
      </c>
      <c r="L73" s="16">
        <v>0</v>
      </c>
      <c r="M73" s="14">
        <v>0</v>
      </c>
      <c r="N73" s="16">
        <v>0</v>
      </c>
      <c r="O73" s="14">
        <v>0</v>
      </c>
      <c r="P73" s="16">
        <v>0</v>
      </c>
      <c r="Q73" s="14">
        <v>0</v>
      </c>
      <c r="R73" s="16">
        <v>0</v>
      </c>
    </row>
    <row r="74" spans="1:18" x14ac:dyDescent="0.25">
      <c r="A74" s="11" t="s">
        <v>207</v>
      </c>
      <c r="B74" s="17" t="s">
        <v>154</v>
      </c>
      <c r="C74" s="17" t="s">
        <v>154</v>
      </c>
      <c r="D74" s="18" t="s">
        <v>154</v>
      </c>
      <c r="E74" s="17" t="s">
        <v>154</v>
      </c>
      <c r="F74" s="18" t="s">
        <v>154</v>
      </c>
      <c r="G74" s="17" t="s">
        <v>154</v>
      </c>
      <c r="H74" s="18" t="s">
        <v>154</v>
      </c>
      <c r="I74" s="17" t="s">
        <v>154</v>
      </c>
      <c r="J74" s="18" t="s">
        <v>154</v>
      </c>
      <c r="K74" s="17" t="s">
        <v>154</v>
      </c>
      <c r="L74" s="18" t="s">
        <v>154</v>
      </c>
      <c r="M74" s="17" t="s">
        <v>154</v>
      </c>
      <c r="N74" s="18" t="s">
        <v>154</v>
      </c>
      <c r="O74" s="17" t="s">
        <v>154</v>
      </c>
      <c r="P74" s="18" t="s">
        <v>154</v>
      </c>
      <c r="Q74" s="17" t="s">
        <v>154</v>
      </c>
      <c r="R74" s="18" t="s">
        <v>154</v>
      </c>
    </row>
    <row r="75" spans="1:18" x14ac:dyDescent="0.25">
      <c r="A75" s="11" t="s">
        <v>208</v>
      </c>
      <c r="B75" s="13">
        <v>5375</v>
      </c>
      <c r="C75" s="14">
        <f>(4484/B75*100)</f>
        <v>83.423255813953489</v>
      </c>
      <c r="D75" s="15">
        <v>891</v>
      </c>
      <c r="E75" s="14">
        <v>88.621029030000003</v>
      </c>
      <c r="F75" s="16">
        <v>1.1361550600000001</v>
      </c>
      <c r="G75" s="14">
        <v>11.378970969999999</v>
      </c>
      <c r="H75" s="16">
        <v>1.1361550600000001</v>
      </c>
      <c r="I75" s="14" t="s">
        <v>139</v>
      </c>
      <c r="J75" s="16" t="s">
        <v>139</v>
      </c>
      <c r="K75" s="14">
        <v>0</v>
      </c>
      <c r="L75" s="16">
        <v>0</v>
      </c>
      <c r="M75" s="14">
        <v>0</v>
      </c>
      <c r="N75" s="16">
        <v>0</v>
      </c>
      <c r="O75" s="14">
        <v>0</v>
      </c>
      <c r="P75" s="16">
        <v>0</v>
      </c>
      <c r="Q75" s="14">
        <v>0</v>
      </c>
      <c r="R75" s="16">
        <v>0</v>
      </c>
    </row>
    <row r="76" spans="1:18" x14ac:dyDescent="0.25">
      <c r="A76" s="11" t="s">
        <v>209</v>
      </c>
      <c r="B76" s="13">
        <v>14167</v>
      </c>
      <c r="C76" s="14">
        <f>(11779/B76*100)</f>
        <v>83.143926025270005</v>
      </c>
      <c r="D76" s="15">
        <v>2388</v>
      </c>
      <c r="E76" s="14">
        <v>82.865077189999994</v>
      </c>
      <c r="F76" s="16">
        <v>0.92172624999999997</v>
      </c>
      <c r="G76" s="14">
        <v>17.134922809999999</v>
      </c>
      <c r="H76" s="16">
        <v>0.92172624999999997</v>
      </c>
      <c r="I76" s="14" t="s">
        <v>139</v>
      </c>
      <c r="J76" s="16" t="s">
        <v>139</v>
      </c>
      <c r="K76" s="14">
        <v>0</v>
      </c>
      <c r="L76" s="16">
        <v>0</v>
      </c>
      <c r="M76" s="14">
        <v>0</v>
      </c>
      <c r="N76" s="16">
        <v>0</v>
      </c>
      <c r="O76" s="14">
        <v>0</v>
      </c>
      <c r="P76" s="16">
        <v>0</v>
      </c>
      <c r="Q76" s="14">
        <v>0</v>
      </c>
      <c r="R76" s="16">
        <v>0</v>
      </c>
    </row>
    <row r="77" spans="1:18" x14ac:dyDescent="0.25">
      <c r="A77" s="11" t="s">
        <v>210</v>
      </c>
      <c r="B77" s="13">
        <v>6062</v>
      </c>
      <c r="C77" s="14">
        <f>(4996/B77*100)</f>
        <v>82.415044539755854</v>
      </c>
      <c r="D77" s="15">
        <v>1066</v>
      </c>
      <c r="E77" s="14">
        <v>72.883377030000005</v>
      </c>
      <c r="F77" s="16">
        <v>1.3465925700000001</v>
      </c>
      <c r="G77" s="14">
        <v>27.116622970000002</v>
      </c>
      <c r="H77" s="16">
        <v>1.3465925700000001</v>
      </c>
      <c r="I77" s="14" t="s">
        <v>139</v>
      </c>
      <c r="J77" s="16" t="s">
        <v>139</v>
      </c>
      <c r="K77" s="14">
        <v>0</v>
      </c>
      <c r="L77" s="16">
        <v>0</v>
      </c>
      <c r="M77" s="14">
        <v>0</v>
      </c>
      <c r="N77" s="16">
        <v>0</v>
      </c>
      <c r="O77" s="14">
        <v>0</v>
      </c>
      <c r="P77" s="16">
        <v>0</v>
      </c>
      <c r="Q77" s="14">
        <v>0</v>
      </c>
      <c r="R77" s="16">
        <v>0</v>
      </c>
    </row>
    <row r="78" spans="1:18" x14ac:dyDescent="0.25">
      <c r="A78" s="11" t="s">
        <v>211</v>
      </c>
      <c r="B78" s="17" t="s">
        <v>154</v>
      </c>
      <c r="C78" s="17" t="s">
        <v>154</v>
      </c>
      <c r="D78" s="18" t="s">
        <v>154</v>
      </c>
      <c r="E78" s="17" t="s">
        <v>154</v>
      </c>
      <c r="F78" s="18" t="s">
        <v>154</v>
      </c>
      <c r="G78" s="17" t="s">
        <v>154</v>
      </c>
      <c r="H78" s="18" t="s">
        <v>154</v>
      </c>
      <c r="I78" s="17" t="s">
        <v>154</v>
      </c>
      <c r="J78" s="18" t="s">
        <v>154</v>
      </c>
      <c r="K78" s="17" t="s">
        <v>154</v>
      </c>
      <c r="L78" s="18" t="s">
        <v>154</v>
      </c>
      <c r="M78" s="17" t="s">
        <v>154</v>
      </c>
      <c r="N78" s="18" t="s">
        <v>154</v>
      </c>
      <c r="O78" s="17" t="s">
        <v>154</v>
      </c>
      <c r="P78" s="18" t="s">
        <v>154</v>
      </c>
      <c r="Q78" s="17" t="s">
        <v>154</v>
      </c>
      <c r="R78" s="18" t="s">
        <v>154</v>
      </c>
    </row>
    <row r="79" spans="1:18" ht="24.95" customHeight="1" x14ac:dyDescent="0.25">
      <c r="A79" s="11" t="s">
        <v>212</v>
      </c>
      <c r="B79" s="17" t="s">
        <v>154</v>
      </c>
      <c r="C79" s="17" t="s">
        <v>154</v>
      </c>
      <c r="D79" s="18" t="s">
        <v>154</v>
      </c>
      <c r="E79" s="17" t="s">
        <v>154</v>
      </c>
      <c r="F79" s="18" t="s">
        <v>154</v>
      </c>
      <c r="G79" s="17" t="s">
        <v>154</v>
      </c>
      <c r="H79" s="18" t="s">
        <v>154</v>
      </c>
      <c r="I79" s="17" t="s">
        <v>154</v>
      </c>
      <c r="J79" s="18" t="s">
        <v>154</v>
      </c>
      <c r="K79" s="17" t="s">
        <v>154</v>
      </c>
      <c r="L79" s="18" t="s">
        <v>154</v>
      </c>
      <c r="M79" s="17" t="s">
        <v>154</v>
      </c>
      <c r="N79" s="18" t="s">
        <v>154</v>
      </c>
      <c r="O79" s="17" t="s">
        <v>154</v>
      </c>
      <c r="P79" s="18" t="s">
        <v>154</v>
      </c>
      <c r="Q79" s="17" t="s">
        <v>154</v>
      </c>
      <c r="R79" s="18" t="s">
        <v>154</v>
      </c>
    </row>
    <row r="80" spans="1:18" x14ac:dyDescent="0.25">
      <c r="A80" s="11" t="s">
        <v>213</v>
      </c>
      <c r="B80" s="17" t="s">
        <v>154</v>
      </c>
      <c r="C80" s="17" t="s">
        <v>154</v>
      </c>
      <c r="D80" s="18" t="s">
        <v>154</v>
      </c>
      <c r="E80" s="17" t="s">
        <v>154</v>
      </c>
      <c r="F80" s="18" t="s">
        <v>154</v>
      </c>
      <c r="G80" s="17" t="s">
        <v>154</v>
      </c>
      <c r="H80" s="18" t="s">
        <v>154</v>
      </c>
      <c r="I80" s="17" t="s">
        <v>154</v>
      </c>
      <c r="J80" s="18" t="s">
        <v>154</v>
      </c>
      <c r="K80" s="17" t="s">
        <v>154</v>
      </c>
      <c r="L80" s="18" t="s">
        <v>154</v>
      </c>
      <c r="M80" s="17" t="s">
        <v>154</v>
      </c>
      <c r="N80" s="18" t="s">
        <v>154</v>
      </c>
      <c r="O80" s="17" t="s">
        <v>154</v>
      </c>
      <c r="P80" s="18" t="s">
        <v>154</v>
      </c>
      <c r="Q80" s="17" t="s">
        <v>154</v>
      </c>
      <c r="R80" s="18" t="s">
        <v>154</v>
      </c>
    </row>
    <row r="81" spans="1:18" x14ac:dyDescent="0.25">
      <c r="A81" s="19" t="s">
        <v>214</v>
      </c>
      <c r="B81" s="13">
        <v>8861</v>
      </c>
      <c r="C81" s="14">
        <f>(7310/B81*100)</f>
        <v>82.49633224241056</v>
      </c>
      <c r="D81" s="15">
        <v>1551</v>
      </c>
      <c r="E81" s="14">
        <v>86.563563680000001</v>
      </c>
      <c r="F81" s="16">
        <v>1.12661107</v>
      </c>
      <c r="G81" s="14">
        <v>13.43643632</v>
      </c>
      <c r="H81" s="16">
        <v>1.12661107</v>
      </c>
      <c r="I81" s="14" t="s">
        <v>139</v>
      </c>
      <c r="J81" s="16" t="s">
        <v>139</v>
      </c>
      <c r="K81" s="14">
        <v>0</v>
      </c>
      <c r="L81" s="16">
        <v>0</v>
      </c>
      <c r="M81" s="14">
        <v>0</v>
      </c>
      <c r="N81" s="16">
        <v>0</v>
      </c>
      <c r="O81" s="14">
        <v>0</v>
      </c>
      <c r="P81" s="16">
        <v>0</v>
      </c>
      <c r="Q81" s="14">
        <v>0</v>
      </c>
      <c r="R81" s="16">
        <v>0</v>
      </c>
    </row>
    <row r="82" spans="1:18" x14ac:dyDescent="0.25">
      <c r="A82" s="20"/>
      <c r="B82" s="20" t="s">
        <v>215</v>
      </c>
      <c r="C82" s="20" t="s">
        <v>215</v>
      </c>
      <c r="D82" s="20" t="s">
        <v>215</v>
      </c>
      <c r="E82" s="20" t="s">
        <v>215</v>
      </c>
      <c r="F82" s="20" t="s">
        <v>215</v>
      </c>
      <c r="G82" s="20" t="s">
        <v>215</v>
      </c>
      <c r="H82" s="20" t="s">
        <v>215</v>
      </c>
      <c r="I82" s="20" t="s">
        <v>215</v>
      </c>
      <c r="J82" s="20" t="s">
        <v>215</v>
      </c>
      <c r="K82" s="20" t="s">
        <v>215</v>
      </c>
      <c r="L82" s="20" t="s">
        <v>215</v>
      </c>
      <c r="M82" s="20" t="s">
        <v>215</v>
      </c>
      <c r="N82" s="20" t="s">
        <v>215</v>
      </c>
      <c r="O82" s="20" t="s">
        <v>215</v>
      </c>
      <c r="P82" s="20" t="s">
        <v>215</v>
      </c>
      <c r="Q82" s="20" t="s">
        <v>215</v>
      </c>
      <c r="R82" s="20" t="s">
        <v>215</v>
      </c>
    </row>
    <row r="83" spans="1:18" x14ac:dyDescent="0.25">
      <c r="A83" s="3" t="s">
        <v>216</v>
      </c>
    </row>
    <row r="84" spans="1:18" x14ac:dyDescent="0.25">
      <c r="A84" s="22" t="s">
        <v>217</v>
      </c>
      <c r="B84" s="23"/>
      <c r="C84" s="23"/>
      <c r="D84" s="23"/>
      <c r="E84" s="23"/>
      <c r="F84" s="23"/>
      <c r="G84" s="23"/>
      <c r="H84" s="23"/>
      <c r="I84" s="23"/>
      <c r="J84" s="23"/>
      <c r="K84" s="23"/>
      <c r="L84" s="23"/>
      <c r="M84" s="23"/>
      <c r="N84" s="23"/>
      <c r="O84" s="23"/>
      <c r="P84" s="23"/>
      <c r="Q84" s="23"/>
      <c r="R84" s="23"/>
    </row>
    <row r="85" spans="1:18" x14ac:dyDescent="0.25">
      <c r="A85" s="22" t="s">
        <v>218</v>
      </c>
      <c r="B85" s="23"/>
      <c r="C85" s="23"/>
      <c r="D85" s="23"/>
      <c r="E85" s="23"/>
      <c r="F85" s="23"/>
      <c r="G85" s="23"/>
      <c r="H85" s="23"/>
      <c r="I85" s="23"/>
      <c r="J85" s="23"/>
      <c r="K85" s="23"/>
      <c r="L85" s="23"/>
      <c r="M85" s="23"/>
      <c r="N85" s="23"/>
      <c r="O85" s="23"/>
      <c r="P85" s="23"/>
      <c r="Q85" s="23"/>
      <c r="R85" s="23"/>
    </row>
    <row r="86" spans="1:18" ht="30" customHeight="1" x14ac:dyDescent="0.25">
      <c r="A86" s="22" t="s">
        <v>219</v>
      </c>
      <c r="B86" s="23"/>
      <c r="C86" s="23"/>
      <c r="D86" s="23"/>
      <c r="E86" s="23"/>
      <c r="F86" s="23"/>
      <c r="G86" s="23"/>
      <c r="H86" s="23"/>
      <c r="I86" s="23"/>
      <c r="J86" s="23"/>
      <c r="K86" s="23"/>
      <c r="L86" s="23"/>
      <c r="M86" s="23"/>
      <c r="N86" s="23"/>
      <c r="O86" s="23"/>
      <c r="P86" s="23"/>
      <c r="Q86" s="23"/>
      <c r="R86" s="23"/>
    </row>
    <row r="87" spans="1:18" ht="30" customHeight="1" x14ac:dyDescent="0.25">
      <c r="A87" s="22" t="s">
        <v>215</v>
      </c>
      <c r="B87" s="23"/>
      <c r="C87" s="23"/>
      <c r="D87" s="23"/>
      <c r="E87" s="23"/>
      <c r="F87" s="23"/>
      <c r="G87" s="23"/>
      <c r="H87" s="23"/>
      <c r="I87" s="23"/>
      <c r="J87" s="23"/>
      <c r="K87" s="23"/>
      <c r="L87" s="23"/>
      <c r="M87" s="23"/>
      <c r="N87" s="23"/>
      <c r="O87" s="23"/>
      <c r="P87" s="23"/>
      <c r="Q87" s="23"/>
      <c r="R87" s="23"/>
    </row>
    <row r="88" spans="1:18" ht="30" customHeight="1" x14ac:dyDescent="0.25">
      <c r="A88" s="22" t="s">
        <v>220</v>
      </c>
      <c r="B88" s="23"/>
      <c r="C88" s="23"/>
      <c r="D88" s="23"/>
      <c r="E88" s="23"/>
      <c r="F88" s="23"/>
      <c r="G88" s="23"/>
      <c r="H88" s="23"/>
      <c r="I88" s="23"/>
      <c r="J88" s="23"/>
      <c r="K88" s="23"/>
      <c r="L88" s="23"/>
      <c r="M88" s="23"/>
      <c r="N88" s="23"/>
      <c r="O88" s="23"/>
      <c r="P88" s="23"/>
      <c r="Q88" s="23"/>
      <c r="R88" s="23"/>
    </row>
    <row r="89" spans="1:18" ht="30" customHeight="1" x14ac:dyDescent="0.25">
      <c r="A89" s="22" t="s">
        <v>221</v>
      </c>
      <c r="B89" s="23"/>
      <c r="C89" s="23"/>
      <c r="D89" s="23"/>
      <c r="E89" s="23"/>
      <c r="F89" s="23"/>
      <c r="G89" s="23"/>
      <c r="H89" s="23"/>
      <c r="I89" s="23"/>
      <c r="J89" s="23"/>
      <c r="K89" s="23"/>
      <c r="L89" s="23"/>
      <c r="M89" s="23"/>
      <c r="N89" s="23"/>
      <c r="O89" s="23"/>
      <c r="P89" s="23"/>
      <c r="Q89" s="23"/>
      <c r="R89" s="23"/>
    </row>
    <row r="90" spans="1:18" ht="30" customHeight="1" x14ac:dyDescent="0.25">
      <c r="A90" s="22" t="s">
        <v>222</v>
      </c>
      <c r="B90" s="23"/>
      <c r="C90" s="23"/>
      <c r="D90" s="23"/>
      <c r="E90" s="23"/>
      <c r="F90" s="23"/>
      <c r="G90" s="23"/>
      <c r="H90" s="23"/>
      <c r="I90" s="23"/>
      <c r="J90" s="23"/>
      <c r="K90" s="23"/>
      <c r="L90" s="23"/>
      <c r="M90" s="23"/>
      <c r="N90" s="23"/>
      <c r="O90" s="23"/>
      <c r="P90" s="23"/>
      <c r="Q90" s="23"/>
      <c r="R90" s="23"/>
    </row>
    <row r="91" spans="1:18" ht="30" customHeight="1" x14ac:dyDescent="0.25">
      <c r="A91" s="22" t="s">
        <v>223</v>
      </c>
      <c r="B91" s="23"/>
      <c r="C91" s="23"/>
      <c r="D91" s="23"/>
      <c r="E91" s="23"/>
      <c r="F91" s="23"/>
      <c r="G91" s="23"/>
      <c r="H91" s="23"/>
      <c r="I91" s="23"/>
      <c r="J91" s="23"/>
      <c r="K91" s="23"/>
      <c r="L91" s="23"/>
      <c r="M91" s="23"/>
      <c r="N91" s="23"/>
      <c r="O91" s="23"/>
      <c r="P91" s="23"/>
      <c r="Q91" s="23"/>
      <c r="R91" s="23"/>
    </row>
    <row r="92" spans="1:18" ht="30" customHeight="1" x14ac:dyDescent="0.25">
      <c r="A92" s="22" t="s">
        <v>224</v>
      </c>
      <c r="B92" s="23"/>
      <c r="C92" s="23"/>
      <c r="D92" s="23"/>
      <c r="E92" s="23"/>
      <c r="F92" s="23"/>
      <c r="G92" s="23"/>
      <c r="H92" s="23"/>
      <c r="I92" s="23"/>
      <c r="J92" s="23"/>
      <c r="K92" s="23"/>
      <c r="L92" s="23"/>
      <c r="M92" s="23"/>
      <c r="N92" s="23"/>
      <c r="O92" s="23"/>
      <c r="P92" s="23"/>
      <c r="Q92" s="23"/>
      <c r="R92" s="23"/>
    </row>
    <row r="93" spans="1:18" ht="30" customHeight="1" x14ac:dyDescent="0.25">
      <c r="A93" s="22" t="s">
        <v>225</v>
      </c>
      <c r="B93" s="23"/>
      <c r="C93" s="23"/>
      <c r="D93" s="23"/>
      <c r="E93" s="23"/>
      <c r="F93" s="23"/>
      <c r="G93" s="23"/>
      <c r="H93" s="23"/>
      <c r="I93" s="23"/>
      <c r="J93" s="23"/>
      <c r="K93" s="23"/>
      <c r="L93" s="23"/>
      <c r="M93" s="23"/>
      <c r="N93" s="23"/>
      <c r="O93" s="23"/>
      <c r="P93" s="23"/>
      <c r="Q93" s="23"/>
      <c r="R93" s="23"/>
    </row>
    <row r="94" spans="1:18" ht="30" customHeight="1" x14ac:dyDescent="0.25">
      <c r="A94" s="22" t="s">
        <v>226</v>
      </c>
      <c r="B94" s="23"/>
      <c r="C94" s="23"/>
      <c r="D94" s="23"/>
      <c r="E94" s="23"/>
      <c r="F94" s="23"/>
      <c r="G94" s="23"/>
      <c r="H94" s="23"/>
      <c r="I94" s="23"/>
      <c r="J94" s="23"/>
      <c r="K94" s="23"/>
      <c r="L94" s="23"/>
      <c r="M94" s="23"/>
      <c r="N94" s="23"/>
      <c r="O94" s="23"/>
      <c r="P94" s="23"/>
      <c r="Q94" s="23"/>
      <c r="R94" s="23"/>
    </row>
    <row r="95" spans="1:18" ht="30" customHeight="1" x14ac:dyDescent="0.25">
      <c r="A95" s="22" t="s">
        <v>227</v>
      </c>
      <c r="B95" s="23"/>
      <c r="C95" s="23"/>
      <c r="D95" s="23"/>
      <c r="E95" s="23"/>
      <c r="F95" s="23"/>
      <c r="G95" s="23"/>
      <c r="H95" s="23"/>
      <c r="I95" s="23"/>
      <c r="J95" s="23"/>
      <c r="K95" s="23"/>
      <c r="L95" s="23"/>
      <c r="M95" s="23"/>
      <c r="N95" s="23"/>
      <c r="O95" s="23"/>
      <c r="P95" s="23"/>
      <c r="Q95" s="23"/>
      <c r="R95" s="23"/>
    </row>
    <row r="96" spans="1:18" ht="30" customHeight="1" x14ac:dyDescent="0.25">
      <c r="A96" s="22" t="s">
        <v>228</v>
      </c>
      <c r="B96" s="23"/>
      <c r="C96" s="23"/>
      <c r="D96" s="23"/>
      <c r="E96" s="23"/>
      <c r="F96" s="23"/>
      <c r="G96" s="23"/>
      <c r="H96" s="23"/>
      <c r="I96" s="23"/>
      <c r="J96" s="23"/>
      <c r="K96" s="23"/>
      <c r="L96" s="23"/>
      <c r="M96" s="23"/>
      <c r="N96" s="23"/>
      <c r="O96" s="23"/>
      <c r="P96" s="23"/>
      <c r="Q96" s="23"/>
      <c r="R96" s="23"/>
    </row>
  </sheetData>
  <mergeCells count="22">
    <mergeCell ref="O4:P4"/>
    <mergeCell ref="Q4:R4"/>
    <mergeCell ref="A1:R1"/>
    <mergeCell ref="A2:R2"/>
    <mergeCell ref="A84:R84"/>
    <mergeCell ref="E4:F4"/>
    <mergeCell ref="G4:H4"/>
    <mergeCell ref="I4:J4"/>
    <mergeCell ref="K4:L4"/>
    <mergeCell ref="M4:N4"/>
    <mergeCell ref="A85:R85"/>
    <mergeCell ref="A86:R86"/>
    <mergeCell ref="A87:R87"/>
    <mergeCell ref="A88:R88"/>
    <mergeCell ref="A89:R89"/>
    <mergeCell ref="A95:R95"/>
    <mergeCell ref="A96:R96"/>
    <mergeCell ref="A90:R90"/>
    <mergeCell ref="A91:R91"/>
    <mergeCell ref="A92:R92"/>
    <mergeCell ref="A93:R93"/>
    <mergeCell ref="A94:R94"/>
  </mergeCells>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R96"/>
  <sheetViews>
    <sheetView zoomScale="80" workbookViewId="0">
      <pane xSplit="4" topLeftCell="E1" activePane="topRight" state="frozen"/>
      <selection sqref="A1:R1"/>
      <selection pane="topRight" sqref="A1:R1"/>
    </sheetView>
  </sheetViews>
  <sheetFormatPr defaultColWidth="11.42578125" defaultRowHeight="15" x14ac:dyDescent="0.25"/>
  <cols>
    <col min="1" max="1" width="50" customWidth="1"/>
  </cols>
  <sheetData>
    <row r="1" spans="1:18" x14ac:dyDescent="0.25">
      <c r="A1" s="26" t="s">
        <v>122</v>
      </c>
      <c r="B1" s="23"/>
      <c r="C1" s="23"/>
      <c r="D1" s="23"/>
      <c r="E1" s="23"/>
      <c r="F1" s="23"/>
      <c r="G1" s="23"/>
      <c r="H1" s="23"/>
      <c r="I1" s="23"/>
      <c r="J1" s="23"/>
      <c r="K1" s="23"/>
      <c r="L1" s="23"/>
      <c r="M1" s="23"/>
      <c r="N1" s="23"/>
      <c r="O1" s="23"/>
      <c r="P1" s="23"/>
      <c r="Q1" s="23"/>
      <c r="R1" s="23"/>
    </row>
    <row r="2" spans="1:18" x14ac:dyDescent="0.25">
      <c r="A2" s="27" t="s">
        <v>245</v>
      </c>
      <c r="B2" s="23"/>
      <c r="C2" s="23"/>
      <c r="D2" s="23"/>
      <c r="E2" s="23"/>
      <c r="F2" s="23"/>
      <c r="G2" s="23"/>
      <c r="H2" s="23"/>
      <c r="I2" s="23"/>
      <c r="J2" s="23"/>
      <c r="K2" s="23"/>
      <c r="L2" s="23"/>
      <c r="M2" s="23"/>
      <c r="N2" s="23"/>
      <c r="O2" s="23"/>
      <c r="P2" s="23"/>
      <c r="Q2" s="23"/>
      <c r="R2" s="23"/>
    </row>
    <row r="4" spans="1:18" ht="30" customHeight="1" x14ac:dyDescent="0.25">
      <c r="A4" s="4"/>
      <c r="B4" s="5" t="s">
        <v>123</v>
      </c>
      <c r="C4" s="5" t="s">
        <v>124</v>
      </c>
      <c r="D4" s="6" t="s">
        <v>123</v>
      </c>
      <c r="E4" s="24" t="s">
        <v>125</v>
      </c>
      <c r="F4" s="25"/>
      <c r="G4" s="24" t="s">
        <v>126</v>
      </c>
      <c r="H4" s="25"/>
      <c r="I4" s="24" t="s">
        <v>127</v>
      </c>
      <c r="J4" s="25"/>
      <c r="K4" s="24" t="s">
        <v>128</v>
      </c>
      <c r="L4" s="25"/>
      <c r="M4" s="24" t="s">
        <v>129</v>
      </c>
      <c r="N4" s="25"/>
      <c r="O4" s="24" t="s">
        <v>130</v>
      </c>
      <c r="P4" s="25"/>
      <c r="Q4" s="24" t="s">
        <v>131</v>
      </c>
      <c r="R4" s="25"/>
    </row>
    <row r="5" spans="1:18" x14ac:dyDescent="0.25">
      <c r="A5" s="7"/>
      <c r="B5" s="8" t="s">
        <v>132</v>
      </c>
      <c r="C5" s="8" t="s">
        <v>133</v>
      </c>
      <c r="D5" s="7" t="s">
        <v>134</v>
      </c>
      <c r="E5" s="8" t="s">
        <v>135</v>
      </c>
      <c r="F5" s="7" t="s">
        <v>136</v>
      </c>
      <c r="G5" s="8" t="s">
        <v>135</v>
      </c>
      <c r="H5" s="7" t="s">
        <v>136</v>
      </c>
      <c r="I5" s="8" t="s">
        <v>135</v>
      </c>
      <c r="J5" s="7" t="s">
        <v>136</v>
      </c>
      <c r="K5" s="8" t="s">
        <v>135</v>
      </c>
      <c r="L5" s="7" t="s">
        <v>136</v>
      </c>
      <c r="M5" s="8" t="s">
        <v>135</v>
      </c>
      <c r="N5" s="7" t="s">
        <v>136</v>
      </c>
      <c r="O5" s="8" t="s">
        <v>135</v>
      </c>
      <c r="P5" s="7" t="s">
        <v>136</v>
      </c>
      <c r="Q5" s="8" t="s">
        <v>135</v>
      </c>
      <c r="R5" s="7" t="s">
        <v>136</v>
      </c>
    </row>
    <row r="6" spans="1:18" x14ac:dyDescent="0.25">
      <c r="A6" s="9" t="s">
        <v>137</v>
      </c>
      <c r="B6" s="10"/>
      <c r="C6" s="10"/>
      <c r="D6" s="11"/>
      <c r="E6" s="10"/>
      <c r="F6" s="11"/>
      <c r="G6" s="10"/>
      <c r="H6" s="11"/>
      <c r="I6" s="10"/>
      <c r="J6" s="11"/>
      <c r="K6" s="10"/>
      <c r="L6" s="11"/>
      <c r="M6" s="10"/>
      <c r="N6" s="11"/>
      <c r="O6" s="10"/>
      <c r="P6" s="11"/>
      <c r="Q6" s="10"/>
      <c r="R6" s="12"/>
    </row>
    <row r="7" spans="1:18" x14ac:dyDescent="0.25">
      <c r="A7" s="11" t="s">
        <v>138</v>
      </c>
      <c r="B7" s="13">
        <v>14530</v>
      </c>
      <c r="C7" s="14">
        <f>(12068/B7*100)</f>
        <v>83.055746730901575</v>
      </c>
      <c r="D7" s="15">
        <v>2462</v>
      </c>
      <c r="E7" s="14">
        <v>14.26248917</v>
      </c>
      <c r="F7" s="16">
        <v>0.77575632999999999</v>
      </c>
      <c r="G7" s="14">
        <v>85.737510830000005</v>
      </c>
      <c r="H7" s="16">
        <v>0.77575632999999999</v>
      </c>
      <c r="I7" s="14" t="s">
        <v>139</v>
      </c>
      <c r="J7" s="16" t="s">
        <v>139</v>
      </c>
      <c r="K7" s="14">
        <v>0</v>
      </c>
      <c r="L7" s="16">
        <v>0</v>
      </c>
      <c r="M7" s="14">
        <v>0</v>
      </c>
      <c r="N7" s="16">
        <v>0</v>
      </c>
      <c r="O7" s="14">
        <v>0</v>
      </c>
      <c r="P7" s="16">
        <v>0</v>
      </c>
      <c r="Q7" s="14">
        <v>0</v>
      </c>
      <c r="R7" s="16">
        <v>0</v>
      </c>
    </row>
    <row r="8" spans="1:18" x14ac:dyDescent="0.25">
      <c r="A8" s="11" t="s">
        <v>140</v>
      </c>
      <c r="B8" s="13">
        <v>7007</v>
      </c>
      <c r="C8" s="14">
        <f>(5791/B8*100)</f>
        <v>82.645925503068369</v>
      </c>
      <c r="D8" s="15">
        <v>1216</v>
      </c>
      <c r="E8" s="14">
        <v>18.510048829999999</v>
      </c>
      <c r="F8" s="16">
        <v>1.3391994599999999</v>
      </c>
      <c r="G8" s="14">
        <v>81.489951169999998</v>
      </c>
      <c r="H8" s="16">
        <v>1.3391994599999999</v>
      </c>
      <c r="I8" s="14" t="s">
        <v>139</v>
      </c>
      <c r="J8" s="16" t="s">
        <v>139</v>
      </c>
      <c r="K8" s="14">
        <v>0</v>
      </c>
      <c r="L8" s="16">
        <v>0</v>
      </c>
      <c r="M8" s="14">
        <v>0</v>
      </c>
      <c r="N8" s="16">
        <v>0</v>
      </c>
      <c r="O8" s="14">
        <v>0</v>
      </c>
      <c r="P8" s="16">
        <v>0</v>
      </c>
      <c r="Q8" s="14">
        <v>0</v>
      </c>
      <c r="R8" s="16">
        <v>0</v>
      </c>
    </row>
    <row r="9" spans="1:18" x14ac:dyDescent="0.25">
      <c r="A9" s="11" t="s">
        <v>141</v>
      </c>
      <c r="B9" s="13">
        <v>9651</v>
      </c>
      <c r="C9" s="14">
        <f>(8036/B9*100)</f>
        <v>83.265982799709874</v>
      </c>
      <c r="D9" s="15">
        <v>1615</v>
      </c>
      <c r="E9" s="14">
        <v>19.292339309999999</v>
      </c>
      <c r="F9" s="16">
        <v>1.0884950600000001</v>
      </c>
      <c r="G9" s="14">
        <v>80.707660689999997</v>
      </c>
      <c r="H9" s="16">
        <v>1.0884950600000001</v>
      </c>
      <c r="I9" s="14" t="s">
        <v>139</v>
      </c>
      <c r="J9" s="16" t="s">
        <v>139</v>
      </c>
      <c r="K9" s="14">
        <v>0</v>
      </c>
      <c r="L9" s="16">
        <v>0</v>
      </c>
      <c r="M9" s="14">
        <v>0</v>
      </c>
      <c r="N9" s="16">
        <v>0</v>
      </c>
      <c r="O9" s="14">
        <v>0</v>
      </c>
      <c r="P9" s="16">
        <v>0</v>
      </c>
      <c r="Q9" s="14">
        <v>0</v>
      </c>
      <c r="R9" s="16">
        <v>0</v>
      </c>
    </row>
    <row r="10" spans="1:18" x14ac:dyDescent="0.25">
      <c r="A10" s="11" t="s">
        <v>142</v>
      </c>
      <c r="B10" s="13">
        <v>20058</v>
      </c>
      <c r="C10" s="14">
        <f>(16593/B10*100)</f>
        <v>82.725097218067603</v>
      </c>
      <c r="D10" s="15">
        <v>3465</v>
      </c>
      <c r="E10" s="14">
        <v>16.19472974</v>
      </c>
      <c r="F10" s="16">
        <v>0.88742525999999999</v>
      </c>
      <c r="G10" s="14">
        <v>83.80527026</v>
      </c>
      <c r="H10" s="16">
        <v>0.88742525999999999</v>
      </c>
      <c r="I10" s="14" t="s">
        <v>139</v>
      </c>
      <c r="J10" s="16" t="s">
        <v>139</v>
      </c>
      <c r="K10" s="14">
        <v>0</v>
      </c>
      <c r="L10" s="16">
        <v>0</v>
      </c>
      <c r="M10" s="14">
        <v>0</v>
      </c>
      <c r="N10" s="16">
        <v>0</v>
      </c>
      <c r="O10" s="14">
        <v>0</v>
      </c>
      <c r="P10" s="16">
        <v>0</v>
      </c>
      <c r="Q10" s="14">
        <v>0</v>
      </c>
      <c r="R10" s="16">
        <v>0</v>
      </c>
    </row>
    <row r="11" spans="1:18" x14ac:dyDescent="0.25">
      <c r="A11" s="11" t="s">
        <v>143</v>
      </c>
      <c r="B11" s="13">
        <v>7053</v>
      </c>
      <c r="C11" s="14">
        <f>(5831/B11*100)</f>
        <v>82.674039415851411</v>
      </c>
      <c r="D11" s="15">
        <v>1222</v>
      </c>
      <c r="E11" s="14">
        <v>24.490774439999999</v>
      </c>
      <c r="F11" s="16">
        <v>1.5363199000000001</v>
      </c>
      <c r="G11" s="14">
        <v>75.509225560000004</v>
      </c>
      <c r="H11" s="16">
        <v>1.5363199000000001</v>
      </c>
      <c r="I11" s="14" t="s">
        <v>139</v>
      </c>
      <c r="J11" s="16" t="s">
        <v>139</v>
      </c>
      <c r="K11" s="14">
        <v>0</v>
      </c>
      <c r="L11" s="16">
        <v>0</v>
      </c>
      <c r="M11" s="14">
        <v>0</v>
      </c>
      <c r="N11" s="16">
        <v>0</v>
      </c>
      <c r="O11" s="14">
        <v>0</v>
      </c>
      <c r="P11" s="16">
        <v>0</v>
      </c>
      <c r="Q11" s="14">
        <v>0</v>
      </c>
      <c r="R11" s="16">
        <v>0</v>
      </c>
    </row>
    <row r="12" spans="1:18" x14ac:dyDescent="0.25">
      <c r="A12" s="11" t="s">
        <v>144</v>
      </c>
      <c r="B12" s="13">
        <v>6894</v>
      </c>
      <c r="C12" s="14">
        <f>(5714/B12*100)</f>
        <v>82.883666956774007</v>
      </c>
      <c r="D12" s="15">
        <v>1180</v>
      </c>
      <c r="E12" s="14">
        <v>16.25368804</v>
      </c>
      <c r="F12" s="16">
        <v>1.05086674</v>
      </c>
      <c r="G12" s="14">
        <v>83.74631196</v>
      </c>
      <c r="H12" s="16">
        <v>1.05086674</v>
      </c>
      <c r="I12" s="14" t="s">
        <v>139</v>
      </c>
      <c r="J12" s="16" t="s">
        <v>139</v>
      </c>
      <c r="K12" s="14">
        <v>0</v>
      </c>
      <c r="L12" s="16">
        <v>0</v>
      </c>
      <c r="M12" s="14">
        <v>0</v>
      </c>
      <c r="N12" s="16">
        <v>0</v>
      </c>
      <c r="O12" s="14">
        <v>0</v>
      </c>
      <c r="P12" s="16">
        <v>0</v>
      </c>
      <c r="Q12" s="14">
        <v>0</v>
      </c>
      <c r="R12" s="16">
        <v>0</v>
      </c>
    </row>
    <row r="13" spans="1:18" x14ac:dyDescent="0.25">
      <c r="A13" s="11" t="s">
        <v>145</v>
      </c>
      <c r="B13" s="13">
        <v>7161</v>
      </c>
      <c r="C13" s="14">
        <f>(5991/B13*100)</f>
        <v>83.661499790532048</v>
      </c>
      <c r="D13" s="15">
        <v>1170</v>
      </c>
      <c r="E13" s="14">
        <v>15.78242831</v>
      </c>
      <c r="F13" s="16">
        <v>1.25679911</v>
      </c>
      <c r="G13" s="14">
        <v>84.21757169</v>
      </c>
      <c r="H13" s="16">
        <v>1.25679911</v>
      </c>
      <c r="I13" s="14" t="s">
        <v>139</v>
      </c>
      <c r="J13" s="16" t="s">
        <v>139</v>
      </c>
      <c r="K13" s="14">
        <v>0</v>
      </c>
      <c r="L13" s="16">
        <v>0</v>
      </c>
      <c r="M13" s="14">
        <v>0</v>
      </c>
      <c r="N13" s="16">
        <v>0</v>
      </c>
      <c r="O13" s="14">
        <v>0</v>
      </c>
      <c r="P13" s="16">
        <v>0</v>
      </c>
      <c r="Q13" s="14">
        <v>0</v>
      </c>
      <c r="R13" s="16">
        <v>0</v>
      </c>
    </row>
    <row r="14" spans="1:18" x14ac:dyDescent="0.25">
      <c r="A14" s="11" t="s">
        <v>146</v>
      </c>
      <c r="B14" s="13">
        <v>5587</v>
      </c>
      <c r="C14" s="14">
        <f>(4628/B14*100)</f>
        <v>82.835153033828533</v>
      </c>
      <c r="D14" s="15">
        <v>959</v>
      </c>
      <c r="E14" s="14">
        <v>14.364848719999999</v>
      </c>
      <c r="F14" s="16">
        <v>1.1893464600000001</v>
      </c>
      <c r="G14" s="14">
        <v>85.635151280000002</v>
      </c>
      <c r="H14" s="16">
        <v>1.1893464600000001</v>
      </c>
      <c r="I14" s="14" t="s">
        <v>139</v>
      </c>
      <c r="J14" s="16" t="s">
        <v>139</v>
      </c>
      <c r="K14" s="14">
        <v>0</v>
      </c>
      <c r="L14" s="16">
        <v>0</v>
      </c>
      <c r="M14" s="14">
        <v>0</v>
      </c>
      <c r="N14" s="16">
        <v>0</v>
      </c>
      <c r="O14" s="14">
        <v>0</v>
      </c>
      <c r="P14" s="16">
        <v>0</v>
      </c>
      <c r="Q14" s="14">
        <v>0</v>
      </c>
      <c r="R14" s="16">
        <v>0</v>
      </c>
    </row>
    <row r="15" spans="1:18" x14ac:dyDescent="0.25">
      <c r="A15" s="11" t="s">
        <v>147</v>
      </c>
      <c r="B15" s="13">
        <v>5882</v>
      </c>
      <c r="C15" s="14">
        <f>(4902/B15*100)</f>
        <v>83.339000340020391</v>
      </c>
      <c r="D15" s="15">
        <v>980</v>
      </c>
      <c r="E15" s="14">
        <v>13.71884665</v>
      </c>
      <c r="F15" s="16">
        <v>1.06013655</v>
      </c>
      <c r="G15" s="14">
        <v>86.281153349999997</v>
      </c>
      <c r="H15" s="16">
        <v>1.06013655</v>
      </c>
      <c r="I15" s="14" t="s">
        <v>139</v>
      </c>
      <c r="J15" s="16" t="s">
        <v>139</v>
      </c>
      <c r="K15" s="14">
        <v>0</v>
      </c>
      <c r="L15" s="16">
        <v>0</v>
      </c>
      <c r="M15" s="14">
        <v>0</v>
      </c>
      <c r="N15" s="16">
        <v>0</v>
      </c>
      <c r="O15" s="14">
        <v>0</v>
      </c>
      <c r="P15" s="16">
        <v>0</v>
      </c>
      <c r="Q15" s="14">
        <v>0</v>
      </c>
      <c r="R15" s="16">
        <v>0</v>
      </c>
    </row>
    <row r="16" spans="1:18" x14ac:dyDescent="0.25">
      <c r="A16" s="11" t="s">
        <v>148</v>
      </c>
      <c r="B16" s="13">
        <v>6108</v>
      </c>
      <c r="C16" s="14">
        <f>(5049/B16*100)</f>
        <v>82.662082514734763</v>
      </c>
      <c r="D16" s="15">
        <v>1059</v>
      </c>
      <c r="E16" s="14">
        <v>19.233045409999999</v>
      </c>
      <c r="F16" s="16">
        <v>1.36050966</v>
      </c>
      <c r="G16" s="14">
        <v>80.766954589999997</v>
      </c>
      <c r="H16" s="16">
        <v>1.36050966</v>
      </c>
      <c r="I16" s="14" t="s">
        <v>139</v>
      </c>
      <c r="J16" s="16" t="s">
        <v>139</v>
      </c>
      <c r="K16" s="14">
        <v>0</v>
      </c>
      <c r="L16" s="16">
        <v>0</v>
      </c>
      <c r="M16" s="14">
        <v>0</v>
      </c>
      <c r="N16" s="16">
        <v>0</v>
      </c>
      <c r="O16" s="14">
        <v>0</v>
      </c>
      <c r="P16" s="16">
        <v>0</v>
      </c>
      <c r="Q16" s="14">
        <v>0</v>
      </c>
      <c r="R16" s="16">
        <v>0</v>
      </c>
    </row>
    <row r="17" spans="1:18" x14ac:dyDescent="0.25">
      <c r="A17" s="11" t="s">
        <v>149</v>
      </c>
      <c r="B17" s="13">
        <v>6504</v>
      </c>
      <c r="C17" s="14">
        <f>(5406/B17*100)</f>
        <v>83.118081180811814</v>
      </c>
      <c r="D17" s="15">
        <v>1098</v>
      </c>
      <c r="E17" s="14">
        <v>15.76537012</v>
      </c>
      <c r="F17" s="16">
        <v>0.95015450000000001</v>
      </c>
      <c r="G17" s="14">
        <v>84.23462988</v>
      </c>
      <c r="H17" s="16">
        <v>0.95015450000000001</v>
      </c>
      <c r="I17" s="14" t="s">
        <v>139</v>
      </c>
      <c r="J17" s="16" t="s">
        <v>139</v>
      </c>
      <c r="K17" s="14">
        <v>0</v>
      </c>
      <c r="L17" s="16">
        <v>0</v>
      </c>
      <c r="M17" s="14">
        <v>0</v>
      </c>
      <c r="N17" s="16">
        <v>0</v>
      </c>
      <c r="O17" s="14">
        <v>0</v>
      </c>
      <c r="P17" s="16">
        <v>0</v>
      </c>
      <c r="Q17" s="14">
        <v>0</v>
      </c>
      <c r="R17" s="16">
        <v>0</v>
      </c>
    </row>
    <row r="18" spans="1:18" x14ac:dyDescent="0.25">
      <c r="A18" s="11" t="s">
        <v>150</v>
      </c>
      <c r="B18" s="13">
        <v>5532</v>
      </c>
      <c r="C18" s="14">
        <f>(4564/B18*100)</f>
        <v>82.501807664497477</v>
      </c>
      <c r="D18" s="15">
        <v>968</v>
      </c>
      <c r="E18" s="14">
        <v>29.101316319999999</v>
      </c>
      <c r="F18" s="16">
        <v>1.4822159699999999</v>
      </c>
      <c r="G18" s="14">
        <v>70.898683680000005</v>
      </c>
      <c r="H18" s="16">
        <v>1.4822159699999999</v>
      </c>
      <c r="I18" s="14" t="s">
        <v>139</v>
      </c>
      <c r="J18" s="16" t="s">
        <v>139</v>
      </c>
      <c r="K18" s="14">
        <v>0</v>
      </c>
      <c r="L18" s="16">
        <v>0</v>
      </c>
      <c r="M18" s="14">
        <v>0</v>
      </c>
      <c r="N18" s="16">
        <v>0</v>
      </c>
      <c r="O18" s="14">
        <v>0</v>
      </c>
      <c r="P18" s="16">
        <v>0</v>
      </c>
      <c r="Q18" s="14">
        <v>0</v>
      </c>
      <c r="R18" s="16">
        <v>0</v>
      </c>
    </row>
    <row r="19" spans="1:18" x14ac:dyDescent="0.25">
      <c r="A19" s="11" t="s">
        <v>151</v>
      </c>
      <c r="B19" s="13">
        <v>5658</v>
      </c>
      <c r="C19" s="14">
        <f>(4695/B19*100)</f>
        <v>82.979851537645814</v>
      </c>
      <c r="D19" s="15">
        <v>963</v>
      </c>
      <c r="E19" s="14">
        <v>16.053821589999998</v>
      </c>
      <c r="F19" s="16">
        <v>1.22524342</v>
      </c>
      <c r="G19" s="14">
        <v>83.946178410000002</v>
      </c>
      <c r="H19" s="16">
        <v>1.22524342</v>
      </c>
      <c r="I19" s="14" t="s">
        <v>139</v>
      </c>
      <c r="J19" s="16" t="s">
        <v>139</v>
      </c>
      <c r="K19" s="14">
        <v>0</v>
      </c>
      <c r="L19" s="16">
        <v>0</v>
      </c>
      <c r="M19" s="14">
        <v>0</v>
      </c>
      <c r="N19" s="16">
        <v>0</v>
      </c>
      <c r="O19" s="14">
        <v>0</v>
      </c>
      <c r="P19" s="16">
        <v>0</v>
      </c>
      <c r="Q19" s="14">
        <v>0</v>
      </c>
      <c r="R19" s="16">
        <v>0</v>
      </c>
    </row>
    <row r="20" spans="1:18" x14ac:dyDescent="0.25">
      <c r="A20" s="11" t="s">
        <v>152</v>
      </c>
      <c r="B20" s="13">
        <v>3371</v>
      </c>
      <c r="C20" s="14">
        <f>(2786/B20*100)</f>
        <v>82.646099080391579</v>
      </c>
      <c r="D20" s="15">
        <v>585</v>
      </c>
      <c r="E20" s="14">
        <v>22.01798771</v>
      </c>
      <c r="F20" s="16">
        <v>1.54919078</v>
      </c>
      <c r="G20" s="14">
        <v>77.98201229</v>
      </c>
      <c r="H20" s="16">
        <v>1.54919078</v>
      </c>
      <c r="I20" s="14" t="s">
        <v>139</v>
      </c>
      <c r="J20" s="16" t="s">
        <v>139</v>
      </c>
      <c r="K20" s="14">
        <v>0</v>
      </c>
      <c r="L20" s="16">
        <v>0</v>
      </c>
      <c r="M20" s="14">
        <v>0</v>
      </c>
      <c r="N20" s="16">
        <v>0</v>
      </c>
      <c r="O20" s="14">
        <v>0</v>
      </c>
      <c r="P20" s="16">
        <v>0</v>
      </c>
      <c r="Q20" s="14">
        <v>0</v>
      </c>
      <c r="R20" s="16">
        <v>0</v>
      </c>
    </row>
    <row r="21" spans="1:18" x14ac:dyDescent="0.25">
      <c r="A21" s="11" t="s">
        <v>153</v>
      </c>
      <c r="B21" s="17" t="s">
        <v>154</v>
      </c>
      <c r="C21" s="17" t="s">
        <v>154</v>
      </c>
      <c r="D21" s="18" t="s">
        <v>154</v>
      </c>
      <c r="E21" s="17" t="s">
        <v>154</v>
      </c>
      <c r="F21" s="18" t="s">
        <v>154</v>
      </c>
      <c r="G21" s="17" t="s">
        <v>154</v>
      </c>
      <c r="H21" s="18" t="s">
        <v>154</v>
      </c>
      <c r="I21" s="17" t="s">
        <v>154</v>
      </c>
      <c r="J21" s="18" t="s">
        <v>154</v>
      </c>
      <c r="K21" s="17" t="s">
        <v>154</v>
      </c>
      <c r="L21" s="18" t="s">
        <v>154</v>
      </c>
      <c r="M21" s="17" t="s">
        <v>154</v>
      </c>
      <c r="N21" s="18" t="s">
        <v>154</v>
      </c>
      <c r="O21" s="17" t="s">
        <v>154</v>
      </c>
      <c r="P21" s="18" t="s">
        <v>154</v>
      </c>
      <c r="Q21" s="17" t="s">
        <v>154</v>
      </c>
      <c r="R21" s="18" t="s">
        <v>154</v>
      </c>
    </row>
    <row r="22" spans="1:18" x14ac:dyDescent="0.25">
      <c r="A22" s="11" t="s">
        <v>155</v>
      </c>
      <c r="B22" s="13">
        <v>6598</v>
      </c>
      <c r="C22" s="14">
        <f>(5563/B22*100)</f>
        <v>84.313428311609584</v>
      </c>
      <c r="D22" s="15">
        <v>1035</v>
      </c>
      <c r="E22" s="14">
        <v>32.587610120000001</v>
      </c>
      <c r="F22" s="16">
        <v>1.4004251599999999</v>
      </c>
      <c r="G22" s="14">
        <v>67.412389880000006</v>
      </c>
      <c r="H22" s="16">
        <v>1.4004251599999999</v>
      </c>
      <c r="I22" s="14" t="s">
        <v>139</v>
      </c>
      <c r="J22" s="16" t="s">
        <v>139</v>
      </c>
      <c r="K22" s="14">
        <v>0</v>
      </c>
      <c r="L22" s="16">
        <v>0</v>
      </c>
      <c r="M22" s="14">
        <v>0</v>
      </c>
      <c r="N22" s="16">
        <v>0</v>
      </c>
      <c r="O22" s="14">
        <v>0</v>
      </c>
      <c r="P22" s="16">
        <v>0</v>
      </c>
      <c r="Q22" s="14">
        <v>0</v>
      </c>
      <c r="R22" s="16">
        <v>0</v>
      </c>
    </row>
    <row r="23" spans="1:18" x14ac:dyDescent="0.25">
      <c r="A23" s="11" t="s">
        <v>156</v>
      </c>
      <c r="B23" s="13">
        <v>11583</v>
      </c>
      <c r="C23" s="14">
        <f>(9598/B23*100)</f>
        <v>82.862816196149524</v>
      </c>
      <c r="D23" s="15">
        <v>1985</v>
      </c>
      <c r="E23" s="14">
        <v>16.697219990000001</v>
      </c>
      <c r="F23" s="16">
        <v>1.1677028300000001</v>
      </c>
      <c r="G23" s="14">
        <v>83.302780010000006</v>
      </c>
      <c r="H23" s="16">
        <v>1.1677028300000001</v>
      </c>
      <c r="I23" s="14" t="s">
        <v>139</v>
      </c>
      <c r="J23" s="16" t="s">
        <v>139</v>
      </c>
      <c r="K23" s="14">
        <v>0</v>
      </c>
      <c r="L23" s="16">
        <v>0</v>
      </c>
      <c r="M23" s="14">
        <v>0</v>
      </c>
      <c r="N23" s="16">
        <v>0</v>
      </c>
      <c r="O23" s="14">
        <v>0</v>
      </c>
      <c r="P23" s="16">
        <v>0</v>
      </c>
      <c r="Q23" s="14">
        <v>0</v>
      </c>
      <c r="R23" s="16">
        <v>0</v>
      </c>
    </row>
    <row r="24" spans="1:18" x14ac:dyDescent="0.25">
      <c r="A24" s="11" t="s">
        <v>157</v>
      </c>
      <c r="B24" s="13">
        <v>6647</v>
      </c>
      <c r="C24" s="14">
        <f>(5487/B24*100)</f>
        <v>82.548518128479003</v>
      </c>
      <c r="D24" s="15">
        <v>1160</v>
      </c>
      <c r="E24" s="14">
        <v>14.466278320000001</v>
      </c>
      <c r="F24" s="16">
        <v>1.22781819</v>
      </c>
      <c r="G24" s="14">
        <v>85.533721679999999</v>
      </c>
      <c r="H24" s="16">
        <v>1.22781819</v>
      </c>
      <c r="I24" s="14" t="s">
        <v>139</v>
      </c>
      <c r="J24" s="16" t="s">
        <v>139</v>
      </c>
      <c r="K24" s="14">
        <v>0</v>
      </c>
      <c r="L24" s="16">
        <v>0</v>
      </c>
      <c r="M24" s="14">
        <v>0</v>
      </c>
      <c r="N24" s="16">
        <v>0</v>
      </c>
      <c r="O24" s="14">
        <v>0</v>
      </c>
      <c r="P24" s="16">
        <v>0</v>
      </c>
      <c r="Q24" s="14">
        <v>0</v>
      </c>
      <c r="R24" s="16">
        <v>0</v>
      </c>
    </row>
    <row r="25" spans="1:18" x14ac:dyDescent="0.25">
      <c r="A25" s="11" t="s">
        <v>158</v>
      </c>
      <c r="B25" s="13">
        <v>5581</v>
      </c>
      <c r="C25" s="14">
        <f>(4615/B25*100)</f>
        <v>82.691273965239205</v>
      </c>
      <c r="D25" s="15">
        <v>966</v>
      </c>
      <c r="E25" s="14">
        <v>18.19902892</v>
      </c>
      <c r="F25" s="16">
        <v>1.1338295300000001</v>
      </c>
      <c r="G25" s="14">
        <v>81.800971079999997</v>
      </c>
      <c r="H25" s="16">
        <v>1.1338295300000001</v>
      </c>
      <c r="I25" s="14" t="s">
        <v>139</v>
      </c>
      <c r="J25" s="16" t="s">
        <v>139</v>
      </c>
      <c r="K25" s="14">
        <v>0</v>
      </c>
      <c r="L25" s="16">
        <v>0</v>
      </c>
      <c r="M25" s="14">
        <v>0</v>
      </c>
      <c r="N25" s="16">
        <v>0</v>
      </c>
      <c r="O25" s="14">
        <v>0</v>
      </c>
      <c r="P25" s="16">
        <v>0</v>
      </c>
      <c r="Q25" s="14">
        <v>0</v>
      </c>
      <c r="R25" s="16">
        <v>0</v>
      </c>
    </row>
    <row r="26" spans="1:18" x14ac:dyDescent="0.25">
      <c r="A26" s="11" t="s">
        <v>159</v>
      </c>
      <c r="B26" s="13">
        <v>4869</v>
      </c>
      <c r="C26" s="14">
        <f>(4008/B26*100)</f>
        <v>82.316697473813932</v>
      </c>
      <c r="D26" s="15">
        <v>861</v>
      </c>
      <c r="E26" s="14">
        <v>20.100536269999999</v>
      </c>
      <c r="F26" s="16">
        <v>1.4344599099999999</v>
      </c>
      <c r="G26" s="14">
        <v>79.899463729999994</v>
      </c>
      <c r="H26" s="16">
        <v>1.4344599099999999</v>
      </c>
      <c r="I26" s="14" t="s">
        <v>139</v>
      </c>
      <c r="J26" s="16" t="s">
        <v>139</v>
      </c>
      <c r="K26" s="14">
        <v>0</v>
      </c>
      <c r="L26" s="16">
        <v>0</v>
      </c>
      <c r="M26" s="14">
        <v>0</v>
      </c>
      <c r="N26" s="16">
        <v>0</v>
      </c>
      <c r="O26" s="14">
        <v>0</v>
      </c>
      <c r="P26" s="16">
        <v>0</v>
      </c>
      <c r="Q26" s="14">
        <v>0</v>
      </c>
      <c r="R26" s="16">
        <v>0</v>
      </c>
    </row>
    <row r="27" spans="1:18" x14ac:dyDescent="0.25">
      <c r="A27" s="11" t="s">
        <v>160</v>
      </c>
      <c r="B27" s="13">
        <v>5299</v>
      </c>
      <c r="C27" s="14">
        <f>(4377/B27*100)</f>
        <v>82.600490658614831</v>
      </c>
      <c r="D27" s="15">
        <v>922</v>
      </c>
      <c r="E27" s="14">
        <v>19.162437730000001</v>
      </c>
      <c r="F27" s="16">
        <v>1.33354146</v>
      </c>
      <c r="G27" s="14">
        <v>80.837562270000006</v>
      </c>
      <c r="H27" s="16">
        <v>1.33354146</v>
      </c>
      <c r="I27" s="14" t="s">
        <v>139</v>
      </c>
      <c r="J27" s="16" t="s">
        <v>139</v>
      </c>
      <c r="K27" s="14">
        <v>0</v>
      </c>
      <c r="L27" s="16">
        <v>0</v>
      </c>
      <c r="M27" s="14">
        <v>0</v>
      </c>
      <c r="N27" s="16">
        <v>0</v>
      </c>
      <c r="O27" s="14">
        <v>0</v>
      </c>
      <c r="P27" s="16">
        <v>0</v>
      </c>
      <c r="Q27" s="14">
        <v>0</v>
      </c>
      <c r="R27" s="16">
        <v>0</v>
      </c>
    </row>
    <row r="28" spans="1:18" x14ac:dyDescent="0.25">
      <c r="A28" s="11" t="s">
        <v>161</v>
      </c>
      <c r="B28" s="13">
        <v>7568</v>
      </c>
      <c r="C28" s="14">
        <f>(6313/B28*100)</f>
        <v>83.417019027484145</v>
      </c>
      <c r="D28" s="15">
        <v>1255</v>
      </c>
      <c r="E28" s="14">
        <v>26.421091919999999</v>
      </c>
      <c r="F28" s="16">
        <v>1.4068979699999999</v>
      </c>
      <c r="G28" s="14">
        <v>73.578908080000005</v>
      </c>
      <c r="H28" s="16">
        <v>1.4068979699999999</v>
      </c>
      <c r="I28" s="14" t="s">
        <v>139</v>
      </c>
      <c r="J28" s="16" t="s">
        <v>139</v>
      </c>
      <c r="K28" s="14">
        <v>0</v>
      </c>
      <c r="L28" s="16">
        <v>0</v>
      </c>
      <c r="M28" s="14">
        <v>0</v>
      </c>
      <c r="N28" s="16">
        <v>0</v>
      </c>
      <c r="O28" s="14">
        <v>0</v>
      </c>
      <c r="P28" s="16">
        <v>0</v>
      </c>
      <c r="Q28" s="14">
        <v>0</v>
      </c>
      <c r="R28" s="16">
        <v>0</v>
      </c>
    </row>
    <row r="29" spans="1:18" x14ac:dyDescent="0.25">
      <c r="A29" s="11" t="s">
        <v>162</v>
      </c>
      <c r="B29" s="13">
        <v>5385</v>
      </c>
      <c r="C29" s="14">
        <f>(4470/B29*100)</f>
        <v>83.008356545961007</v>
      </c>
      <c r="D29" s="15">
        <v>915</v>
      </c>
      <c r="E29" s="14">
        <v>15.68719439</v>
      </c>
      <c r="F29" s="16">
        <v>1.1932067799999999</v>
      </c>
      <c r="G29" s="14">
        <v>84.312805609999998</v>
      </c>
      <c r="H29" s="16">
        <v>1.1932067799999999</v>
      </c>
      <c r="I29" s="14" t="s">
        <v>139</v>
      </c>
      <c r="J29" s="16" t="s">
        <v>139</v>
      </c>
      <c r="K29" s="14">
        <v>0</v>
      </c>
      <c r="L29" s="16">
        <v>0</v>
      </c>
      <c r="M29" s="14">
        <v>0</v>
      </c>
      <c r="N29" s="16">
        <v>0</v>
      </c>
      <c r="O29" s="14">
        <v>0</v>
      </c>
      <c r="P29" s="16">
        <v>0</v>
      </c>
      <c r="Q29" s="14">
        <v>0</v>
      </c>
      <c r="R29" s="16">
        <v>0</v>
      </c>
    </row>
    <row r="30" spans="1:18" x14ac:dyDescent="0.25">
      <c r="A30" s="11" t="s">
        <v>163</v>
      </c>
      <c r="B30" s="13">
        <v>4520</v>
      </c>
      <c r="C30" s="14">
        <f>(3744/B30*100)</f>
        <v>82.83185840707965</v>
      </c>
      <c r="D30" s="15">
        <v>776</v>
      </c>
      <c r="E30" s="14">
        <v>15.79632045</v>
      </c>
      <c r="F30" s="16">
        <v>1.35998606</v>
      </c>
      <c r="G30" s="14">
        <v>84.203679550000004</v>
      </c>
      <c r="H30" s="16">
        <v>1.35998606</v>
      </c>
      <c r="I30" s="14" t="s">
        <v>139</v>
      </c>
      <c r="J30" s="16" t="s">
        <v>139</v>
      </c>
      <c r="K30" s="14">
        <v>0</v>
      </c>
      <c r="L30" s="16">
        <v>0</v>
      </c>
      <c r="M30" s="14">
        <v>0</v>
      </c>
      <c r="N30" s="16">
        <v>0</v>
      </c>
      <c r="O30" s="14">
        <v>0</v>
      </c>
      <c r="P30" s="16">
        <v>0</v>
      </c>
      <c r="Q30" s="14">
        <v>0</v>
      </c>
      <c r="R30" s="16">
        <v>0</v>
      </c>
    </row>
    <row r="31" spans="1:18" x14ac:dyDescent="0.25">
      <c r="A31" s="11" t="s">
        <v>164</v>
      </c>
      <c r="B31" s="13">
        <v>5456</v>
      </c>
      <c r="C31" s="14">
        <f>(4534/B31*100)</f>
        <v>83.101173020527867</v>
      </c>
      <c r="D31" s="15">
        <v>922</v>
      </c>
      <c r="E31" s="14">
        <v>19.324052200000001</v>
      </c>
      <c r="F31" s="16">
        <v>1.4324393399999999</v>
      </c>
      <c r="G31" s="14">
        <v>80.675947800000003</v>
      </c>
      <c r="H31" s="16">
        <v>1.4324393399999999</v>
      </c>
      <c r="I31" s="14" t="s">
        <v>139</v>
      </c>
      <c r="J31" s="16" t="s">
        <v>139</v>
      </c>
      <c r="K31" s="14">
        <v>0</v>
      </c>
      <c r="L31" s="16">
        <v>0</v>
      </c>
      <c r="M31" s="14">
        <v>0</v>
      </c>
      <c r="N31" s="16">
        <v>0</v>
      </c>
      <c r="O31" s="14">
        <v>0</v>
      </c>
      <c r="P31" s="16">
        <v>0</v>
      </c>
      <c r="Q31" s="14">
        <v>0</v>
      </c>
      <c r="R31" s="16">
        <v>0</v>
      </c>
    </row>
    <row r="32" spans="1:18" x14ac:dyDescent="0.25">
      <c r="A32" s="11" t="s">
        <v>165</v>
      </c>
      <c r="B32" s="17" t="s">
        <v>154</v>
      </c>
      <c r="C32" s="17" t="s">
        <v>154</v>
      </c>
      <c r="D32" s="18" t="s">
        <v>154</v>
      </c>
      <c r="E32" s="17" t="s">
        <v>154</v>
      </c>
      <c r="F32" s="18" t="s">
        <v>154</v>
      </c>
      <c r="G32" s="17" t="s">
        <v>154</v>
      </c>
      <c r="H32" s="18" t="s">
        <v>154</v>
      </c>
      <c r="I32" s="17" t="s">
        <v>154</v>
      </c>
      <c r="J32" s="18" t="s">
        <v>154</v>
      </c>
      <c r="K32" s="17" t="s">
        <v>154</v>
      </c>
      <c r="L32" s="18" t="s">
        <v>154</v>
      </c>
      <c r="M32" s="17" t="s">
        <v>154</v>
      </c>
      <c r="N32" s="18" t="s">
        <v>154</v>
      </c>
      <c r="O32" s="17" t="s">
        <v>154</v>
      </c>
      <c r="P32" s="18" t="s">
        <v>154</v>
      </c>
      <c r="Q32" s="17" t="s">
        <v>154</v>
      </c>
      <c r="R32" s="18" t="s">
        <v>154</v>
      </c>
    </row>
    <row r="33" spans="1:18" x14ac:dyDescent="0.25">
      <c r="A33" s="11" t="s">
        <v>166</v>
      </c>
      <c r="B33" s="13">
        <v>7325</v>
      </c>
      <c r="C33" s="14">
        <f>(6092/B33*100)</f>
        <v>83.167235494880543</v>
      </c>
      <c r="D33" s="15">
        <v>1233</v>
      </c>
      <c r="E33" s="14">
        <v>19.690329819999999</v>
      </c>
      <c r="F33" s="16">
        <v>1.41166678</v>
      </c>
      <c r="G33" s="14">
        <v>80.309670179999998</v>
      </c>
      <c r="H33" s="16">
        <v>1.41166678</v>
      </c>
      <c r="I33" s="14" t="s">
        <v>139</v>
      </c>
      <c r="J33" s="16" t="s">
        <v>139</v>
      </c>
      <c r="K33" s="14">
        <v>0</v>
      </c>
      <c r="L33" s="16">
        <v>0</v>
      </c>
      <c r="M33" s="14">
        <v>0</v>
      </c>
      <c r="N33" s="16">
        <v>0</v>
      </c>
      <c r="O33" s="14">
        <v>0</v>
      </c>
      <c r="P33" s="16">
        <v>0</v>
      </c>
      <c r="Q33" s="14">
        <v>0</v>
      </c>
      <c r="R33" s="16">
        <v>0</v>
      </c>
    </row>
    <row r="34" spans="1:18" x14ac:dyDescent="0.25">
      <c r="A34" s="11" t="s">
        <v>167</v>
      </c>
      <c r="B34" s="13">
        <v>6350</v>
      </c>
      <c r="C34" s="14">
        <f>(5280/B34*100)</f>
        <v>83.149606299212593</v>
      </c>
      <c r="D34" s="15">
        <v>1070</v>
      </c>
      <c r="E34" s="14">
        <v>24.6948303</v>
      </c>
      <c r="F34" s="16">
        <v>1.29817085</v>
      </c>
      <c r="G34" s="14">
        <v>75.305169699999993</v>
      </c>
      <c r="H34" s="16">
        <v>1.29817085</v>
      </c>
      <c r="I34" s="14" t="s">
        <v>139</v>
      </c>
      <c r="J34" s="16" t="s">
        <v>139</v>
      </c>
      <c r="K34" s="14">
        <v>0</v>
      </c>
      <c r="L34" s="16">
        <v>0</v>
      </c>
      <c r="M34" s="14">
        <v>0</v>
      </c>
      <c r="N34" s="16">
        <v>0</v>
      </c>
      <c r="O34" s="14">
        <v>0</v>
      </c>
      <c r="P34" s="16">
        <v>0</v>
      </c>
      <c r="Q34" s="14">
        <v>0</v>
      </c>
      <c r="R34" s="16">
        <v>0</v>
      </c>
    </row>
    <row r="35" spans="1:18" x14ac:dyDescent="0.25">
      <c r="A35" s="11" t="s">
        <v>168</v>
      </c>
      <c r="B35" s="13">
        <v>6406</v>
      </c>
      <c r="C35" s="14">
        <f>(5297/B35*100)</f>
        <v>82.688104901654697</v>
      </c>
      <c r="D35" s="15">
        <v>1109</v>
      </c>
      <c r="E35" s="14">
        <v>24.398449119999999</v>
      </c>
      <c r="F35" s="16">
        <v>1.5539700999999999</v>
      </c>
      <c r="G35" s="14">
        <v>75.601550880000005</v>
      </c>
      <c r="H35" s="16">
        <v>1.5539700999999999</v>
      </c>
      <c r="I35" s="14" t="s">
        <v>139</v>
      </c>
      <c r="J35" s="16" t="s">
        <v>139</v>
      </c>
      <c r="K35" s="14">
        <v>0</v>
      </c>
      <c r="L35" s="16">
        <v>0</v>
      </c>
      <c r="M35" s="14">
        <v>0</v>
      </c>
      <c r="N35" s="16">
        <v>0</v>
      </c>
      <c r="O35" s="14">
        <v>0</v>
      </c>
      <c r="P35" s="16">
        <v>0</v>
      </c>
      <c r="Q35" s="14">
        <v>0</v>
      </c>
      <c r="R35" s="16">
        <v>0</v>
      </c>
    </row>
    <row r="36" spans="1:18" x14ac:dyDescent="0.25">
      <c r="A36" s="11" t="s">
        <v>169</v>
      </c>
      <c r="B36" s="13">
        <v>6736</v>
      </c>
      <c r="C36" s="14">
        <f>(5576/B36*100)</f>
        <v>82.779097387173394</v>
      </c>
      <c r="D36" s="15">
        <v>1160</v>
      </c>
      <c r="E36" s="14">
        <v>20.123400289999999</v>
      </c>
      <c r="F36" s="16">
        <v>1.4082474899999999</v>
      </c>
      <c r="G36" s="14">
        <v>79.876599709999994</v>
      </c>
      <c r="H36" s="16">
        <v>1.4082474899999999</v>
      </c>
      <c r="I36" s="14" t="s">
        <v>139</v>
      </c>
      <c r="J36" s="16" t="s">
        <v>139</v>
      </c>
      <c r="K36" s="14">
        <v>0</v>
      </c>
      <c r="L36" s="16">
        <v>0</v>
      </c>
      <c r="M36" s="14">
        <v>0</v>
      </c>
      <c r="N36" s="16">
        <v>0</v>
      </c>
      <c r="O36" s="14">
        <v>0</v>
      </c>
      <c r="P36" s="16">
        <v>0</v>
      </c>
      <c r="Q36" s="14">
        <v>0</v>
      </c>
      <c r="R36" s="16">
        <v>0</v>
      </c>
    </row>
    <row r="37" spans="1:18" x14ac:dyDescent="0.25">
      <c r="A37" s="11" t="s">
        <v>170</v>
      </c>
      <c r="B37" s="13">
        <v>5458</v>
      </c>
      <c r="C37" s="14">
        <f>(4554/B37*100)</f>
        <v>83.437156467570546</v>
      </c>
      <c r="D37" s="15">
        <v>904</v>
      </c>
      <c r="E37" s="14">
        <v>16.99281715</v>
      </c>
      <c r="F37" s="16">
        <v>1.38474086</v>
      </c>
      <c r="G37" s="14">
        <v>83.007182850000007</v>
      </c>
      <c r="H37" s="16">
        <v>1.38474086</v>
      </c>
      <c r="I37" s="14" t="s">
        <v>139</v>
      </c>
      <c r="J37" s="16" t="s">
        <v>139</v>
      </c>
      <c r="K37" s="14">
        <v>0</v>
      </c>
      <c r="L37" s="16">
        <v>0</v>
      </c>
      <c r="M37" s="14">
        <v>0</v>
      </c>
      <c r="N37" s="16">
        <v>0</v>
      </c>
      <c r="O37" s="14">
        <v>0</v>
      </c>
      <c r="P37" s="16">
        <v>0</v>
      </c>
      <c r="Q37" s="14">
        <v>0</v>
      </c>
      <c r="R37" s="16">
        <v>0</v>
      </c>
    </row>
    <row r="38" spans="1:18" x14ac:dyDescent="0.25">
      <c r="A38" s="11" t="s">
        <v>171</v>
      </c>
      <c r="B38" s="17" t="s">
        <v>154</v>
      </c>
      <c r="C38" s="17" t="s">
        <v>154</v>
      </c>
      <c r="D38" s="18" t="s">
        <v>154</v>
      </c>
      <c r="E38" s="17" t="s">
        <v>154</v>
      </c>
      <c r="F38" s="18" t="s">
        <v>154</v>
      </c>
      <c r="G38" s="17" t="s">
        <v>154</v>
      </c>
      <c r="H38" s="18" t="s">
        <v>154</v>
      </c>
      <c r="I38" s="17" t="s">
        <v>154</v>
      </c>
      <c r="J38" s="18" t="s">
        <v>154</v>
      </c>
      <c r="K38" s="17" t="s">
        <v>154</v>
      </c>
      <c r="L38" s="18" t="s">
        <v>154</v>
      </c>
      <c r="M38" s="17" t="s">
        <v>154</v>
      </c>
      <c r="N38" s="18" t="s">
        <v>154</v>
      </c>
      <c r="O38" s="17" t="s">
        <v>154</v>
      </c>
      <c r="P38" s="18" t="s">
        <v>154</v>
      </c>
      <c r="Q38" s="17" t="s">
        <v>154</v>
      </c>
      <c r="R38" s="18" t="s">
        <v>154</v>
      </c>
    </row>
    <row r="39" spans="1:18" x14ac:dyDescent="0.25">
      <c r="A39" s="11" t="s">
        <v>172</v>
      </c>
      <c r="B39" s="13">
        <v>5895</v>
      </c>
      <c r="C39" s="14">
        <f>(4869/B39*100)</f>
        <v>82.595419847328245</v>
      </c>
      <c r="D39" s="15">
        <v>1026</v>
      </c>
      <c r="E39" s="14">
        <v>25.41842308</v>
      </c>
      <c r="F39" s="16">
        <v>1.7280249599999999</v>
      </c>
      <c r="G39" s="14">
        <v>74.581576920000003</v>
      </c>
      <c r="H39" s="16">
        <v>1.7280249599999999</v>
      </c>
      <c r="I39" s="14" t="s">
        <v>139</v>
      </c>
      <c r="J39" s="16" t="s">
        <v>139</v>
      </c>
      <c r="K39" s="14">
        <v>0</v>
      </c>
      <c r="L39" s="16">
        <v>0</v>
      </c>
      <c r="M39" s="14">
        <v>0</v>
      </c>
      <c r="N39" s="16">
        <v>0</v>
      </c>
      <c r="O39" s="14">
        <v>0</v>
      </c>
      <c r="P39" s="16">
        <v>0</v>
      </c>
      <c r="Q39" s="14">
        <v>0</v>
      </c>
      <c r="R39" s="16">
        <v>0</v>
      </c>
    </row>
    <row r="40" spans="1:18" x14ac:dyDescent="0.25">
      <c r="A40" s="11" t="s">
        <v>173</v>
      </c>
      <c r="B40" s="13">
        <v>14157</v>
      </c>
      <c r="C40" s="14">
        <f>(11631/B40*100)</f>
        <v>82.15723670269125</v>
      </c>
      <c r="D40" s="15">
        <v>2526</v>
      </c>
      <c r="E40" s="14">
        <v>16.649467420000001</v>
      </c>
      <c r="F40" s="16">
        <v>1.2653491699999999</v>
      </c>
      <c r="G40" s="14">
        <v>83.350532580000007</v>
      </c>
      <c r="H40" s="16">
        <v>1.2653491699999999</v>
      </c>
      <c r="I40" s="14" t="s">
        <v>139</v>
      </c>
      <c r="J40" s="16" t="s">
        <v>139</v>
      </c>
      <c r="K40" s="14">
        <v>0</v>
      </c>
      <c r="L40" s="16">
        <v>0</v>
      </c>
      <c r="M40" s="14">
        <v>0</v>
      </c>
      <c r="N40" s="16">
        <v>0</v>
      </c>
      <c r="O40" s="14">
        <v>0</v>
      </c>
      <c r="P40" s="16">
        <v>0</v>
      </c>
      <c r="Q40" s="14">
        <v>0</v>
      </c>
      <c r="R40" s="16">
        <v>0</v>
      </c>
    </row>
    <row r="41" spans="1:18" x14ac:dyDescent="0.25">
      <c r="A41" s="11" t="s">
        <v>174</v>
      </c>
      <c r="B41" s="13">
        <v>5712</v>
      </c>
      <c r="C41" s="14">
        <f>(4753/B41*100)</f>
        <v>83.210784313725497</v>
      </c>
      <c r="D41" s="15">
        <v>959</v>
      </c>
      <c r="E41" s="14">
        <v>14.177060320000001</v>
      </c>
      <c r="F41" s="16">
        <v>1.1811805799999999</v>
      </c>
      <c r="G41" s="14">
        <v>85.822939680000005</v>
      </c>
      <c r="H41" s="16">
        <v>1.1811805799999999</v>
      </c>
      <c r="I41" s="14" t="s">
        <v>139</v>
      </c>
      <c r="J41" s="16" t="s">
        <v>139</v>
      </c>
      <c r="K41" s="14">
        <v>0</v>
      </c>
      <c r="L41" s="16">
        <v>0</v>
      </c>
      <c r="M41" s="14">
        <v>0</v>
      </c>
      <c r="N41" s="16">
        <v>0</v>
      </c>
      <c r="O41" s="14">
        <v>0</v>
      </c>
      <c r="P41" s="16">
        <v>0</v>
      </c>
      <c r="Q41" s="14">
        <v>0</v>
      </c>
      <c r="R41" s="16">
        <v>0</v>
      </c>
    </row>
    <row r="42" spans="1:18" x14ac:dyDescent="0.25">
      <c r="A42" s="11" t="s">
        <v>175</v>
      </c>
      <c r="B42" s="13">
        <f>IF(COUNT(B7:B41) &gt; 0, AVERAGE(B7:B41), "\u2014")</f>
        <v>7266.90625</v>
      </c>
      <c r="C42" s="14">
        <f>IF(COUNT(C7:C41) &gt; 0, AVERAGE(C7:C41), "—")</f>
        <v>82.93344709112597</v>
      </c>
      <c r="D42" s="15">
        <f>IF(COUNT(D7:D41) &gt; 0, AVERAGE(D7:D41), "—")</f>
        <v>1241.4375</v>
      </c>
      <c r="E42" s="14">
        <f>IF(COUNT(E7:E41) &gt; 0, AVERAGE(E7:E41), "—")</f>
        <v>19.238383817812494</v>
      </c>
      <c r="F42" s="16">
        <f>IF(COUNT(F7:F41) &gt; 0, SQRT(SUMSQ(F7:F41)/(COUNT(F7:F41)*COUNT(F7:F41)) ), "—")</f>
        <v>0.22971710458178718</v>
      </c>
      <c r="G42" s="14">
        <f>IF(COUNT(G7:G41) &gt; 0, AVERAGE(G7:G41), "—")</f>
        <v>80.76161618218751</v>
      </c>
      <c r="H42" s="16">
        <f>IF(COUNT(H7:H41) &gt; 0, SQRT(SUMSQ(H7:H41)/(COUNT(H7:H41)*COUNT(H7:H41)) ), "—")</f>
        <v>0.22971710458178718</v>
      </c>
      <c r="I42" s="14" t="str">
        <f>IF(COUNT(I7:I41) &gt; 0, AVERAGE(I7:I41), "—")</f>
        <v>—</v>
      </c>
      <c r="J42" s="16" t="str">
        <f>IF(COUNT(J7:J41) &gt; 0, SQRT(SUMSQ(J7:J41)/(COUNT(J7:J41)*COUNT(J7:J41)) ), "—")</f>
        <v>—</v>
      </c>
      <c r="K42" s="14">
        <f>IF(COUNT(K7:K41) &gt; 0, AVERAGE(K7:K41), "—")</f>
        <v>0</v>
      </c>
      <c r="L42" s="16">
        <f>IF(COUNT(L7:L41) &gt; 0, SQRT(SUMSQ(L7:L41)/(COUNT(L7:L41)*COUNT(L7:L41)) ), "—")</f>
        <v>0</v>
      </c>
      <c r="M42" s="14">
        <f>IF(COUNT(M7:M41) &gt; 0, AVERAGE(M7:M41), "—")</f>
        <v>0</v>
      </c>
      <c r="N42" s="16">
        <f>IF(COUNT(N7:N41) &gt; 0, SQRT(SUMSQ(N7:N41)/(COUNT(N7:N41)*COUNT(N7:N41)) ), "—")</f>
        <v>0</v>
      </c>
      <c r="O42" s="14">
        <f>IF(COUNT(O7:O41) &gt; 0, AVERAGE(O7:O41), "—")</f>
        <v>0</v>
      </c>
      <c r="P42" s="16">
        <f>IF(COUNT(P7:P41) &gt; 0, SQRT(SUMSQ(P7:P41)/(COUNT(P7:P41)*COUNT(P7:P41)) ), "—")</f>
        <v>0</v>
      </c>
      <c r="Q42" s="14">
        <f>IF(COUNT(Q7:Q41) &gt; 0, AVERAGE(Q7:Q41), "—")</f>
        <v>0</v>
      </c>
      <c r="R42" s="16">
        <f>IF(COUNT(R7:R41) &gt; 0, SQRT(SUMSQ(R7:R41)/(COUNT(R7:R41)*COUNT(R7:R41)) ), "—")</f>
        <v>0</v>
      </c>
    </row>
    <row r="43" spans="1:18" x14ac:dyDescent="0.25">
      <c r="A43" s="9" t="s">
        <v>176</v>
      </c>
      <c r="B43" s="10"/>
      <c r="C43" s="10"/>
      <c r="D43" s="11"/>
      <c r="E43" s="10"/>
      <c r="F43" s="11"/>
      <c r="G43" s="10"/>
      <c r="H43" s="11"/>
      <c r="I43" s="10"/>
      <c r="J43" s="11"/>
      <c r="K43" s="10"/>
      <c r="L43" s="11"/>
      <c r="M43" s="10"/>
      <c r="N43" s="11"/>
      <c r="O43" s="10"/>
      <c r="P43" s="11"/>
      <c r="Q43" s="10"/>
      <c r="R43" s="12"/>
    </row>
    <row r="44" spans="1:18" x14ac:dyDescent="0.25">
      <c r="A44" s="11" t="s">
        <v>177</v>
      </c>
      <c r="B44" s="17" t="s">
        <v>154</v>
      </c>
      <c r="C44" s="17" t="s">
        <v>154</v>
      </c>
      <c r="D44" s="18" t="s">
        <v>154</v>
      </c>
      <c r="E44" s="17" t="s">
        <v>154</v>
      </c>
      <c r="F44" s="18" t="s">
        <v>154</v>
      </c>
      <c r="G44" s="17" t="s">
        <v>154</v>
      </c>
      <c r="H44" s="18" t="s">
        <v>154</v>
      </c>
      <c r="I44" s="17" t="s">
        <v>154</v>
      </c>
      <c r="J44" s="18" t="s">
        <v>154</v>
      </c>
      <c r="K44" s="17" t="s">
        <v>154</v>
      </c>
      <c r="L44" s="18" t="s">
        <v>154</v>
      </c>
      <c r="M44" s="17" t="s">
        <v>154</v>
      </c>
      <c r="N44" s="18" t="s">
        <v>154</v>
      </c>
      <c r="O44" s="17" t="s">
        <v>154</v>
      </c>
      <c r="P44" s="18" t="s">
        <v>154</v>
      </c>
      <c r="Q44" s="17" t="s">
        <v>154</v>
      </c>
      <c r="R44" s="18" t="s">
        <v>154</v>
      </c>
    </row>
    <row r="45" spans="1:18" x14ac:dyDescent="0.25">
      <c r="A45" s="11" t="s">
        <v>178</v>
      </c>
      <c r="B45" s="17" t="s">
        <v>154</v>
      </c>
      <c r="C45" s="17" t="s">
        <v>154</v>
      </c>
      <c r="D45" s="18" t="s">
        <v>154</v>
      </c>
      <c r="E45" s="17" t="s">
        <v>154</v>
      </c>
      <c r="F45" s="18" t="s">
        <v>154</v>
      </c>
      <c r="G45" s="17" t="s">
        <v>154</v>
      </c>
      <c r="H45" s="18" t="s">
        <v>154</v>
      </c>
      <c r="I45" s="17" t="s">
        <v>154</v>
      </c>
      <c r="J45" s="18" t="s">
        <v>154</v>
      </c>
      <c r="K45" s="17" t="s">
        <v>154</v>
      </c>
      <c r="L45" s="18" t="s">
        <v>154</v>
      </c>
      <c r="M45" s="17" t="s">
        <v>154</v>
      </c>
      <c r="N45" s="18" t="s">
        <v>154</v>
      </c>
      <c r="O45" s="17" t="s">
        <v>154</v>
      </c>
      <c r="P45" s="18" t="s">
        <v>154</v>
      </c>
      <c r="Q45" s="17" t="s">
        <v>154</v>
      </c>
      <c r="R45" s="18" t="s">
        <v>154</v>
      </c>
    </row>
    <row r="46" spans="1:18" x14ac:dyDescent="0.25">
      <c r="A46" s="11" t="s">
        <v>179</v>
      </c>
      <c r="B46" s="13">
        <v>23141</v>
      </c>
      <c r="C46" s="14">
        <f>(19537/B46*100)</f>
        <v>84.425910721230707</v>
      </c>
      <c r="D46" s="15">
        <v>3604</v>
      </c>
      <c r="E46" s="14">
        <v>30.104013139999999</v>
      </c>
      <c r="F46" s="16">
        <v>1.0674673699999999</v>
      </c>
      <c r="G46" s="14">
        <v>69.895986859999994</v>
      </c>
      <c r="H46" s="16">
        <v>1.0674673699999999</v>
      </c>
      <c r="I46" s="14" t="s">
        <v>139</v>
      </c>
      <c r="J46" s="16" t="s">
        <v>139</v>
      </c>
      <c r="K46" s="14">
        <v>0</v>
      </c>
      <c r="L46" s="16">
        <v>0</v>
      </c>
      <c r="M46" s="14">
        <v>0</v>
      </c>
      <c r="N46" s="16">
        <v>0</v>
      </c>
      <c r="O46" s="14">
        <v>0</v>
      </c>
      <c r="P46" s="16">
        <v>0</v>
      </c>
      <c r="Q46" s="14">
        <v>0</v>
      </c>
      <c r="R46" s="16">
        <v>0</v>
      </c>
    </row>
    <row r="47" spans="1:18" x14ac:dyDescent="0.25">
      <c r="A47" s="11" t="s">
        <v>180</v>
      </c>
      <c r="B47" s="13">
        <v>5928</v>
      </c>
      <c r="C47" s="14">
        <f>(4918/B47*100)</f>
        <v>82.962213225371116</v>
      </c>
      <c r="D47" s="15">
        <v>1010</v>
      </c>
      <c r="E47" s="14">
        <v>25.20543069</v>
      </c>
      <c r="F47" s="16">
        <v>1.4369590999999999</v>
      </c>
      <c r="G47" s="14">
        <v>74.79456931</v>
      </c>
      <c r="H47" s="16">
        <v>1.4369590999999999</v>
      </c>
      <c r="I47" s="14" t="s">
        <v>139</v>
      </c>
      <c r="J47" s="16" t="s">
        <v>139</v>
      </c>
      <c r="K47" s="14">
        <v>0</v>
      </c>
      <c r="L47" s="16">
        <v>0</v>
      </c>
      <c r="M47" s="14">
        <v>0</v>
      </c>
      <c r="N47" s="16">
        <v>0</v>
      </c>
      <c r="O47" s="14">
        <v>0</v>
      </c>
      <c r="P47" s="16">
        <v>0</v>
      </c>
      <c r="Q47" s="14">
        <v>0</v>
      </c>
      <c r="R47" s="16">
        <v>0</v>
      </c>
    </row>
    <row r="48" spans="1:18" x14ac:dyDescent="0.25">
      <c r="A48" s="11" t="s">
        <v>181</v>
      </c>
      <c r="B48" s="13">
        <v>9841</v>
      </c>
      <c r="C48" s="14">
        <f>(8147/B48*100)</f>
        <v>82.786302205060451</v>
      </c>
      <c r="D48" s="15">
        <v>1694</v>
      </c>
      <c r="E48" s="14">
        <v>20.759058329999998</v>
      </c>
      <c r="F48" s="16">
        <v>1.45445033</v>
      </c>
      <c r="G48" s="14">
        <v>79.240941669999998</v>
      </c>
      <c r="H48" s="16">
        <v>1.45445033</v>
      </c>
      <c r="I48" s="14" t="s">
        <v>139</v>
      </c>
      <c r="J48" s="16" t="s">
        <v>139</v>
      </c>
      <c r="K48" s="14">
        <v>0</v>
      </c>
      <c r="L48" s="16">
        <v>0</v>
      </c>
      <c r="M48" s="14">
        <v>0</v>
      </c>
      <c r="N48" s="16">
        <v>0</v>
      </c>
      <c r="O48" s="14">
        <v>0</v>
      </c>
      <c r="P48" s="16">
        <v>0</v>
      </c>
      <c r="Q48" s="14">
        <v>0</v>
      </c>
      <c r="R48" s="16">
        <v>0</v>
      </c>
    </row>
    <row r="49" spans="1:18" x14ac:dyDescent="0.25">
      <c r="A49" s="11" t="s">
        <v>182</v>
      </c>
      <c r="B49" s="17" t="s">
        <v>154</v>
      </c>
      <c r="C49" s="17" t="s">
        <v>154</v>
      </c>
      <c r="D49" s="18" t="s">
        <v>154</v>
      </c>
      <c r="E49" s="17" t="s">
        <v>154</v>
      </c>
      <c r="F49" s="18" t="s">
        <v>154</v>
      </c>
      <c r="G49" s="17" t="s">
        <v>154</v>
      </c>
      <c r="H49" s="18" t="s">
        <v>154</v>
      </c>
      <c r="I49" s="17" t="s">
        <v>154</v>
      </c>
      <c r="J49" s="18" t="s">
        <v>154</v>
      </c>
      <c r="K49" s="17" t="s">
        <v>154</v>
      </c>
      <c r="L49" s="18" t="s">
        <v>154</v>
      </c>
      <c r="M49" s="17" t="s">
        <v>154</v>
      </c>
      <c r="N49" s="18" t="s">
        <v>154</v>
      </c>
      <c r="O49" s="17" t="s">
        <v>154</v>
      </c>
      <c r="P49" s="18" t="s">
        <v>154</v>
      </c>
      <c r="Q49" s="17" t="s">
        <v>154</v>
      </c>
      <c r="R49" s="18" t="s">
        <v>154</v>
      </c>
    </row>
    <row r="50" spans="1:18" x14ac:dyDescent="0.25">
      <c r="A50" s="11" t="s">
        <v>183</v>
      </c>
      <c r="B50" s="13">
        <v>11795</v>
      </c>
      <c r="C50" s="14">
        <f>(9780/B50*100)</f>
        <v>82.916490038151764</v>
      </c>
      <c r="D50" s="15">
        <v>2015</v>
      </c>
      <c r="E50" s="14">
        <v>28.462001059999999</v>
      </c>
      <c r="F50" s="16">
        <v>1.40646651</v>
      </c>
      <c r="G50" s="14">
        <v>71.537998939999994</v>
      </c>
      <c r="H50" s="16">
        <v>1.40646651</v>
      </c>
      <c r="I50" s="14" t="s">
        <v>139</v>
      </c>
      <c r="J50" s="16" t="s">
        <v>139</v>
      </c>
      <c r="K50" s="14">
        <v>0</v>
      </c>
      <c r="L50" s="16">
        <v>0</v>
      </c>
      <c r="M50" s="14">
        <v>0</v>
      </c>
      <c r="N50" s="16">
        <v>0</v>
      </c>
      <c r="O50" s="14">
        <v>0</v>
      </c>
      <c r="P50" s="16">
        <v>0</v>
      </c>
      <c r="Q50" s="14">
        <v>0</v>
      </c>
      <c r="R50" s="16">
        <v>0</v>
      </c>
    </row>
    <row r="51" spans="1:18" x14ac:dyDescent="0.25">
      <c r="A51" s="11" t="s">
        <v>184</v>
      </c>
      <c r="B51" s="13">
        <v>6866</v>
      </c>
      <c r="C51" s="14">
        <f>(5844/B51*100)</f>
        <v>85.115059714535391</v>
      </c>
      <c r="D51" s="15">
        <v>1022</v>
      </c>
      <c r="E51" s="14">
        <v>20.449519710000001</v>
      </c>
      <c r="F51" s="16">
        <v>1.2044115099999999</v>
      </c>
      <c r="G51" s="14">
        <v>79.550480289999996</v>
      </c>
      <c r="H51" s="16">
        <v>1.2044115099999999</v>
      </c>
      <c r="I51" s="14" t="s">
        <v>139</v>
      </c>
      <c r="J51" s="16" t="s">
        <v>139</v>
      </c>
      <c r="K51" s="14">
        <v>0</v>
      </c>
      <c r="L51" s="16">
        <v>0</v>
      </c>
      <c r="M51" s="14">
        <v>0</v>
      </c>
      <c r="N51" s="16">
        <v>0</v>
      </c>
      <c r="O51" s="14">
        <v>0</v>
      </c>
      <c r="P51" s="16">
        <v>0</v>
      </c>
      <c r="Q51" s="14">
        <v>0</v>
      </c>
      <c r="R51" s="16">
        <v>0</v>
      </c>
    </row>
    <row r="52" spans="1:18" x14ac:dyDescent="0.25">
      <c r="A52" s="11" t="s">
        <v>185</v>
      </c>
      <c r="B52" s="13">
        <v>5809</v>
      </c>
      <c r="C52" s="14">
        <f>(4801/B52*100)</f>
        <v>82.647615768634878</v>
      </c>
      <c r="D52" s="15">
        <v>1008</v>
      </c>
      <c r="E52" s="14">
        <v>22.794781220000001</v>
      </c>
      <c r="F52" s="16">
        <v>1.29126494</v>
      </c>
      <c r="G52" s="14">
        <v>77.205218779999996</v>
      </c>
      <c r="H52" s="16">
        <v>1.29126494</v>
      </c>
      <c r="I52" s="14" t="s">
        <v>139</v>
      </c>
      <c r="J52" s="16" t="s">
        <v>139</v>
      </c>
      <c r="K52" s="14">
        <v>0</v>
      </c>
      <c r="L52" s="16">
        <v>0</v>
      </c>
      <c r="M52" s="14">
        <v>0</v>
      </c>
      <c r="N52" s="16">
        <v>0</v>
      </c>
      <c r="O52" s="14">
        <v>0</v>
      </c>
      <c r="P52" s="16">
        <v>0</v>
      </c>
      <c r="Q52" s="14">
        <v>0</v>
      </c>
      <c r="R52" s="16">
        <v>0</v>
      </c>
    </row>
    <row r="53" spans="1:18" x14ac:dyDescent="0.25">
      <c r="A53" s="11" t="s">
        <v>186</v>
      </c>
      <c r="B53" s="13">
        <v>5571</v>
      </c>
      <c r="C53" s="14">
        <f>(4604/B53*100)</f>
        <v>82.642254532399932</v>
      </c>
      <c r="D53" s="15">
        <v>967</v>
      </c>
      <c r="E53" s="14">
        <v>30.023127909999999</v>
      </c>
      <c r="F53" s="16">
        <v>1.52342727</v>
      </c>
      <c r="G53" s="14">
        <v>69.976872090000001</v>
      </c>
      <c r="H53" s="16">
        <v>1.52342727</v>
      </c>
      <c r="I53" s="14" t="s">
        <v>139</v>
      </c>
      <c r="J53" s="16" t="s">
        <v>139</v>
      </c>
      <c r="K53" s="14">
        <v>0</v>
      </c>
      <c r="L53" s="16">
        <v>0</v>
      </c>
      <c r="M53" s="14">
        <v>0</v>
      </c>
      <c r="N53" s="16">
        <v>0</v>
      </c>
      <c r="O53" s="14">
        <v>0</v>
      </c>
      <c r="P53" s="16">
        <v>0</v>
      </c>
      <c r="Q53" s="14">
        <v>0</v>
      </c>
      <c r="R53" s="16">
        <v>0</v>
      </c>
    </row>
    <row r="54" spans="1:18" x14ac:dyDescent="0.25">
      <c r="A54" s="11" t="s">
        <v>187</v>
      </c>
      <c r="B54" s="17" t="s">
        <v>154</v>
      </c>
      <c r="C54" s="17" t="s">
        <v>154</v>
      </c>
      <c r="D54" s="18" t="s">
        <v>154</v>
      </c>
      <c r="E54" s="17" t="s">
        <v>154</v>
      </c>
      <c r="F54" s="18" t="s">
        <v>154</v>
      </c>
      <c r="G54" s="17" t="s">
        <v>154</v>
      </c>
      <c r="H54" s="18" t="s">
        <v>154</v>
      </c>
      <c r="I54" s="17" t="s">
        <v>154</v>
      </c>
      <c r="J54" s="18" t="s">
        <v>154</v>
      </c>
      <c r="K54" s="17" t="s">
        <v>154</v>
      </c>
      <c r="L54" s="18" t="s">
        <v>154</v>
      </c>
      <c r="M54" s="17" t="s">
        <v>154</v>
      </c>
      <c r="N54" s="18" t="s">
        <v>154</v>
      </c>
      <c r="O54" s="17" t="s">
        <v>154</v>
      </c>
      <c r="P54" s="18" t="s">
        <v>154</v>
      </c>
      <c r="Q54" s="17" t="s">
        <v>154</v>
      </c>
      <c r="R54" s="18" t="s">
        <v>154</v>
      </c>
    </row>
    <row r="55" spans="1:18" x14ac:dyDescent="0.25">
      <c r="A55" s="11" t="s">
        <v>188</v>
      </c>
      <c r="B55" s="17" t="s">
        <v>154</v>
      </c>
      <c r="C55" s="17" t="s">
        <v>154</v>
      </c>
      <c r="D55" s="18" t="s">
        <v>154</v>
      </c>
      <c r="E55" s="17" t="s">
        <v>154</v>
      </c>
      <c r="F55" s="18" t="s">
        <v>154</v>
      </c>
      <c r="G55" s="17" t="s">
        <v>154</v>
      </c>
      <c r="H55" s="18" t="s">
        <v>154</v>
      </c>
      <c r="I55" s="17" t="s">
        <v>154</v>
      </c>
      <c r="J55" s="18" t="s">
        <v>154</v>
      </c>
      <c r="K55" s="17" t="s">
        <v>154</v>
      </c>
      <c r="L55" s="18" t="s">
        <v>154</v>
      </c>
      <c r="M55" s="17" t="s">
        <v>154</v>
      </c>
      <c r="N55" s="18" t="s">
        <v>154</v>
      </c>
      <c r="O55" s="17" t="s">
        <v>154</v>
      </c>
      <c r="P55" s="18" t="s">
        <v>154</v>
      </c>
      <c r="Q55" s="17" t="s">
        <v>154</v>
      </c>
      <c r="R55" s="18" t="s">
        <v>154</v>
      </c>
    </row>
    <row r="56" spans="1:18" x14ac:dyDescent="0.25">
      <c r="A56" s="11" t="s">
        <v>189</v>
      </c>
      <c r="B56" s="13">
        <v>5359</v>
      </c>
      <c r="C56" s="14">
        <f>(4443/B56*100)</f>
        <v>82.907258816943468</v>
      </c>
      <c r="D56" s="15">
        <v>916</v>
      </c>
      <c r="E56" s="14">
        <v>25.962366830000001</v>
      </c>
      <c r="F56" s="16">
        <v>1.7137938800000001</v>
      </c>
      <c r="G56" s="14">
        <v>74.037633170000007</v>
      </c>
      <c r="H56" s="16">
        <v>1.7137938800000001</v>
      </c>
      <c r="I56" s="14" t="s">
        <v>139</v>
      </c>
      <c r="J56" s="16" t="s">
        <v>139</v>
      </c>
      <c r="K56" s="14">
        <v>0</v>
      </c>
      <c r="L56" s="16">
        <v>0</v>
      </c>
      <c r="M56" s="14">
        <v>0</v>
      </c>
      <c r="N56" s="16">
        <v>0</v>
      </c>
      <c r="O56" s="14">
        <v>0</v>
      </c>
      <c r="P56" s="16">
        <v>0</v>
      </c>
      <c r="Q56" s="14">
        <v>0</v>
      </c>
      <c r="R56" s="16">
        <v>0</v>
      </c>
    </row>
    <row r="57" spans="1:18" x14ac:dyDescent="0.25">
      <c r="A57" s="11" t="s">
        <v>190</v>
      </c>
      <c r="B57" s="17" t="s">
        <v>154</v>
      </c>
      <c r="C57" s="17" t="s">
        <v>154</v>
      </c>
      <c r="D57" s="18" t="s">
        <v>154</v>
      </c>
      <c r="E57" s="17" t="s">
        <v>154</v>
      </c>
      <c r="F57" s="18" t="s">
        <v>154</v>
      </c>
      <c r="G57" s="17" t="s">
        <v>154</v>
      </c>
      <c r="H57" s="18" t="s">
        <v>154</v>
      </c>
      <c r="I57" s="17" t="s">
        <v>154</v>
      </c>
      <c r="J57" s="18" t="s">
        <v>154</v>
      </c>
      <c r="K57" s="17" t="s">
        <v>154</v>
      </c>
      <c r="L57" s="18" t="s">
        <v>154</v>
      </c>
      <c r="M57" s="17" t="s">
        <v>154</v>
      </c>
      <c r="N57" s="18" t="s">
        <v>154</v>
      </c>
      <c r="O57" s="17" t="s">
        <v>154</v>
      </c>
      <c r="P57" s="18" t="s">
        <v>154</v>
      </c>
      <c r="Q57" s="17" t="s">
        <v>154</v>
      </c>
      <c r="R57" s="18" t="s">
        <v>154</v>
      </c>
    </row>
    <row r="58" spans="1:18" x14ac:dyDescent="0.25">
      <c r="A58" s="11" t="s">
        <v>191</v>
      </c>
      <c r="B58" s="17" t="s">
        <v>154</v>
      </c>
      <c r="C58" s="17" t="s">
        <v>154</v>
      </c>
      <c r="D58" s="18" t="s">
        <v>154</v>
      </c>
      <c r="E58" s="17" t="s">
        <v>154</v>
      </c>
      <c r="F58" s="18" t="s">
        <v>154</v>
      </c>
      <c r="G58" s="17" t="s">
        <v>154</v>
      </c>
      <c r="H58" s="18" t="s">
        <v>154</v>
      </c>
      <c r="I58" s="17" t="s">
        <v>154</v>
      </c>
      <c r="J58" s="18" t="s">
        <v>154</v>
      </c>
      <c r="K58" s="17" t="s">
        <v>154</v>
      </c>
      <c r="L58" s="18" t="s">
        <v>154</v>
      </c>
      <c r="M58" s="17" t="s">
        <v>154</v>
      </c>
      <c r="N58" s="18" t="s">
        <v>154</v>
      </c>
      <c r="O58" s="17" t="s">
        <v>154</v>
      </c>
      <c r="P58" s="18" t="s">
        <v>154</v>
      </c>
      <c r="Q58" s="17" t="s">
        <v>154</v>
      </c>
      <c r="R58" s="18" t="s">
        <v>154</v>
      </c>
    </row>
    <row r="59" spans="1:18" x14ac:dyDescent="0.25">
      <c r="A59" s="11" t="s">
        <v>192</v>
      </c>
      <c r="B59" s="17" t="s">
        <v>154</v>
      </c>
      <c r="C59" s="17" t="s">
        <v>154</v>
      </c>
      <c r="D59" s="18" t="s">
        <v>154</v>
      </c>
      <c r="E59" s="17" t="s">
        <v>154</v>
      </c>
      <c r="F59" s="18" t="s">
        <v>154</v>
      </c>
      <c r="G59" s="17" t="s">
        <v>154</v>
      </c>
      <c r="H59" s="18" t="s">
        <v>154</v>
      </c>
      <c r="I59" s="17" t="s">
        <v>154</v>
      </c>
      <c r="J59" s="18" t="s">
        <v>154</v>
      </c>
      <c r="K59" s="17" t="s">
        <v>154</v>
      </c>
      <c r="L59" s="18" t="s">
        <v>154</v>
      </c>
      <c r="M59" s="17" t="s">
        <v>154</v>
      </c>
      <c r="N59" s="18" t="s">
        <v>154</v>
      </c>
      <c r="O59" s="17" t="s">
        <v>154</v>
      </c>
      <c r="P59" s="18" t="s">
        <v>154</v>
      </c>
      <c r="Q59" s="17" t="s">
        <v>154</v>
      </c>
      <c r="R59" s="18" t="s">
        <v>154</v>
      </c>
    </row>
    <row r="60" spans="1:18" x14ac:dyDescent="0.25">
      <c r="A60" s="11" t="s">
        <v>193</v>
      </c>
      <c r="B60" s="17" t="s">
        <v>154</v>
      </c>
      <c r="C60" s="17" t="s">
        <v>154</v>
      </c>
      <c r="D60" s="18" t="s">
        <v>154</v>
      </c>
      <c r="E60" s="17" t="s">
        <v>154</v>
      </c>
      <c r="F60" s="18" t="s">
        <v>154</v>
      </c>
      <c r="G60" s="17" t="s">
        <v>154</v>
      </c>
      <c r="H60" s="18" t="s">
        <v>154</v>
      </c>
      <c r="I60" s="17" t="s">
        <v>154</v>
      </c>
      <c r="J60" s="18" t="s">
        <v>154</v>
      </c>
      <c r="K60" s="17" t="s">
        <v>154</v>
      </c>
      <c r="L60" s="18" t="s">
        <v>154</v>
      </c>
      <c r="M60" s="17" t="s">
        <v>154</v>
      </c>
      <c r="N60" s="18" t="s">
        <v>154</v>
      </c>
      <c r="O60" s="17" t="s">
        <v>154</v>
      </c>
      <c r="P60" s="18" t="s">
        <v>154</v>
      </c>
      <c r="Q60" s="17" t="s">
        <v>154</v>
      </c>
      <c r="R60" s="18" t="s">
        <v>154</v>
      </c>
    </row>
    <row r="61" spans="1:18" x14ac:dyDescent="0.25">
      <c r="A61" s="11" t="s">
        <v>194</v>
      </c>
      <c r="B61" s="13">
        <v>6525</v>
      </c>
      <c r="C61" s="14">
        <f>(5385/B61*100)</f>
        <v>82.528735632183896</v>
      </c>
      <c r="D61" s="15">
        <v>1140</v>
      </c>
      <c r="E61" s="14">
        <v>16.986825920000001</v>
      </c>
      <c r="F61" s="16">
        <v>1.33783881</v>
      </c>
      <c r="G61" s="14">
        <v>83.013174079999999</v>
      </c>
      <c r="H61" s="16">
        <v>1.33783881</v>
      </c>
      <c r="I61" s="14" t="s">
        <v>139</v>
      </c>
      <c r="J61" s="16" t="s">
        <v>139</v>
      </c>
      <c r="K61" s="14">
        <v>0</v>
      </c>
      <c r="L61" s="16">
        <v>0</v>
      </c>
      <c r="M61" s="14">
        <v>0</v>
      </c>
      <c r="N61" s="16">
        <v>0</v>
      </c>
      <c r="O61" s="14">
        <v>0</v>
      </c>
      <c r="P61" s="16">
        <v>0</v>
      </c>
      <c r="Q61" s="14">
        <v>0</v>
      </c>
      <c r="R61" s="16">
        <v>0</v>
      </c>
    </row>
    <row r="62" spans="1:18" x14ac:dyDescent="0.25">
      <c r="A62" s="11" t="s">
        <v>195</v>
      </c>
      <c r="B62" s="13">
        <v>4476</v>
      </c>
      <c r="C62" s="14">
        <f>(3693/B62*100)</f>
        <v>82.506702412868634</v>
      </c>
      <c r="D62" s="15">
        <v>783</v>
      </c>
      <c r="E62" s="14">
        <v>22.58754411</v>
      </c>
      <c r="F62" s="16">
        <v>1.40753963</v>
      </c>
      <c r="G62" s="14">
        <v>77.412455890000004</v>
      </c>
      <c r="H62" s="16">
        <v>1.40753963</v>
      </c>
      <c r="I62" s="14" t="s">
        <v>139</v>
      </c>
      <c r="J62" s="16" t="s">
        <v>139</v>
      </c>
      <c r="K62" s="14">
        <v>0</v>
      </c>
      <c r="L62" s="16">
        <v>0</v>
      </c>
      <c r="M62" s="14">
        <v>0</v>
      </c>
      <c r="N62" s="16">
        <v>0</v>
      </c>
      <c r="O62" s="14">
        <v>0</v>
      </c>
      <c r="P62" s="16">
        <v>0</v>
      </c>
      <c r="Q62" s="14">
        <v>0</v>
      </c>
      <c r="R62" s="16">
        <v>0</v>
      </c>
    </row>
    <row r="63" spans="1:18" x14ac:dyDescent="0.25">
      <c r="A63" s="11" t="s">
        <v>196</v>
      </c>
      <c r="B63" s="17" t="s">
        <v>154</v>
      </c>
      <c r="C63" s="17" t="s">
        <v>154</v>
      </c>
      <c r="D63" s="18" t="s">
        <v>154</v>
      </c>
      <c r="E63" s="17" t="s">
        <v>154</v>
      </c>
      <c r="F63" s="18" t="s">
        <v>154</v>
      </c>
      <c r="G63" s="17" t="s">
        <v>154</v>
      </c>
      <c r="H63" s="18" t="s">
        <v>154</v>
      </c>
      <c r="I63" s="17" t="s">
        <v>154</v>
      </c>
      <c r="J63" s="18" t="s">
        <v>154</v>
      </c>
      <c r="K63" s="17" t="s">
        <v>154</v>
      </c>
      <c r="L63" s="18" t="s">
        <v>154</v>
      </c>
      <c r="M63" s="17" t="s">
        <v>154</v>
      </c>
      <c r="N63" s="18" t="s">
        <v>154</v>
      </c>
      <c r="O63" s="17" t="s">
        <v>154</v>
      </c>
      <c r="P63" s="18" t="s">
        <v>154</v>
      </c>
      <c r="Q63" s="17" t="s">
        <v>154</v>
      </c>
      <c r="R63" s="18" t="s">
        <v>154</v>
      </c>
    </row>
    <row r="64" spans="1:18" x14ac:dyDescent="0.25">
      <c r="A64" s="11" t="s">
        <v>197</v>
      </c>
      <c r="B64" s="17" t="s">
        <v>154</v>
      </c>
      <c r="C64" s="17" t="s">
        <v>154</v>
      </c>
      <c r="D64" s="18" t="s">
        <v>154</v>
      </c>
      <c r="E64" s="17" t="s">
        <v>154</v>
      </c>
      <c r="F64" s="18" t="s">
        <v>154</v>
      </c>
      <c r="G64" s="17" t="s">
        <v>154</v>
      </c>
      <c r="H64" s="18" t="s">
        <v>154</v>
      </c>
      <c r="I64" s="17" t="s">
        <v>154</v>
      </c>
      <c r="J64" s="18" t="s">
        <v>154</v>
      </c>
      <c r="K64" s="17" t="s">
        <v>154</v>
      </c>
      <c r="L64" s="18" t="s">
        <v>154</v>
      </c>
      <c r="M64" s="17" t="s">
        <v>154</v>
      </c>
      <c r="N64" s="18" t="s">
        <v>154</v>
      </c>
      <c r="O64" s="17" t="s">
        <v>154</v>
      </c>
      <c r="P64" s="18" t="s">
        <v>154</v>
      </c>
      <c r="Q64" s="17" t="s">
        <v>154</v>
      </c>
      <c r="R64" s="18" t="s">
        <v>154</v>
      </c>
    </row>
    <row r="65" spans="1:18" x14ac:dyDescent="0.25">
      <c r="A65" s="11" t="s">
        <v>198</v>
      </c>
      <c r="B65" s="17" t="s">
        <v>154</v>
      </c>
      <c r="C65" s="17" t="s">
        <v>154</v>
      </c>
      <c r="D65" s="18" t="s">
        <v>154</v>
      </c>
      <c r="E65" s="17" t="s">
        <v>154</v>
      </c>
      <c r="F65" s="18" t="s">
        <v>154</v>
      </c>
      <c r="G65" s="17" t="s">
        <v>154</v>
      </c>
      <c r="H65" s="18" t="s">
        <v>154</v>
      </c>
      <c r="I65" s="17" t="s">
        <v>154</v>
      </c>
      <c r="J65" s="18" t="s">
        <v>154</v>
      </c>
      <c r="K65" s="17" t="s">
        <v>154</v>
      </c>
      <c r="L65" s="18" t="s">
        <v>154</v>
      </c>
      <c r="M65" s="17" t="s">
        <v>154</v>
      </c>
      <c r="N65" s="18" t="s">
        <v>154</v>
      </c>
      <c r="O65" s="17" t="s">
        <v>154</v>
      </c>
      <c r="P65" s="18" t="s">
        <v>154</v>
      </c>
      <c r="Q65" s="17" t="s">
        <v>154</v>
      </c>
      <c r="R65" s="18" t="s">
        <v>154</v>
      </c>
    </row>
    <row r="66" spans="1:18" x14ac:dyDescent="0.25">
      <c r="A66" s="11" t="s">
        <v>199</v>
      </c>
      <c r="B66" s="13">
        <v>5665</v>
      </c>
      <c r="C66" s="14">
        <f>(4694/B66*100)</f>
        <v>82.85966460723742</v>
      </c>
      <c r="D66" s="15">
        <v>971</v>
      </c>
      <c r="E66" s="14">
        <v>27.511880690000002</v>
      </c>
      <c r="F66" s="16">
        <v>1.66813678</v>
      </c>
      <c r="G66" s="14">
        <v>72.488119310000002</v>
      </c>
      <c r="H66" s="16">
        <v>1.66813678</v>
      </c>
      <c r="I66" s="14" t="s">
        <v>139</v>
      </c>
      <c r="J66" s="16" t="s">
        <v>139</v>
      </c>
      <c r="K66" s="14">
        <v>0</v>
      </c>
      <c r="L66" s="16">
        <v>0</v>
      </c>
      <c r="M66" s="14">
        <v>0</v>
      </c>
      <c r="N66" s="16">
        <v>0</v>
      </c>
      <c r="O66" s="14">
        <v>0</v>
      </c>
      <c r="P66" s="16">
        <v>0</v>
      </c>
      <c r="Q66" s="14">
        <v>0</v>
      </c>
      <c r="R66" s="16">
        <v>0</v>
      </c>
    </row>
    <row r="67" spans="1:18" x14ac:dyDescent="0.25">
      <c r="A67" s="11" t="s">
        <v>200</v>
      </c>
      <c r="B67" s="13">
        <v>6971</v>
      </c>
      <c r="C67" s="14">
        <f>(5816/B67*100)</f>
        <v>83.431358485152771</v>
      </c>
      <c r="D67" s="15">
        <v>1155</v>
      </c>
      <c r="E67" s="14">
        <v>30.467944159999998</v>
      </c>
      <c r="F67" s="16">
        <v>1.26826153</v>
      </c>
      <c r="G67" s="14">
        <v>69.532055839999998</v>
      </c>
      <c r="H67" s="16">
        <v>1.26826153</v>
      </c>
      <c r="I67" s="14" t="s">
        <v>139</v>
      </c>
      <c r="J67" s="16" t="s">
        <v>139</v>
      </c>
      <c r="K67" s="14">
        <v>0</v>
      </c>
      <c r="L67" s="16">
        <v>0</v>
      </c>
      <c r="M67" s="14">
        <v>0</v>
      </c>
      <c r="N67" s="16">
        <v>0</v>
      </c>
      <c r="O67" s="14">
        <v>0</v>
      </c>
      <c r="P67" s="16">
        <v>0</v>
      </c>
      <c r="Q67" s="14">
        <v>0</v>
      </c>
      <c r="R67" s="16">
        <v>0</v>
      </c>
    </row>
    <row r="68" spans="1:18" x14ac:dyDescent="0.25">
      <c r="A68" s="11" t="s">
        <v>201</v>
      </c>
      <c r="B68" s="17" t="s">
        <v>154</v>
      </c>
      <c r="C68" s="17" t="s">
        <v>154</v>
      </c>
      <c r="D68" s="18" t="s">
        <v>154</v>
      </c>
      <c r="E68" s="17" t="s">
        <v>154</v>
      </c>
      <c r="F68" s="18" t="s">
        <v>154</v>
      </c>
      <c r="G68" s="17" t="s">
        <v>154</v>
      </c>
      <c r="H68" s="18" t="s">
        <v>154</v>
      </c>
      <c r="I68" s="17" t="s">
        <v>154</v>
      </c>
      <c r="J68" s="18" t="s">
        <v>154</v>
      </c>
      <c r="K68" s="17" t="s">
        <v>154</v>
      </c>
      <c r="L68" s="18" t="s">
        <v>154</v>
      </c>
      <c r="M68" s="17" t="s">
        <v>154</v>
      </c>
      <c r="N68" s="18" t="s">
        <v>154</v>
      </c>
      <c r="O68" s="17" t="s">
        <v>154</v>
      </c>
      <c r="P68" s="18" t="s">
        <v>154</v>
      </c>
      <c r="Q68" s="17" t="s">
        <v>154</v>
      </c>
      <c r="R68" s="18" t="s">
        <v>154</v>
      </c>
    </row>
    <row r="69" spans="1:18" x14ac:dyDescent="0.25">
      <c r="A69" s="11" t="s">
        <v>202</v>
      </c>
      <c r="B69" s="17" t="s">
        <v>154</v>
      </c>
      <c r="C69" s="17" t="s">
        <v>154</v>
      </c>
      <c r="D69" s="18" t="s">
        <v>154</v>
      </c>
      <c r="E69" s="17" t="s">
        <v>154</v>
      </c>
      <c r="F69" s="18" t="s">
        <v>154</v>
      </c>
      <c r="G69" s="17" t="s">
        <v>154</v>
      </c>
      <c r="H69" s="18" t="s">
        <v>154</v>
      </c>
      <c r="I69" s="17" t="s">
        <v>154</v>
      </c>
      <c r="J69" s="18" t="s">
        <v>154</v>
      </c>
      <c r="K69" s="17" t="s">
        <v>154</v>
      </c>
      <c r="L69" s="18" t="s">
        <v>154</v>
      </c>
      <c r="M69" s="17" t="s">
        <v>154</v>
      </c>
      <c r="N69" s="18" t="s">
        <v>154</v>
      </c>
      <c r="O69" s="17" t="s">
        <v>154</v>
      </c>
      <c r="P69" s="18" t="s">
        <v>154</v>
      </c>
      <c r="Q69" s="17" t="s">
        <v>154</v>
      </c>
      <c r="R69" s="18" t="s">
        <v>154</v>
      </c>
    </row>
    <row r="70" spans="1:18" x14ac:dyDescent="0.25">
      <c r="A70" s="11" t="s">
        <v>203</v>
      </c>
      <c r="B70" s="13">
        <v>6036</v>
      </c>
      <c r="C70" s="14">
        <f>(4996/B70*100)</f>
        <v>82.770046388336652</v>
      </c>
      <c r="D70" s="15">
        <v>1040</v>
      </c>
      <c r="E70" s="14">
        <v>19.251603299999999</v>
      </c>
      <c r="F70" s="16">
        <v>1.2524791799999999</v>
      </c>
      <c r="G70" s="14">
        <v>80.748396700000001</v>
      </c>
      <c r="H70" s="16">
        <v>1.2524791799999999</v>
      </c>
      <c r="I70" s="14" t="s">
        <v>139</v>
      </c>
      <c r="J70" s="16" t="s">
        <v>139</v>
      </c>
      <c r="K70" s="14">
        <v>0</v>
      </c>
      <c r="L70" s="16">
        <v>0</v>
      </c>
      <c r="M70" s="14">
        <v>0</v>
      </c>
      <c r="N70" s="16">
        <v>0</v>
      </c>
      <c r="O70" s="14">
        <v>0</v>
      </c>
      <c r="P70" s="16">
        <v>0</v>
      </c>
      <c r="Q70" s="14">
        <v>0</v>
      </c>
      <c r="R70" s="16">
        <v>0</v>
      </c>
    </row>
    <row r="71" spans="1:18" x14ac:dyDescent="0.25">
      <c r="A71" s="11" t="s">
        <v>204</v>
      </c>
      <c r="B71" s="17" t="s">
        <v>154</v>
      </c>
      <c r="C71" s="17" t="s">
        <v>154</v>
      </c>
      <c r="D71" s="18" t="s">
        <v>154</v>
      </c>
      <c r="E71" s="17" t="s">
        <v>154</v>
      </c>
      <c r="F71" s="18" t="s">
        <v>154</v>
      </c>
      <c r="G71" s="17" t="s">
        <v>154</v>
      </c>
      <c r="H71" s="18" t="s">
        <v>154</v>
      </c>
      <c r="I71" s="17" t="s">
        <v>154</v>
      </c>
      <c r="J71" s="18" t="s">
        <v>154</v>
      </c>
      <c r="K71" s="17" t="s">
        <v>154</v>
      </c>
      <c r="L71" s="18" t="s">
        <v>154</v>
      </c>
      <c r="M71" s="17" t="s">
        <v>154</v>
      </c>
      <c r="N71" s="18" t="s">
        <v>154</v>
      </c>
      <c r="O71" s="17" t="s">
        <v>154</v>
      </c>
      <c r="P71" s="18" t="s">
        <v>154</v>
      </c>
      <c r="Q71" s="17" t="s">
        <v>154</v>
      </c>
      <c r="R71" s="18" t="s">
        <v>154</v>
      </c>
    </row>
    <row r="72" spans="1:18" x14ac:dyDescent="0.25">
      <c r="A72" s="11" t="s">
        <v>205</v>
      </c>
      <c r="B72" s="13">
        <v>7708</v>
      </c>
      <c r="C72" s="14">
        <f>(6389/B72*100)</f>
        <v>82.887908666320712</v>
      </c>
      <c r="D72" s="15">
        <v>1319</v>
      </c>
      <c r="E72" s="14">
        <v>15.74721654</v>
      </c>
      <c r="F72" s="16">
        <v>1.0529605099999999</v>
      </c>
      <c r="G72" s="14">
        <v>84.252783460000003</v>
      </c>
      <c r="H72" s="16">
        <v>1.0529605099999999</v>
      </c>
      <c r="I72" s="14" t="s">
        <v>139</v>
      </c>
      <c r="J72" s="16" t="s">
        <v>139</v>
      </c>
      <c r="K72" s="14">
        <v>0</v>
      </c>
      <c r="L72" s="16">
        <v>0</v>
      </c>
      <c r="M72" s="14">
        <v>0</v>
      </c>
      <c r="N72" s="16">
        <v>0</v>
      </c>
      <c r="O72" s="14">
        <v>0</v>
      </c>
      <c r="P72" s="16">
        <v>0</v>
      </c>
      <c r="Q72" s="14">
        <v>0</v>
      </c>
      <c r="R72" s="16">
        <v>0</v>
      </c>
    </row>
    <row r="73" spans="1:18" x14ac:dyDescent="0.25">
      <c r="A73" s="11" t="s">
        <v>206</v>
      </c>
      <c r="B73" s="13">
        <v>8249</v>
      </c>
      <c r="C73" s="14">
        <f>(6863/B73*100)</f>
        <v>83.197963389501766</v>
      </c>
      <c r="D73" s="15">
        <v>1386</v>
      </c>
      <c r="E73" s="14">
        <v>30.489110749999998</v>
      </c>
      <c r="F73" s="16">
        <v>1.57386329</v>
      </c>
      <c r="G73" s="14">
        <v>69.510889250000005</v>
      </c>
      <c r="H73" s="16">
        <v>1.57386329</v>
      </c>
      <c r="I73" s="14" t="s">
        <v>139</v>
      </c>
      <c r="J73" s="16" t="s">
        <v>139</v>
      </c>
      <c r="K73" s="14">
        <v>0</v>
      </c>
      <c r="L73" s="16">
        <v>0</v>
      </c>
      <c r="M73" s="14">
        <v>0</v>
      </c>
      <c r="N73" s="16">
        <v>0</v>
      </c>
      <c r="O73" s="14">
        <v>0</v>
      </c>
      <c r="P73" s="16">
        <v>0</v>
      </c>
      <c r="Q73" s="14">
        <v>0</v>
      </c>
      <c r="R73" s="16">
        <v>0</v>
      </c>
    </row>
    <row r="74" spans="1:18" x14ac:dyDescent="0.25">
      <c r="A74" s="11" t="s">
        <v>207</v>
      </c>
      <c r="B74" s="17" t="s">
        <v>154</v>
      </c>
      <c r="C74" s="17" t="s">
        <v>154</v>
      </c>
      <c r="D74" s="18" t="s">
        <v>154</v>
      </c>
      <c r="E74" s="17" t="s">
        <v>154</v>
      </c>
      <c r="F74" s="18" t="s">
        <v>154</v>
      </c>
      <c r="G74" s="17" t="s">
        <v>154</v>
      </c>
      <c r="H74" s="18" t="s">
        <v>154</v>
      </c>
      <c r="I74" s="17" t="s">
        <v>154</v>
      </c>
      <c r="J74" s="18" t="s">
        <v>154</v>
      </c>
      <c r="K74" s="17" t="s">
        <v>154</v>
      </c>
      <c r="L74" s="18" t="s">
        <v>154</v>
      </c>
      <c r="M74" s="17" t="s">
        <v>154</v>
      </c>
      <c r="N74" s="18" t="s">
        <v>154</v>
      </c>
      <c r="O74" s="17" t="s">
        <v>154</v>
      </c>
      <c r="P74" s="18" t="s">
        <v>154</v>
      </c>
      <c r="Q74" s="17" t="s">
        <v>154</v>
      </c>
      <c r="R74" s="18" t="s">
        <v>154</v>
      </c>
    </row>
    <row r="75" spans="1:18" x14ac:dyDescent="0.25">
      <c r="A75" s="11" t="s">
        <v>208</v>
      </c>
      <c r="B75" s="13">
        <v>5375</v>
      </c>
      <c r="C75" s="14">
        <f>(4484/B75*100)</f>
        <v>83.423255813953489</v>
      </c>
      <c r="D75" s="15">
        <v>891</v>
      </c>
      <c r="E75" s="14">
        <v>40.127378569999998</v>
      </c>
      <c r="F75" s="16">
        <v>1.9771784800000001</v>
      </c>
      <c r="G75" s="14">
        <v>59.872621430000002</v>
      </c>
      <c r="H75" s="16">
        <v>1.9771784800000001</v>
      </c>
      <c r="I75" s="14" t="s">
        <v>139</v>
      </c>
      <c r="J75" s="16" t="s">
        <v>139</v>
      </c>
      <c r="K75" s="14">
        <v>0</v>
      </c>
      <c r="L75" s="16">
        <v>0</v>
      </c>
      <c r="M75" s="14">
        <v>0</v>
      </c>
      <c r="N75" s="16">
        <v>0</v>
      </c>
      <c r="O75" s="14">
        <v>0</v>
      </c>
      <c r="P75" s="16">
        <v>0</v>
      </c>
      <c r="Q75" s="14">
        <v>0</v>
      </c>
      <c r="R75" s="16">
        <v>0</v>
      </c>
    </row>
    <row r="76" spans="1:18" x14ac:dyDescent="0.25">
      <c r="A76" s="11" t="s">
        <v>209</v>
      </c>
      <c r="B76" s="13">
        <v>14167</v>
      </c>
      <c r="C76" s="14">
        <f>(11779/B76*100)</f>
        <v>83.143926025270005</v>
      </c>
      <c r="D76" s="15">
        <v>2388</v>
      </c>
      <c r="E76" s="14">
        <v>28.496553339999998</v>
      </c>
      <c r="F76" s="16">
        <v>1.1857816699999999</v>
      </c>
      <c r="G76" s="14">
        <v>71.503446659999994</v>
      </c>
      <c r="H76" s="16">
        <v>1.1857816699999999</v>
      </c>
      <c r="I76" s="14" t="s">
        <v>139</v>
      </c>
      <c r="J76" s="16" t="s">
        <v>139</v>
      </c>
      <c r="K76" s="14">
        <v>0</v>
      </c>
      <c r="L76" s="16">
        <v>0</v>
      </c>
      <c r="M76" s="14">
        <v>0</v>
      </c>
      <c r="N76" s="16">
        <v>0</v>
      </c>
      <c r="O76" s="14">
        <v>0</v>
      </c>
      <c r="P76" s="16">
        <v>0</v>
      </c>
      <c r="Q76" s="14">
        <v>0</v>
      </c>
      <c r="R76" s="16">
        <v>0</v>
      </c>
    </row>
    <row r="77" spans="1:18" x14ac:dyDescent="0.25">
      <c r="A77" s="11" t="s">
        <v>210</v>
      </c>
      <c r="B77" s="13">
        <v>6062</v>
      </c>
      <c r="C77" s="14">
        <f>(4996/B77*100)</f>
        <v>82.415044539755854</v>
      </c>
      <c r="D77" s="15">
        <v>1066</v>
      </c>
      <c r="E77" s="14">
        <v>29.742555899999999</v>
      </c>
      <c r="F77" s="16">
        <v>1.4163705099999999</v>
      </c>
      <c r="G77" s="14">
        <v>70.257444100000001</v>
      </c>
      <c r="H77" s="16">
        <v>1.4163705099999999</v>
      </c>
      <c r="I77" s="14" t="s">
        <v>139</v>
      </c>
      <c r="J77" s="16" t="s">
        <v>139</v>
      </c>
      <c r="K77" s="14">
        <v>0</v>
      </c>
      <c r="L77" s="16">
        <v>0</v>
      </c>
      <c r="M77" s="14">
        <v>0</v>
      </c>
      <c r="N77" s="16">
        <v>0</v>
      </c>
      <c r="O77" s="14">
        <v>0</v>
      </c>
      <c r="P77" s="16">
        <v>0</v>
      </c>
      <c r="Q77" s="14">
        <v>0</v>
      </c>
      <c r="R77" s="16">
        <v>0</v>
      </c>
    </row>
    <row r="78" spans="1:18" x14ac:dyDescent="0.25">
      <c r="A78" s="11" t="s">
        <v>211</v>
      </c>
      <c r="B78" s="17" t="s">
        <v>154</v>
      </c>
      <c r="C78" s="17" t="s">
        <v>154</v>
      </c>
      <c r="D78" s="18" t="s">
        <v>154</v>
      </c>
      <c r="E78" s="17" t="s">
        <v>154</v>
      </c>
      <c r="F78" s="18" t="s">
        <v>154</v>
      </c>
      <c r="G78" s="17" t="s">
        <v>154</v>
      </c>
      <c r="H78" s="18" t="s">
        <v>154</v>
      </c>
      <c r="I78" s="17" t="s">
        <v>154</v>
      </c>
      <c r="J78" s="18" t="s">
        <v>154</v>
      </c>
      <c r="K78" s="17" t="s">
        <v>154</v>
      </c>
      <c r="L78" s="18" t="s">
        <v>154</v>
      </c>
      <c r="M78" s="17" t="s">
        <v>154</v>
      </c>
      <c r="N78" s="18" t="s">
        <v>154</v>
      </c>
      <c r="O78" s="17" t="s">
        <v>154</v>
      </c>
      <c r="P78" s="18" t="s">
        <v>154</v>
      </c>
      <c r="Q78" s="17" t="s">
        <v>154</v>
      </c>
      <c r="R78" s="18" t="s">
        <v>154</v>
      </c>
    </row>
    <row r="79" spans="1:18" ht="24.95" customHeight="1" x14ac:dyDescent="0.25">
      <c r="A79" s="11" t="s">
        <v>212</v>
      </c>
      <c r="B79" s="17" t="s">
        <v>154</v>
      </c>
      <c r="C79" s="17" t="s">
        <v>154</v>
      </c>
      <c r="D79" s="18" t="s">
        <v>154</v>
      </c>
      <c r="E79" s="17" t="s">
        <v>154</v>
      </c>
      <c r="F79" s="18" t="s">
        <v>154</v>
      </c>
      <c r="G79" s="17" t="s">
        <v>154</v>
      </c>
      <c r="H79" s="18" t="s">
        <v>154</v>
      </c>
      <c r="I79" s="17" t="s">
        <v>154</v>
      </c>
      <c r="J79" s="18" t="s">
        <v>154</v>
      </c>
      <c r="K79" s="17" t="s">
        <v>154</v>
      </c>
      <c r="L79" s="18" t="s">
        <v>154</v>
      </c>
      <c r="M79" s="17" t="s">
        <v>154</v>
      </c>
      <c r="N79" s="18" t="s">
        <v>154</v>
      </c>
      <c r="O79" s="17" t="s">
        <v>154</v>
      </c>
      <c r="P79" s="18" t="s">
        <v>154</v>
      </c>
      <c r="Q79" s="17" t="s">
        <v>154</v>
      </c>
      <c r="R79" s="18" t="s">
        <v>154</v>
      </c>
    </row>
    <row r="80" spans="1:18" x14ac:dyDescent="0.25">
      <c r="A80" s="11" t="s">
        <v>213</v>
      </c>
      <c r="B80" s="17" t="s">
        <v>154</v>
      </c>
      <c r="C80" s="17" t="s">
        <v>154</v>
      </c>
      <c r="D80" s="18" t="s">
        <v>154</v>
      </c>
      <c r="E80" s="17" t="s">
        <v>154</v>
      </c>
      <c r="F80" s="18" t="s">
        <v>154</v>
      </c>
      <c r="G80" s="17" t="s">
        <v>154</v>
      </c>
      <c r="H80" s="18" t="s">
        <v>154</v>
      </c>
      <c r="I80" s="17" t="s">
        <v>154</v>
      </c>
      <c r="J80" s="18" t="s">
        <v>154</v>
      </c>
      <c r="K80" s="17" t="s">
        <v>154</v>
      </c>
      <c r="L80" s="18" t="s">
        <v>154</v>
      </c>
      <c r="M80" s="17" t="s">
        <v>154</v>
      </c>
      <c r="N80" s="18" t="s">
        <v>154</v>
      </c>
      <c r="O80" s="17" t="s">
        <v>154</v>
      </c>
      <c r="P80" s="18" t="s">
        <v>154</v>
      </c>
      <c r="Q80" s="17" t="s">
        <v>154</v>
      </c>
      <c r="R80" s="18" t="s">
        <v>154</v>
      </c>
    </row>
    <row r="81" spans="1:18" x14ac:dyDescent="0.25">
      <c r="A81" s="19" t="s">
        <v>214</v>
      </c>
      <c r="B81" s="13">
        <v>8861</v>
      </c>
      <c r="C81" s="14">
        <f>(7310/B81*100)</f>
        <v>82.49633224241056</v>
      </c>
      <c r="D81" s="15">
        <v>1551</v>
      </c>
      <c r="E81" s="14">
        <v>28.884336600000001</v>
      </c>
      <c r="F81" s="16">
        <v>1.44993061</v>
      </c>
      <c r="G81" s="14">
        <v>71.115663400000003</v>
      </c>
      <c r="H81" s="16">
        <v>1.44993061</v>
      </c>
      <c r="I81" s="14" t="s">
        <v>139</v>
      </c>
      <c r="J81" s="16" t="s">
        <v>139</v>
      </c>
      <c r="K81" s="14">
        <v>0</v>
      </c>
      <c r="L81" s="16">
        <v>0</v>
      </c>
      <c r="M81" s="14">
        <v>0</v>
      </c>
      <c r="N81" s="16">
        <v>0</v>
      </c>
      <c r="O81" s="14">
        <v>0</v>
      </c>
      <c r="P81" s="16">
        <v>0</v>
      </c>
      <c r="Q81" s="14">
        <v>0</v>
      </c>
      <c r="R81" s="16">
        <v>0</v>
      </c>
    </row>
    <row r="82" spans="1:18" x14ac:dyDescent="0.25">
      <c r="A82" s="20"/>
      <c r="B82" s="20" t="s">
        <v>215</v>
      </c>
      <c r="C82" s="20" t="s">
        <v>215</v>
      </c>
      <c r="D82" s="20" t="s">
        <v>215</v>
      </c>
      <c r="E82" s="20" t="s">
        <v>215</v>
      </c>
      <c r="F82" s="20" t="s">
        <v>215</v>
      </c>
      <c r="G82" s="20" t="s">
        <v>215</v>
      </c>
      <c r="H82" s="20" t="s">
        <v>215</v>
      </c>
      <c r="I82" s="20" t="s">
        <v>215</v>
      </c>
      <c r="J82" s="20" t="s">
        <v>215</v>
      </c>
      <c r="K82" s="20" t="s">
        <v>215</v>
      </c>
      <c r="L82" s="20" t="s">
        <v>215</v>
      </c>
      <c r="M82" s="20" t="s">
        <v>215</v>
      </c>
      <c r="N82" s="20" t="s">
        <v>215</v>
      </c>
      <c r="O82" s="20" t="s">
        <v>215</v>
      </c>
      <c r="P82" s="20" t="s">
        <v>215</v>
      </c>
      <c r="Q82" s="20" t="s">
        <v>215</v>
      </c>
      <c r="R82" s="20" t="s">
        <v>215</v>
      </c>
    </row>
    <row r="83" spans="1:18" x14ac:dyDescent="0.25">
      <c r="A83" s="3" t="s">
        <v>216</v>
      </c>
    </row>
    <row r="84" spans="1:18" x14ac:dyDescent="0.25">
      <c r="A84" s="22" t="s">
        <v>217</v>
      </c>
      <c r="B84" s="23"/>
      <c r="C84" s="23"/>
      <c r="D84" s="23"/>
      <c r="E84" s="23"/>
      <c r="F84" s="23"/>
      <c r="G84" s="23"/>
      <c r="H84" s="23"/>
      <c r="I84" s="23"/>
      <c r="J84" s="23"/>
      <c r="K84" s="23"/>
      <c r="L84" s="23"/>
      <c r="M84" s="23"/>
      <c r="N84" s="23"/>
      <c r="O84" s="23"/>
      <c r="P84" s="23"/>
      <c r="Q84" s="23"/>
      <c r="R84" s="23"/>
    </row>
    <row r="85" spans="1:18" x14ac:dyDescent="0.25">
      <c r="A85" s="22" t="s">
        <v>218</v>
      </c>
      <c r="B85" s="23"/>
      <c r="C85" s="23"/>
      <c r="D85" s="23"/>
      <c r="E85" s="23"/>
      <c r="F85" s="23"/>
      <c r="G85" s="23"/>
      <c r="H85" s="23"/>
      <c r="I85" s="23"/>
      <c r="J85" s="23"/>
      <c r="K85" s="23"/>
      <c r="L85" s="23"/>
      <c r="M85" s="23"/>
      <c r="N85" s="23"/>
      <c r="O85" s="23"/>
      <c r="P85" s="23"/>
      <c r="Q85" s="23"/>
      <c r="R85" s="23"/>
    </row>
    <row r="86" spans="1:18" ht="30" customHeight="1" x14ac:dyDescent="0.25">
      <c r="A86" s="22" t="s">
        <v>219</v>
      </c>
      <c r="B86" s="23"/>
      <c r="C86" s="23"/>
      <c r="D86" s="23"/>
      <c r="E86" s="23"/>
      <c r="F86" s="23"/>
      <c r="G86" s="23"/>
      <c r="H86" s="23"/>
      <c r="I86" s="23"/>
      <c r="J86" s="23"/>
      <c r="K86" s="23"/>
      <c r="L86" s="23"/>
      <c r="M86" s="23"/>
      <c r="N86" s="23"/>
      <c r="O86" s="23"/>
      <c r="P86" s="23"/>
      <c r="Q86" s="23"/>
      <c r="R86" s="23"/>
    </row>
    <row r="87" spans="1:18" ht="30" customHeight="1" x14ac:dyDescent="0.25">
      <c r="A87" s="22" t="s">
        <v>215</v>
      </c>
      <c r="B87" s="23"/>
      <c r="C87" s="23"/>
      <c r="D87" s="23"/>
      <c r="E87" s="23"/>
      <c r="F87" s="23"/>
      <c r="G87" s="23"/>
      <c r="H87" s="23"/>
      <c r="I87" s="23"/>
      <c r="J87" s="23"/>
      <c r="K87" s="23"/>
      <c r="L87" s="23"/>
      <c r="M87" s="23"/>
      <c r="N87" s="23"/>
      <c r="O87" s="23"/>
      <c r="P87" s="23"/>
      <c r="Q87" s="23"/>
      <c r="R87" s="23"/>
    </row>
    <row r="88" spans="1:18" ht="30" customHeight="1" x14ac:dyDescent="0.25">
      <c r="A88" s="22" t="s">
        <v>220</v>
      </c>
      <c r="B88" s="23"/>
      <c r="C88" s="23"/>
      <c r="D88" s="23"/>
      <c r="E88" s="23"/>
      <c r="F88" s="23"/>
      <c r="G88" s="23"/>
      <c r="H88" s="23"/>
      <c r="I88" s="23"/>
      <c r="J88" s="23"/>
      <c r="K88" s="23"/>
      <c r="L88" s="23"/>
      <c r="M88" s="23"/>
      <c r="N88" s="23"/>
      <c r="O88" s="23"/>
      <c r="P88" s="23"/>
      <c r="Q88" s="23"/>
      <c r="R88" s="23"/>
    </row>
    <row r="89" spans="1:18" ht="30" customHeight="1" x14ac:dyDescent="0.25">
      <c r="A89" s="22" t="s">
        <v>221</v>
      </c>
      <c r="B89" s="23"/>
      <c r="C89" s="23"/>
      <c r="D89" s="23"/>
      <c r="E89" s="23"/>
      <c r="F89" s="23"/>
      <c r="G89" s="23"/>
      <c r="H89" s="23"/>
      <c r="I89" s="23"/>
      <c r="J89" s="23"/>
      <c r="K89" s="23"/>
      <c r="L89" s="23"/>
      <c r="M89" s="23"/>
      <c r="N89" s="23"/>
      <c r="O89" s="23"/>
      <c r="P89" s="23"/>
      <c r="Q89" s="23"/>
      <c r="R89" s="23"/>
    </row>
    <row r="90" spans="1:18" ht="30" customHeight="1" x14ac:dyDescent="0.25">
      <c r="A90" s="22" t="s">
        <v>222</v>
      </c>
      <c r="B90" s="23"/>
      <c r="C90" s="23"/>
      <c r="D90" s="23"/>
      <c r="E90" s="23"/>
      <c r="F90" s="23"/>
      <c r="G90" s="23"/>
      <c r="H90" s="23"/>
      <c r="I90" s="23"/>
      <c r="J90" s="23"/>
      <c r="K90" s="23"/>
      <c r="L90" s="23"/>
      <c r="M90" s="23"/>
      <c r="N90" s="23"/>
      <c r="O90" s="23"/>
      <c r="P90" s="23"/>
      <c r="Q90" s="23"/>
      <c r="R90" s="23"/>
    </row>
    <row r="91" spans="1:18" ht="30" customHeight="1" x14ac:dyDescent="0.25">
      <c r="A91" s="22" t="s">
        <v>223</v>
      </c>
      <c r="B91" s="23"/>
      <c r="C91" s="23"/>
      <c r="D91" s="23"/>
      <c r="E91" s="23"/>
      <c r="F91" s="23"/>
      <c r="G91" s="23"/>
      <c r="H91" s="23"/>
      <c r="I91" s="23"/>
      <c r="J91" s="23"/>
      <c r="K91" s="23"/>
      <c r="L91" s="23"/>
      <c r="M91" s="23"/>
      <c r="N91" s="23"/>
      <c r="O91" s="23"/>
      <c r="P91" s="23"/>
      <c r="Q91" s="23"/>
      <c r="R91" s="23"/>
    </row>
    <row r="92" spans="1:18" ht="30" customHeight="1" x14ac:dyDescent="0.25">
      <c r="A92" s="22" t="s">
        <v>224</v>
      </c>
      <c r="B92" s="23"/>
      <c r="C92" s="23"/>
      <c r="D92" s="23"/>
      <c r="E92" s="23"/>
      <c r="F92" s="23"/>
      <c r="G92" s="23"/>
      <c r="H92" s="23"/>
      <c r="I92" s="23"/>
      <c r="J92" s="23"/>
      <c r="K92" s="23"/>
      <c r="L92" s="23"/>
      <c r="M92" s="23"/>
      <c r="N92" s="23"/>
      <c r="O92" s="23"/>
      <c r="P92" s="23"/>
      <c r="Q92" s="23"/>
      <c r="R92" s="23"/>
    </row>
    <row r="93" spans="1:18" ht="30" customHeight="1" x14ac:dyDescent="0.25">
      <c r="A93" s="22" t="s">
        <v>225</v>
      </c>
      <c r="B93" s="23"/>
      <c r="C93" s="23"/>
      <c r="D93" s="23"/>
      <c r="E93" s="23"/>
      <c r="F93" s="23"/>
      <c r="G93" s="23"/>
      <c r="H93" s="23"/>
      <c r="I93" s="23"/>
      <c r="J93" s="23"/>
      <c r="K93" s="23"/>
      <c r="L93" s="23"/>
      <c r="M93" s="23"/>
      <c r="N93" s="23"/>
      <c r="O93" s="23"/>
      <c r="P93" s="23"/>
      <c r="Q93" s="23"/>
      <c r="R93" s="23"/>
    </row>
    <row r="94" spans="1:18" ht="30" customHeight="1" x14ac:dyDescent="0.25">
      <c r="A94" s="22" t="s">
        <v>226</v>
      </c>
      <c r="B94" s="23"/>
      <c r="C94" s="23"/>
      <c r="D94" s="23"/>
      <c r="E94" s="23"/>
      <c r="F94" s="23"/>
      <c r="G94" s="23"/>
      <c r="H94" s="23"/>
      <c r="I94" s="23"/>
      <c r="J94" s="23"/>
      <c r="K94" s="23"/>
      <c r="L94" s="23"/>
      <c r="M94" s="23"/>
      <c r="N94" s="23"/>
      <c r="O94" s="23"/>
      <c r="P94" s="23"/>
      <c r="Q94" s="23"/>
      <c r="R94" s="23"/>
    </row>
    <row r="95" spans="1:18" ht="30" customHeight="1" x14ac:dyDescent="0.25">
      <c r="A95" s="22" t="s">
        <v>227</v>
      </c>
      <c r="B95" s="23"/>
      <c r="C95" s="23"/>
      <c r="D95" s="23"/>
      <c r="E95" s="23"/>
      <c r="F95" s="23"/>
      <c r="G95" s="23"/>
      <c r="H95" s="23"/>
      <c r="I95" s="23"/>
      <c r="J95" s="23"/>
      <c r="K95" s="23"/>
      <c r="L95" s="23"/>
      <c r="M95" s="23"/>
      <c r="N95" s="23"/>
      <c r="O95" s="23"/>
      <c r="P95" s="23"/>
      <c r="Q95" s="23"/>
      <c r="R95" s="23"/>
    </row>
    <row r="96" spans="1:18" ht="30" customHeight="1" x14ac:dyDescent="0.25">
      <c r="A96" s="22" t="s">
        <v>228</v>
      </c>
      <c r="B96" s="23"/>
      <c r="C96" s="23"/>
      <c r="D96" s="23"/>
      <c r="E96" s="23"/>
      <c r="F96" s="23"/>
      <c r="G96" s="23"/>
      <c r="H96" s="23"/>
      <c r="I96" s="23"/>
      <c r="J96" s="23"/>
      <c r="K96" s="23"/>
      <c r="L96" s="23"/>
      <c r="M96" s="23"/>
      <c r="N96" s="23"/>
      <c r="O96" s="23"/>
      <c r="P96" s="23"/>
      <c r="Q96" s="23"/>
      <c r="R96" s="23"/>
    </row>
  </sheetData>
  <mergeCells count="22">
    <mergeCell ref="O4:P4"/>
    <mergeCell ref="Q4:R4"/>
    <mergeCell ref="A1:R1"/>
    <mergeCell ref="A2:R2"/>
    <mergeCell ref="A84:R84"/>
    <mergeCell ref="E4:F4"/>
    <mergeCell ref="G4:H4"/>
    <mergeCell ref="I4:J4"/>
    <mergeCell ref="K4:L4"/>
    <mergeCell ref="M4:N4"/>
    <mergeCell ref="A85:R85"/>
    <mergeCell ref="A86:R86"/>
    <mergeCell ref="A87:R87"/>
    <mergeCell ref="A88:R88"/>
    <mergeCell ref="A89:R89"/>
    <mergeCell ref="A95:R95"/>
    <mergeCell ref="A96:R96"/>
    <mergeCell ref="A90:R90"/>
    <mergeCell ref="A91:R91"/>
    <mergeCell ref="A92:R92"/>
    <mergeCell ref="A93:R93"/>
    <mergeCell ref="A94:R94"/>
  </mergeCells>
  <pageMargins left="0.75" right="0.75" top="1" bottom="1"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R96"/>
  <sheetViews>
    <sheetView zoomScale="80" workbookViewId="0">
      <pane xSplit="4" topLeftCell="E1" activePane="topRight" state="frozen"/>
      <selection sqref="A1:R1"/>
      <selection pane="topRight" sqref="A1:R1"/>
    </sheetView>
  </sheetViews>
  <sheetFormatPr defaultColWidth="11.42578125" defaultRowHeight="15" x14ac:dyDescent="0.25"/>
  <cols>
    <col min="1" max="1" width="50" customWidth="1"/>
  </cols>
  <sheetData>
    <row r="1" spans="1:18" x14ac:dyDescent="0.25">
      <c r="A1" s="26" t="s">
        <v>122</v>
      </c>
      <c r="B1" s="23"/>
      <c r="C1" s="23"/>
      <c r="D1" s="23"/>
      <c r="E1" s="23"/>
      <c r="F1" s="23"/>
      <c r="G1" s="23"/>
      <c r="H1" s="23"/>
      <c r="I1" s="23"/>
      <c r="J1" s="23"/>
      <c r="K1" s="23"/>
      <c r="L1" s="23"/>
      <c r="M1" s="23"/>
      <c r="N1" s="23"/>
      <c r="O1" s="23"/>
      <c r="P1" s="23"/>
      <c r="Q1" s="23"/>
      <c r="R1" s="23"/>
    </row>
    <row r="2" spans="1:18" x14ac:dyDescent="0.25">
      <c r="A2" s="27" t="s">
        <v>246</v>
      </c>
      <c r="B2" s="23"/>
      <c r="C2" s="23"/>
      <c r="D2" s="23"/>
      <c r="E2" s="23"/>
      <c r="F2" s="23"/>
      <c r="G2" s="23"/>
      <c r="H2" s="23"/>
      <c r="I2" s="23"/>
      <c r="J2" s="23"/>
      <c r="K2" s="23"/>
      <c r="L2" s="23"/>
      <c r="M2" s="23"/>
      <c r="N2" s="23"/>
      <c r="O2" s="23"/>
      <c r="P2" s="23"/>
      <c r="Q2" s="23"/>
      <c r="R2" s="23"/>
    </row>
    <row r="4" spans="1:18" ht="30" customHeight="1" x14ac:dyDescent="0.25">
      <c r="A4" s="4"/>
      <c r="B4" s="5" t="s">
        <v>123</v>
      </c>
      <c r="C4" s="5" t="s">
        <v>124</v>
      </c>
      <c r="D4" s="6" t="s">
        <v>123</v>
      </c>
      <c r="E4" s="24" t="s">
        <v>125</v>
      </c>
      <c r="F4" s="25"/>
      <c r="G4" s="24" t="s">
        <v>126</v>
      </c>
      <c r="H4" s="25"/>
      <c r="I4" s="24" t="s">
        <v>127</v>
      </c>
      <c r="J4" s="25"/>
      <c r="K4" s="24" t="s">
        <v>128</v>
      </c>
      <c r="L4" s="25"/>
      <c r="M4" s="24" t="s">
        <v>129</v>
      </c>
      <c r="N4" s="25"/>
      <c r="O4" s="24" t="s">
        <v>130</v>
      </c>
      <c r="P4" s="25"/>
      <c r="Q4" s="24" t="s">
        <v>131</v>
      </c>
      <c r="R4" s="25"/>
    </row>
    <row r="5" spans="1:18" x14ac:dyDescent="0.25">
      <c r="A5" s="7"/>
      <c r="B5" s="8" t="s">
        <v>132</v>
      </c>
      <c r="C5" s="8" t="s">
        <v>133</v>
      </c>
      <c r="D5" s="7" t="s">
        <v>134</v>
      </c>
      <c r="E5" s="8" t="s">
        <v>135</v>
      </c>
      <c r="F5" s="7" t="s">
        <v>136</v>
      </c>
      <c r="G5" s="8" t="s">
        <v>135</v>
      </c>
      <c r="H5" s="7" t="s">
        <v>136</v>
      </c>
      <c r="I5" s="8" t="s">
        <v>135</v>
      </c>
      <c r="J5" s="7" t="s">
        <v>136</v>
      </c>
      <c r="K5" s="8" t="s">
        <v>135</v>
      </c>
      <c r="L5" s="7" t="s">
        <v>136</v>
      </c>
      <c r="M5" s="8" t="s">
        <v>135</v>
      </c>
      <c r="N5" s="7" t="s">
        <v>136</v>
      </c>
      <c r="O5" s="8" t="s">
        <v>135</v>
      </c>
      <c r="P5" s="7" t="s">
        <v>136</v>
      </c>
      <c r="Q5" s="8" t="s">
        <v>135</v>
      </c>
      <c r="R5" s="7" t="s">
        <v>136</v>
      </c>
    </row>
    <row r="6" spans="1:18" x14ac:dyDescent="0.25">
      <c r="A6" s="9" t="s">
        <v>137</v>
      </c>
      <c r="B6" s="10"/>
      <c r="C6" s="10"/>
      <c r="D6" s="11"/>
      <c r="E6" s="10"/>
      <c r="F6" s="11"/>
      <c r="G6" s="10"/>
      <c r="H6" s="11"/>
      <c r="I6" s="10"/>
      <c r="J6" s="11"/>
      <c r="K6" s="10"/>
      <c r="L6" s="11"/>
      <c r="M6" s="10"/>
      <c r="N6" s="11"/>
      <c r="O6" s="10"/>
      <c r="P6" s="11"/>
      <c r="Q6" s="10"/>
      <c r="R6" s="12"/>
    </row>
    <row r="7" spans="1:18" x14ac:dyDescent="0.25">
      <c r="A7" s="11" t="s">
        <v>138</v>
      </c>
      <c r="B7" s="13">
        <v>14530</v>
      </c>
      <c r="C7" s="14">
        <f>(12068/B7*100)</f>
        <v>83.055746730901575</v>
      </c>
      <c r="D7" s="15">
        <v>2462</v>
      </c>
      <c r="E7" s="14">
        <v>23.51377914</v>
      </c>
      <c r="F7" s="16">
        <v>1.20195093</v>
      </c>
      <c r="G7" s="14">
        <v>76.486220860000003</v>
      </c>
      <c r="H7" s="16">
        <v>1.20195093</v>
      </c>
      <c r="I7" s="14" t="s">
        <v>139</v>
      </c>
      <c r="J7" s="16" t="s">
        <v>139</v>
      </c>
      <c r="K7" s="14">
        <v>0</v>
      </c>
      <c r="L7" s="16">
        <v>0</v>
      </c>
      <c r="M7" s="14">
        <v>0</v>
      </c>
      <c r="N7" s="16">
        <v>0</v>
      </c>
      <c r="O7" s="14">
        <v>0</v>
      </c>
      <c r="P7" s="16">
        <v>0</v>
      </c>
      <c r="Q7" s="14">
        <v>0</v>
      </c>
      <c r="R7" s="16">
        <v>0</v>
      </c>
    </row>
    <row r="8" spans="1:18" x14ac:dyDescent="0.25">
      <c r="A8" s="11" t="s">
        <v>140</v>
      </c>
      <c r="B8" s="13">
        <v>7007</v>
      </c>
      <c r="C8" s="14">
        <f>(5791/B8*100)</f>
        <v>82.645925503068369</v>
      </c>
      <c r="D8" s="15">
        <v>1216</v>
      </c>
      <c r="E8" s="14">
        <v>24.273470450000001</v>
      </c>
      <c r="F8" s="16">
        <v>1.35396151</v>
      </c>
      <c r="G8" s="14">
        <v>75.726529549999995</v>
      </c>
      <c r="H8" s="16">
        <v>1.35396151</v>
      </c>
      <c r="I8" s="14" t="s">
        <v>139</v>
      </c>
      <c r="J8" s="16" t="s">
        <v>139</v>
      </c>
      <c r="K8" s="14">
        <v>0</v>
      </c>
      <c r="L8" s="16">
        <v>0</v>
      </c>
      <c r="M8" s="14">
        <v>0</v>
      </c>
      <c r="N8" s="16">
        <v>0</v>
      </c>
      <c r="O8" s="14">
        <v>0</v>
      </c>
      <c r="P8" s="16">
        <v>0</v>
      </c>
      <c r="Q8" s="14">
        <v>0</v>
      </c>
      <c r="R8" s="16">
        <v>0</v>
      </c>
    </row>
    <row r="9" spans="1:18" x14ac:dyDescent="0.25">
      <c r="A9" s="11" t="s">
        <v>141</v>
      </c>
      <c r="B9" s="13">
        <v>9651</v>
      </c>
      <c r="C9" s="14">
        <f>(8036/B9*100)</f>
        <v>83.265982799709874</v>
      </c>
      <c r="D9" s="15">
        <v>1615</v>
      </c>
      <c r="E9" s="14">
        <v>33.73960495</v>
      </c>
      <c r="F9" s="16">
        <v>1.23401725</v>
      </c>
      <c r="G9" s="14">
        <v>66.26039505</v>
      </c>
      <c r="H9" s="16">
        <v>1.23401725</v>
      </c>
      <c r="I9" s="14" t="s">
        <v>139</v>
      </c>
      <c r="J9" s="16" t="s">
        <v>139</v>
      </c>
      <c r="K9" s="14">
        <v>0</v>
      </c>
      <c r="L9" s="16">
        <v>0</v>
      </c>
      <c r="M9" s="14">
        <v>0</v>
      </c>
      <c r="N9" s="16">
        <v>0</v>
      </c>
      <c r="O9" s="14">
        <v>0</v>
      </c>
      <c r="P9" s="16">
        <v>0</v>
      </c>
      <c r="Q9" s="14">
        <v>0</v>
      </c>
      <c r="R9" s="16">
        <v>0</v>
      </c>
    </row>
    <row r="10" spans="1:18" x14ac:dyDescent="0.25">
      <c r="A10" s="11" t="s">
        <v>142</v>
      </c>
      <c r="B10" s="13">
        <v>20058</v>
      </c>
      <c r="C10" s="14">
        <f>(16593/B10*100)</f>
        <v>82.725097218067603</v>
      </c>
      <c r="D10" s="15">
        <v>3465</v>
      </c>
      <c r="E10" s="14">
        <v>23.478897280000002</v>
      </c>
      <c r="F10" s="16">
        <v>0.99254366000000005</v>
      </c>
      <c r="G10" s="14">
        <v>76.521102720000002</v>
      </c>
      <c r="H10" s="16">
        <v>0.99254366000000005</v>
      </c>
      <c r="I10" s="14" t="s">
        <v>139</v>
      </c>
      <c r="J10" s="16" t="s">
        <v>139</v>
      </c>
      <c r="K10" s="14">
        <v>0</v>
      </c>
      <c r="L10" s="16">
        <v>0</v>
      </c>
      <c r="M10" s="14">
        <v>0</v>
      </c>
      <c r="N10" s="16">
        <v>0</v>
      </c>
      <c r="O10" s="14">
        <v>0</v>
      </c>
      <c r="P10" s="16">
        <v>0</v>
      </c>
      <c r="Q10" s="14">
        <v>0</v>
      </c>
      <c r="R10" s="16">
        <v>0</v>
      </c>
    </row>
    <row r="11" spans="1:18" x14ac:dyDescent="0.25">
      <c r="A11" s="11" t="s">
        <v>143</v>
      </c>
      <c r="B11" s="13">
        <v>7053</v>
      </c>
      <c r="C11" s="14">
        <f>(5831/B11*100)</f>
        <v>82.674039415851411</v>
      </c>
      <c r="D11" s="15">
        <v>1222</v>
      </c>
      <c r="E11" s="14">
        <v>44.451649029999999</v>
      </c>
      <c r="F11" s="16">
        <v>1.7796053199999999</v>
      </c>
      <c r="G11" s="14">
        <v>55.548350970000001</v>
      </c>
      <c r="H11" s="16">
        <v>1.7796053199999999</v>
      </c>
      <c r="I11" s="14" t="s">
        <v>139</v>
      </c>
      <c r="J11" s="16" t="s">
        <v>139</v>
      </c>
      <c r="K11" s="14">
        <v>0</v>
      </c>
      <c r="L11" s="16">
        <v>0</v>
      </c>
      <c r="M11" s="14">
        <v>0</v>
      </c>
      <c r="N11" s="16">
        <v>0</v>
      </c>
      <c r="O11" s="14">
        <v>0</v>
      </c>
      <c r="P11" s="16">
        <v>0</v>
      </c>
      <c r="Q11" s="14">
        <v>0</v>
      </c>
      <c r="R11" s="16">
        <v>0</v>
      </c>
    </row>
    <row r="12" spans="1:18" x14ac:dyDescent="0.25">
      <c r="A12" s="11" t="s">
        <v>144</v>
      </c>
      <c r="B12" s="13">
        <v>6894</v>
      </c>
      <c r="C12" s="14">
        <f>(5714/B12*100)</f>
        <v>82.883666956774007</v>
      </c>
      <c r="D12" s="15">
        <v>1180</v>
      </c>
      <c r="E12" s="14">
        <v>27.62924319</v>
      </c>
      <c r="F12" s="16">
        <v>1.3119313399999999</v>
      </c>
      <c r="G12" s="14">
        <v>72.370756810000003</v>
      </c>
      <c r="H12" s="16">
        <v>1.3119313399999999</v>
      </c>
      <c r="I12" s="14" t="s">
        <v>139</v>
      </c>
      <c r="J12" s="16" t="s">
        <v>139</v>
      </c>
      <c r="K12" s="14">
        <v>0</v>
      </c>
      <c r="L12" s="16">
        <v>0</v>
      </c>
      <c r="M12" s="14">
        <v>0</v>
      </c>
      <c r="N12" s="16">
        <v>0</v>
      </c>
      <c r="O12" s="14">
        <v>0</v>
      </c>
      <c r="P12" s="16">
        <v>0</v>
      </c>
      <c r="Q12" s="14">
        <v>0</v>
      </c>
      <c r="R12" s="16">
        <v>0</v>
      </c>
    </row>
    <row r="13" spans="1:18" x14ac:dyDescent="0.25">
      <c r="A13" s="11" t="s">
        <v>145</v>
      </c>
      <c r="B13" s="13">
        <v>7161</v>
      </c>
      <c r="C13" s="14">
        <f>(5991/B13*100)</f>
        <v>83.661499790532048</v>
      </c>
      <c r="D13" s="15">
        <v>1170</v>
      </c>
      <c r="E13" s="14">
        <v>22.208261579999999</v>
      </c>
      <c r="F13" s="16">
        <v>1.39600009</v>
      </c>
      <c r="G13" s="14">
        <v>77.791738420000001</v>
      </c>
      <c r="H13" s="16">
        <v>1.39600009</v>
      </c>
      <c r="I13" s="14" t="s">
        <v>139</v>
      </c>
      <c r="J13" s="16" t="s">
        <v>139</v>
      </c>
      <c r="K13" s="14">
        <v>0</v>
      </c>
      <c r="L13" s="16">
        <v>0</v>
      </c>
      <c r="M13" s="14">
        <v>0</v>
      </c>
      <c r="N13" s="16">
        <v>0</v>
      </c>
      <c r="O13" s="14">
        <v>0</v>
      </c>
      <c r="P13" s="16">
        <v>0</v>
      </c>
      <c r="Q13" s="14">
        <v>0</v>
      </c>
      <c r="R13" s="16">
        <v>0</v>
      </c>
    </row>
    <row r="14" spans="1:18" x14ac:dyDescent="0.25">
      <c r="A14" s="11" t="s">
        <v>146</v>
      </c>
      <c r="B14" s="13">
        <v>5587</v>
      </c>
      <c r="C14" s="14">
        <f>(4628/B14*100)</f>
        <v>82.835153033828533</v>
      </c>
      <c r="D14" s="15">
        <v>959</v>
      </c>
      <c r="E14" s="14">
        <v>22.794631119999998</v>
      </c>
      <c r="F14" s="16">
        <v>1.61014945</v>
      </c>
      <c r="G14" s="14">
        <v>77.205368879999995</v>
      </c>
      <c r="H14" s="16">
        <v>1.61014945</v>
      </c>
      <c r="I14" s="14" t="s">
        <v>139</v>
      </c>
      <c r="J14" s="16" t="s">
        <v>139</v>
      </c>
      <c r="K14" s="14">
        <v>0</v>
      </c>
      <c r="L14" s="16">
        <v>0</v>
      </c>
      <c r="M14" s="14">
        <v>0</v>
      </c>
      <c r="N14" s="16">
        <v>0</v>
      </c>
      <c r="O14" s="14">
        <v>0</v>
      </c>
      <c r="P14" s="16">
        <v>0</v>
      </c>
      <c r="Q14" s="14">
        <v>0</v>
      </c>
      <c r="R14" s="16">
        <v>0</v>
      </c>
    </row>
    <row r="15" spans="1:18" x14ac:dyDescent="0.25">
      <c r="A15" s="11" t="s">
        <v>147</v>
      </c>
      <c r="B15" s="13">
        <v>5882</v>
      </c>
      <c r="C15" s="14">
        <f>(4902/B15*100)</f>
        <v>83.339000340020391</v>
      </c>
      <c r="D15" s="15">
        <v>980</v>
      </c>
      <c r="E15" s="14">
        <v>19.108320849999998</v>
      </c>
      <c r="F15" s="16">
        <v>1.27133696</v>
      </c>
      <c r="G15" s="14">
        <v>80.891679150000002</v>
      </c>
      <c r="H15" s="16">
        <v>1.27133696</v>
      </c>
      <c r="I15" s="14" t="s">
        <v>139</v>
      </c>
      <c r="J15" s="16" t="s">
        <v>139</v>
      </c>
      <c r="K15" s="14">
        <v>0</v>
      </c>
      <c r="L15" s="16">
        <v>0</v>
      </c>
      <c r="M15" s="14">
        <v>0</v>
      </c>
      <c r="N15" s="16">
        <v>0</v>
      </c>
      <c r="O15" s="14">
        <v>0</v>
      </c>
      <c r="P15" s="16">
        <v>0</v>
      </c>
      <c r="Q15" s="14">
        <v>0</v>
      </c>
      <c r="R15" s="16">
        <v>0</v>
      </c>
    </row>
    <row r="16" spans="1:18" x14ac:dyDescent="0.25">
      <c r="A16" s="11" t="s">
        <v>148</v>
      </c>
      <c r="B16" s="13">
        <v>6108</v>
      </c>
      <c r="C16" s="14">
        <f>(5049/B16*100)</f>
        <v>82.662082514734763</v>
      </c>
      <c r="D16" s="15">
        <v>1059</v>
      </c>
      <c r="E16" s="14">
        <v>34.093364440000002</v>
      </c>
      <c r="F16" s="16">
        <v>1.4158200700000001</v>
      </c>
      <c r="G16" s="14">
        <v>65.906635559999998</v>
      </c>
      <c r="H16" s="16">
        <v>1.4158200700000001</v>
      </c>
      <c r="I16" s="14" t="s">
        <v>139</v>
      </c>
      <c r="J16" s="16" t="s">
        <v>139</v>
      </c>
      <c r="K16" s="14">
        <v>0</v>
      </c>
      <c r="L16" s="16">
        <v>0</v>
      </c>
      <c r="M16" s="14">
        <v>0</v>
      </c>
      <c r="N16" s="16">
        <v>0</v>
      </c>
      <c r="O16" s="14">
        <v>0</v>
      </c>
      <c r="P16" s="16">
        <v>0</v>
      </c>
      <c r="Q16" s="14">
        <v>0</v>
      </c>
      <c r="R16" s="16">
        <v>0</v>
      </c>
    </row>
    <row r="17" spans="1:18" x14ac:dyDescent="0.25">
      <c r="A17" s="11" t="s">
        <v>149</v>
      </c>
      <c r="B17" s="13">
        <v>6504</v>
      </c>
      <c r="C17" s="14">
        <f>(5406/B17*100)</f>
        <v>83.118081180811814</v>
      </c>
      <c r="D17" s="15">
        <v>1098</v>
      </c>
      <c r="E17" s="14">
        <v>22.300759750000001</v>
      </c>
      <c r="F17" s="16">
        <v>1.35168998</v>
      </c>
      <c r="G17" s="14">
        <v>77.699240250000003</v>
      </c>
      <c r="H17" s="16">
        <v>1.35168998</v>
      </c>
      <c r="I17" s="14" t="s">
        <v>139</v>
      </c>
      <c r="J17" s="16" t="s">
        <v>139</v>
      </c>
      <c r="K17" s="14">
        <v>0</v>
      </c>
      <c r="L17" s="16">
        <v>0</v>
      </c>
      <c r="M17" s="14">
        <v>0</v>
      </c>
      <c r="N17" s="16">
        <v>0</v>
      </c>
      <c r="O17" s="14">
        <v>0</v>
      </c>
      <c r="P17" s="16">
        <v>0</v>
      </c>
      <c r="Q17" s="14">
        <v>0</v>
      </c>
      <c r="R17" s="16">
        <v>0</v>
      </c>
    </row>
    <row r="18" spans="1:18" x14ac:dyDescent="0.25">
      <c r="A18" s="11" t="s">
        <v>150</v>
      </c>
      <c r="B18" s="13">
        <v>5532</v>
      </c>
      <c r="C18" s="14">
        <f>(4564/B18*100)</f>
        <v>82.501807664497477</v>
      </c>
      <c r="D18" s="15">
        <v>968</v>
      </c>
      <c r="E18" s="14">
        <v>52.641692419999998</v>
      </c>
      <c r="F18" s="16">
        <v>1.4746225900000001</v>
      </c>
      <c r="G18" s="14">
        <v>47.358307580000002</v>
      </c>
      <c r="H18" s="16">
        <v>1.4746225900000001</v>
      </c>
      <c r="I18" s="14" t="s">
        <v>139</v>
      </c>
      <c r="J18" s="16" t="s">
        <v>139</v>
      </c>
      <c r="K18" s="14">
        <v>0</v>
      </c>
      <c r="L18" s="16">
        <v>0</v>
      </c>
      <c r="M18" s="14">
        <v>0</v>
      </c>
      <c r="N18" s="16">
        <v>0</v>
      </c>
      <c r="O18" s="14">
        <v>0</v>
      </c>
      <c r="P18" s="16">
        <v>0</v>
      </c>
      <c r="Q18" s="14">
        <v>0</v>
      </c>
      <c r="R18" s="16">
        <v>0</v>
      </c>
    </row>
    <row r="19" spans="1:18" x14ac:dyDescent="0.25">
      <c r="A19" s="11" t="s">
        <v>151</v>
      </c>
      <c r="B19" s="13">
        <v>5658</v>
      </c>
      <c r="C19" s="14">
        <f>(4695/B19*100)</f>
        <v>82.979851537645814</v>
      </c>
      <c r="D19" s="15">
        <v>963</v>
      </c>
      <c r="E19" s="14">
        <v>46.385209760000002</v>
      </c>
      <c r="F19" s="16">
        <v>1.70178484</v>
      </c>
      <c r="G19" s="14">
        <v>53.614790239999998</v>
      </c>
      <c r="H19" s="16">
        <v>1.70178484</v>
      </c>
      <c r="I19" s="14" t="s">
        <v>139</v>
      </c>
      <c r="J19" s="16" t="s">
        <v>139</v>
      </c>
      <c r="K19" s="14">
        <v>0</v>
      </c>
      <c r="L19" s="16">
        <v>0</v>
      </c>
      <c r="M19" s="14">
        <v>0</v>
      </c>
      <c r="N19" s="16">
        <v>0</v>
      </c>
      <c r="O19" s="14">
        <v>0</v>
      </c>
      <c r="P19" s="16">
        <v>0</v>
      </c>
      <c r="Q19" s="14">
        <v>0</v>
      </c>
      <c r="R19" s="16">
        <v>0</v>
      </c>
    </row>
    <row r="20" spans="1:18" x14ac:dyDescent="0.25">
      <c r="A20" s="11" t="s">
        <v>152</v>
      </c>
      <c r="B20" s="13">
        <v>3371</v>
      </c>
      <c r="C20" s="14">
        <f>(2786/B20*100)</f>
        <v>82.646099080391579</v>
      </c>
      <c r="D20" s="15">
        <v>585</v>
      </c>
      <c r="E20" s="14">
        <v>37.96663779</v>
      </c>
      <c r="F20" s="16">
        <v>2.28766727</v>
      </c>
      <c r="G20" s="14">
        <v>62.03336221</v>
      </c>
      <c r="H20" s="16">
        <v>2.28766727</v>
      </c>
      <c r="I20" s="14" t="s">
        <v>139</v>
      </c>
      <c r="J20" s="16" t="s">
        <v>139</v>
      </c>
      <c r="K20" s="14">
        <v>0</v>
      </c>
      <c r="L20" s="16">
        <v>0</v>
      </c>
      <c r="M20" s="14">
        <v>0</v>
      </c>
      <c r="N20" s="16">
        <v>0</v>
      </c>
      <c r="O20" s="14">
        <v>0</v>
      </c>
      <c r="P20" s="16">
        <v>0</v>
      </c>
      <c r="Q20" s="14">
        <v>0</v>
      </c>
      <c r="R20" s="16">
        <v>0</v>
      </c>
    </row>
    <row r="21" spans="1:18" x14ac:dyDescent="0.25">
      <c r="A21" s="11" t="s">
        <v>153</v>
      </c>
      <c r="B21" s="17" t="s">
        <v>154</v>
      </c>
      <c r="C21" s="17" t="s">
        <v>154</v>
      </c>
      <c r="D21" s="18" t="s">
        <v>154</v>
      </c>
      <c r="E21" s="17" t="s">
        <v>154</v>
      </c>
      <c r="F21" s="18" t="s">
        <v>154</v>
      </c>
      <c r="G21" s="17" t="s">
        <v>154</v>
      </c>
      <c r="H21" s="18" t="s">
        <v>154</v>
      </c>
      <c r="I21" s="17" t="s">
        <v>154</v>
      </c>
      <c r="J21" s="18" t="s">
        <v>154</v>
      </c>
      <c r="K21" s="17" t="s">
        <v>154</v>
      </c>
      <c r="L21" s="18" t="s">
        <v>154</v>
      </c>
      <c r="M21" s="17" t="s">
        <v>154</v>
      </c>
      <c r="N21" s="18" t="s">
        <v>154</v>
      </c>
      <c r="O21" s="17" t="s">
        <v>154</v>
      </c>
      <c r="P21" s="18" t="s">
        <v>154</v>
      </c>
      <c r="Q21" s="17" t="s">
        <v>154</v>
      </c>
      <c r="R21" s="18" t="s">
        <v>154</v>
      </c>
    </row>
    <row r="22" spans="1:18" x14ac:dyDescent="0.25">
      <c r="A22" s="11" t="s">
        <v>155</v>
      </c>
      <c r="B22" s="13">
        <v>6598</v>
      </c>
      <c r="C22" s="14">
        <f>(5563/B22*100)</f>
        <v>84.313428311609584</v>
      </c>
      <c r="D22" s="15">
        <v>1035</v>
      </c>
      <c r="E22" s="14">
        <v>52.570823089999998</v>
      </c>
      <c r="F22" s="16">
        <v>1.75469465</v>
      </c>
      <c r="G22" s="14">
        <v>47.429176910000002</v>
      </c>
      <c r="H22" s="16">
        <v>1.75469465</v>
      </c>
      <c r="I22" s="14" t="s">
        <v>139</v>
      </c>
      <c r="J22" s="16" t="s">
        <v>139</v>
      </c>
      <c r="K22" s="14">
        <v>0</v>
      </c>
      <c r="L22" s="16">
        <v>0</v>
      </c>
      <c r="M22" s="14">
        <v>0</v>
      </c>
      <c r="N22" s="16">
        <v>0</v>
      </c>
      <c r="O22" s="14">
        <v>0</v>
      </c>
      <c r="P22" s="16">
        <v>0</v>
      </c>
      <c r="Q22" s="14">
        <v>0</v>
      </c>
      <c r="R22" s="16">
        <v>0</v>
      </c>
    </row>
    <row r="23" spans="1:18" x14ac:dyDescent="0.25">
      <c r="A23" s="11" t="s">
        <v>156</v>
      </c>
      <c r="B23" s="13">
        <v>11583</v>
      </c>
      <c r="C23" s="14">
        <f>(9598/B23*100)</f>
        <v>82.862816196149524</v>
      </c>
      <c r="D23" s="15">
        <v>1985</v>
      </c>
      <c r="E23" s="14">
        <v>41.178352940000003</v>
      </c>
      <c r="F23" s="16">
        <v>1.4829062399999999</v>
      </c>
      <c r="G23" s="14">
        <v>58.821647059999997</v>
      </c>
      <c r="H23" s="16">
        <v>1.4829062399999999</v>
      </c>
      <c r="I23" s="14" t="s">
        <v>139</v>
      </c>
      <c r="J23" s="16" t="s">
        <v>139</v>
      </c>
      <c r="K23" s="14">
        <v>0</v>
      </c>
      <c r="L23" s="16">
        <v>0</v>
      </c>
      <c r="M23" s="14">
        <v>0</v>
      </c>
      <c r="N23" s="16">
        <v>0</v>
      </c>
      <c r="O23" s="14">
        <v>0</v>
      </c>
      <c r="P23" s="16">
        <v>0</v>
      </c>
      <c r="Q23" s="14">
        <v>0</v>
      </c>
      <c r="R23" s="16">
        <v>0</v>
      </c>
    </row>
    <row r="24" spans="1:18" x14ac:dyDescent="0.25">
      <c r="A24" s="11" t="s">
        <v>157</v>
      </c>
      <c r="B24" s="13">
        <v>6647</v>
      </c>
      <c r="C24" s="14">
        <f>(5487/B24*100)</f>
        <v>82.548518128479003</v>
      </c>
      <c r="D24" s="15">
        <v>1160</v>
      </c>
      <c r="E24" s="14">
        <v>13.5386411</v>
      </c>
      <c r="F24" s="16">
        <v>1.1365074500000001</v>
      </c>
      <c r="G24" s="14">
        <v>86.461358899999993</v>
      </c>
      <c r="H24" s="16">
        <v>1.1365074500000001</v>
      </c>
      <c r="I24" s="14" t="s">
        <v>139</v>
      </c>
      <c r="J24" s="16" t="s">
        <v>139</v>
      </c>
      <c r="K24" s="14">
        <v>0</v>
      </c>
      <c r="L24" s="16">
        <v>0</v>
      </c>
      <c r="M24" s="14">
        <v>0</v>
      </c>
      <c r="N24" s="16">
        <v>0</v>
      </c>
      <c r="O24" s="14">
        <v>0</v>
      </c>
      <c r="P24" s="16">
        <v>0</v>
      </c>
      <c r="Q24" s="14">
        <v>0</v>
      </c>
      <c r="R24" s="16">
        <v>0</v>
      </c>
    </row>
    <row r="25" spans="1:18" x14ac:dyDescent="0.25">
      <c r="A25" s="11" t="s">
        <v>158</v>
      </c>
      <c r="B25" s="13">
        <v>5581</v>
      </c>
      <c r="C25" s="14">
        <f>(4615/B25*100)</f>
        <v>82.691273965239205</v>
      </c>
      <c r="D25" s="15">
        <v>966</v>
      </c>
      <c r="E25" s="14">
        <v>20.422889470000001</v>
      </c>
      <c r="F25" s="16">
        <v>1.23798604</v>
      </c>
      <c r="G25" s="14">
        <v>79.577110529999999</v>
      </c>
      <c r="H25" s="16">
        <v>1.23798604</v>
      </c>
      <c r="I25" s="14" t="s">
        <v>139</v>
      </c>
      <c r="J25" s="16" t="s">
        <v>139</v>
      </c>
      <c r="K25" s="14">
        <v>0</v>
      </c>
      <c r="L25" s="16">
        <v>0</v>
      </c>
      <c r="M25" s="14">
        <v>0</v>
      </c>
      <c r="N25" s="16">
        <v>0</v>
      </c>
      <c r="O25" s="14">
        <v>0</v>
      </c>
      <c r="P25" s="16">
        <v>0</v>
      </c>
      <c r="Q25" s="14">
        <v>0</v>
      </c>
      <c r="R25" s="16">
        <v>0</v>
      </c>
    </row>
    <row r="26" spans="1:18" x14ac:dyDescent="0.25">
      <c r="A26" s="11" t="s">
        <v>159</v>
      </c>
      <c r="B26" s="13">
        <v>4869</v>
      </c>
      <c r="C26" s="14">
        <f>(4008/B26*100)</f>
        <v>82.316697473813932</v>
      </c>
      <c r="D26" s="15">
        <v>861</v>
      </c>
      <c r="E26" s="14">
        <v>28.953199919999999</v>
      </c>
      <c r="F26" s="16">
        <v>1.62421902</v>
      </c>
      <c r="G26" s="14">
        <v>71.046800079999997</v>
      </c>
      <c r="H26" s="16">
        <v>1.62421902</v>
      </c>
      <c r="I26" s="14" t="s">
        <v>139</v>
      </c>
      <c r="J26" s="16" t="s">
        <v>139</v>
      </c>
      <c r="K26" s="14">
        <v>0</v>
      </c>
      <c r="L26" s="16">
        <v>0</v>
      </c>
      <c r="M26" s="14">
        <v>0</v>
      </c>
      <c r="N26" s="16">
        <v>0</v>
      </c>
      <c r="O26" s="14">
        <v>0</v>
      </c>
      <c r="P26" s="16">
        <v>0</v>
      </c>
      <c r="Q26" s="14">
        <v>0</v>
      </c>
      <c r="R26" s="16">
        <v>0</v>
      </c>
    </row>
    <row r="27" spans="1:18" x14ac:dyDescent="0.25">
      <c r="A27" s="11" t="s">
        <v>160</v>
      </c>
      <c r="B27" s="13">
        <v>5299</v>
      </c>
      <c r="C27" s="14">
        <f>(4377/B27*100)</f>
        <v>82.600490658614831</v>
      </c>
      <c r="D27" s="15">
        <v>922</v>
      </c>
      <c r="E27" s="14">
        <v>28.258103550000001</v>
      </c>
      <c r="F27" s="16">
        <v>1.4593085299999999</v>
      </c>
      <c r="G27" s="14">
        <v>71.741896449999999</v>
      </c>
      <c r="H27" s="16">
        <v>1.4593085299999999</v>
      </c>
      <c r="I27" s="14" t="s">
        <v>139</v>
      </c>
      <c r="J27" s="16" t="s">
        <v>139</v>
      </c>
      <c r="K27" s="14">
        <v>0</v>
      </c>
      <c r="L27" s="16">
        <v>0</v>
      </c>
      <c r="M27" s="14">
        <v>0</v>
      </c>
      <c r="N27" s="16">
        <v>0</v>
      </c>
      <c r="O27" s="14">
        <v>0</v>
      </c>
      <c r="P27" s="16">
        <v>0</v>
      </c>
      <c r="Q27" s="14">
        <v>0</v>
      </c>
      <c r="R27" s="16">
        <v>0</v>
      </c>
    </row>
    <row r="28" spans="1:18" x14ac:dyDescent="0.25">
      <c r="A28" s="11" t="s">
        <v>161</v>
      </c>
      <c r="B28" s="13">
        <v>7568</v>
      </c>
      <c r="C28" s="14">
        <f>(6313/B28*100)</f>
        <v>83.417019027484145</v>
      </c>
      <c r="D28" s="15">
        <v>1255</v>
      </c>
      <c r="E28" s="14">
        <v>55.902256710000003</v>
      </c>
      <c r="F28" s="16">
        <v>1.4574563599999999</v>
      </c>
      <c r="G28" s="14">
        <v>44.097743289999997</v>
      </c>
      <c r="H28" s="16">
        <v>1.4574563599999999</v>
      </c>
      <c r="I28" s="14" t="s">
        <v>139</v>
      </c>
      <c r="J28" s="16" t="s">
        <v>139</v>
      </c>
      <c r="K28" s="14">
        <v>0</v>
      </c>
      <c r="L28" s="16">
        <v>0</v>
      </c>
      <c r="M28" s="14">
        <v>0</v>
      </c>
      <c r="N28" s="16">
        <v>0</v>
      </c>
      <c r="O28" s="14">
        <v>0</v>
      </c>
      <c r="P28" s="16">
        <v>0</v>
      </c>
      <c r="Q28" s="14">
        <v>0</v>
      </c>
      <c r="R28" s="16">
        <v>0</v>
      </c>
    </row>
    <row r="29" spans="1:18" x14ac:dyDescent="0.25">
      <c r="A29" s="11" t="s">
        <v>162</v>
      </c>
      <c r="B29" s="13">
        <v>5385</v>
      </c>
      <c r="C29" s="14">
        <f>(4470/B29*100)</f>
        <v>83.008356545961007</v>
      </c>
      <c r="D29" s="15">
        <v>915</v>
      </c>
      <c r="E29" s="14">
        <v>25.538247519999999</v>
      </c>
      <c r="F29" s="16">
        <v>1.44947417</v>
      </c>
      <c r="G29" s="14">
        <v>74.461752480000001</v>
      </c>
      <c r="H29" s="16">
        <v>1.44947417</v>
      </c>
      <c r="I29" s="14" t="s">
        <v>139</v>
      </c>
      <c r="J29" s="16" t="s">
        <v>139</v>
      </c>
      <c r="K29" s="14">
        <v>0</v>
      </c>
      <c r="L29" s="16">
        <v>0</v>
      </c>
      <c r="M29" s="14">
        <v>0</v>
      </c>
      <c r="N29" s="16">
        <v>0</v>
      </c>
      <c r="O29" s="14">
        <v>0</v>
      </c>
      <c r="P29" s="16">
        <v>0</v>
      </c>
      <c r="Q29" s="14">
        <v>0</v>
      </c>
      <c r="R29" s="16">
        <v>0</v>
      </c>
    </row>
    <row r="30" spans="1:18" x14ac:dyDescent="0.25">
      <c r="A30" s="11" t="s">
        <v>163</v>
      </c>
      <c r="B30" s="13">
        <v>4520</v>
      </c>
      <c r="C30" s="14">
        <f>(3744/B30*100)</f>
        <v>82.83185840707965</v>
      </c>
      <c r="D30" s="15">
        <v>776</v>
      </c>
      <c r="E30" s="14">
        <v>22.027328650000001</v>
      </c>
      <c r="F30" s="16">
        <v>1.66955272</v>
      </c>
      <c r="G30" s="14">
        <v>77.972671349999999</v>
      </c>
      <c r="H30" s="16">
        <v>1.66955272</v>
      </c>
      <c r="I30" s="14" t="s">
        <v>139</v>
      </c>
      <c r="J30" s="16" t="s">
        <v>139</v>
      </c>
      <c r="K30" s="14">
        <v>0</v>
      </c>
      <c r="L30" s="16">
        <v>0</v>
      </c>
      <c r="M30" s="14">
        <v>0</v>
      </c>
      <c r="N30" s="16">
        <v>0</v>
      </c>
      <c r="O30" s="14">
        <v>0</v>
      </c>
      <c r="P30" s="16">
        <v>0</v>
      </c>
      <c r="Q30" s="14">
        <v>0</v>
      </c>
      <c r="R30" s="16">
        <v>0</v>
      </c>
    </row>
    <row r="31" spans="1:18" x14ac:dyDescent="0.25">
      <c r="A31" s="11" t="s">
        <v>164</v>
      </c>
      <c r="B31" s="13">
        <v>5456</v>
      </c>
      <c r="C31" s="14">
        <f>(4534/B31*100)</f>
        <v>83.101173020527867</v>
      </c>
      <c r="D31" s="15">
        <v>922</v>
      </c>
      <c r="E31" s="14">
        <v>25.661515269999999</v>
      </c>
      <c r="F31" s="16">
        <v>1.7609029199999999</v>
      </c>
      <c r="G31" s="14">
        <v>74.338484730000005</v>
      </c>
      <c r="H31" s="16">
        <v>1.7609029199999999</v>
      </c>
      <c r="I31" s="14" t="s">
        <v>139</v>
      </c>
      <c r="J31" s="16" t="s">
        <v>139</v>
      </c>
      <c r="K31" s="14">
        <v>0</v>
      </c>
      <c r="L31" s="16">
        <v>0</v>
      </c>
      <c r="M31" s="14">
        <v>0</v>
      </c>
      <c r="N31" s="16">
        <v>0</v>
      </c>
      <c r="O31" s="14">
        <v>0</v>
      </c>
      <c r="P31" s="16">
        <v>0</v>
      </c>
      <c r="Q31" s="14">
        <v>0</v>
      </c>
      <c r="R31" s="16">
        <v>0</v>
      </c>
    </row>
    <row r="32" spans="1:18" x14ac:dyDescent="0.25">
      <c r="A32" s="11" t="s">
        <v>165</v>
      </c>
      <c r="B32" s="17" t="s">
        <v>154</v>
      </c>
      <c r="C32" s="17" t="s">
        <v>154</v>
      </c>
      <c r="D32" s="18" t="s">
        <v>154</v>
      </c>
      <c r="E32" s="17" t="s">
        <v>154</v>
      </c>
      <c r="F32" s="18" t="s">
        <v>154</v>
      </c>
      <c r="G32" s="17" t="s">
        <v>154</v>
      </c>
      <c r="H32" s="18" t="s">
        <v>154</v>
      </c>
      <c r="I32" s="17" t="s">
        <v>154</v>
      </c>
      <c r="J32" s="18" t="s">
        <v>154</v>
      </c>
      <c r="K32" s="17" t="s">
        <v>154</v>
      </c>
      <c r="L32" s="18" t="s">
        <v>154</v>
      </c>
      <c r="M32" s="17" t="s">
        <v>154</v>
      </c>
      <c r="N32" s="18" t="s">
        <v>154</v>
      </c>
      <c r="O32" s="17" t="s">
        <v>154</v>
      </c>
      <c r="P32" s="18" t="s">
        <v>154</v>
      </c>
      <c r="Q32" s="17" t="s">
        <v>154</v>
      </c>
      <c r="R32" s="18" t="s">
        <v>154</v>
      </c>
    </row>
    <row r="33" spans="1:18" x14ac:dyDescent="0.25">
      <c r="A33" s="11" t="s">
        <v>166</v>
      </c>
      <c r="B33" s="13">
        <v>7325</v>
      </c>
      <c r="C33" s="14">
        <f>(6092/B33*100)</f>
        <v>83.167235494880543</v>
      </c>
      <c r="D33" s="15">
        <v>1233</v>
      </c>
      <c r="E33" s="14">
        <v>38.256359510000003</v>
      </c>
      <c r="F33" s="16">
        <v>1.6456807</v>
      </c>
      <c r="G33" s="14">
        <v>61.743640489999997</v>
      </c>
      <c r="H33" s="16">
        <v>1.6456807</v>
      </c>
      <c r="I33" s="14" t="s">
        <v>139</v>
      </c>
      <c r="J33" s="16" t="s">
        <v>139</v>
      </c>
      <c r="K33" s="14">
        <v>0</v>
      </c>
      <c r="L33" s="16">
        <v>0</v>
      </c>
      <c r="M33" s="14">
        <v>0</v>
      </c>
      <c r="N33" s="16">
        <v>0</v>
      </c>
      <c r="O33" s="14">
        <v>0</v>
      </c>
      <c r="P33" s="16">
        <v>0</v>
      </c>
      <c r="Q33" s="14">
        <v>0</v>
      </c>
      <c r="R33" s="16">
        <v>0</v>
      </c>
    </row>
    <row r="34" spans="1:18" x14ac:dyDescent="0.25">
      <c r="A34" s="11" t="s">
        <v>167</v>
      </c>
      <c r="B34" s="13">
        <v>6350</v>
      </c>
      <c r="C34" s="14">
        <f>(5280/B34*100)</f>
        <v>83.149606299212593</v>
      </c>
      <c r="D34" s="15">
        <v>1070</v>
      </c>
      <c r="E34" s="14">
        <v>33.924368819999998</v>
      </c>
      <c r="F34" s="16">
        <v>1.5861734199999999</v>
      </c>
      <c r="G34" s="14">
        <v>66.075631180000002</v>
      </c>
      <c r="H34" s="16">
        <v>1.5861734199999999</v>
      </c>
      <c r="I34" s="14" t="s">
        <v>139</v>
      </c>
      <c r="J34" s="16" t="s">
        <v>139</v>
      </c>
      <c r="K34" s="14">
        <v>0</v>
      </c>
      <c r="L34" s="16">
        <v>0</v>
      </c>
      <c r="M34" s="14">
        <v>0</v>
      </c>
      <c r="N34" s="16">
        <v>0</v>
      </c>
      <c r="O34" s="14">
        <v>0</v>
      </c>
      <c r="P34" s="16">
        <v>0</v>
      </c>
      <c r="Q34" s="14">
        <v>0</v>
      </c>
      <c r="R34" s="16">
        <v>0</v>
      </c>
    </row>
    <row r="35" spans="1:18" x14ac:dyDescent="0.25">
      <c r="A35" s="11" t="s">
        <v>168</v>
      </c>
      <c r="B35" s="13">
        <v>6406</v>
      </c>
      <c r="C35" s="14">
        <f>(5297/B35*100)</f>
        <v>82.688104901654697</v>
      </c>
      <c r="D35" s="15">
        <v>1109</v>
      </c>
      <c r="E35" s="14">
        <v>33.252078429999997</v>
      </c>
      <c r="F35" s="16">
        <v>1.63509459</v>
      </c>
      <c r="G35" s="14">
        <v>66.747921570000003</v>
      </c>
      <c r="H35" s="16">
        <v>1.63509459</v>
      </c>
      <c r="I35" s="14" t="s">
        <v>139</v>
      </c>
      <c r="J35" s="16" t="s">
        <v>139</v>
      </c>
      <c r="K35" s="14">
        <v>0</v>
      </c>
      <c r="L35" s="16">
        <v>0</v>
      </c>
      <c r="M35" s="14">
        <v>0</v>
      </c>
      <c r="N35" s="16">
        <v>0</v>
      </c>
      <c r="O35" s="14">
        <v>0</v>
      </c>
      <c r="P35" s="16">
        <v>0</v>
      </c>
      <c r="Q35" s="14">
        <v>0</v>
      </c>
      <c r="R35" s="16">
        <v>0</v>
      </c>
    </row>
    <row r="36" spans="1:18" x14ac:dyDescent="0.25">
      <c r="A36" s="11" t="s">
        <v>169</v>
      </c>
      <c r="B36" s="13">
        <v>6736</v>
      </c>
      <c r="C36" s="14">
        <f>(5576/B36*100)</f>
        <v>82.779097387173394</v>
      </c>
      <c r="D36" s="15">
        <v>1160</v>
      </c>
      <c r="E36" s="14">
        <v>36.723067579999999</v>
      </c>
      <c r="F36" s="16">
        <v>1.59944372</v>
      </c>
      <c r="G36" s="14">
        <v>63.276932420000001</v>
      </c>
      <c r="H36" s="16">
        <v>1.59944372</v>
      </c>
      <c r="I36" s="14" t="s">
        <v>139</v>
      </c>
      <c r="J36" s="16" t="s">
        <v>139</v>
      </c>
      <c r="K36" s="14">
        <v>0</v>
      </c>
      <c r="L36" s="16">
        <v>0</v>
      </c>
      <c r="M36" s="14">
        <v>0</v>
      </c>
      <c r="N36" s="16">
        <v>0</v>
      </c>
      <c r="O36" s="14">
        <v>0</v>
      </c>
      <c r="P36" s="16">
        <v>0</v>
      </c>
      <c r="Q36" s="14">
        <v>0</v>
      </c>
      <c r="R36" s="16">
        <v>0</v>
      </c>
    </row>
    <row r="37" spans="1:18" x14ac:dyDescent="0.25">
      <c r="A37" s="11" t="s">
        <v>170</v>
      </c>
      <c r="B37" s="13">
        <v>5458</v>
      </c>
      <c r="C37" s="14">
        <f>(4554/B37*100)</f>
        <v>83.437156467570546</v>
      </c>
      <c r="D37" s="15">
        <v>904</v>
      </c>
      <c r="E37" s="14">
        <v>25.683633629999999</v>
      </c>
      <c r="F37" s="16">
        <v>1.6813445600000001</v>
      </c>
      <c r="G37" s="14">
        <v>74.316366369999997</v>
      </c>
      <c r="H37" s="16">
        <v>1.6813445600000001</v>
      </c>
      <c r="I37" s="14" t="s">
        <v>139</v>
      </c>
      <c r="J37" s="16" t="s">
        <v>139</v>
      </c>
      <c r="K37" s="14">
        <v>0</v>
      </c>
      <c r="L37" s="16">
        <v>0</v>
      </c>
      <c r="M37" s="14">
        <v>0</v>
      </c>
      <c r="N37" s="16">
        <v>0</v>
      </c>
      <c r="O37" s="14">
        <v>0</v>
      </c>
      <c r="P37" s="16">
        <v>0</v>
      </c>
      <c r="Q37" s="14">
        <v>0</v>
      </c>
      <c r="R37" s="16">
        <v>0</v>
      </c>
    </row>
    <row r="38" spans="1:18" x14ac:dyDescent="0.25">
      <c r="A38" s="11" t="s">
        <v>171</v>
      </c>
      <c r="B38" s="17" t="s">
        <v>154</v>
      </c>
      <c r="C38" s="17" t="s">
        <v>154</v>
      </c>
      <c r="D38" s="18" t="s">
        <v>154</v>
      </c>
      <c r="E38" s="17" t="s">
        <v>154</v>
      </c>
      <c r="F38" s="18" t="s">
        <v>154</v>
      </c>
      <c r="G38" s="17" t="s">
        <v>154</v>
      </c>
      <c r="H38" s="18" t="s">
        <v>154</v>
      </c>
      <c r="I38" s="17" t="s">
        <v>154</v>
      </c>
      <c r="J38" s="18" t="s">
        <v>154</v>
      </c>
      <c r="K38" s="17" t="s">
        <v>154</v>
      </c>
      <c r="L38" s="18" t="s">
        <v>154</v>
      </c>
      <c r="M38" s="17" t="s">
        <v>154</v>
      </c>
      <c r="N38" s="18" t="s">
        <v>154</v>
      </c>
      <c r="O38" s="17" t="s">
        <v>154</v>
      </c>
      <c r="P38" s="18" t="s">
        <v>154</v>
      </c>
      <c r="Q38" s="17" t="s">
        <v>154</v>
      </c>
      <c r="R38" s="18" t="s">
        <v>154</v>
      </c>
    </row>
    <row r="39" spans="1:18" x14ac:dyDescent="0.25">
      <c r="A39" s="11" t="s">
        <v>172</v>
      </c>
      <c r="B39" s="13">
        <v>5895</v>
      </c>
      <c r="C39" s="14">
        <f>(4869/B39*100)</f>
        <v>82.595419847328245</v>
      </c>
      <c r="D39" s="15">
        <v>1026</v>
      </c>
      <c r="E39" s="14">
        <v>57.57603056</v>
      </c>
      <c r="F39" s="16">
        <v>1.64826888</v>
      </c>
      <c r="G39" s="14">
        <v>42.42396944</v>
      </c>
      <c r="H39" s="16">
        <v>1.64826888</v>
      </c>
      <c r="I39" s="14" t="s">
        <v>139</v>
      </c>
      <c r="J39" s="16" t="s">
        <v>139</v>
      </c>
      <c r="K39" s="14">
        <v>0</v>
      </c>
      <c r="L39" s="16">
        <v>0</v>
      </c>
      <c r="M39" s="14">
        <v>0</v>
      </c>
      <c r="N39" s="16">
        <v>0</v>
      </c>
      <c r="O39" s="14">
        <v>0</v>
      </c>
      <c r="P39" s="16">
        <v>0</v>
      </c>
      <c r="Q39" s="14">
        <v>0</v>
      </c>
      <c r="R39" s="16">
        <v>0</v>
      </c>
    </row>
    <row r="40" spans="1:18" x14ac:dyDescent="0.25">
      <c r="A40" s="11" t="s">
        <v>173</v>
      </c>
      <c r="B40" s="13">
        <v>14157</v>
      </c>
      <c r="C40" s="14">
        <f>(11631/B40*100)</f>
        <v>82.15723670269125</v>
      </c>
      <c r="D40" s="15">
        <v>2526</v>
      </c>
      <c r="E40" s="14">
        <v>25.522071400000002</v>
      </c>
      <c r="F40" s="16">
        <v>1.2519490499999999</v>
      </c>
      <c r="G40" s="14">
        <v>74.477928599999998</v>
      </c>
      <c r="H40" s="16">
        <v>1.2519490499999999</v>
      </c>
      <c r="I40" s="14" t="s">
        <v>139</v>
      </c>
      <c r="J40" s="16" t="s">
        <v>139</v>
      </c>
      <c r="K40" s="14">
        <v>0</v>
      </c>
      <c r="L40" s="16">
        <v>0</v>
      </c>
      <c r="M40" s="14">
        <v>0</v>
      </c>
      <c r="N40" s="16">
        <v>0</v>
      </c>
      <c r="O40" s="14">
        <v>0</v>
      </c>
      <c r="P40" s="16">
        <v>0</v>
      </c>
      <c r="Q40" s="14">
        <v>0</v>
      </c>
      <c r="R40" s="16">
        <v>0</v>
      </c>
    </row>
    <row r="41" spans="1:18" x14ac:dyDescent="0.25">
      <c r="A41" s="11" t="s">
        <v>174</v>
      </c>
      <c r="B41" s="13">
        <v>5712</v>
      </c>
      <c r="C41" s="14">
        <f>(4753/B41*100)</f>
        <v>83.210784313725497</v>
      </c>
      <c r="D41" s="15">
        <v>959</v>
      </c>
      <c r="E41" s="14">
        <v>22.839490820000002</v>
      </c>
      <c r="F41" s="16">
        <v>1.3266329400000001</v>
      </c>
      <c r="G41" s="14">
        <v>77.160509180000005</v>
      </c>
      <c r="H41" s="16">
        <v>1.3266329400000001</v>
      </c>
      <c r="I41" s="14" t="s">
        <v>139</v>
      </c>
      <c r="J41" s="16" t="s">
        <v>139</v>
      </c>
      <c r="K41" s="14">
        <v>0</v>
      </c>
      <c r="L41" s="16">
        <v>0</v>
      </c>
      <c r="M41" s="14">
        <v>0</v>
      </c>
      <c r="N41" s="16">
        <v>0</v>
      </c>
      <c r="O41" s="14">
        <v>0</v>
      </c>
      <c r="P41" s="16">
        <v>0</v>
      </c>
      <c r="Q41" s="14">
        <v>0</v>
      </c>
      <c r="R41" s="16">
        <v>0</v>
      </c>
    </row>
    <row r="42" spans="1:18" x14ac:dyDescent="0.25">
      <c r="A42" s="11" t="s">
        <v>175</v>
      </c>
      <c r="B42" s="13">
        <f>IF(COUNT(B7:B41) &gt; 0, AVERAGE(B7:B41), "\u2014")</f>
        <v>7266.90625</v>
      </c>
      <c r="C42" s="14">
        <f>IF(COUNT(C7:C41) &gt; 0, AVERAGE(C7:C41), "—")</f>
        <v>82.93344709112597</v>
      </c>
      <c r="D42" s="15">
        <f>IF(COUNT(D7:D41) &gt; 0, AVERAGE(D7:D41), "—")</f>
        <v>1241.4375</v>
      </c>
      <c r="E42" s="14">
        <f>IF(COUNT(E7:E41) &gt; 0, AVERAGE(E7:E41), "—")</f>
        <v>31.950436897499998</v>
      </c>
      <c r="F42" s="16">
        <f>IF(COUNT(F7:F41) &gt; 0, SQRT(SUMSQ(F7:F41)/(COUNT(F7:F41)*COUNT(F7:F41)) ), "—")</f>
        <v>0.26750720806065126</v>
      </c>
      <c r="G42" s="14">
        <f>IF(COUNT(G7:G41) &gt; 0, AVERAGE(G7:G41), "—")</f>
        <v>68.049563102500016</v>
      </c>
      <c r="H42" s="16">
        <f>IF(COUNT(H7:H41) &gt; 0, SQRT(SUMSQ(H7:H41)/(COUNT(H7:H41)*COUNT(H7:H41)) ), "—")</f>
        <v>0.26750720806065126</v>
      </c>
      <c r="I42" s="14" t="str">
        <f>IF(COUNT(I7:I41) &gt; 0, AVERAGE(I7:I41), "—")</f>
        <v>—</v>
      </c>
      <c r="J42" s="16" t="str">
        <f>IF(COUNT(J7:J41) &gt; 0, SQRT(SUMSQ(J7:J41)/(COUNT(J7:J41)*COUNT(J7:J41)) ), "—")</f>
        <v>—</v>
      </c>
      <c r="K42" s="14">
        <f>IF(COUNT(K7:K41) &gt; 0, AVERAGE(K7:K41), "—")</f>
        <v>0</v>
      </c>
      <c r="L42" s="16">
        <f>IF(COUNT(L7:L41) &gt; 0, SQRT(SUMSQ(L7:L41)/(COUNT(L7:L41)*COUNT(L7:L41)) ), "—")</f>
        <v>0</v>
      </c>
      <c r="M42" s="14">
        <f>IF(COUNT(M7:M41) &gt; 0, AVERAGE(M7:M41), "—")</f>
        <v>0</v>
      </c>
      <c r="N42" s="16">
        <f>IF(COUNT(N7:N41) &gt; 0, SQRT(SUMSQ(N7:N41)/(COUNT(N7:N41)*COUNT(N7:N41)) ), "—")</f>
        <v>0</v>
      </c>
      <c r="O42" s="14">
        <f>IF(COUNT(O7:O41) &gt; 0, AVERAGE(O7:O41), "—")</f>
        <v>0</v>
      </c>
      <c r="P42" s="16">
        <f>IF(COUNT(P7:P41) &gt; 0, SQRT(SUMSQ(P7:P41)/(COUNT(P7:P41)*COUNT(P7:P41)) ), "—")</f>
        <v>0</v>
      </c>
      <c r="Q42" s="14">
        <f>IF(COUNT(Q7:Q41) &gt; 0, AVERAGE(Q7:Q41), "—")</f>
        <v>0</v>
      </c>
      <c r="R42" s="16">
        <f>IF(COUNT(R7:R41) &gt; 0, SQRT(SUMSQ(R7:R41)/(COUNT(R7:R41)*COUNT(R7:R41)) ), "—")</f>
        <v>0</v>
      </c>
    </row>
    <row r="43" spans="1:18" x14ac:dyDescent="0.25">
      <c r="A43" s="9" t="s">
        <v>176</v>
      </c>
      <c r="B43" s="10"/>
      <c r="C43" s="10"/>
      <c r="D43" s="11"/>
      <c r="E43" s="10"/>
      <c r="F43" s="11"/>
      <c r="G43" s="10"/>
      <c r="H43" s="11"/>
      <c r="I43" s="10"/>
      <c r="J43" s="11"/>
      <c r="K43" s="10"/>
      <c r="L43" s="11"/>
      <c r="M43" s="10"/>
      <c r="N43" s="11"/>
      <c r="O43" s="10"/>
      <c r="P43" s="11"/>
      <c r="Q43" s="10"/>
      <c r="R43" s="12"/>
    </row>
    <row r="44" spans="1:18" x14ac:dyDescent="0.25">
      <c r="A44" s="11" t="s">
        <v>177</v>
      </c>
      <c r="B44" s="17" t="s">
        <v>154</v>
      </c>
      <c r="C44" s="17" t="s">
        <v>154</v>
      </c>
      <c r="D44" s="18" t="s">
        <v>154</v>
      </c>
      <c r="E44" s="17" t="s">
        <v>154</v>
      </c>
      <c r="F44" s="18" t="s">
        <v>154</v>
      </c>
      <c r="G44" s="17" t="s">
        <v>154</v>
      </c>
      <c r="H44" s="18" t="s">
        <v>154</v>
      </c>
      <c r="I44" s="17" t="s">
        <v>154</v>
      </c>
      <c r="J44" s="18" t="s">
        <v>154</v>
      </c>
      <c r="K44" s="17" t="s">
        <v>154</v>
      </c>
      <c r="L44" s="18" t="s">
        <v>154</v>
      </c>
      <c r="M44" s="17" t="s">
        <v>154</v>
      </c>
      <c r="N44" s="18" t="s">
        <v>154</v>
      </c>
      <c r="O44" s="17" t="s">
        <v>154</v>
      </c>
      <c r="P44" s="18" t="s">
        <v>154</v>
      </c>
      <c r="Q44" s="17" t="s">
        <v>154</v>
      </c>
      <c r="R44" s="18" t="s">
        <v>154</v>
      </c>
    </row>
    <row r="45" spans="1:18" x14ac:dyDescent="0.25">
      <c r="A45" s="11" t="s">
        <v>178</v>
      </c>
      <c r="B45" s="17" t="s">
        <v>154</v>
      </c>
      <c r="C45" s="17" t="s">
        <v>154</v>
      </c>
      <c r="D45" s="18" t="s">
        <v>154</v>
      </c>
      <c r="E45" s="17" t="s">
        <v>154</v>
      </c>
      <c r="F45" s="18" t="s">
        <v>154</v>
      </c>
      <c r="G45" s="17" t="s">
        <v>154</v>
      </c>
      <c r="H45" s="18" t="s">
        <v>154</v>
      </c>
      <c r="I45" s="17" t="s">
        <v>154</v>
      </c>
      <c r="J45" s="18" t="s">
        <v>154</v>
      </c>
      <c r="K45" s="17" t="s">
        <v>154</v>
      </c>
      <c r="L45" s="18" t="s">
        <v>154</v>
      </c>
      <c r="M45" s="17" t="s">
        <v>154</v>
      </c>
      <c r="N45" s="18" t="s">
        <v>154</v>
      </c>
      <c r="O45" s="17" t="s">
        <v>154</v>
      </c>
      <c r="P45" s="18" t="s">
        <v>154</v>
      </c>
      <c r="Q45" s="17" t="s">
        <v>154</v>
      </c>
      <c r="R45" s="18" t="s">
        <v>154</v>
      </c>
    </row>
    <row r="46" spans="1:18" x14ac:dyDescent="0.25">
      <c r="A46" s="11" t="s">
        <v>179</v>
      </c>
      <c r="B46" s="13">
        <v>23141</v>
      </c>
      <c r="C46" s="14">
        <f>(19537/B46*100)</f>
        <v>84.425910721230707</v>
      </c>
      <c r="D46" s="15">
        <v>3604</v>
      </c>
      <c r="E46" s="14">
        <v>56.086474000000003</v>
      </c>
      <c r="F46" s="16">
        <v>1.23734747</v>
      </c>
      <c r="G46" s="14">
        <v>43.913525999999997</v>
      </c>
      <c r="H46" s="16">
        <v>1.23734747</v>
      </c>
      <c r="I46" s="14" t="s">
        <v>139</v>
      </c>
      <c r="J46" s="16" t="s">
        <v>139</v>
      </c>
      <c r="K46" s="14">
        <v>0</v>
      </c>
      <c r="L46" s="16">
        <v>0</v>
      </c>
      <c r="M46" s="14">
        <v>0</v>
      </c>
      <c r="N46" s="16">
        <v>0</v>
      </c>
      <c r="O46" s="14">
        <v>0</v>
      </c>
      <c r="P46" s="16">
        <v>0</v>
      </c>
      <c r="Q46" s="14">
        <v>0</v>
      </c>
      <c r="R46" s="16">
        <v>0</v>
      </c>
    </row>
    <row r="47" spans="1:18" x14ac:dyDescent="0.25">
      <c r="A47" s="11" t="s">
        <v>180</v>
      </c>
      <c r="B47" s="13">
        <v>5928</v>
      </c>
      <c r="C47" s="14">
        <f>(4918/B47*100)</f>
        <v>82.962213225371116</v>
      </c>
      <c r="D47" s="15">
        <v>1010</v>
      </c>
      <c r="E47" s="14">
        <v>46.509019469999998</v>
      </c>
      <c r="F47" s="16">
        <v>1.70697721</v>
      </c>
      <c r="G47" s="14">
        <v>53.490980530000002</v>
      </c>
      <c r="H47" s="16">
        <v>1.70697721</v>
      </c>
      <c r="I47" s="14" t="s">
        <v>139</v>
      </c>
      <c r="J47" s="16" t="s">
        <v>139</v>
      </c>
      <c r="K47" s="14">
        <v>0</v>
      </c>
      <c r="L47" s="16">
        <v>0</v>
      </c>
      <c r="M47" s="14">
        <v>0</v>
      </c>
      <c r="N47" s="16">
        <v>0</v>
      </c>
      <c r="O47" s="14">
        <v>0</v>
      </c>
      <c r="P47" s="16">
        <v>0</v>
      </c>
      <c r="Q47" s="14">
        <v>0</v>
      </c>
      <c r="R47" s="16">
        <v>0</v>
      </c>
    </row>
    <row r="48" spans="1:18" x14ac:dyDescent="0.25">
      <c r="A48" s="11" t="s">
        <v>181</v>
      </c>
      <c r="B48" s="13">
        <v>9841</v>
      </c>
      <c r="C48" s="14">
        <f>(8147/B48*100)</f>
        <v>82.786302205060451</v>
      </c>
      <c r="D48" s="15">
        <v>1694</v>
      </c>
      <c r="E48" s="14">
        <v>41.315512220000002</v>
      </c>
      <c r="F48" s="16">
        <v>1.70919877</v>
      </c>
      <c r="G48" s="14">
        <v>58.684487779999998</v>
      </c>
      <c r="H48" s="16">
        <v>1.70919877</v>
      </c>
      <c r="I48" s="14" t="s">
        <v>139</v>
      </c>
      <c r="J48" s="16" t="s">
        <v>139</v>
      </c>
      <c r="K48" s="14">
        <v>0</v>
      </c>
      <c r="L48" s="16">
        <v>0</v>
      </c>
      <c r="M48" s="14">
        <v>0</v>
      </c>
      <c r="N48" s="16">
        <v>0</v>
      </c>
      <c r="O48" s="14">
        <v>0</v>
      </c>
      <c r="P48" s="16">
        <v>0</v>
      </c>
      <c r="Q48" s="14">
        <v>0</v>
      </c>
      <c r="R48" s="16">
        <v>0</v>
      </c>
    </row>
    <row r="49" spans="1:18" x14ac:dyDescent="0.25">
      <c r="A49" s="11" t="s">
        <v>182</v>
      </c>
      <c r="B49" s="17" t="s">
        <v>154</v>
      </c>
      <c r="C49" s="17" t="s">
        <v>154</v>
      </c>
      <c r="D49" s="18" t="s">
        <v>154</v>
      </c>
      <c r="E49" s="17" t="s">
        <v>154</v>
      </c>
      <c r="F49" s="18" t="s">
        <v>154</v>
      </c>
      <c r="G49" s="17" t="s">
        <v>154</v>
      </c>
      <c r="H49" s="18" t="s">
        <v>154</v>
      </c>
      <c r="I49" s="17" t="s">
        <v>154</v>
      </c>
      <c r="J49" s="18" t="s">
        <v>154</v>
      </c>
      <c r="K49" s="17" t="s">
        <v>154</v>
      </c>
      <c r="L49" s="18" t="s">
        <v>154</v>
      </c>
      <c r="M49" s="17" t="s">
        <v>154</v>
      </c>
      <c r="N49" s="18" t="s">
        <v>154</v>
      </c>
      <c r="O49" s="17" t="s">
        <v>154</v>
      </c>
      <c r="P49" s="18" t="s">
        <v>154</v>
      </c>
      <c r="Q49" s="17" t="s">
        <v>154</v>
      </c>
      <c r="R49" s="18" t="s">
        <v>154</v>
      </c>
    </row>
    <row r="50" spans="1:18" x14ac:dyDescent="0.25">
      <c r="A50" s="11" t="s">
        <v>183</v>
      </c>
      <c r="B50" s="13">
        <v>11795</v>
      </c>
      <c r="C50" s="14">
        <f>(9780/B50*100)</f>
        <v>82.916490038151764</v>
      </c>
      <c r="D50" s="15">
        <v>2015</v>
      </c>
      <c r="E50" s="14">
        <v>51.741195879999999</v>
      </c>
      <c r="F50" s="16">
        <v>1.51090021</v>
      </c>
      <c r="G50" s="14">
        <v>48.258804120000001</v>
      </c>
      <c r="H50" s="16">
        <v>1.51090021</v>
      </c>
      <c r="I50" s="14" t="s">
        <v>139</v>
      </c>
      <c r="J50" s="16" t="s">
        <v>139</v>
      </c>
      <c r="K50" s="14">
        <v>0</v>
      </c>
      <c r="L50" s="16">
        <v>0</v>
      </c>
      <c r="M50" s="14">
        <v>0</v>
      </c>
      <c r="N50" s="16">
        <v>0</v>
      </c>
      <c r="O50" s="14">
        <v>0</v>
      </c>
      <c r="P50" s="16">
        <v>0</v>
      </c>
      <c r="Q50" s="14">
        <v>0</v>
      </c>
      <c r="R50" s="16">
        <v>0</v>
      </c>
    </row>
    <row r="51" spans="1:18" x14ac:dyDescent="0.25">
      <c r="A51" s="11" t="s">
        <v>184</v>
      </c>
      <c r="B51" s="13">
        <v>6866</v>
      </c>
      <c r="C51" s="14">
        <f>(5844/B51*100)</f>
        <v>85.115059714535391</v>
      </c>
      <c r="D51" s="15">
        <v>1022</v>
      </c>
      <c r="E51" s="14">
        <v>51.361778510000001</v>
      </c>
      <c r="F51" s="16">
        <v>1.5925354700000001</v>
      </c>
      <c r="G51" s="14">
        <v>48.638221489999999</v>
      </c>
      <c r="H51" s="16">
        <v>1.5925354700000001</v>
      </c>
      <c r="I51" s="14" t="s">
        <v>139</v>
      </c>
      <c r="J51" s="16" t="s">
        <v>139</v>
      </c>
      <c r="K51" s="14">
        <v>0</v>
      </c>
      <c r="L51" s="16">
        <v>0</v>
      </c>
      <c r="M51" s="14">
        <v>0</v>
      </c>
      <c r="N51" s="16">
        <v>0</v>
      </c>
      <c r="O51" s="14">
        <v>0</v>
      </c>
      <c r="P51" s="16">
        <v>0</v>
      </c>
      <c r="Q51" s="14">
        <v>0</v>
      </c>
      <c r="R51" s="16">
        <v>0</v>
      </c>
    </row>
    <row r="52" spans="1:18" x14ac:dyDescent="0.25">
      <c r="A52" s="11" t="s">
        <v>185</v>
      </c>
      <c r="B52" s="13">
        <v>5809</v>
      </c>
      <c r="C52" s="14">
        <f>(4801/B52*100)</f>
        <v>82.647615768634878</v>
      </c>
      <c r="D52" s="15">
        <v>1008</v>
      </c>
      <c r="E52" s="14">
        <v>50.807396390000001</v>
      </c>
      <c r="F52" s="16">
        <v>1.7147750399999999</v>
      </c>
      <c r="G52" s="14">
        <v>49.192603609999999</v>
      </c>
      <c r="H52" s="16">
        <v>1.7147750399999999</v>
      </c>
      <c r="I52" s="14" t="s">
        <v>139</v>
      </c>
      <c r="J52" s="16" t="s">
        <v>139</v>
      </c>
      <c r="K52" s="14">
        <v>0</v>
      </c>
      <c r="L52" s="16">
        <v>0</v>
      </c>
      <c r="M52" s="14">
        <v>0</v>
      </c>
      <c r="N52" s="16">
        <v>0</v>
      </c>
      <c r="O52" s="14">
        <v>0</v>
      </c>
      <c r="P52" s="16">
        <v>0</v>
      </c>
      <c r="Q52" s="14">
        <v>0</v>
      </c>
      <c r="R52" s="16">
        <v>0</v>
      </c>
    </row>
    <row r="53" spans="1:18" x14ac:dyDescent="0.25">
      <c r="A53" s="11" t="s">
        <v>186</v>
      </c>
      <c r="B53" s="13">
        <v>5571</v>
      </c>
      <c r="C53" s="14">
        <f>(4604/B53*100)</f>
        <v>82.642254532399932</v>
      </c>
      <c r="D53" s="15">
        <v>967</v>
      </c>
      <c r="E53" s="14">
        <v>57.965297659999997</v>
      </c>
      <c r="F53" s="16">
        <v>1.7488002600000001</v>
      </c>
      <c r="G53" s="14">
        <v>42.034702340000003</v>
      </c>
      <c r="H53" s="16">
        <v>1.7488002600000001</v>
      </c>
      <c r="I53" s="14" t="s">
        <v>139</v>
      </c>
      <c r="J53" s="16" t="s">
        <v>139</v>
      </c>
      <c r="K53" s="14">
        <v>0</v>
      </c>
      <c r="L53" s="16">
        <v>0</v>
      </c>
      <c r="M53" s="14">
        <v>0</v>
      </c>
      <c r="N53" s="16">
        <v>0</v>
      </c>
      <c r="O53" s="14">
        <v>0</v>
      </c>
      <c r="P53" s="16">
        <v>0</v>
      </c>
      <c r="Q53" s="14">
        <v>0</v>
      </c>
      <c r="R53" s="16">
        <v>0</v>
      </c>
    </row>
    <row r="54" spans="1:18" x14ac:dyDescent="0.25">
      <c r="A54" s="11" t="s">
        <v>187</v>
      </c>
      <c r="B54" s="17" t="s">
        <v>154</v>
      </c>
      <c r="C54" s="17" t="s">
        <v>154</v>
      </c>
      <c r="D54" s="18" t="s">
        <v>154</v>
      </c>
      <c r="E54" s="17" t="s">
        <v>154</v>
      </c>
      <c r="F54" s="18" t="s">
        <v>154</v>
      </c>
      <c r="G54" s="17" t="s">
        <v>154</v>
      </c>
      <c r="H54" s="18" t="s">
        <v>154</v>
      </c>
      <c r="I54" s="17" t="s">
        <v>154</v>
      </c>
      <c r="J54" s="18" t="s">
        <v>154</v>
      </c>
      <c r="K54" s="17" t="s">
        <v>154</v>
      </c>
      <c r="L54" s="18" t="s">
        <v>154</v>
      </c>
      <c r="M54" s="17" t="s">
        <v>154</v>
      </c>
      <c r="N54" s="18" t="s">
        <v>154</v>
      </c>
      <c r="O54" s="17" t="s">
        <v>154</v>
      </c>
      <c r="P54" s="18" t="s">
        <v>154</v>
      </c>
      <c r="Q54" s="17" t="s">
        <v>154</v>
      </c>
      <c r="R54" s="18" t="s">
        <v>154</v>
      </c>
    </row>
    <row r="55" spans="1:18" x14ac:dyDescent="0.25">
      <c r="A55" s="11" t="s">
        <v>188</v>
      </c>
      <c r="B55" s="17" t="s">
        <v>154</v>
      </c>
      <c r="C55" s="17" t="s">
        <v>154</v>
      </c>
      <c r="D55" s="18" t="s">
        <v>154</v>
      </c>
      <c r="E55" s="17" t="s">
        <v>154</v>
      </c>
      <c r="F55" s="18" t="s">
        <v>154</v>
      </c>
      <c r="G55" s="17" t="s">
        <v>154</v>
      </c>
      <c r="H55" s="18" t="s">
        <v>154</v>
      </c>
      <c r="I55" s="17" t="s">
        <v>154</v>
      </c>
      <c r="J55" s="18" t="s">
        <v>154</v>
      </c>
      <c r="K55" s="17" t="s">
        <v>154</v>
      </c>
      <c r="L55" s="18" t="s">
        <v>154</v>
      </c>
      <c r="M55" s="17" t="s">
        <v>154</v>
      </c>
      <c r="N55" s="18" t="s">
        <v>154</v>
      </c>
      <c r="O55" s="17" t="s">
        <v>154</v>
      </c>
      <c r="P55" s="18" t="s">
        <v>154</v>
      </c>
      <c r="Q55" s="17" t="s">
        <v>154</v>
      </c>
      <c r="R55" s="18" t="s">
        <v>154</v>
      </c>
    </row>
    <row r="56" spans="1:18" x14ac:dyDescent="0.25">
      <c r="A56" s="11" t="s">
        <v>189</v>
      </c>
      <c r="B56" s="13">
        <v>5359</v>
      </c>
      <c r="C56" s="14">
        <f>(4443/B56*100)</f>
        <v>82.907258816943468</v>
      </c>
      <c r="D56" s="15">
        <v>916</v>
      </c>
      <c r="E56" s="14">
        <v>38.638263299999998</v>
      </c>
      <c r="F56" s="16">
        <v>1.9750484800000001</v>
      </c>
      <c r="G56" s="14">
        <v>61.361736700000002</v>
      </c>
      <c r="H56" s="16">
        <v>1.9750484800000001</v>
      </c>
      <c r="I56" s="14" t="s">
        <v>139</v>
      </c>
      <c r="J56" s="16" t="s">
        <v>139</v>
      </c>
      <c r="K56" s="14">
        <v>0</v>
      </c>
      <c r="L56" s="16">
        <v>0</v>
      </c>
      <c r="M56" s="14">
        <v>0</v>
      </c>
      <c r="N56" s="16">
        <v>0</v>
      </c>
      <c r="O56" s="14">
        <v>0</v>
      </c>
      <c r="P56" s="16">
        <v>0</v>
      </c>
      <c r="Q56" s="14">
        <v>0</v>
      </c>
      <c r="R56" s="16">
        <v>0</v>
      </c>
    </row>
    <row r="57" spans="1:18" x14ac:dyDescent="0.25">
      <c r="A57" s="11" t="s">
        <v>190</v>
      </c>
      <c r="B57" s="17" t="s">
        <v>154</v>
      </c>
      <c r="C57" s="17" t="s">
        <v>154</v>
      </c>
      <c r="D57" s="18" t="s">
        <v>154</v>
      </c>
      <c r="E57" s="17" t="s">
        <v>154</v>
      </c>
      <c r="F57" s="18" t="s">
        <v>154</v>
      </c>
      <c r="G57" s="17" t="s">
        <v>154</v>
      </c>
      <c r="H57" s="18" t="s">
        <v>154</v>
      </c>
      <c r="I57" s="17" t="s">
        <v>154</v>
      </c>
      <c r="J57" s="18" t="s">
        <v>154</v>
      </c>
      <c r="K57" s="17" t="s">
        <v>154</v>
      </c>
      <c r="L57" s="18" t="s">
        <v>154</v>
      </c>
      <c r="M57" s="17" t="s">
        <v>154</v>
      </c>
      <c r="N57" s="18" t="s">
        <v>154</v>
      </c>
      <c r="O57" s="17" t="s">
        <v>154</v>
      </c>
      <c r="P57" s="18" t="s">
        <v>154</v>
      </c>
      <c r="Q57" s="17" t="s">
        <v>154</v>
      </c>
      <c r="R57" s="18" t="s">
        <v>154</v>
      </c>
    </row>
    <row r="58" spans="1:18" x14ac:dyDescent="0.25">
      <c r="A58" s="11" t="s">
        <v>191</v>
      </c>
      <c r="B58" s="17" t="s">
        <v>154</v>
      </c>
      <c r="C58" s="17" t="s">
        <v>154</v>
      </c>
      <c r="D58" s="18" t="s">
        <v>154</v>
      </c>
      <c r="E58" s="17" t="s">
        <v>154</v>
      </c>
      <c r="F58" s="18" t="s">
        <v>154</v>
      </c>
      <c r="G58" s="17" t="s">
        <v>154</v>
      </c>
      <c r="H58" s="18" t="s">
        <v>154</v>
      </c>
      <c r="I58" s="17" t="s">
        <v>154</v>
      </c>
      <c r="J58" s="18" t="s">
        <v>154</v>
      </c>
      <c r="K58" s="17" t="s">
        <v>154</v>
      </c>
      <c r="L58" s="18" t="s">
        <v>154</v>
      </c>
      <c r="M58" s="17" t="s">
        <v>154</v>
      </c>
      <c r="N58" s="18" t="s">
        <v>154</v>
      </c>
      <c r="O58" s="17" t="s">
        <v>154</v>
      </c>
      <c r="P58" s="18" t="s">
        <v>154</v>
      </c>
      <c r="Q58" s="17" t="s">
        <v>154</v>
      </c>
      <c r="R58" s="18" t="s">
        <v>154</v>
      </c>
    </row>
    <row r="59" spans="1:18" x14ac:dyDescent="0.25">
      <c r="A59" s="11" t="s">
        <v>192</v>
      </c>
      <c r="B59" s="17" t="s">
        <v>154</v>
      </c>
      <c r="C59" s="17" t="s">
        <v>154</v>
      </c>
      <c r="D59" s="18" t="s">
        <v>154</v>
      </c>
      <c r="E59" s="17" t="s">
        <v>154</v>
      </c>
      <c r="F59" s="18" t="s">
        <v>154</v>
      </c>
      <c r="G59" s="17" t="s">
        <v>154</v>
      </c>
      <c r="H59" s="18" t="s">
        <v>154</v>
      </c>
      <c r="I59" s="17" t="s">
        <v>154</v>
      </c>
      <c r="J59" s="18" t="s">
        <v>154</v>
      </c>
      <c r="K59" s="17" t="s">
        <v>154</v>
      </c>
      <c r="L59" s="18" t="s">
        <v>154</v>
      </c>
      <c r="M59" s="17" t="s">
        <v>154</v>
      </c>
      <c r="N59" s="18" t="s">
        <v>154</v>
      </c>
      <c r="O59" s="17" t="s">
        <v>154</v>
      </c>
      <c r="P59" s="18" t="s">
        <v>154</v>
      </c>
      <c r="Q59" s="17" t="s">
        <v>154</v>
      </c>
      <c r="R59" s="18" t="s">
        <v>154</v>
      </c>
    </row>
    <row r="60" spans="1:18" x14ac:dyDescent="0.25">
      <c r="A60" s="11" t="s">
        <v>193</v>
      </c>
      <c r="B60" s="17" t="s">
        <v>154</v>
      </c>
      <c r="C60" s="17" t="s">
        <v>154</v>
      </c>
      <c r="D60" s="18" t="s">
        <v>154</v>
      </c>
      <c r="E60" s="17" t="s">
        <v>154</v>
      </c>
      <c r="F60" s="18" t="s">
        <v>154</v>
      </c>
      <c r="G60" s="17" t="s">
        <v>154</v>
      </c>
      <c r="H60" s="18" t="s">
        <v>154</v>
      </c>
      <c r="I60" s="17" t="s">
        <v>154</v>
      </c>
      <c r="J60" s="18" t="s">
        <v>154</v>
      </c>
      <c r="K60" s="17" t="s">
        <v>154</v>
      </c>
      <c r="L60" s="18" t="s">
        <v>154</v>
      </c>
      <c r="M60" s="17" t="s">
        <v>154</v>
      </c>
      <c r="N60" s="18" t="s">
        <v>154</v>
      </c>
      <c r="O60" s="17" t="s">
        <v>154</v>
      </c>
      <c r="P60" s="18" t="s">
        <v>154</v>
      </c>
      <c r="Q60" s="17" t="s">
        <v>154</v>
      </c>
      <c r="R60" s="18" t="s">
        <v>154</v>
      </c>
    </row>
    <row r="61" spans="1:18" x14ac:dyDescent="0.25">
      <c r="A61" s="11" t="s">
        <v>194</v>
      </c>
      <c r="B61" s="13">
        <v>6525</v>
      </c>
      <c r="C61" s="14">
        <f>(5385/B61*100)</f>
        <v>82.528735632183896</v>
      </c>
      <c r="D61" s="15">
        <v>1140</v>
      </c>
      <c r="E61" s="14">
        <v>34.383039799999999</v>
      </c>
      <c r="F61" s="16">
        <v>1.57714811</v>
      </c>
      <c r="G61" s="14">
        <v>65.616960199999994</v>
      </c>
      <c r="H61" s="16">
        <v>1.57714811</v>
      </c>
      <c r="I61" s="14" t="s">
        <v>139</v>
      </c>
      <c r="J61" s="16" t="s">
        <v>139</v>
      </c>
      <c r="K61" s="14">
        <v>0</v>
      </c>
      <c r="L61" s="16">
        <v>0</v>
      </c>
      <c r="M61" s="14">
        <v>0</v>
      </c>
      <c r="N61" s="16">
        <v>0</v>
      </c>
      <c r="O61" s="14">
        <v>0</v>
      </c>
      <c r="P61" s="16">
        <v>0</v>
      </c>
      <c r="Q61" s="14">
        <v>0</v>
      </c>
      <c r="R61" s="16">
        <v>0</v>
      </c>
    </row>
    <row r="62" spans="1:18" x14ac:dyDescent="0.25">
      <c r="A62" s="11" t="s">
        <v>195</v>
      </c>
      <c r="B62" s="13">
        <v>4476</v>
      </c>
      <c r="C62" s="14">
        <f>(3693/B62*100)</f>
        <v>82.506702412868634</v>
      </c>
      <c r="D62" s="15">
        <v>783</v>
      </c>
      <c r="E62" s="14">
        <v>31.844581000000002</v>
      </c>
      <c r="F62" s="16">
        <v>1.6821486299999999</v>
      </c>
      <c r="G62" s="14">
        <v>68.155418999999995</v>
      </c>
      <c r="H62" s="16">
        <v>1.6821486299999999</v>
      </c>
      <c r="I62" s="14" t="s">
        <v>139</v>
      </c>
      <c r="J62" s="16" t="s">
        <v>139</v>
      </c>
      <c r="K62" s="14">
        <v>0</v>
      </c>
      <c r="L62" s="16">
        <v>0</v>
      </c>
      <c r="M62" s="14">
        <v>0</v>
      </c>
      <c r="N62" s="16">
        <v>0</v>
      </c>
      <c r="O62" s="14">
        <v>0</v>
      </c>
      <c r="P62" s="16">
        <v>0</v>
      </c>
      <c r="Q62" s="14">
        <v>0</v>
      </c>
      <c r="R62" s="16">
        <v>0</v>
      </c>
    </row>
    <row r="63" spans="1:18" x14ac:dyDescent="0.25">
      <c r="A63" s="11" t="s">
        <v>196</v>
      </c>
      <c r="B63" s="17" t="s">
        <v>154</v>
      </c>
      <c r="C63" s="17" t="s">
        <v>154</v>
      </c>
      <c r="D63" s="18" t="s">
        <v>154</v>
      </c>
      <c r="E63" s="17" t="s">
        <v>154</v>
      </c>
      <c r="F63" s="18" t="s">
        <v>154</v>
      </c>
      <c r="G63" s="17" t="s">
        <v>154</v>
      </c>
      <c r="H63" s="18" t="s">
        <v>154</v>
      </c>
      <c r="I63" s="17" t="s">
        <v>154</v>
      </c>
      <c r="J63" s="18" t="s">
        <v>154</v>
      </c>
      <c r="K63" s="17" t="s">
        <v>154</v>
      </c>
      <c r="L63" s="18" t="s">
        <v>154</v>
      </c>
      <c r="M63" s="17" t="s">
        <v>154</v>
      </c>
      <c r="N63" s="18" t="s">
        <v>154</v>
      </c>
      <c r="O63" s="17" t="s">
        <v>154</v>
      </c>
      <c r="P63" s="18" t="s">
        <v>154</v>
      </c>
      <c r="Q63" s="17" t="s">
        <v>154</v>
      </c>
      <c r="R63" s="18" t="s">
        <v>154</v>
      </c>
    </row>
    <row r="64" spans="1:18" x14ac:dyDescent="0.25">
      <c r="A64" s="11" t="s">
        <v>197</v>
      </c>
      <c r="B64" s="17" t="s">
        <v>154</v>
      </c>
      <c r="C64" s="17" t="s">
        <v>154</v>
      </c>
      <c r="D64" s="18" t="s">
        <v>154</v>
      </c>
      <c r="E64" s="17" t="s">
        <v>154</v>
      </c>
      <c r="F64" s="18" t="s">
        <v>154</v>
      </c>
      <c r="G64" s="17" t="s">
        <v>154</v>
      </c>
      <c r="H64" s="18" t="s">
        <v>154</v>
      </c>
      <c r="I64" s="17" t="s">
        <v>154</v>
      </c>
      <c r="J64" s="18" t="s">
        <v>154</v>
      </c>
      <c r="K64" s="17" t="s">
        <v>154</v>
      </c>
      <c r="L64" s="18" t="s">
        <v>154</v>
      </c>
      <c r="M64" s="17" t="s">
        <v>154</v>
      </c>
      <c r="N64" s="18" t="s">
        <v>154</v>
      </c>
      <c r="O64" s="17" t="s">
        <v>154</v>
      </c>
      <c r="P64" s="18" t="s">
        <v>154</v>
      </c>
      <c r="Q64" s="17" t="s">
        <v>154</v>
      </c>
      <c r="R64" s="18" t="s">
        <v>154</v>
      </c>
    </row>
    <row r="65" spans="1:18" x14ac:dyDescent="0.25">
      <c r="A65" s="11" t="s">
        <v>198</v>
      </c>
      <c r="B65" s="17" t="s">
        <v>154</v>
      </c>
      <c r="C65" s="17" t="s">
        <v>154</v>
      </c>
      <c r="D65" s="18" t="s">
        <v>154</v>
      </c>
      <c r="E65" s="17" t="s">
        <v>154</v>
      </c>
      <c r="F65" s="18" t="s">
        <v>154</v>
      </c>
      <c r="G65" s="17" t="s">
        <v>154</v>
      </c>
      <c r="H65" s="18" t="s">
        <v>154</v>
      </c>
      <c r="I65" s="17" t="s">
        <v>154</v>
      </c>
      <c r="J65" s="18" t="s">
        <v>154</v>
      </c>
      <c r="K65" s="17" t="s">
        <v>154</v>
      </c>
      <c r="L65" s="18" t="s">
        <v>154</v>
      </c>
      <c r="M65" s="17" t="s">
        <v>154</v>
      </c>
      <c r="N65" s="18" t="s">
        <v>154</v>
      </c>
      <c r="O65" s="17" t="s">
        <v>154</v>
      </c>
      <c r="P65" s="18" t="s">
        <v>154</v>
      </c>
      <c r="Q65" s="17" t="s">
        <v>154</v>
      </c>
      <c r="R65" s="18" t="s">
        <v>154</v>
      </c>
    </row>
    <row r="66" spans="1:18" x14ac:dyDescent="0.25">
      <c r="A66" s="11" t="s">
        <v>199</v>
      </c>
      <c r="B66" s="13">
        <v>5665</v>
      </c>
      <c r="C66" s="14">
        <f>(4694/B66*100)</f>
        <v>82.85966460723742</v>
      </c>
      <c r="D66" s="15">
        <v>971</v>
      </c>
      <c r="E66" s="14">
        <v>46.245660950000001</v>
      </c>
      <c r="F66" s="16">
        <v>1.29685257</v>
      </c>
      <c r="G66" s="14">
        <v>53.754339049999999</v>
      </c>
      <c r="H66" s="16">
        <v>1.29685257</v>
      </c>
      <c r="I66" s="14" t="s">
        <v>139</v>
      </c>
      <c r="J66" s="16" t="s">
        <v>139</v>
      </c>
      <c r="K66" s="14">
        <v>0</v>
      </c>
      <c r="L66" s="16">
        <v>0</v>
      </c>
      <c r="M66" s="14">
        <v>0</v>
      </c>
      <c r="N66" s="16">
        <v>0</v>
      </c>
      <c r="O66" s="14">
        <v>0</v>
      </c>
      <c r="P66" s="16">
        <v>0</v>
      </c>
      <c r="Q66" s="14">
        <v>0</v>
      </c>
      <c r="R66" s="16">
        <v>0</v>
      </c>
    </row>
    <row r="67" spans="1:18" x14ac:dyDescent="0.25">
      <c r="A67" s="11" t="s">
        <v>200</v>
      </c>
      <c r="B67" s="13">
        <v>6971</v>
      </c>
      <c r="C67" s="14">
        <f>(5816/B67*100)</f>
        <v>83.431358485152771</v>
      </c>
      <c r="D67" s="15">
        <v>1155</v>
      </c>
      <c r="E67" s="14">
        <v>62.517439549999999</v>
      </c>
      <c r="F67" s="16">
        <v>1.4778446700000001</v>
      </c>
      <c r="G67" s="14">
        <v>37.482560450000001</v>
      </c>
      <c r="H67" s="16">
        <v>1.4778446700000001</v>
      </c>
      <c r="I67" s="14" t="s">
        <v>139</v>
      </c>
      <c r="J67" s="16" t="s">
        <v>139</v>
      </c>
      <c r="K67" s="14">
        <v>0</v>
      </c>
      <c r="L67" s="16">
        <v>0</v>
      </c>
      <c r="M67" s="14">
        <v>0</v>
      </c>
      <c r="N67" s="16">
        <v>0</v>
      </c>
      <c r="O67" s="14">
        <v>0</v>
      </c>
      <c r="P67" s="16">
        <v>0</v>
      </c>
      <c r="Q67" s="14">
        <v>0</v>
      </c>
      <c r="R67" s="16">
        <v>0</v>
      </c>
    </row>
    <row r="68" spans="1:18" x14ac:dyDescent="0.25">
      <c r="A68" s="11" t="s">
        <v>201</v>
      </c>
      <c r="B68" s="17" t="s">
        <v>154</v>
      </c>
      <c r="C68" s="17" t="s">
        <v>154</v>
      </c>
      <c r="D68" s="18" t="s">
        <v>154</v>
      </c>
      <c r="E68" s="17" t="s">
        <v>154</v>
      </c>
      <c r="F68" s="18" t="s">
        <v>154</v>
      </c>
      <c r="G68" s="17" t="s">
        <v>154</v>
      </c>
      <c r="H68" s="18" t="s">
        <v>154</v>
      </c>
      <c r="I68" s="17" t="s">
        <v>154</v>
      </c>
      <c r="J68" s="18" t="s">
        <v>154</v>
      </c>
      <c r="K68" s="17" t="s">
        <v>154</v>
      </c>
      <c r="L68" s="18" t="s">
        <v>154</v>
      </c>
      <c r="M68" s="17" t="s">
        <v>154</v>
      </c>
      <c r="N68" s="18" t="s">
        <v>154</v>
      </c>
      <c r="O68" s="17" t="s">
        <v>154</v>
      </c>
      <c r="P68" s="18" t="s">
        <v>154</v>
      </c>
      <c r="Q68" s="17" t="s">
        <v>154</v>
      </c>
      <c r="R68" s="18" t="s">
        <v>154</v>
      </c>
    </row>
    <row r="69" spans="1:18" x14ac:dyDescent="0.25">
      <c r="A69" s="11" t="s">
        <v>202</v>
      </c>
      <c r="B69" s="17" t="s">
        <v>154</v>
      </c>
      <c r="C69" s="17" t="s">
        <v>154</v>
      </c>
      <c r="D69" s="18" t="s">
        <v>154</v>
      </c>
      <c r="E69" s="17" t="s">
        <v>154</v>
      </c>
      <c r="F69" s="18" t="s">
        <v>154</v>
      </c>
      <c r="G69" s="17" t="s">
        <v>154</v>
      </c>
      <c r="H69" s="18" t="s">
        <v>154</v>
      </c>
      <c r="I69" s="17" t="s">
        <v>154</v>
      </c>
      <c r="J69" s="18" t="s">
        <v>154</v>
      </c>
      <c r="K69" s="17" t="s">
        <v>154</v>
      </c>
      <c r="L69" s="18" t="s">
        <v>154</v>
      </c>
      <c r="M69" s="17" t="s">
        <v>154</v>
      </c>
      <c r="N69" s="18" t="s">
        <v>154</v>
      </c>
      <c r="O69" s="17" t="s">
        <v>154</v>
      </c>
      <c r="P69" s="18" t="s">
        <v>154</v>
      </c>
      <c r="Q69" s="17" t="s">
        <v>154</v>
      </c>
      <c r="R69" s="18" t="s">
        <v>154</v>
      </c>
    </row>
    <row r="70" spans="1:18" x14ac:dyDescent="0.25">
      <c r="A70" s="11" t="s">
        <v>203</v>
      </c>
      <c r="B70" s="13">
        <v>6036</v>
      </c>
      <c r="C70" s="14">
        <f>(4996/B70*100)</f>
        <v>82.770046388336652</v>
      </c>
      <c r="D70" s="15">
        <v>1040</v>
      </c>
      <c r="E70" s="14">
        <v>35.992340480000003</v>
      </c>
      <c r="F70" s="16">
        <v>1.6729132900000001</v>
      </c>
      <c r="G70" s="14">
        <v>64.007659520000004</v>
      </c>
      <c r="H70" s="16">
        <v>1.6729132900000001</v>
      </c>
      <c r="I70" s="14" t="s">
        <v>139</v>
      </c>
      <c r="J70" s="16" t="s">
        <v>139</v>
      </c>
      <c r="K70" s="14">
        <v>0</v>
      </c>
      <c r="L70" s="16">
        <v>0</v>
      </c>
      <c r="M70" s="14">
        <v>0</v>
      </c>
      <c r="N70" s="16">
        <v>0</v>
      </c>
      <c r="O70" s="14">
        <v>0</v>
      </c>
      <c r="P70" s="16">
        <v>0</v>
      </c>
      <c r="Q70" s="14">
        <v>0</v>
      </c>
      <c r="R70" s="16">
        <v>0</v>
      </c>
    </row>
    <row r="71" spans="1:18" x14ac:dyDescent="0.25">
      <c r="A71" s="11" t="s">
        <v>204</v>
      </c>
      <c r="B71" s="17" t="s">
        <v>154</v>
      </c>
      <c r="C71" s="17" t="s">
        <v>154</v>
      </c>
      <c r="D71" s="18" t="s">
        <v>154</v>
      </c>
      <c r="E71" s="17" t="s">
        <v>154</v>
      </c>
      <c r="F71" s="18" t="s">
        <v>154</v>
      </c>
      <c r="G71" s="17" t="s">
        <v>154</v>
      </c>
      <c r="H71" s="18" t="s">
        <v>154</v>
      </c>
      <c r="I71" s="17" t="s">
        <v>154</v>
      </c>
      <c r="J71" s="18" t="s">
        <v>154</v>
      </c>
      <c r="K71" s="17" t="s">
        <v>154</v>
      </c>
      <c r="L71" s="18" t="s">
        <v>154</v>
      </c>
      <c r="M71" s="17" t="s">
        <v>154</v>
      </c>
      <c r="N71" s="18" t="s">
        <v>154</v>
      </c>
      <c r="O71" s="17" t="s">
        <v>154</v>
      </c>
      <c r="P71" s="18" t="s">
        <v>154</v>
      </c>
      <c r="Q71" s="17" t="s">
        <v>154</v>
      </c>
      <c r="R71" s="18" t="s">
        <v>154</v>
      </c>
    </row>
    <row r="72" spans="1:18" x14ac:dyDescent="0.25">
      <c r="A72" s="11" t="s">
        <v>205</v>
      </c>
      <c r="B72" s="13">
        <v>7708</v>
      </c>
      <c r="C72" s="14">
        <f>(6389/B72*100)</f>
        <v>82.887908666320712</v>
      </c>
      <c r="D72" s="15">
        <v>1319</v>
      </c>
      <c r="E72" s="14">
        <v>44.941993920000002</v>
      </c>
      <c r="F72" s="16">
        <v>1.55727101</v>
      </c>
      <c r="G72" s="14">
        <v>55.058006079999998</v>
      </c>
      <c r="H72" s="16">
        <v>1.55727101</v>
      </c>
      <c r="I72" s="14" t="s">
        <v>139</v>
      </c>
      <c r="J72" s="16" t="s">
        <v>139</v>
      </c>
      <c r="K72" s="14">
        <v>0</v>
      </c>
      <c r="L72" s="16">
        <v>0</v>
      </c>
      <c r="M72" s="14">
        <v>0</v>
      </c>
      <c r="N72" s="16">
        <v>0</v>
      </c>
      <c r="O72" s="14">
        <v>0</v>
      </c>
      <c r="P72" s="16">
        <v>0</v>
      </c>
      <c r="Q72" s="14">
        <v>0</v>
      </c>
      <c r="R72" s="16">
        <v>0</v>
      </c>
    </row>
    <row r="73" spans="1:18" x14ac:dyDescent="0.25">
      <c r="A73" s="11" t="s">
        <v>206</v>
      </c>
      <c r="B73" s="13">
        <v>8249</v>
      </c>
      <c r="C73" s="14">
        <f>(6863/B73*100)</f>
        <v>83.197963389501766</v>
      </c>
      <c r="D73" s="15">
        <v>1386</v>
      </c>
      <c r="E73" s="14">
        <v>47.223348680000001</v>
      </c>
      <c r="F73" s="16">
        <v>1.4831872399999999</v>
      </c>
      <c r="G73" s="14">
        <v>52.776651319999999</v>
      </c>
      <c r="H73" s="16">
        <v>1.4831872399999999</v>
      </c>
      <c r="I73" s="14" t="s">
        <v>139</v>
      </c>
      <c r="J73" s="16" t="s">
        <v>139</v>
      </c>
      <c r="K73" s="14">
        <v>0</v>
      </c>
      <c r="L73" s="16">
        <v>0</v>
      </c>
      <c r="M73" s="14">
        <v>0</v>
      </c>
      <c r="N73" s="16">
        <v>0</v>
      </c>
      <c r="O73" s="14">
        <v>0</v>
      </c>
      <c r="P73" s="16">
        <v>0</v>
      </c>
      <c r="Q73" s="14">
        <v>0</v>
      </c>
      <c r="R73" s="16">
        <v>0</v>
      </c>
    </row>
    <row r="74" spans="1:18" x14ac:dyDescent="0.25">
      <c r="A74" s="11" t="s">
        <v>207</v>
      </c>
      <c r="B74" s="17" t="s">
        <v>154</v>
      </c>
      <c r="C74" s="17" t="s">
        <v>154</v>
      </c>
      <c r="D74" s="18" t="s">
        <v>154</v>
      </c>
      <c r="E74" s="17" t="s">
        <v>154</v>
      </c>
      <c r="F74" s="18" t="s">
        <v>154</v>
      </c>
      <c r="G74" s="17" t="s">
        <v>154</v>
      </c>
      <c r="H74" s="18" t="s">
        <v>154</v>
      </c>
      <c r="I74" s="17" t="s">
        <v>154</v>
      </c>
      <c r="J74" s="18" t="s">
        <v>154</v>
      </c>
      <c r="K74" s="17" t="s">
        <v>154</v>
      </c>
      <c r="L74" s="18" t="s">
        <v>154</v>
      </c>
      <c r="M74" s="17" t="s">
        <v>154</v>
      </c>
      <c r="N74" s="18" t="s">
        <v>154</v>
      </c>
      <c r="O74" s="17" t="s">
        <v>154</v>
      </c>
      <c r="P74" s="18" t="s">
        <v>154</v>
      </c>
      <c r="Q74" s="17" t="s">
        <v>154</v>
      </c>
      <c r="R74" s="18" t="s">
        <v>154</v>
      </c>
    </row>
    <row r="75" spans="1:18" x14ac:dyDescent="0.25">
      <c r="A75" s="11" t="s">
        <v>208</v>
      </c>
      <c r="B75" s="13">
        <v>5375</v>
      </c>
      <c r="C75" s="14">
        <f>(4484/B75*100)</f>
        <v>83.423255813953489</v>
      </c>
      <c r="D75" s="15">
        <v>891</v>
      </c>
      <c r="E75" s="14">
        <v>81.024465090000007</v>
      </c>
      <c r="F75" s="16">
        <v>1.3368897799999999</v>
      </c>
      <c r="G75" s="14">
        <v>18.97553491</v>
      </c>
      <c r="H75" s="16">
        <v>1.3368897799999999</v>
      </c>
      <c r="I75" s="14" t="s">
        <v>139</v>
      </c>
      <c r="J75" s="16" t="s">
        <v>139</v>
      </c>
      <c r="K75" s="14">
        <v>0</v>
      </c>
      <c r="L75" s="16">
        <v>0</v>
      </c>
      <c r="M75" s="14">
        <v>0</v>
      </c>
      <c r="N75" s="16">
        <v>0</v>
      </c>
      <c r="O75" s="14">
        <v>0</v>
      </c>
      <c r="P75" s="16">
        <v>0</v>
      </c>
      <c r="Q75" s="14">
        <v>0</v>
      </c>
      <c r="R75" s="16">
        <v>0</v>
      </c>
    </row>
    <row r="76" spans="1:18" x14ac:dyDescent="0.25">
      <c r="A76" s="11" t="s">
        <v>209</v>
      </c>
      <c r="B76" s="13">
        <v>14167</v>
      </c>
      <c r="C76" s="14">
        <f>(11779/B76*100)</f>
        <v>83.143926025270005</v>
      </c>
      <c r="D76" s="15">
        <v>2388</v>
      </c>
      <c r="E76" s="14">
        <v>57.690040009999997</v>
      </c>
      <c r="F76" s="16">
        <v>1.39369159</v>
      </c>
      <c r="G76" s="14">
        <v>42.309959990000003</v>
      </c>
      <c r="H76" s="16">
        <v>1.39369159</v>
      </c>
      <c r="I76" s="14" t="s">
        <v>139</v>
      </c>
      <c r="J76" s="16" t="s">
        <v>139</v>
      </c>
      <c r="K76" s="14">
        <v>0</v>
      </c>
      <c r="L76" s="16">
        <v>0</v>
      </c>
      <c r="M76" s="14">
        <v>0</v>
      </c>
      <c r="N76" s="16">
        <v>0</v>
      </c>
      <c r="O76" s="14">
        <v>0</v>
      </c>
      <c r="P76" s="16">
        <v>0</v>
      </c>
      <c r="Q76" s="14">
        <v>0</v>
      </c>
      <c r="R76" s="16">
        <v>0</v>
      </c>
    </row>
    <row r="77" spans="1:18" x14ac:dyDescent="0.25">
      <c r="A77" s="11" t="s">
        <v>210</v>
      </c>
      <c r="B77" s="13">
        <v>6062</v>
      </c>
      <c r="C77" s="14">
        <f>(4996/B77*100)</f>
        <v>82.415044539755854</v>
      </c>
      <c r="D77" s="15">
        <v>1066</v>
      </c>
      <c r="E77" s="14">
        <v>44.604576809999998</v>
      </c>
      <c r="F77" s="16">
        <v>1.4932018600000001</v>
      </c>
      <c r="G77" s="14">
        <v>55.395423190000002</v>
      </c>
      <c r="H77" s="16">
        <v>1.4932018600000001</v>
      </c>
      <c r="I77" s="14" t="s">
        <v>139</v>
      </c>
      <c r="J77" s="16" t="s">
        <v>139</v>
      </c>
      <c r="K77" s="14">
        <v>0</v>
      </c>
      <c r="L77" s="16">
        <v>0</v>
      </c>
      <c r="M77" s="14">
        <v>0</v>
      </c>
      <c r="N77" s="16">
        <v>0</v>
      </c>
      <c r="O77" s="14">
        <v>0</v>
      </c>
      <c r="P77" s="16">
        <v>0</v>
      </c>
      <c r="Q77" s="14">
        <v>0</v>
      </c>
      <c r="R77" s="16">
        <v>0</v>
      </c>
    </row>
    <row r="78" spans="1:18" x14ac:dyDescent="0.25">
      <c r="A78" s="11" t="s">
        <v>211</v>
      </c>
      <c r="B78" s="17" t="s">
        <v>154</v>
      </c>
      <c r="C78" s="17" t="s">
        <v>154</v>
      </c>
      <c r="D78" s="18" t="s">
        <v>154</v>
      </c>
      <c r="E78" s="17" t="s">
        <v>154</v>
      </c>
      <c r="F78" s="18" t="s">
        <v>154</v>
      </c>
      <c r="G78" s="17" t="s">
        <v>154</v>
      </c>
      <c r="H78" s="18" t="s">
        <v>154</v>
      </c>
      <c r="I78" s="17" t="s">
        <v>154</v>
      </c>
      <c r="J78" s="18" t="s">
        <v>154</v>
      </c>
      <c r="K78" s="17" t="s">
        <v>154</v>
      </c>
      <c r="L78" s="18" t="s">
        <v>154</v>
      </c>
      <c r="M78" s="17" t="s">
        <v>154</v>
      </c>
      <c r="N78" s="18" t="s">
        <v>154</v>
      </c>
      <c r="O78" s="17" t="s">
        <v>154</v>
      </c>
      <c r="P78" s="18" t="s">
        <v>154</v>
      </c>
      <c r="Q78" s="17" t="s">
        <v>154</v>
      </c>
      <c r="R78" s="18" t="s">
        <v>154</v>
      </c>
    </row>
    <row r="79" spans="1:18" ht="24.95" customHeight="1" x14ac:dyDescent="0.25">
      <c r="A79" s="11" t="s">
        <v>212</v>
      </c>
      <c r="B79" s="17" t="s">
        <v>154</v>
      </c>
      <c r="C79" s="17" t="s">
        <v>154</v>
      </c>
      <c r="D79" s="18" t="s">
        <v>154</v>
      </c>
      <c r="E79" s="17" t="s">
        <v>154</v>
      </c>
      <c r="F79" s="18" t="s">
        <v>154</v>
      </c>
      <c r="G79" s="17" t="s">
        <v>154</v>
      </c>
      <c r="H79" s="18" t="s">
        <v>154</v>
      </c>
      <c r="I79" s="17" t="s">
        <v>154</v>
      </c>
      <c r="J79" s="18" t="s">
        <v>154</v>
      </c>
      <c r="K79" s="17" t="s">
        <v>154</v>
      </c>
      <c r="L79" s="18" t="s">
        <v>154</v>
      </c>
      <c r="M79" s="17" t="s">
        <v>154</v>
      </c>
      <c r="N79" s="18" t="s">
        <v>154</v>
      </c>
      <c r="O79" s="17" t="s">
        <v>154</v>
      </c>
      <c r="P79" s="18" t="s">
        <v>154</v>
      </c>
      <c r="Q79" s="17" t="s">
        <v>154</v>
      </c>
      <c r="R79" s="18" t="s">
        <v>154</v>
      </c>
    </row>
    <row r="80" spans="1:18" x14ac:dyDescent="0.25">
      <c r="A80" s="11" t="s">
        <v>213</v>
      </c>
      <c r="B80" s="17" t="s">
        <v>154</v>
      </c>
      <c r="C80" s="17" t="s">
        <v>154</v>
      </c>
      <c r="D80" s="18" t="s">
        <v>154</v>
      </c>
      <c r="E80" s="17" t="s">
        <v>154</v>
      </c>
      <c r="F80" s="18" t="s">
        <v>154</v>
      </c>
      <c r="G80" s="17" t="s">
        <v>154</v>
      </c>
      <c r="H80" s="18" t="s">
        <v>154</v>
      </c>
      <c r="I80" s="17" t="s">
        <v>154</v>
      </c>
      <c r="J80" s="18" t="s">
        <v>154</v>
      </c>
      <c r="K80" s="17" t="s">
        <v>154</v>
      </c>
      <c r="L80" s="18" t="s">
        <v>154</v>
      </c>
      <c r="M80" s="17" t="s">
        <v>154</v>
      </c>
      <c r="N80" s="18" t="s">
        <v>154</v>
      </c>
      <c r="O80" s="17" t="s">
        <v>154</v>
      </c>
      <c r="P80" s="18" t="s">
        <v>154</v>
      </c>
      <c r="Q80" s="17" t="s">
        <v>154</v>
      </c>
      <c r="R80" s="18" t="s">
        <v>154</v>
      </c>
    </row>
    <row r="81" spans="1:18" x14ac:dyDescent="0.25">
      <c r="A81" s="19" t="s">
        <v>214</v>
      </c>
      <c r="B81" s="13">
        <v>8861</v>
      </c>
      <c r="C81" s="14">
        <f>(7310/B81*100)</f>
        <v>82.49633224241056</v>
      </c>
      <c r="D81" s="15">
        <v>1551</v>
      </c>
      <c r="E81" s="14">
        <v>51.018069750000002</v>
      </c>
      <c r="F81" s="16">
        <v>1.93062088</v>
      </c>
      <c r="G81" s="14">
        <v>48.981930249999998</v>
      </c>
      <c r="H81" s="16">
        <v>1.93062088</v>
      </c>
      <c r="I81" s="14" t="s">
        <v>139</v>
      </c>
      <c r="J81" s="16" t="s">
        <v>139</v>
      </c>
      <c r="K81" s="14">
        <v>0</v>
      </c>
      <c r="L81" s="16">
        <v>0</v>
      </c>
      <c r="M81" s="14">
        <v>0</v>
      </c>
      <c r="N81" s="16">
        <v>0</v>
      </c>
      <c r="O81" s="14">
        <v>0</v>
      </c>
      <c r="P81" s="16">
        <v>0</v>
      </c>
      <c r="Q81" s="14">
        <v>0</v>
      </c>
      <c r="R81" s="16">
        <v>0</v>
      </c>
    </row>
    <row r="82" spans="1:18" x14ac:dyDescent="0.25">
      <c r="A82" s="20"/>
      <c r="B82" s="20" t="s">
        <v>215</v>
      </c>
      <c r="C82" s="20" t="s">
        <v>215</v>
      </c>
      <c r="D82" s="20" t="s">
        <v>215</v>
      </c>
      <c r="E82" s="20" t="s">
        <v>215</v>
      </c>
      <c r="F82" s="20" t="s">
        <v>215</v>
      </c>
      <c r="G82" s="20" t="s">
        <v>215</v>
      </c>
      <c r="H82" s="20" t="s">
        <v>215</v>
      </c>
      <c r="I82" s="20" t="s">
        <v>215</v>
      </c>
      <c r="J82" s="20" t="s">
        <v>215</v>
      </c>
      <c r="K82" s="20" t="s">
        <v>215</v>
      </c>
      <c r="L82" s="20" t="s">
        <v>215</v>
      </c>
      <c r="M82" s="20" t="s">
        <v>215</v>
      </c>
      <c r="N82" s="20" t="s">
        <v>215</v>
      </c>
      <c r="O82" s="20" t="s">
        <v>215</v>
      </c>
      <c r="P82" s="20" t="s">
        <v>215</v>
      </c>
      <c r="Q82" s="20" t="s">
        <v>215</v>
      </c>
      <c r="R82" s="20" t="s">
        <v>215</v>
      </c>
    </row>
    <row r="83" spans="1:18" x14ac:dyDescent="0.25">
      <c r="A83" s="3" t="s">
        <v>216</v>
      </c>
    </row>
    <row r="84" spans="1:18" x14ac:dyDescent="0.25">
      <c r="A84" s="22" t="s">
        <v>217</v>
      </c>
      <c r="B84" s="23"/>
      <c r="C84" s="23"/>
      <c r="D84" s="23"/>
      <c r="E84" s="23"/>
      <c r="F84" s="23"/>
      <c r="G84" s="23"/>
      <c r="H84" s="23"/>
      <c r="I84" s="23"/>
      <c r="J84" s="23"/>
      <c r="K84" s="23"/>
      <c r="L84" s="23"/>
      <c r="M84" s="23"/>
      <c r="N84" s="23"/>
      <c r="O84" s="23"/>
      <c r="P84" s="23"/>
      <c r="Q84" s="23"/>
      <c r="R84" s="23"/>
    </row>
    <row r="85" spans="1:18" x14ac:dyDescent="0.25">
      <c r="A85" s="22" t="s">
        <v>218</v>
      </c>
      <c r="B85" s="23"/>
      <c r="C85" s="23"/>
      <c r="D85" s="23"/>
      <c r="E85" s="23"/>
      <c r="F85" s="23"/>
      <c r="G85" s="23"/>
      <c r="H85" s="23"/>
      <c r="I85" s="23"/>
      <c r="J85" s="23"/>
      <c r="K85" s="23"/>
      <c r="L85" s="23"/>
      <c r="M85" s="23"/>
      <c r="N85" s="23"/>
      <c r="O85" s="23"/>
      <c r="P85" s="23"/>
      <c r="Q85" s="23"/>
      <c r="R85" s="23"/>
    </row>
    <row r="86" spans="1:18" ht="30" customHeight="1" x14ac:dyDescent="0.25">
      <c r="A86" s="22" t="s">
        <v>219</v>
      </c>
      <c r="B86" s="23"/>
      <c r="C86" s="23"/>
      <c r="D86" s="23"/>
      <c r="E86" s="23"/>
      <c r="F86" s="23"/>
      <c r="G86" s="23"/>
      <c r="H86" s="23"/>
      <c r="I86" s="23"/>
      <c r="J86" s="23"/>
      <c r="K86" s="23"/>
      <c r="L86" s="23"/>
      <c r="M86" s="23"/>
      <c r="N86" s="23"/>
      <c r="O86" s="23"/>
      <c r="P86" s="23"/>
      <c r="Q86" s="23"/>
      <c r="R86" s="23"/>
    </row>
    <row r="87" spans="1:18" ht="30" customHeight="1" x14ac:dyDescent="0.25">
      <c r="A87" s="22" t="s">
        <v>215</v>
      </c>
      <c r="B87" s="23"/>
      <c r="C87" s="23"/>
      <c r="D87" s="23"/>
      <c r="E87" s="23"/>
      <c r="F87" s="23"/>
      <c r="G87" s="23"/>
      <c r="H87" s="23"/>
      <c r="I87" s="23"/>
      <c r="J87" s="23"/>
      <c r="K87" s="23"/>
      <c r="L87" s="23"/>
      <c r="M87" s="23"/>
      <c r="N87" s="23"/>
      <c r="O87" s="23"/>
      <c r="P87" s="23"/>
      <c r="Q87" s="23"/>
      <c r="R87" s="23"/>
    </row>
    <row r="88" spans="1:18" ht="30" customHeight="1" x14ac:dyDescent="0.25">
      <c r="A88" s="22" t="s">
        <v>220</v>
      </c>
      <c r="B88" s="23"/>
      <c r="C88" s="23"/>
      <c r="D88" s="23"/>
      <c r="E88" s="23"/>
      <c r="F88" s="23"/>
      <c r="G88" s="23"/>
      <c r="H88" s="23"/>
      <c r="I88" s="23"/>
      <c r="J88" s="23"/>
      <c r="K88" s="23"/>
      <c r="L88" s="23"/>
      <c r="M88" s="23"/>
      <c r="N88" s="23"/>
      <c r="O88" s="23"/>
      <c r="P88" s="23"/>
      <c r="Q88" s="23"/>
      <c r="R88" s="23"/>
    </row>
    <row r="89" spans="1:18" ht="30" customHeight="1" x14ac:dyDescent="0.25">
      <c r="A89" s="22" t="s">
        <v>221</v>
      </c>
      <c r="B89" s="23"/>
      <c r="C89" s="23"/>
      <c r="D89" s="23"/>
      <c r="E89" s="23"/>
      <c r="F89" s="23"/>
      <c r="G89" s="23"/>
      <c r="H89" s="23"/>
      <c r="I89" s="23"/>
      <c r="J89" s="23"/>
      <c r="K89" s="23"/>
      <c r="L89" s="23"/>
      <c r="M89" s="23"/>
      <c r="N89" s="23"/>
      <c r="O89" s="23"/>
      <c r="P89" s="23"/>
      <c r="Q89" s="23"/>
      <c r="R89" s="23"/>
    </row>
    <row r="90" spans="1:18" ht="30" customHeight="1" x14ac:dyDescent="0.25">
      <c r="A90" s="22" t="s">
        <v>222</v>
      </c>
      <c r="B90" s="23"/>
      <c r="C90" s="23"/>
      <c r="D90" s="23"/>
      <c r="E90" s="23"/>
      <c r="F90" s="23"/>
      <c r="G90" s="23"/>
      <c r="H90" s="23"/>
      <c r="I90" s="23"/>
      <c r="J90" s="23"/>
      <c r="K90" s="23"/>
      <c r="L90" s="23"/>
      <c r="M90" s="23"/>
      <c r="N90" s="23"/>
      <c r="O90" s="23"/>
      <c r="P90" s="23"/>
      <c r="Q90" s="23"/>
      <c r="R90" s="23"/>
    </row>
    <row r="91" spans="1:18" ht="30" customHeight="1" x14ac:dyDescent="0.25">
      <c r="A91" s="22" t="s">
        <v>223</v>
      </c>
      <c r="B91" s="23"/>
      <c r="C91" s="23"/>
      <c r="D91" s="23"/>
      <c r="E91" s="23"/>
      <c r="F91" s="23"/>
      <c r="G91" s="23"/>
      <c r="H91" s="23"/>
      <c r="I91" s="23"/>
      <c r="J91" s="23"/>
      <c r="K91" s="23"/>
      <c r="L91" s="23"/>
      <c r="M91" s="23"/>
      <c r="N91" s="23"/>
      <c r="O91" s="23"/>
      <c r="P91" s="23"/>
      <c r="Q91" s="23"/>
      <c r="R91" s="23"/>
    </row>
    <row r="92" spans="1:18" ht="30" customHeight="1" x14ac:dyDescent="0.25">
      <c r="A92" s="22" t="s">
        <v>224</v>
      </c>
      <c r="B92" s="23"/>
      <c r="C92" s="23"/>
      <c r="D92" s="23"/>
      <c r="E92" s="23"/>
      <c r="F92" s="23"/>
      <c r="G92" s="23"/>
      <c r="H92" s="23"/>
      <c r="I92" s="23"/>
      <c r="J92" s="23"/>
      <c r="K92" s="23"/>
      <c r="L92" s="23"/>
      <c r="M92" s="23"/>
      <c r="N92" s="23"/>
      <c r="O92" s="23"/>
      <c r="P92" s="23"/>
      <c r="Q92" s="23"/>
      <c r="R92" s="23"/>
    </row>
    <row r="93" spans="1:18" ht="30" customHeight="1" x14ac:dyDescent="0.25">
      <c r="A93" s="22" t="s">
        <v>225</v>
      </c>
      <c r="B93" s="23"/>
      <c r="C93" s="23"/>
      <c r="D93" s="23"/>
      <c r="E93" s="23"/>
      <c r="F93" s="23"/>
      <c r="G93" s="23"/>
      <c r="H93" s="23"/>
      <c r="I93" s="23"/>
      <c r="J93" s="23"/>
      <c r="K93" s="23"/>
      <c r="L93" s="23"/>
      <c r="M93" s="23"/>
      <c r="N93" s="23"/>
      <c r="O93" s="23"/>
      <c r="P93" s="23"/>
      <c r="Q93" s="23"/>
      <c r="R93" s="23"/>
    </row>
    <row r="94" spans="1:18" ht="30" customHeight="1" x14ac:dyDescent="0.25">
      <c r="A94" s="22" t="s">
        <v>226</v>
      </c>
      <c r="B94" s="23"/>
      <c r="C94" s="23"/>
      <c r="D94" s="23"/>
      <c r="E94" s="23"/>
      <c r="F94" s="23"/>
      <c r="G94" s="23"/>
      <c r="H94" s="23"/>
      <c r="I94" s="23"/>
      <c r="J94" s="23"/>
      <c r="K94" s="23"/>
      <c r="L94" s="23"/>
      <c r="M94" s="23"/>
      <c r="N94" s="23"/>
      <c r="O94" s="23"/>
      <c r="P94" s="23"/>
      <c r="Q94" s="23"/>
      <c r="R94" s="23"/>
    </row>
    <row r="95" spans="1:18" ht="30" customHeight="1" x14ac:dyDescent="0.25">
      <c r="A95" s="22" t="s">
        <v>227</v>
      </c>
      <c r="B95" s="23"/>
      <c r="C95" s="23"/>
      <c r="D95" s="23"/>
      <c r="E95" s="23"/>
      <c r="F95" s="23"/>
      <c r="G95" s="23"/>
      <c r="H95" s="23"/>
      <c r="I95" s="23"/>
      <c r="J95" s="23"/>
      <c r="K95" s="23"/>
      <c r="L95" s="23"/>
      <c r="M95" s="23"/>
      <c r="N95" s="23"/>
      <c r="O95" s="23"/>
      <c r="P95" s="23"/>
      <c r="Q95" s="23"/>
      <c r="R95" s="23"/>
    </row>
    <row r="96" spans="1:18" ht="30" customHeight="1" x14ac:dyDescent="0.25">
      <c r="A96" s="22" t="s">
        <v>228</v>
      </c>
      <c r="B96" s="23"/>
      <c r="C96" s="23"/>
      <c r="D96" s="23"/>
      <c r="E96" s="23"/>
      <c r="F96" s="23"/>
      <c r="G96" s="23"/>
      <c r="H96" s="23"/>
      <c r="I96" s="23"/>
      <c r="J96" s="23"/>
      <c r="K96" s="23"/>
      <c r="L96" s="23"/>
      <c r="M96" s="23"/>
      <c r="N96" s="23"/>
      <c r="O96" s="23"/>
      <c r="P96" s="23"/>
      <c r="Q96" s="23"/>
      <c r="R96" s="23"/>
    </row>
  </sheetData>
  <mergeCells count="22">
    <mergeCell ref="O4:P4"/>
    <mergeCell ref="Q4:R4"/>
    <mergeCell ref="A1:R1"/>
    <mergeCell ref="A2:R2"/>
    <mergeCell ref="A84:R84"/>
    <mergeCell ref="E4:F4"/>
    <mergeCell ref="G4:H4"/>
    <mergeCell ref="I4:J4"/>
    <mergeCell ref="K4:L4"/>
    <mergeCell ref="M4:N4"/>
    <mergeCell ref="A85:R85"/>
    <mergeCell ref="A86:R86"/>
    <mergeCell ref="A87:R87"/>
    <mergeCell ref="A88:R88"/>
    <mergeCell ref="A89:R89"/>
    <mergeCell ref="A95:R95"/>
    <mergeCell ref="A96:R96"/>
    <mergeCell ref="A90:R90"/>
    <mergeCell ref="A91:R91"/>
    <mergeCell ref="A92:R92"/>
    <mergeCell ref="A93:R93"/>
    <mergeCell ref="A94:R94"/>
  </mergeCells>
  <pageMargins left="0.75" right="0.75" top="1" bottom="1"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A1:R96"/>
  <sheetViews>
    <sheetView zoomScale="80" workbookViewId="0">
      <pane xSplit="4" topLeftCell="E1" activePane="topRight" state="frozen"/>
      <selection sqref="A1:R1"/>
      <selection pane="topRight" sqref="A1:R1"/>
    </sheetView>
  </sheetViews>
  <sheetFormatPr defaultColWidth="11.42578125" defaultRowHeight="15" x14ac:dyDescent="0.25"/>
  <cols>
    <col min="1" max="1" width="50" customWidth="1"/>
  </cols>
  <sheetData>
    <row r="1" spans="1:18" x14ac:dyDescent="0.25">
      <c r="A1" s="26" t="s">
        <v>122</v>
      </c>
      <c r="B1" s="23"/>
      <c r="C1" s="23"/>
      <c r="D1" s="23"/>
      <c r="E1" s="23"/>
      <c r="F1" s="23"/>
      <c r="G1" s="23"/>
      <c r="H1" s="23"/>
      <c r="I1" s="23"/>
      <c r="J1" s="23"/>
      <c r="K1" s="23"/>
      <c r="L1" s="23"/>
      <c r="M1" s="23"/>
      <c r="N1" s="23"/>
      <c r="O1" s="23"/>
      <c r="P1" s="23"/>
      <c r="Q1" s="23"/>
      <c r="R1" s="23"/>
    </row>
    <row r="2" spans="1:18" x14ac:dyDescent="0.25">
      <c r="A2" s="27" t="s">
        <v>247</v>
      </c>
      <c r="B2" s="23"/>
      <c r="C2" s="23"/>
      <c r="D2" s="23"/>
      <c r="E2" s="23"/>
      <c r="F2" s="23"/>
      <c r="G2" s="23"/>
      <c r="H2" s="23"/>
      <c r="I2" s="23"/>
      <c r="J2" s="23"/>
      <c r="K2" s="23"/>
      <c r="L2" s="23"/>
      <c r="M2" s="23"/>
      <c r="N2" s="23"/>
      <c r="O2" s="23"/>
      <c r="P2" s="23"/>
      <c r="Q2" s="23"/>
      <c r="R2" s="23"/>
    </row>
    <row r="4" spans="1:18" ht="30" customHeight="1" x14ac:dyDescent="0.25">
      <c r="A4" s="4"/>
      <c r="B4" s="5" t="s">
        <v>123</v>
      </c>
      <c r="C4" s="5" t="s">
        <v>124</v>
      </c>
      <c r="D4" s="6" t="s">
        <v>123</v>
      </c>
      <c r="E4" s="24" t="s">
        <v>125</v>
      </c>
      <c r="F4" s="25"/>
      <c r="G4" s="24" t="s">
        <v>126</v>
      </c>
      <c r="H4" s="25"/>
      <c r="I4" s="24" t="s">
        <v>127</v>
      </c>
      <c r="J4" s="25"/>
      <c r="K4" s="24" t="s">
        <v>128</v>
      </c>
      <c r="L4" s="25"/>
      <c r="M4" s="24" t="s">
        <v>129</v>
      </c>
      <c r="N4" s="25"/>
      <c r="O4" s="24" t="s">
        <v>130</v>
      </c>
      <c r="P4" s="25"/>
      <c r="Q4" s="24" t="s">
        <v>131</v>
      </c>
      <c r="R4" s="25"/>
    </row>
    <row r="5" spans="1:18" x14ac:dyDescent="0.25">
      <c r="A5" s="7"/>
      <c r="B5" s="8" t="s">
        <v>132</v>
      </c>
      <c r="C5" s="8" t="s">
        <v>133</v>
      </c>
      <c r="D5" s="7" t="s">
        <v>134</v>
      </c>
      <c r="E5" s="8" t="s">
        <v>135</v>
      </c>
      <c r="F5" s="7" t="s">
        <v>136</v>
      </c>
      <c r="G5" s="8" t="s">
        <v>135</v>
      </c>
      <c r="H5" s="7" t="s">
        <v>136</v>
      </c>
      <c r="I5" s="8" t="s">
        <v>135</v>
      </c>
      <c r="J5" s="7" t="s">
        <v>136</v>
      </c>
      <c r="K5" s="8" t="s">
        <v>135</v>
      </c>
      <c r="L5" s="7" t="s">
        <v>136</v>
      </c>
      <c r="M5" s="8" t="s">
        <v>135</v>
      </c>
      <c r="N5" s="7" t="s">
        <v>136</v>
      </c>
      <c r="O5" s="8" t="s">
        <v>135</v>
      </c>
      <c r="P5" s="7" t="s">
        <v>136</v>
      </c>
      <c r="Q5" s="8" t="s">
        <v>135</v>
      </c>
      <c r="R5" s="7" t="s">
        <v>136</v>
      </c>
    </row>
    <row r="6" spans="1:18" x14ac:dyDescent="0.25">
      <c r="A6" s="9" t="s">
        <v>137</v>
      </c>
      <c r="B6" s="10"/>
      <c r="C6" s="10"/>
      <c r="D6" s="11"/>
      <c r="E6" s="10"/>
      <c r="F6" s="11"/>
      <c r="G6" s="10"/>
      <c r="H6" s="11"/>
      <c r="I6" s="10"/>
      <c r="J6" s="11"/>
      <c r="K6" s="10"/>
      <c r="L6" s="11"/>
      <c r="M6" s="10"/>
      <c r="N6" s="11"/>
      <c r="O6" s="10"/>
      <c r="P6" s="11"/>
      <c r="Q6" s="10"/>
      <c r="R6" s="12"/>
    </row>
    <row r="7" spans="1:18" x14ac:dyDescent="0.25">
      <c r="A7" s="11" t="s">
        <v>138</v>
      </c>
      <c r="B7" s="13">
        <v>14530</v>
      </c>
      <c r="C7" s="14">
        <f>(12075/B7*100)</f>
        <v>83.10392291810048</v>
      </c>
      <c r="D7" s="15">
        <v>2455</v>
      </c>
      <c r="E7" s="14">
        <v>39.92022025</v>
      </c>
      <c r="F7" s="16">
        <v>1.1399610600000001</v>
      </c>
      <c r="G7" s="14">
        <v>60.07977975</v>
      </c>
      <c r="H7" s="16">
        <v>1.1399610600000001</v>
      </c>
      <c r="I7" s="14" t="s">
        <v>139</v>
      </c>
      <c r="J7" s="16" t="s">
        <v>139</v>
      </c>
      <c r="K7" s="14">
        <v>0</v>
      </c>
      <c r="L7" s="16">
        <v>0</v>
      </c>
      <c r="M7" s="14">
        <v>0</v>
      </c>
      <c r="N7" s="16">
        <v>0</v>
      </c>
      <c r="O7" s="14">
        <v>0</v>
      </c>
      <c r="P7" s="16">
        <v>0</v>
      </c>
      <c r="Q7" s="14">
        <v>0</v>
      </c>
      <c r="R7" s="16">
        <v>0</v>
      </c>
    </row>
    <row r="8" spans="1:18" x14ac:dyDescent="0.25">
      <c r="A8" s="11" t="s">
        <v>140</v>
      </c>
      <c r="B8" s="13">
        <v>7007</v>
      </c>
      <c r="C8" s="14">
        <f>(5792/B8*100)</f>
        <v>82.660196945911238</v>
      </c>
      <c r="D8" s="15">
        <v>1215</v>
      </c>
      <c r="E8" s="14">
        <v>36.474472059999997</v>
      </c>
      <c r="F8" s="16">
        <v>1.61331453</v>
      </c>
      <c r="G8" s="14">
        <v>63.525527940000003</v>
      </c>
      <c r="H8" s="16">
        <v>1.61331453</v>
      </c>
      <c r="I8" s="14" t="s">
        <v>139</v>
      </c>
      <c r="J8" s="16" t="s">
        <v>139</v>
      </c>
      <c r="K8" s="14">
        <v>0</v>
      </c>
      <c r="L8" s="16">
        <v>0</v>
      </c>
      <c r="M8" s="14">
        <v>0</v>
      </c>
      <c r="N8" s="16">
        <v>0</v>
      </c>
      <c r="O8" s="14">
        <v>0</v>
      </c>
      <c r="P8" s="16">
        <v>0</v>
      </c>
      <c r="Q8" s="14">
        <v>0</v>
      </c>
      <c r="R8" s="16">
        <v>0</v>
      </c>
    </row>
    <row r="9" spans="1:18" x14ac:dyDescent="0.25">
      <c r="A9" s="11" t="s">
        <v>141</v>
      </c>
      <c r="B9" s="13">
        <v>9651</v>
      </c>
      <c r="C9" s="14">
        <f>(8043/B9*100)</f>
        <v>83.338514143612059</v>
      </c>
      <c r="D9" s="15">
        <v>1608</v>
      </c>
      <c r="E9" s="14">
        <v>43.881926550000003</v>
      </c>
      <c r="F9" s="16">
        <v>1.3671150400000001</v>
      </c>
      <c r="G9" s="14">
        <v>56.118073449999997</v>
      </c>
      <c r="H9" s="16">
        <v>1.3671150400000001</v>
      </c>
      <c r="I9" s="14" t="s">
        <v>139</v>
      </c>
      <c r="J9" s="16" t="s">
        <v>139</v>
      </c>
      <c r="K9" s="14">
        <v>0</v>
      </c>
      <c r="L9" s="16">
        <v>0</v>
      </c>
      <c r="M9" s="14">
        <v>0</v>
      </c>
      <c r="N9" s="16">
        <v>0</v>
      </c>
      <c r="O9" s="14">
        <v>0</v>
      </c>
      <c r="P9" s="16">
        <v>0</v>
      </c>
      <c r="Q9" s="14">
        <v>0</v>
      </c>
      <c r="R9" s="16">
        <v>0</v>
      </c>
    </row>
    <row r="10" spans="1:18" x14ac:dyDescent="0.25">
      <c r="A10" s="11" t="s">
        <v>142</v>
      </c>
      <c r="B10" s="13">
        <v>20058</v>
      </c>
      <c r="C10" s="14">
        <f>(16595/B10*100)</f>
        <v>82.735068301924414</v>
      </c>
      <c r="D10" s="15">
        <v>3463</v>
      </c>
      <c r="E10" s="14">
        <v>38.94856163</v>
      </c>
      <c r="F10" s="16">
        <v>1.1358148400000001</v>
      </c>
      <c r="G10" s="14">
        <v>61.05143837</v>
      </c>
      <c r="H10" s="16">
        <v>1.1358148400000001</v>
      </c>
      <c r="I10" s="14" t="s">
        <v>139</v>
      </c>
      <c r="J10" s="16" t="s">
        <v>139</v>
      </c>
      <c r="K10" s="14">
        <v>0</v>
      </c>
      <c r="L10" s="16">
        <v>0</v>
      </c>
      <c r="M10" s="14">
        <v>0</v>
      </c>
      <c r="N10" s="16">
        <v>0</v>
      </c>
      <c r="O10" s="14">
        <v>0</v>
      </c>
      <c r="P10" s="16">
        <v>0</v>
      </c>
      <c r="Q10" s="14">
        <v>0</v>
      </c>
      <c r="R10" s="16">
        <v>0</v>
      </c>
    </row>
    <row r="11" spans="1:18" x14ac:dyDescent="0.25">
      <c r="A11" s="11" t="s">
        <v>143</v>
      </c>
      <c r="B11" s="13">
        <v>7053</v>
      </c>
      <c r="C11" s="14">
        <f>(5838/B11*100)</f>
        <v>82.773287962569114</v>
      </c>
      <c r="D11" s="15">
        <v>1215</v>
      </c>
      <c r="E11" s="14">
        <v>60.603142089999999</v>
      </c>
      <c r="F11" s="16">
        <v>1.7005316699999999</v>
      </c>
      <c r="G11" s="14">
        <v>39.396857910000001</v>
      </c>
      <c r="H11" s="16">
        <v>1.7005316699999999</v>
      </c>
      <c r="I11" s="14" t="s">
        <v>139</v>
      </c>
      <c r="J11" s="16" t="s">
        <v>139</v>
      </c>
      <c r="K11" s="14">
        <v>0</v>
      </c>
      <c r="L11" s="16">
        <v>0</v>
      </c>
      <c r="M11" s="14">
        <v>0</v>
      </c>
      <c r="N11" s="16">
        <v>0</v>
      </c>
      <c r="O11" s="14">
        <v>0</v>
      </c>
      <c r="P11" s="16">
        <v>0</v>
      </c>
      <c r="Q11" s="14">
        <v>0</v>
      </c>
      <c r="R11" s="16">
        <v>0</v>
      </c>
    </row>
    <row r="12" spans="1:18" x14ac:dyDescent="0.25">
      <c r="A12" s="11" t="s">
        <v>144</v>
      </c>
      <c r="B12" s="13">
        <v>6894</v>
      </c>
      <c r="C12" s="14">
        <f>(5718/B12*100)</f>
        <v>82.941688424717142</v>
      </c>
      <c r="D12" s="15">
        <v>1176</v>
      </c>
      <c r="E12" s="14">
        <v>37.763730410000001</v>
      </c>
      <c r="F12" s="16">
        <v>1.2866681600000001</v>
      </c>
      <c r="G12" s="14">
        <v>62.236269589999999</v>
      </c>
      <c r="H12" s="16">
        <v>1.2866681600000001</v>
      </c>
      <c r="I12" s="14" t="s">
        <v>139</v>
      </c>
      <c r="J12" s="16" t="s">
        <v>139</v>
      </c>
      <c r="K12" s="14">
        <v>0</v>
      </c>
      <c r="L12" s="16">
        <v>0</v>
      </c>
      <c r="M12" s="14">
        <v>0</v>
      </c>
      <c r="N12" s="16">
        <v>0</v>
      </c>
      <c r="O12" s="14">
        <v>0</v>
      </c>
      <c r="P12" s="16">
        <v>0</v>
      </c>
      <c r="Q12" s="14">
        <v>0</v>
      </c>
      <c r="R12" s="16">
        <v>0</v>
      </c>
    </row>
    <row r="13" spans="1:18" x14ac:dyDescent="0.25">
      <c r="A13" s="11" t="s">
        <v>145</v>
      </c>
      <c r="B13" s="13">
        <v>7161</v>
      </c>
      <c r="C13" s="14">
        <f>(5997/B13*100)</f>
        <v>83.745286971093421</v>
      </c>
      <c r="D13" s="15">
        <v>1164</v>
      </c>
      <c r="E13" s="14">
        <v>39.96575919</v>
      </c>
      <c r="F13" s="16">
        <v>1.5310666500000001</v>
      </c>
      <c r="G13" s="14">
        <v>60.03424081</v>
      </c>
      <c r="H13" s="16">
        <v>1.5310666500000001</v>
      </c>
      <c r="I13" s="14" t="s">
        <v>139</v>
      </c>
      <c r="J13" s="16" t="s">
        <v>139</v>
      </c>
      <c r="K13" s="14">
        <v>0</v>
      </c>
      <c r="L13" s="16">
        <v>0</v>
      </c>
      <c r="M13" s="14">
        <v>0</v>
      </c>
      <c r="N13" s="16">
        <v>0</v>
      </c>
      <c r="O13" s="14">
        <v>0</v>
      </c>
      <c r="P13" s="16">
        <v>0</v>
      </c>
      <c r="Q13" s="14">
        <v>0</v>
      </c>
      <c r="R13" s="16">
        <v>0</v>
      </c>
    </row>
    <row r="14" spans="1:18" x14ac:dyDescent="0.25">
      <c r="A14" s="11" t="s">
        <v>146</v>
      </c>
      <c r="B14" s="13">
        <v>5587</v>
      </c>
      <c r="C14" s="14">
        <f>(4630/B14*100)</f>
        <v>82.870950420619295</v>
      </c>
      <c r="D14" s="15">
        <v>957</v>
      </c>
      <c r="E14" s="14">
        <v>30.633240409999999</v>
      </c>
      <c r="F14" s="16">
        <v>1.58919543</v>
      </c>
      <c r="G14" s="14">
        <v>69.366759590000001</v>
      </c>
      <c r="H14" s="16">
        <v>1.58919543</v>
      </c>
      <c r="I14" s="14" t="s">
        <v>139</v>
      </c>
      <c r="J14" s="16" t="s">
        <v>139</v>
      </c>
      <c r="K14" s="14">
        <v>0</v>
      </c>
      <c r="L14" s="16">
        <v>0</v>
      </c>
      <c r="M14" s="14">
        <v>0</v>
      </c>
      <c r="N14" s="16">
        <v>0</v>
      </c>
      <c r="O14" s="14">
        <v>0</v>
      </c>
      <c r="P14" s="16">
        <v>0</v>
      </c>
      <c r="Q14" s="14">
        <v>0</v>
      </c>
      <c r="R14" s="16">
        <v>0</v>
      </c>
    </row>
    <row r="15" spans="1:18" x14ac:dyDescent="0.25">
      <c r="A15" s="11" t="s">
        <v>147</v>
      </c>
      <c r="B15" s="13">
        <v>5882</v>
      </c>
      <c r="C15" s="14">
        <f>(4904/B15*100)</f>
        <v>83.373002380142808</v>
      </c>
      <c r="D15" s="15">
        <v>978</v>
      </c>
      <c r="E15" s="14">
        <v>44.003659540000001</v>
      </c>
      <c r="F15" s="16">
        <v>1.7543001199999999</v>
      </c>
      <c r="G15" s="14">
        <v>55.996340459999999</v>
      </c>
      <c r="H15" s="16">
        <v>1.7543001199999999</v>
      </c>
      <c r="I15" s="14" t="s">
        <v>139</v>
      </c>
      <c r="J15" s="16" t="s">
        <v>139</v>
      </c>
      <c r="K15" s="14">
        <v>0</v>
      </c>
      <c r="L15" s="16">
        <v>0</v>
      </c>
      <c r="M15" s="14">
        <v>0</v>
      </c>
      <c r="N15" s="16">
        <v>0</v>
      </c>
      <c r="O15" s="14">
        <v>0</v>
      </c>
      <c r="P15" s="16">
        <v>0</v>
      </c>
      <c r="Q15" s="14">
        <v>0</v>
      </c>
      <c r="R15" s="16">
        <v>0</v>
      </c>
    </row>
    <row r="16" spans="1:18" x14ac:dyDescent="0.25">
      <c r="A16" s="11" t="s">
        <v>148</v>
      </c>
      <c r="B16" s="13">
        <v>6108</v>
      </c>
      <c r="C16" s="14">
        <f>(5050/B16*100)</f>
        <v>82.678454485920099</v>
      </c>
      <c r="D16" s="15">
        <v>1058</v>
      </c>
      <c r="E16" s="14">
        <v>46.519185800000002</v>
      </c>
      <c r="F16" s="16">
        <v>1.41688462</v>
      </c>
      <c r="G16" s="14">
        <v>53.480814199999998</v>
      </c>
      <c r="H16" s="16">
        <v>1.41688462</v>
      </c>
      <c r="I16" s="14" t="s">
        <v>139</v>
      </c>
      <c r="J16" s="16" t="s">
        <v>139</v>
      </c>
      <c r="K16" s="14">
        <v>0</v>
      </c>
      <c r="L16" s="16">
        <v>0</v>
      </c>
      <c r="M16" s="14">
        <v>0</v>
      </c>
      <c r="N16" s="16">
        <v>0</v>
      </c>
      <c r="O16" s="14">
        <v>0</v>
      </c>
      <c r="P16" s="16">
        <v>0</v>
      </c>
      <c r="Q16" s="14">
        <v>0</v>
      </c>
      <c r="R16" s="16">
        <v>0</v>
      </c>
    </row>
    <row r="17" spans="1:18" x14ac:dyDescent="0.25">
      <c r="A17" s="11" t="s">
        <v>149</v>
      </c>
      <c r="B17" s="13">
        <v>6504</v>
      </c>
      <c r="C17" s="14">
        <f>(5409/B17*100)</f>
        <v>83.164206642066418</v>
      </c>
      <c r="D17" s="15">
        <v>1095</v>
      </c>
      <c r="E17" s="14">
        <v>29.328555000000001</v>
      </c>
      <c r="F17" s="16">
        <v>1.4198758499999999</v>
      </c>
      <c r="G17" s="14">
        <v>70.671445000000006</v>
      </c>
      <c r="H17" s="16">
        <v>1.4198758499999999</v>
      </c>
      <c r="I17" s="14" t="s">
        <v>139</v>
      </c>
      <c r="J17" s="16" t="s">
        <v>139</v>
      </c>
      <c r="K17" s="14">
        <v>0</v>
      </c>
      <c r="L17" s="16">
        <v>0</v>
      </c>
      <c r="M17" s="14">
        <v>0</v>
      </c>
      <c r="N17" s="16">
        <v>0</v>
      </c>
      <c r="O17" s="14">
        <v>0</v>
      </c>
      <c r="P17" s="16">
        <v>0</v>
      </c>
      <c r="Q17" s="14">
        <v>0</v>
      </c>
      <c r="R17" s="16">
        <v>0</v>
      </c>
    </row>
    <row r="18" spans="1:18" x14ac:dyDescent="0.25">
      <c r="A18" s="11" t="s">
        <v>150</v>
      </c>
      <c r="B18" s="13">
        <v>5532</v>
      </c>
      <c r="C18" s="14">
        <f>(4565/B18*100)</f>
        <v>82.519884309472161</v>
      </c>
      <c r="D18" s="15">
        <v>967</v>
      </c>
      <c r="E18" s="14">
        <v>56.925945179999999</v>
      </c>
      <c r="F18" s="16">
        <v>1.75681099</v>
      </c>
      <c r="G18" s="14">
        <v>43.074054820000001</v>
      </c>
      <c r="H18" s="16">
        <v>1.75681099</v>
      </c>
      <c r="I18" s="14" t="s">
        <v>139</v>
      </c>
      <c r="J18" s="16" t="s">
        <v>139</v>
      </c>
      <c r="K18" s="14">
        <v>0</v>
      </c>
      <c r="L18" s="16">
        <v>0</v>
      </c>
      <c r="M18" s="14">
        <v>0</v>
      </c>
      <c r="N18" s="16">
        <v>0</v>
      </c>
      <c r="O18" s="14">
        <v>0</v>
      </c>
      <c r="P18" s="16">
        <v>0</v>
      </c>
      <c r="Q18" s="14">
        <v>0</v>
      </c>
      <c r="R18" s="16">
        <v>0</v>
      </c>
    </row>
    <row r="19" spans="1:18" x14ac:dyDescent="0.25">
      <c r="A19" s="11" t="s">
        <v>151</v>
      </c>
      <c r="B19" s="13">
        <v>5658</v>
      </c>
      <c r="C19" s="14">
        <f>(4699/B19*100)</f>
        <v>83.050547896783314</v>
      </c>
      <c r="D19" s="15">
        <v>959</v>
      </c>
      <c r="E19" s="14">
        <v>50.464379299999997</v>
      </c>
      <c r="F19" s="16">
        <v>1.72046247</v>
      </c>
      <c r="G19" s="14">
        <v>49.535620700000003</v>
      </c>
      <c r="H19" s="16">
        <v>1.72046247</v>
      </c>
      <c r="I19" s="14" t="s">
        <v>139</v>
      </c>
      <c r="J19" s="16" t="s">
        <v>139</v>
      </c>
      <c r="K19" s="14">
        <v>0</v>
      </c>
      <c r="L19" s="16">
        <v>0</v>
      </c>
      <c r="M19" s="14">
        <v>0</v>
      </c>
      <c r="N19" s="16">
        <v>0</v>
      </c>
      <c r="O19" s="14">
        <v>0</v>
      </c>
      <c r="P19" s="16">
        <v>0</v>
      </c>
      <c r="Q19" s="14">
        <v>0</v>
      </c>
      <c r="R19" s="16">
        <v>0</v>
      </c>
    </row>
    <row r="20" spans="1:18" x14ac:dyDescent="0.25">
      <c r="A20" s="11" t="s">
        <v>152</v>
      </c>
      <c r="B20" s="13">
        <v>3371</v>
      </c>
      <c r="C20" s="14">
        <f>(2790/B20*100)</f>
        <v>82.764758231978647</v>
      </c>
      <c r="D20" s="15">
        <v>581</v>
      </c>
      <c r="E20" s="14">
        <v>42.457773680000003</v>
      </c>
      <c r="F20" s="16">
        <v>2.1885175700000001</v>
      </c>
      <c r="G20" s="14">
        <v>57.542226319999997</v>
      </c>
      <c r="H20" s="16">
        <v>2.1885175700000001</v>
      </c>
      <c r="I20" s="14" t="s">
        <v>139</v>
      </c>
      <c r="J20" s="16" t="s">
        <v>139</v>
      </c>
      <c r="K20" s="14">
        <v>0</v>
      </c>
      <c r="L20" s="16">
        <v>0</v>
      </c>
      <c r="M20" s="14">
        <v>0</v>
      </c>
      <c r="N20" s="16">
        <v>0</v>
      </c>
      <c r="O20" s="14">
        <v>0</v>
      </c>
      <c r="P20" s="16">
        <v>0</v>
      </c>
      <c r="Q20" s="14">
        <v>0</v>
      </c>
      <c r="R20" s="16">
        <v>0</v>
      </c>
    </row>
    <row r="21" spans="1:18" x14ac:dyDescent="0.25">
      <c r="A21" s="11" t="s">
        <v>153</v>
      </c>
      <c r="B21" s="17" t="s">
        <v>154</v>
      </c>
      <c r="C21" s="17" t="s">
        <v>154</v>
      </c>
      <c r="D21" s="18" t="s">
        <v>154</v>
      </c>
      <c r="E21" s="17" t="s">
        <v>154</v>
      </c>
      <c r="F21" s="18" t="s">
        <v>154</v>
      </c>
      <c r="G21" s="17" t="s">
        <v>154</v>
      </c>
      <c r="H21" s="18" t="s">
        <v>154</v>
      </c>
      <c r="I21" s="17" t="s">
        <v>154</v>
      </c>
      <c r="J21" s="18" t="s">
        <v>154</v>
      </c>
      <c r="K21" s="17" t="s">
        <v>154</v>
      </c>
      <c r="L21" s="18" t="s">
        <v>154</v>
      </c>
      <c r="M21" s="17" t="s">
        <v>154</v>
      </c>
      <c r="N21" s="18" t="s">
        <v>154</v>
      </c>
      <c r="O21" s="17" t="s">
        <v>154</v>
      </c>
      <c r="P21" s="18" t="s">
        <v>154</v>
      </c>
      <c r="Q21" s="17" t="s">
        <v>154</v>
      </c>
      <c r="R21" s="18" t="s">
        <v>154</v>
      </c>
    </row>
    <row r="22" spans="1:18" x14ac:dyDescent="0.25">
      <c r="A22" s="11" t="s">
        <v>155</v>
      </c>
      <c r="B22" s="13">
        <v>6598</v>
      </c>
      <c r="C22" s="14">
        <f>(5565/B22*100)</f>
        <v>84.343740527432558</v>
      </c>
      <c r="D22" s="15">
        <v>1033</v>
      </c>
      <c r="E22" s="14">
        <v>51.159105510000003</v>
      </c>
      <c r="F22" s="16">
        <v>1.7720076</v>
      </c>
      <c r="G22" s="14">
        <v>48.840894489999997</v>
      </c>
      <c r="H22" s="16">
        <v>1.7720076</v>
      </c>
      <c r="I22" s="14" t="s">
        <v>139</v>
      </c>
      <c r="J22" s="16" t="s">
        <v>139</v>
      </c>
      <c r="K22" s="14">
        <v>0</v>
      </c>
      <c r="L22" s="16">
        <v>0</v>
      </c>
      <c r="M22" s="14">
        <v>0</v>
      </c>
      <c r="N22" s="16">
        <v>0</v>
      </c>
      <c r="O22" s="14">
        <v>0</v>
      </c>
      <c r="P22" s="16">
        <v>0</v>
      </c>
      <c r="Q22" s="14">
        <v>0</v>
      </c>
      <c r="R22" s="16">
        <v>0</v>
      </c>
    </row>
    <row r="23" spans="1:18" x14ac:dyDescent="0.25">
      <c r="A23" s="11" t="s">
        <v>156</v>
      </c>
      <c r="B23" s="13">
        <v>11583</v>
      </c>
      <c r="C23" s="14">
        <f>(9605/B23*100)</f>
        <v>82.923249589916253</v>
      </c>
      <c r="D23" s="15">
        <v>1978</v>
      </c>
      <c r="E23" s="14">
        <v>44.437407479999997</v>
      </c>
      <c r="F23" s="16">
        <v>1.7932559100000001</v>
      </c>
      <c r="G23" s="14">
        <v>55.562592520000003</v>
      </c>
      <c r="H23" s="16">
        <v>1.7932559100000001</v>
      </c>
      <c r="I23" s="14" t="s">
        <v>139</v>
      </c>
      <c r="J23" s="16" t="s">
        <v>139</v>
      </c>
      <c r="K23" s="14">
        <v>0</v>
      </c>
      <c r="L23" s="16">
        <v>0</v>
      </c>
      <c r="M23" s="14">
        <v>0</v>
      </c>
      <c r="N23" s="16">
        <v>0</v>
      </c>
      <c r="O23" s="14">
        <v>0</v>
      </c>
      <c r="P23" s="16">
        <v>0</v>
      </c>
      <c r="Q23" s="14">
        <v>0</v>
      </c>
      <c r="R23" s="16">
        <v>0</v>
      </c>
    </row>
    <row r="24" spans="1:18" x14ac:dyDescent="0.25">
      <c r="A24" s="11" t="s">
        <v>157</v>
      </c>
      <c r="B24" s="13">
        <v>6647</v>
      </c>
      <c r="C24" s="14">
        <f>(5489/B24*100)</f>
        <v>82.578606890326469</v>
      </c>
      <c r="D24" s="15">
        <v>1158</v>
      </c>
      <c r="E24" s="14">
        <v>55.067221910000001</v>
      </c>
      <c r="F24" s="16">
        <v>1.4546696400000001</v>
      </c>
      <c r="G24" s="14">
        <v>44.932778089999999</v>
      </c>
      <c r="H24" s="16">
        <v>1.4546696400000001</v>
      </c>
      <c r="I24" s="14" t="s">
        <v>139</v>
      </c>
      <c r="J24" s="16" t="s">
        <v>139</v>
      </c>
      <c r="K24" s="14">
        <v>0</v>
      </c>
      <c r="L24" s="16">
        <v>0</v>
      </c>
      <c r="M24" s="14">
        <v>0</v>
      </c>
      <c r="N24" s="16">
        <v>0</v>
      </c>
      <c r="O24" s="14">
        <v>0</v>
      </c>
      <c r="P24" s="16">
        <v>0</v>
      </c>
      <c r="Q24" s="14">
        <v>0</v>
      </c>
      <c r="R24" s="16">
        <v>0</v>
      </c>
    </row>
    <row r="25" spans="1:18" x14ac:dyDescent="0.25">
      <c r="A25" s="11" t="s">
        <v>158</v>
      </c>
      <c r="B25" s="13">
        <v>5581</v>
      </c>
      <c r="C25" s="14">
        <f>(4616/B25*100)</f>
        <v>82.709191901092993</v>
      </c>
      <c r="D25" s="15">
        <v>965</v>
      </c>
      <c r="E25" s="14">
        <v>52.474563570000001</v>
      </c>
      <c r="F25" s="16">
        <v>1.73215466</v>
      </c>
      <c r="G25" s="14">
        <v>47.525436429999999</v>
      </c>
      <c r="H25" s="16">
        <v>1.73215466</v>
      </c>
      <c r="I25" s="14" t="s">
        <v>139</v>
      </c>
      <c r="J25" s="16" t="s">
        <v>139</v>
      </c>
      <c r="K25" s="14">
        <v>0</v>
      </c>
      <c r="L25" s="16">
        <v>0</v>
      </c>
      <c r="M25" s="14">
        <v>0</v>
      </c>
      <c r="N25" s="16">
        <v>0</v>
      </c>
      <c r="O25" s="14">
        <v>0</v>
      </c>
      <c r="P25" s="16">
        <v>0</v>
      </c>
      <c r="Q25" s="14">
        <v>0</v>
      </c>
      <c r="R25" s="16">
        <v>0</v>
      </c>
    </row>
    <row r="26" spans="1:18" x14ac:dyDescent="0.25">
      <c r="A26" s="11" t="s">
        <v>159</v>
      </c>
      <c r="B26" s="13">
        <v>4869</v>
      </c>
      <c r="C26" s="14">
        <f>(4009/B26*100)</f>
        <v>82.337235571986028</v>
      </c>
      <c r="D26" s="15">
        <v>860</v>
      </c>
      <c r="E26" s="14">
        <v>48.2216497</v>
      </c>
      <c r="F26" s="16">
        <v>1.5526568599999999</v>
      </c>
      <c r="G26" s="14">
        <v>51.7783503</v>
      </c>
      <c r="H26" s="16">
        <v>1.5526568599999999</v>
      </c>
      <c r="I26" s="14" t="s">
        <v>139</v>
      </c>
      <c r="J26" s="16" t="s">
        <v>139</v>
      </c>
      <c r="K26" s="14">
        <v>0</v>
      </c>
      <c r="L26" s="16">
        <v>0</v>
      </c>
      <c r="M26" s="14">
        <v>0</v>
      </c>
      <c r="N26" s="16">
        <v>0</v>
      </c>
      <c r="O26" s="14">
        <v>0</v>
      </c>
      <c r="P26" s="16">
        <v>0</v>
      </c>
      <c r="Q26" s="14">
        <v>0</v>
      </c>
      <c r="R26" s="16">
        <v>0</v>
      </c>
    </row>
    <row r="27" spans="1:18" x14ac:dyDescent="0.25">
      <c r="A27" s="11" t="s">
        <v>160</v>
      </c>
      <c r="B27" s="13">
        <v>5299</v>
      </c>
      <c r="C27" s="14">
        <f>(4381/B27*100)</f>
        <v>82.675976599358364</v>
      </c>
      <c r="D27" s="15">
        <v>918</v>
      </c>
      <c r="E27" s="14">
        <v>43.736949279999997</v>
      </c>
      <c r="F27" s="16">
        <v>1.4916041900000001</v>
      </c>
      <c r="G27" s="14">
        <v>56.263050720000003</v>
      </c>
      <c r="H27" s="16">
        <v>1.4916041900000001</v>
      </c>
      <c r="I27" s="14" t="s">
        <v>139</v>
      </c>
      <c r="J27" s="16" t="s">
        <v>139</v>
      </c>
      <c r="K27" s="14">
        <v>0</v>
      </c>
      <c r="L27" s="16">
        <v>0</v>
      </c>
      <c r="M27" s="14">
        <v>0</v>
      </c>
      <c r="N27" s="16">
        <v>0</v>
      </c>
      <c r="O27" s="14">
        <v>0</v>
      </c>
      <c r="P27" s="16">
        <v>0</v>
      </c>
      <c r="Q27" s="14">
        <v>0</v>
      </c>
      <c r="R27" s="16">
        <v>0</v>
      </c>
    </row>
    <row r="28" spans="1:18" x14ac:dyDescent="0.25">
      <c r="A28" s="11" t="s">
        <v>161</v>
      </c>
      <c r="B28" s="13">
        <v>7568</v>
      </c>
      <c r="C28" s="14">
        <f>(6328/B28*100)</f>
        <v>83.61522198731501</v>
      </c>
      <c r="D28" s="15">
        <v>1240</v>
      </c>
      <c r="E28" s="14">
        <v>62.081547860000001</v>
      </c>
      <c r="F28" s="16">
        <v>1.4328106300000001</v>
      </c>
      <c r="G28" s="14">
        <v>37.918452139999999</v>
      </c>
      <c r="H28" s="16">
        <v>1.4328106300000001</v>
      </c>
      <c r="I28" s="14" t="s">
        <v>139</v>
      </c>
      <c r="J28" s="16" t="s">
        <v>139</v>
      </c>
      <c r="K28" s="14">
        <v>0</v>
      </c>
      <c r="L28" s="16">
        <v>0</v>
      </c>
      <c r="M28" s="14">
        <v>0</v>
      </c>
      <c r="N28" s="16">
        <v>0</v>
      </c>
      <c r="O28" s="14">
        <v>0</v>
      </c>
      <c r="P28" s="16">
        <v>0</v>
      </c>
      <c r="Q28" s="14">
        <v>0</v>
      </c>
      <c r="R28" s="16">
        <v>0</v>
      </c>
    </row>
    <row r="29" spans="1:18" x14ac:dyDescent="0.25">
      <c r="A29" s="11" t="s">
        <v>162</v>
      </c>
      <c r="B29" s="13">
        <v>5385</v>
      </c>
      <c r="C29" s="14">
        <f>(4470/B29*100)</f>
        <v>83.008356545961007</v>
      </c>
      <c r="D29" s="15">
        <v>915</v>
      </c>
      <c r="E29" s="14">
        <v>37.008053869999998</v>
      </c>
      <c r="F29" s="16">
        <v>1.4970895200000001</v>
      </c>
      <c r="G29" s="14">
        <v>62.991946130000002</v>
      </c>
      <c r="H29" s="16">
        <v>1.4970895200000001</v>
      </c>
      <c r="I29" s="14" t="s">
        <v>139</v>
      </c>
      <c r="J29" s="16" t="s">
        <v>139</v>
      </c>
      <c r="K29" s="14">
        <v>0</v>
      </c>
      <c r="L29" s="16">
        <v>0</v>
      </c>
      <c r="M29" s="14">
        <v>0</v>
      </c>
      <c r="N29" s="16">
        <v>0</v>
      </c>
      <c r="O29" s="14">
        <v>0</v>
      </c>
      <c r="P29" s="16">
        <v>0</v>
      </c>
      <c r="Q29" s="14">
        <v>0</v>
      </c>
      <c r="R29" s="16">
        <v>0</v>
      </c>
    </row>
    <row r="30" spans="1:18" x14ac:dyDescent="0.25">
      <c r="A30" s="11" t="s">
        <v>163</v>
      </c>
      <c r="B30" s="13">
        <v>4520</v>
      </c>
      <c r="C30" s="14">
        <f>(3747/B30*100)</f>
        <v>82.898230088495566</v>
      </c>
      <c r="D30" s="15">
        <v>773</v>
      </c>
      <c r="E30" s="14">
        <v>37.240551889999999</v>
      </c>
      <c r="F30" s="16">
        <v>1.6800246299999999</v>
      </c>
      <c r="G30" s="14">
        <v>62.759448110000001</v>
      </c>
      <c r="H30" s="16">
        <v>1.6800246299999999</v>
      </c>
      <c r="I30" s="14" t="s">
        <v>139</v>
      </c>
      <c r="J30" s="16" t="s">
        <v>139</v>
      </c>
      <c r="K30" s="14">
        <v>0</v>
      </c>
      <c r="L30" s="16">
        <v>0</v>
      </c>
      <c r="M30" s="14">
        <v>0</v>
      </c>
      <c r="N30" s="16">
        <v>0</v>
      </c>
      <c r="O30" s="14">
        <v>0</v>
      </c>
      <c r="P30" s="16">
        <v>0</v>
      </c>
      <c r="Q30" s="14">
        <v>0</v>
      </c>
      <c r="R30" s="16">
        <v>0</v>
      </c>
    </row>
    <row r="31" spans="1:18" x14ac:dyDescent="0.25">
      <c r="A31" s="11" t="s">
        <v>164</v>
      </c>
      <c r="B31" s="13">
        <v>5456</v>
      </c>
      <c r="C31" s="14">
        <f>(4535/B31*100)</f>
        <v>83.119501466275665</v>
      </c>
      <c r="D31" s="15">
        <v>921</v>
      </c>
      <c r="E31" s="14">
        <v>40.092056249999999</v>
      </c>
      <c r="F31" s="16">
        <v>1.6069114099999999</v>
      </c>
      <c r="G31" s="14">
        <v>59.907943750000001</v>
      </c>
      <c r="H31" s="16">
        <v>1.6069114099999999</v>
      </c>
      <c r="I31" s="14" t="s">
        <v>139</v>
      </c>
      <c r="J31" s="16" t="s">
        <v>139</v>
      </c>
      <c r="K31" s="14">
        <v>0</v>
      </c>
      <c r="L31" s="16">
        <v>0</v>
      </c>
      <c r="M31" s="14">
        <v>0</v>
      </c>
      <c r="N31" s="16">
        <v>0</v>
      </c>
      <c r="O31" s="14">
        <v>0</v>
      </c>
      <c r="P31" s="16">
        <v>0</v>
      </c>
      <c r="Q31" s="14">
        <v>0</v>
      </c>
      <c r="R31" s="16">
        <v>0</v>
      </c>
    </row>
    <row r="32" spans="1:18" x14ac:dyDescent="0.25">
      <c r="A32" s="11" t="s">
        <v>165</v>
      </c>
      <c r="B32" s="17" t="s">
        <v>154</v>
      </c>
      <c r="C32" s="17" t="s">
        <v>154</v>
      </c>
      <c r="D32" s="18" t="s">
        <v>154</v>
      </c>
      <c r="E32" s="17" t="s">
        <v>154</v>
      </c>
      <c r="F32" s="18" t="s">
        <v>154</v>
      </c>
      <c r="G32" s="17" t="s">
        <v>154</v>
      </c>
      <c r="H32" s="18" t="s">
        <v>154</v>
      </c>
      <c r="I32" s="17" t="s">
        <v>154</v>
      </c>
      <c r="J32" s="18" t="s">
        <v>154</v>
      </c>
      <c r="K32" s="17" t="s">
        <v>154</v>
      </c>
      <c r="L32" s="18" t="s">
        <v>154</v>
      </c>
      <c r="M32" s="17" t="s">
        <v>154</v>
      </c>
      <c r="N32" s="18" t="s">
        <v>154</v>
      </c>
      <c r="O32" s="17" t="s">
        <v>154</v>
      </c>
      <c r="P32" s="18" t="s">
        <v>154</v>
      </c>
      <c r="Q32" s="17" t="s">
        <v>154</v>
      </c>
      <c r="R32" s="18" t="s">
        <v>154</v>
      </c>
    </row>
    <row r="33" spans="1:18" x14ac:dyDescent="0.25">
      <c r="A33" s="11" t="s">
        <v>166</v>
      </c>
      <c r="B33" s="13">
        <v>7325</v>
      </c>
      <c r="C33" s="14">
        <f>(6101/B33*100)</f>
        <v>83.290102389078498</v>
      </c>
      <c r="D33" s="15">
        <v>1224</v>
      </c>
      <c r="E33" s="14">
        <v>54.231476870000002</v>
      </c>
      <c r="F33" s="16">
        <v>1.53460986</v>
      </c>
      <c r="G33" s="14">
        <v>45.768523129999998</v>
      </c>
      <c r="H33" s="16">
        <v>1.53460986</v>
      </c>
      <c r="I33" s="14" t="s">
        <v>139</v>
      </c>
      <c r="J33" s="16" t="s">
        <v>139</v>
      </c>
      <c r="K33" s="14">
        <v>0</v>
      </c>
      <c r="L33" s="16">
        <v>0</v>
      </c>
      <c r="M33" s="14">
        <v>0</v>
      </c>
      <c r="N33" s="16">
        <v>0</v>
      </c>
      <c r="O33" s="14">
        <v>0</v>
      </c>
      <c r="P33" s="16">
        <v>0</v>
      </c>
      <c r="Q33" s="14">
        <v>0</v>
      </c>
      <c r="R33" s="16">
        <v>0</v>
      </c>
    </row>
    <row r="34" spans="1:18" x14ac:dyDescent="0.25">
      <c r="A34" s="11" t="s">
        <v>167</v>
      </c>
      <c r="B34" s="13">
        <v>6350</v>
      </c>
      <c r="C34" s="14">
        <f>(5284/B34*100)</f>
        <v>83.212598425196845</v>
      </c>
      <c r="D34" s="15">
        <v>1066</v>
      </c>
      <c r="E34" s="14">
        <v>50.961550549999998</v>
      </c>
      <c r="F34" s="16">
        <v>1.6277392500000001</v>
      </c>
      <c r="G34" s="14">
        <v>49.038449450000002</v>
      </c>
      <c r="H34" s="16">
        <v>1.6277392500000001</v>
      </c>
      <c r="I34" s="14" t="s">
        <v>139</v>
      </c>
      <c r="J34" s="16" t="s">
        <v>139</v>
      </c>
      <c r="K34" s="14">
        <v>0</v>
      </c>
      <c r="L34" s="16">
        <v>0</v>
      </c>
      <c r="M34" s="14">
        <v>0</v>
      </c>
      <c r="N34" s="16">
        <v>0</v>
      </c>
      <c r="O34" s="14">
        <v>0</v>
      </c>
      <c r="P34" s="16">
        <v>0</v>
      </c>
      <c r="Q34" s="14">
        <v>0</v>
      </c>
      <c r="R34" s="16">
        <v>0</v>
      </c>
    </row>
    <row r="35" spans="1:18" x14ac:dyDescent="0.25">
      <c r="A35" s="11" t="s">
        <v>168</v>
      </c>
      <c r="B35" s="13">
        <v>6406</v>
      </c>
      <c r="C35" s="14">
        <f>(5299/B35*100)</f>
        <v>82.719325632219793</v>
      </c>
      <c r="D35" s="15">
        <v>1107</v>
      </c>
      <c r="E35" s="14">
        <v>43.775389109999999</v>
      </c>
      <c r="F35" s="16">
        <v>1.6998663300000001</v>
      </c>
      <c r="G35" s="14">
        <v>56.224610890000001</v>
      </c>
      <c r="H35" s="16">
        <v>1.6998663300000001</v>
      </c>
      <c r="I35" s="14" t="s">
        <v>139</v>
      </c>
      <c r="J35" s="16" t="s">
        <v>139</v>
      </c>
      <c r="K35" s="14">
        <v>0</v>
      </c>
      <c r="L35" s="16">
        <v>0</v>
      </c>
      <c r="M35" s="14">
        <v>0</v>
      </c>
      <c r="N35" s="16">
        <v>0</v>
      </c>
      <c r="O35" s="14">
        <v>0</v>
      </c>
      <c r="P35" s="16">
        <v>0</v>
      </c>
      <c r="Q35" s="14">
        <v>0</v>
      </c>
      <c r="R35" s="16">
        <v>0</v>
      </c>
    </row>
    <row r="36" spans="1:18" x14ac:dyDescent="0.25">
      <c r="A36" s="11" t="s">
        <v>169</v>
      </c>
      <c r="B36" s="13">
        <v>6736</v>
      </c>
      <c r="C36" s="14">
        <f>(5580/B36*100)</f>
        <v>82.838479809976249</v>
      </c>
      <c r="D36" s="15">
        <v>1156</v>
      </c>
      <c r="E36" s="14">
        <v>49.106207509999997</v>
      </c>
      <c r="F36" s="16">
        <v>1.38325874</v>
      </c>
      <c r="G36" s="14">
        <v>50.893792490000003</v>
      </c>
      <c r="H36" s="16">
        <v>1.38325874</v>
      </c>
      <c r="I36" s="14" t="s">
        <v>139</v>
      </c>
      <c r="J36" s="16" t="s">
        <v>139</v>
      </c>
      <c r="K36" s="14">
        <v>0</v>
      </c>
      <c r="L36" s="16">
        <v>0</v>
      </c>
      <c r="M36" s="14">
        <v>0</v>
      </c>
      <c r="N36" s="16">
        <v>0</v>
      </c>
      <c r="O36" s="14">
        <v>0</v>
      </c>
      <c r="P36" s="16">
        <v>0</v>
      </c>
      <c r="Q36" s="14">
        <v>0</v>
      </c>
      <c r="R36" s="16">
        <v>0</v>
      </c>
    </row>
    <row r="37" spans="1:18" x14ac:dyDescent="0.25">
      <c r="A37" s="11" t="s">
        <v>170</v>
      </c>
      <c r="B37" s="13">
        <v>5458</v>
      </c>
      <c r="C37" s="14">
        <f>(4558/B37*100)</f>
        <v>83.510443385855623</v>
      </c>
      <c r="D37" s="15">
        <v>900</v>
      </c>
      <c r="E37" s="14">
        <v>38.91069925</v>
      </c>
      <c r="F37" s="16">
        <v>1.7275939899999999</v>
      </c>
      <c r="G37" s="14">
        <v>61.08930075</v>
      </c>
      <c r="H37" s="16">
        <v>1.7275939899999999</v>
      </c>
      <c r="I37" s="14" t="s">
        <v>139</v>
      </c>
      <c r="J37" s="16" t="s">
        <v>139</v>
      </c>
      <c r="K37" s="14">
        <v>0</v>
      </c>
      <c r="L37" s="16">
        <v>0</v>
      </c>
      <c r="M37" s="14">
        <v>0</v>
      </c>
      <c r="N37" s="16">
        <v>0</v>
      </c>
      <c r="O37" s="14">
        <v>0</v>
      </c>
      <c r="P37" s="16">
        <v>0</v>
      </c>
      <c r="Q37" s="14">
        <v>0</v>
      </c>
      <c r="R37" s="16">
        <v>0</v>
      </c>
    </row>
    <row r="38" spans="1:18" x14ac:dyDescent="0.25">
      <c r="A38" s="11" t="s">
        <v>171</v>
      </c>
      <c r="B38" s="17" t="s">
        <v>154</v>
      </c>
      <c r="C38" s="17" t="s">
        <v>154</v>
      </c>
      <c r="D38" s="18" t="s">
        <v>154</v>
      </c>
      <c r="E38" s="17" t="s">
        <v>154</v>
      </c>
      <c r="F38" s="18" t="s">
        <v>154</v>
      </c>
      <c r="G38" s="17" t="s">
        <v>154</v>
      </c>
      <c r="H38" s="18" t="s">
        <v>154</v>
      </c>
      <c r="I38" s="17" t="s">
        <v>154</v>
      </c>
      <c r="J38" s="18" t="s">
        <v>154</v>
      </c>
      <c r="K38" s="17" t="s">
        <v>154</v>
      </c>
      <c r="L38" s="18" t="s">
        <v>154</v>
      </c>
      <c r="M38" s="17" t="s">
        <v>154</v>
      </c>
      <c r="N38" s="18" t="s">
        <v>154</v>
      </c>
      <c r="O38" s="17" t="s">
        <v>154</v>
      </c>
      <c r="P38" s="18" t="s">
        <v>154</v>
      </c>
      <c r="Q38" s="17" t="s">
        <v>154</v>
      </c>
      <c r="R38" s="18" t="s">
        <v>154</v>
      </c>
    </row>
    <row r="39" spans="1:18" x14ac:dyDescent="0.25">
      <c r="A39" s="11" t="s">
        <v>172</v>
      </c>
      <c r="B39" s="13">
        <v>5895</v>
      </c>
      <c r="C39" s="14">
        <f>(4870/B39*100)</f>
        <v>82.612383375742155</v>
      </c>
      <c r="D39" s="15">
        <v>1025</v>
      </c>
      <c r="E39" s="14">
        <v>58.138071349999997</v>
      </c>
      <c r="F39" s="16">
        <v>2.1933608100000002</v>
      </c>
      <c r="G39" s="14">
        <v>41.861928650000003</v>
      </c>
      <c r="H39" s="16">
        <v>2.1933608100000002</v>
      </c>
      <c r="I39" s="14" t="s">
        <v>139</v>
      </c>
      <c r="J39" s="16" t="s">
        <v>139</v>
      </c>
      <c r="K39" s="14">
        <v>0</v>
      </c>
      <c r="L39" s="16">
        <v>0</v>
      </c>
      <c r="M39" s="14">
        <v>0</v>
      </c>
      <c r="N39" s="16">
        <v>0</v>
      </c>
      <c r="O39" s="14">
        <v>0</v>
      </c>
      <c r="P39" s="16">
        <v>0</v>
      </c>
      <c r="Q39" s="14">
        <v>0</v>
      </c>
      <c r="R39" s="16">
        <v>0</v>
      </c>
    </row>
    <row r="40" spans="1:18" x14ac:dyDescent="0.25">
      <c r="A40" s="11" t="s">
        <v>173</v>
      </c>
      <c r="B40" s="13">
        <v>14157</v>
      </c>
      <c r="C40" s="14">
        <f>(11633/B40*100)</f>
        <v>82.17136398954581</v>
      </c>
      <c r="D40" s="15">
        <v>2524</v>
      </c>
      <c r="E40" s="14">
        <v>42.340933069999998</v>
      </c>
      <c r="F40" s="16">
        <v>1.65889167</v>
      </c>
      <c r="G40" s="14">
        <v>57.659066930000002</v>
      </c>
      <c r="H40" s="16">
        <v>1.65889167</v>
      </c>
      <c r="I40" s="14" t="s">
        <v>139</v>
      </c>
      <c r="J40" s="16" t="s">
        <v>139</v>
      </c>
      <c r="K40" s="14">
        <v>0</v>
      </c>
      <c r="L40" s="16">
        <v>0</v>
      </c>
      <c r="M40" s="14">
        <v>0</v>
      </c>
      <c r="N40" s="16">
        <v>0</v>
      </c>
      <c r="O40" s="14">
        <v>0</v>
      </c>
      <c r="P40" s="16">
        <v>0</v>
      </c>
      <c r="Q40" s="14">
        <v>0</v>
      </c>
      <c r="R40" s="16">
        <v>0</v>
      </c>
    </row>
    <row r="41" spans="1:18" x14ac:dyDescent="0.25">
      <c r="A41" s="11" t="s">
        <v>174</v>
      </c>
      <c r="B41" s="13">
        <v>5712</v>
      </c>
      <c r="C41" s="14">
        <f>(4759/B41*100)</f>
        <v>83.315826330532218</v>
      </c>
      <c r="D41" s="15">
        <v>953</v>
      </c>
      <c r="E41" s="14">
        <v>40.72864414</v>
      </c>
      <c r="F41" s="16">
        <v>1.7111055799999999</v>
      </c>
      <c r="G41" s="14">
        <v>59.27135586</v>
      </c>
      <c r="H41" s="16">
        <v>1.7111055799999999</v>
      </c>
      <c r="I41" s="14" t="s">
        <v>139</v>
      </c>
      <c r="J41" s="16" t="s">
        <v>139</v>
      </c>
      <c r="K41" s="14">
        <v>0</v>
      </c>
      <c r="L41" s="16">
        <v>0</v>
      </c>
      <c r="M41" s="14">
        <v>0</v>
      </c>
      <c r="N41" s="16">
        <v>0</v>
      </c>
      <c r="O41" s="14">
        <v>0</v>
      </c>
      <c r="P41" s="16">
        <v>0</v>
      </c>
      <c r="Q41" s="14">
        <v>0</v>
      </c>
      <c r="R41" s="16">
        <v>0</v>
      </c>
    </row>
    <row r="42" spans="1:18" x14ac:dyDescent="0.25">
      <c r="A42" s="11" t="s">
        <v>175</v>
      </c>
      <c r="B42" s="13">
        <f>IF(COUNT(B7:B41) &gt; 0, AVERAGE(B7:B41), "\u2014")</f>
        <v>7266.90625</v>
      </c>
      <c r="C42" s="14">
        <f>IF(COUNT(C7:C41) &gt; 0, AVERAGE(C7:C41), "—")</f>
        <v>82.987487641913049</v>
      </c>
      <c r="D42" s="15">
        <f>IF(COUNT(D7:D41) &gt; 0, AVERAGE(D7:D41), "—")</f>
        <v>1237.71875</v>
      </c>
      <c r="E42" s="14">
        <f>IF(COUNT(E7:E41) &gt; 0, AVERAGE(E7:E41), "—")</f>
        <v>45.237582195625009</v>
      </c>
      <c r="F42" s="16">
        <f>IF(COUNT(F7:F41) &gt; 0, SQRT(SUMSQ(F7:F41)/(COUNT(F7:F41)*COUNT(F7:F41)) ), "—")</f>
        <v>0.28556583553233489</v>
      </c>
      <c r="G42" s="14">
        <f>IF(COUNT(G7:G41) &gt; 0, AVERAGE(G7:G41), "—")</f>
        <v>54.762417804374984</v>
      </c>
      <c r="H42" s="16">
        <f>IF(COUNT(H7:H41) &gt; 0, SQRT(SUMSQ(H7:H41)/(COUNT(H7:H41)*COUNT(H7:H41)) ), "—")</f>
        <v>0.28556583553233489</v>
      </c>
      <c r="I42" s="14" t="str">
        <f>IF(COUNT(I7:I41) &gt; 0, AVERAGE(I7:I41), "—")</f>
        <v>—</v>
      </c>
      <c r="J42" s="16" t="str">
        <f>IF(COUNT(J7:J41) &gt; 0, SQRT(SUMSQ(J7:J41)/(COUNT(J7:J41)*COUNT(J7:J41)) ), "—")</f>
        <v>—</v>
      </c>
      <c r="K42" s="14">
        <f>IF(COUNT(K7:K41) &gt; 0, AVERAGE(K7:K41), "—")</f>
        <v>0</v>
      </c>
      <c r="L42" s="16">
        <f>IF(COUNT(L7:L41) &gt; 0, SQRT(SUMSQ(L7:L41)/(COUNT(L7:L41)*COUNT(L7:L41)) ), "—")</f>
        <v>0</v>
      </c>
      <c r="M42" s="14">
        <f>IF(COUNT(M7:M41) &gt; 0, AVERAGE(M7:M41), "—")</f>
        <v>0</v>
      </c>
      <c r="N42" s="16">
        <f>IF(COUNT(N7:N41) &gt; 0, SQRT(SUMSQ(N7:N41)/(COUNT(N7:N41)*COUNT(N7:N41)) ), "—")</f>
        <v>0</v>
      </c>
      <c r="O42" s="14">
        <f>IF(COUNT(O7:O41) &gt; 0, AVERAGE(O7:O41), "—")</f>
        <v>0</v>
      </c>
      <c r="P42" s="16">
        <f>IF(COUNT(P7:P41) &gt; 0, SQRT(SUMSQ(P7:P41)/(COUNT(P7:P41)*COUNT(P7:P41)) ), "—")</f>
        <v>0</v>
      </c>
      <c r="Q42" s="14">
        <f>IF(COUNT(Q7:Q41) &gt; 0, AVERAGE(Q7:Q41), "—")</f>
        <v>0</v>
      </c>
      <c r="R42" s="16">
        <f>IF(COUNT(R7:R41) &gt; 0, SQRT(SUMSQ(R7:R41)/(COUNT(R7:R41)*COUNT(R7:R41)) ), "—")</f>
        <v>0</v>
      </c>
    </row>
    <row r="43" spans="1:18" x14ac:dyDescent="0.25">
      <c r="A43" s="9" t="s">
        <v>176</v>
      </c>
      <c r="B43" s="10"/>
      <c r="C43" s="10"/>
      <c r="D43" s="11"/>
      <c r="E43" s="10"/>
      <c r="F43" s="11"/>
      <c r="G43" s="10"/>
      <c r="H43" s="11"/>
      <c r="I43" s="10"/>
      <c r="J43" s="11"/>
      <c r="K43" s="10"/>
      <c r="L43" s="11"/>
      <c r="M43" s="10"/>
      <c r="N43" s="11"/>
      <c r="O43" s="10"/>
      <c r="P43" s="11"/>
      <c r="Q43" s="10"/>
      <c r="R43" s="12"/>
    </row>
    <row r="44" spans="1:18" x14ac:dyDescent="0.25">
      <c r="A44" s="11" t="s">
        <v>177</v>
      </c>
      <c r="B44" s="17" t="s">
        <v>154</v>
      </c>
      <c r="C44" s="17" t="s">
        <v>154</v>
      </c>
      <c r="D44" s="18" t="s">
        <v>154</v>
      </c>
      <c r="E44" s="17" t="s">
        <v>154</v>
      </c>
      <c r="F44" s="18" t="s">
        <v>154</v>
      </c>
      <c r="G44" s="17" t="s">
        <v>154</v>
      </c>
      <c r="H44" s="18" t="s">
        <v>154</v>
      </c>
      <c r="I44" s="17" t="s">
        <v>154</v>
      </c>
      <c r="J44" s="18" t="s">
        <v>154</v>
      </c>
      <c r="K44" s="17" t="s">
        <v>154</v>
      </c>
      <c r="L44" s="18" t="s">
        <v>154</v>
      </c>
      <c r="M44" s="17" t="s">
        <v>154</v>
      </c>
      <c r="N44" s="18" t="s">
        <v>154</v>
      </c>
      <c r="O44" s="17" t="s">
        <v>154</v>
      </c>
      <c r="P44" s="18" t="s">
        <v>154</v>
      </c>
      <c r="Q44" s="17" t="s">
        <v>154</v>
      </c>
      <c r="R44" s="18" t="s">
        <v>154</v>
      </c>
    </row>
    <row r="45" spans="1:18" x14ac:dyDescent="0.25">
      <c r="A45" s="11" t="s">
        <v>178</v>
      </c>
      <c r="B45" s="17" t="s">
        <v>154</v>
      </c>
      <c r="C45" s="17" t="s">
        <v>154</v>
      </c>
      <c r="D45" s="18" t="s">
        <v>154</v>
      </c>
      <c r="E45" s="17" t="s">
        <v>154</v>
      </c>
      <c r="F45" s="18" t="s">
        <v>154</v>
      </c>
      <c r="G45" s="17" t="s">
        <v>154</v>
      </c>
      <c r="H45" s="18" t="s">
        <v>154</v>
      </c>
      <c r="I45" s="17" t="s">
        <v>154</v>
      </c>
      <c r="J45" s="18" t="s">
        <v>154</v>
      </c>
      <c r="K45" s="17" t="s">
        <v>154</v>
      </c>
      <c r="L45" s="18" t="s">
        <v>154</v>
      </c>
      <c r="M45" s="17" t="s">
        <v>154</v>
      </c>
      <c r="N45" s="18" t="s">
        <v>154</v>
      </c>
      <c r="O45" s="17" t="s">
        <v>154</v>
      </c>
      <c r="P45" s="18" t="s">
        <v>154</v>
      </c>
      <c r="Q45" s="17" t="s">
        <v>154</v>
      </c>
      <c r="R45" s="18" t="s">
        <v>154</v>
      </c>
    </row>
    <row r="46" spans="1:18" x14ac:dyDescent="0.25">
      <c r="A46" s="11" t="s">
        <v>179</v>
      </c>
      <c r="B46" s="13">
        <v>23141</v>
      </c>
      <c r="C46" s="14">
        <f>(19679/B46*100)</f>
        <v>85.039540210016852</v>
      </c>
      <c r="D46" s="15">
        <v>3462</v>
      </c>
      <c r="E46" s="14">
        <v>69.342703119999996</v>
      </c>
      <c r="F46" s="16">
        <v>0.87839146999999995</v>
      </c>
      <c r="G46" s="14">
        <v>30.657296880000001</v>
      </c>
      <c r="H46" s="16">
        <v>0.87839146999999995</v>
      </c>
      <c r="I46" s="14" t="s">
        <v>139</v>
      </c>
      <c r="J46" s="16" t="s">
        <v>139</v>
      </c>
      <c r="K46" s="14">
        <v>0</v>
      </c>
      <c r="L46" s="16">
        <v>0</v>
      </c>
      <c r="M46" s="14">
        <v>0</v>
      </c>
      <c r="N46" s="16">
        <v>0</v>
      </c>
      <c r="O46" s="14">
        <v>0</v>
      </c>
      <c r="P46" s="16">
        <v>0</v>
      </c>
      <c r="Q46" s="14">
        <v>0</v>
      </c>
      <c r="R46" s="16">
        <v>0</v>
      </c>
    </row>
    <row r="47" spans="1:18" x14ac:dyDescent="0.25">
      <c r="A47" s="11" t="s">
        <v>180</v>
      </c>
      <c r="B47" s="13">
        <v>5928</v>
      </c>
      <c r="C47" s="14">
        <f>(4925/B47*100)</f>
        <v>83.080296896086367</v>
      </c>
      <c r="D47" s="15">
        <v>1003</v>
      </c>
      <c r="E47" s="14">
        <v>58.826203040000003</v>
      </c>
      <c r="F47" s="16">
        <v>1.6531709699999999</v>
      </c>
      <c r="G47" s="14">
        <v>41.173796959999997</v>
      </c>
      <c r="H47" s="16">
        <v>1.6531709699999999</v>
      </c>
      <c r="I47" s="14" t="s">
        <v>139</v>
      </c>
      <c r="J47" s="16" t="s">
        <v>139</v>
      </c>
      <c r="K47" s="14">
        <v>0</v>
      </c>
      <c r="L47" s="16">
        <v>0</v>
      </c>
      <c r="M47" s="14">
        <v>0</v>
      </c>
      <c r="N47" s="16">
        <v>0</v>
      </c>
      <c r="O47" s="14">
        <v>0</v>
      </c>
      <c r="P47" s="16">
        <v>0</v>
      </c>
      <c r="Q47" s="14">
        <v>0</v>
      </c>
      <c r="R47" s="16">
        <v>0</v>
      </c>
    </row>
    <row r="48" spans="1:18" x14ac:dyDescent="0.25">
      <c r="A48" s="11" t="s">
        <v>181</v>
      </c>
      <c r="B48" s="13">
        <v>9841</v>
      </c>
      <c r="C48" s="14">
        <f>(8150/B48*100)</f>
        <v>82.8167869118992</v>
      </c>
      <c r="D48" s="15">
        <v>1691</v>
      </c>
      <c r="E48" s="14">
        <v>44.448560319999999</v>
      </c>
      <c r="F48" s="16">
        <v>1.6393617599999999</v>
      </c>
      <c r="G48" s="14">
        <v>55.551439680000001</v>
      </c>
      <c r="H48" s="16">
        <v>1.6393617599999999</v>
      </c>
      <c r="I48" s="14" t="s">
        <v>139</v>
      </c>
      <c r="J48" s="16" t="s">
        <v>139</v>
      </c>
      <c r="K48" s="14">
        <v>0</v>
      </c>
      <c r="L48" s="16">
        <v>0</v>
      </c>
      <c r="M48" s="14">
        <v>0</v>
      </c>
      <c r="N48" s="16">
        <v>0</v>
      </c>
      <c r="O48" s="14">
        <v>0</v>
      </c>
      <c r="P48" s="16">
        <v>0</v>
      </c>
      <c r="Q48" s="14">
        <v>0</v>
      </c>
      <c r="R48" s="16">
        <v>0</v>
      </c>
    </row>
    <row r="49" spans="1:18" x14ac:dyDescent="0.25">
      <c r="A49" s="11" t="s">
        <v>182</v>
      </c>
      <c r="B49" s="17" t="s">
        <v>154</v>
      </c>
      <c r="C49" s="17" t="s">
        <v>154</v>
      </c>
      <c r="D49" s="18" t="s">
        <v>154</v>
      </c>
      <c r="E49" s="17" t="s">
        <v>154</v>
      </c>
      <c r="F49" s="18" t="s">
        <v>154</v>
      </c>
      <c r="G49" s="17" t="s">
        <v>154</v>
      </c>
      <c r="H49" s="18" t="s">
        <v>154</v>
      </c>
      <c r="I49" s="17" t="s">
        <v>154</v>
      </c>
      <c r="J49" s="18" t="s">
        <v>154</v>
      </c>
      <c r="K49" s="17" t="s">
        <v>154</v>
      </c>
      <c r="L49" s="18" t="s">
        <v>154</v>
      </c>
      <c r="M49" s="17" t="s">
        <v>154</v>
      </c>
      <c r="N49" s="18" t="s">
        <v>154</v>
      </c>
      <c r="O49" s="17" t="s">
        <v>154</v>
      </c>
      <c r="P49" s="18" t="s">
        <v>154</v>
      </c>
      <c r="Q49" s="17" t="s">
        <v>154</v>
      </c>
      <c r="R49" s="18" t="s">
        <v>154</v>
      </c>
    </row>
    <row r="50" spans="1:18" x14ac:dyDescent="0.25">
      <c r="A50" s="11" t="s">
        <v>183</v>
      </c>
      <c r="B50" s="13">
        <v>11795</v>
      </c>
      <c r="C50" s="14">
        <f>(9800/B50*100)</f>
        <v>83.086053412462917</v>
      </c>
      <c r="D50" s="15">
        <v>1995</v>
      </c>
      <c r="E50" s="14">
        <v>66.406484370000001</v>
      </c>
      <c r="F50" s="16">
        <v>1.42855997</v>
      </c>
      <c r="G50" s="14">
        <v>33.593515629999999</v>
      </c>
      <c r="H50" s="16">
        <v>1.42855997</v>
      </c>
      <c r="I50" s="14" t="s">
        <v>139</v>
      </c>
      <c r="J50" s="16" t="s">
        <v>139</v>
      </c>
      <c r="K50" s="14">
        <v>0</v>
      </c>
      <c r="L50" s="16">
        <v>0</v>
      </c>
      <c r="M50" s="14">
        <v>0</v>
      </c>
      <c r="N50" s="16">
        <v>0</v>
      </c>
      <c r="O50" s="14">
        <v>0</v>
      </c>
      <c r="P50" s="16">
        <v>0</v>
      </c>
      <c r="Q50" s="14">
        <v>0</v>
      </c>
      <c r="R50" s="16">
        <v>0</v>
      </c>
    </row>
    <row r="51" spans="1:18" x14ac:dyDescent="0.25">
      <c r="A51" s="11" t="s">
        <v>184</v>
      </c>
      <c r="B51" s="13">
        <v>6866</v>
      </c>
      <c r="C51" s="14">
        <f>(5850/B51*100)</f>
        <v>85.202446839498975</v>
      </c>
      <c r="D51" s="15">
        <v>1016</v>
      </c>
      <c r="E51" s="14">
        <v>67.452386309999994</v>
      </c>
      <c r="F51" s="16">
        <v>1.5887438199999999</v>
      </c>
      <c r="G51" s="14">
        <v>32.547613689999999</v>
      </c>
      <c r="H51" s="16">
        <v>1.5887438199999999</v>
      </c>
      <c r="I51" s="14" t="s">
        <v>139</v>
      </c>
      <c r="J51" s="16" t="s">
        <v>139</v>
      </c>
      <c r="K51" s="14">
        <v>0</v>
      </c>
      <c r="L51" s="16">
        <v>0</v>
      </c>
      <c r="M51" s="14">
        <v>0</v>
      </c>
      <c r="N51" s="16">
        <v>0</v>
      </c>
      <c r="O51" s="14">
        <v>0</v>
      </c>
      <c r="P51" s="16">
        <v>0</v>
      </c>
      <c r="Q51" s="14">
        <v>0</v>
      </c>
      <c r="R51" s="16">
        <v>0</v>
      </c>
    </row>
    <row r="52" spans="1:18" x14ac:dyDescent="0.25">
      <c r="A52" s="11" t="s">
        <v>185</v>
      </c>
      <c r="B52" s="13">
        <v>5809</v>
      </c>
      <c r="C52" s="14">
        <f>(4801/B52*100)</f>
        <v>82.647615768634878</v>
      </c>
      <c r="D52" s="15">
        <v>1008</v>
      </c>
      <c r="E52" s="14">
        <v>57.214615219999999</v>
      </c>
      <c r="F52" s="16">
        <v>1.8039262599999999</v>
      </c>
      <c r="G52" s="14">
        <v>42.785384780000001</v>
      </c>
      <c r="H52" s="16">
        <v>1.8039262599999999</v>
      </c>
      <c r="I52" s="14" t="s">
        <v>139</v>
      </c>
      <c r="J52" s="16" t="s">
        <v>139</v>
      </c>
      <c r="K52" s="14">
        <v>0</v>
      </c>
      <c r="L52" s="16">
        <v>0</v>
      </c>
      <c r="M52" s="14">
        <v>0</v>
      </c>
      <c r="N52" s="16">
        <v>0</v>
      </c>
      <c r="O52" s="14">
        <v>0</v>
      </c>
      <c r="P52" s="16">
        <v>0</v>
      </c>
      <c r="Q52" s="14">
        <v>0</v>
      </c>
      <c r="R52" s="16">
        <v>0</v>
      </c>
    </row>
    <row r="53" spans="1:18" x14ac:dyDescent="0.25">
      <c r="A53" s="11" t="s">
        <v>186</v>
      </c>
      <c r="B53" s="13">
        <v>5571</v>
      </c>
      <c r="C53" s="14">
        <f>(4606/B53*100)</f>
        <v>82.678154729851016</v>
      </c>
      <c r="D53" s="15">
        <v>965</v>
      </c>
      <c r="E53" s="14">
        <v>58.043573240000001</v>
      </c>
      <c r="F53" s="16">
        <v>1.67812815</v>
      </c>
      <c r="G53" s="14">
        <v>41.956426759999999</v>
      </c>
      <c r="H53" s="16">
        <v>1.67812815</v>
      </c>
      <c r="I53" s="14" t="s">
        <v>139</v>
      </c>
      <c r="J53" s="16" t="s">
        <v>139</v>
      </c>
      <c r="K53" s="14">
        <v>0</v>
      </c>
      <c r="L53" s="16">
        <v>0</v>
      </c>
      <c r="M53" s="14">
        <v>0</v>
      </c>
      <c r="N53" s="16">
        <v>0</v>
      </c>
      <c r="O53" s="14">
        <v>0</v>
      </c>
      <c r="P53" s="16">
        <v>0</v>
      </c>
      <c r="Q53" s="14">
        <v>0</v>
      </c>
      <c r="R53" s="16">
        <v>0</v>
      </c>
    </row>
    <row r="54" spans="1:18" x14ac:dyDescent="0.25">
      <c r="A54" s="11" t="s">
        <v>187</v>
      </c>
      <c r="B54" s="17" t="s">
        <v>154</v>
      </c>
      <c r="C54" s="17" t="s">
        <v>154</v>
      </c>
      <c r="D54" s="18" t="s">
        <v>154</v>
      </c>
      <c r="E54" s="17" t="s">
        <v>154</v>
      </c>
      <c r="F54" s="18" t="s">
        <v>154</v>
      </c>
      <c r="G54" s="17" t="s">
        <v>154</v>
      </c>
      <c r="H54" s="18" t="s">
        <v>154</v>
      </c>
      <c r="I54" s="17" t="s">
        <v>154</v>
      </c>
      <c r="J54" s="18" t="s">
        <v>154</v>
      </c>
      <c r="K54" s="17" t="s">
        <v>154</v>
      </c>
      <c r="L54" s="18" t="s">
        <v>154</v>
      </c>
      <c r="M54" s="17" t="s">
        <v>154</v>
      </c>
      <c r="N54" s="18" t="s">
        <v>154</v>
      </c>
      <c r="O54" s="17" t="s">
        <v>154</v>
      </c>
      <c r="P54" s="18" t="s">
        <v>154</v>
      </c>
      <c r="Q54" s="17" t="s">
        <v>154</v>
      </c>
      <c r="R54" s="18" t="s">
        <v>154</v>
      </c>
    </row>
    <row r="55" spans="1:18" x14ac:dyDescent="0.25">
      <c r="A55" s="11" t="s">
        <v>188</v>
      </c>
      <c r="B55" s="17" t="s">
        <v>154</v>
      </c>
      <c r="C55" s="17" t="s">
        <v>154</v>
      </c>
      <c r="D55" s="18" t="s">
        <v>154</v>
      </c>
      <c r="E55" s="17" t="s">
        <v>154</v>
      </c>
      <c r="F55" s="18" t="s">
        <v>154</v>
      </c>
      <c r="G55" s="17" t="s">
        <v>154</v>
      </c>
      <c r="H55" s="18" t="s">
        <v>154</v>
      </c>
      <c r="I55" s="17" t="s">
        <v>154</v>
      </c>
      <c r="J55" s="18" t="s">
        <v>154</v>
      </c>
      <c r="K55" s="17" t="s">
        <v>154</v>
      </c>
      <c r="L55" s="18" t="s">
        <v>154</v>
      </c>
      <c r="M55" s="17" t="s">
        <v>154</v>
      </c>
      <c r="N55" s="18" t="s">
        <v>154</v>
      </c>
      <c r="O55" s="17" t="s">
        <v>154</v>
      </c>
      <c r="P55" s="18" t="s">
        <v>154</v>
      </c>
      <c r="Q55" s="17" t="s">
        <v>154</v>
      </c>
      <c r="R55" s="18" t="s">
        <v>154</v>
      </c>
    </row>
    <row r="56" spans="1:18" x14ac:dyDescent="0.25">
      <c r="A56" s="11" t="s">
        <v>189</v>
      </c>
      <c r="B56" s="13">
        <v>5359</v>
      </c>
      <c r="C56" s="14">
        <f>(4443/B56*100)</f>
        <v>82.907258816943468</v>
      </c>
      <c r="D56" s="15">
        <v>916</v>
      </c>
      <c r="E56" s="14">
        <v>34.765809769999997</v>
      </c>
      <c r="F56" s="16">
        <v>1.9176919800000001</v>
      </c>
      <c r="G56" s="14">
        <v>65.234190229999996</v>
      </c>
      <c r="H56" s="16">
        <v>1.9176919800000001</v>
      </c>
      <c r="I56" s="14" t="s">
        <v>139</v>
      </c>
      <c r="J56" s="16" t="s">
        <v>139</v>
      </c>
      <c r="K56" s="14">
        <v>0</v>
      </c>
      <c r="L56" s="16">
        <v>0</v>
      </c>
      <c r="M56" s="14">
        <v>0</v>
      </c>
      <c r="N56" s="16">
        <v>0</v>
      </c>
      <c r="O56" s="14">
        <v>0</v>
      </c>
      <c r="P56" s="16">
        <v>0</v>
      </c>
      <c r="Q56" s="14">
        <v>0</v>
      </c>
      <c r="R56" s="16">
        <v>0</v>
      </c>
    </row>
    <row r="57" spans="1:18" x14ac:dyDescent="0.25">
      <c r="A57" s="11" t="s">
        <v>190</v>
      </c>
      <c r="B57" s="17" t="s">
        <v>154</v>
      </c>
      <c r="C57" s="17" t="s">
        <v>154</v>
      </c>
      <c r="D57" s="18" t="s">
        <v>154</v>
      </c>
      <c r="E57" s="17" t="s">
        <v>154</v>
      </c>
      <c r="F57" s="18" t="s">
        <v>154</v>
      </c>
      <c r="G57" s="17" t="s">
        <v>154</v>
      </c>
      <c r="H57" s="18" t="s">
        <v>154</v>
      </c>
      <c r="I57" s="17" t="s">
        <v>154</v>
      </c>
      <c r="J57" s="18" t="s">
        <v>154</v>
      </c>
      <c r="K57" s="17" t="s">
        <v>154</v>
      </c>
      <c r="L57" s="18" t="s">
        <v>154</v>
      </c>
      <c r="M57" s="17" t="s">
        <v>154</v>
      </c>
      <c r="N57" s="18" t="s">
        <v>154</v>
      </c>
      <c r="O57" s="17" t="s">
        <v>154</v>
      </c>
      <c r="P57" s="18" t="s">
        <v>154</v>
      </c>
      <c r="Q57" s="17" t="s">
        <v>154</v>
      </c>
      <c r="R57" s="18" t="s">
        <v>154</v>
      </c>
    </row>
    <row r="58" spans="1:18" x14ac:dyDescent="0.25">
      <c r="A58" s="11" t="s">
        <v>191</v>
      </c>
      <c r="B58" s="17" t="s">
        <v>154</v>
      </c>
      <c r="C58" s="17" t="s">
        <v>154</v>
      </c>
      <c r="D58" s="18" t="s">
        <v>154</v>
      </c>
      <c r="E58" s="17" t="s">
        <v>154</v>
      </c>
      <c r="F58" s="18" t="s">
        <v>154</v>
      </c>
      <c r="G58" s="17" t="s">
        <v>154</v>
      </c>
      <c r="H58" s="18" t="s">
        <v>154</v>
      </c>
      <c r="I58" s="17" t="s">
        <v>154</v>
      </c>
      <c r="J58" s="18" t="s">
        <v>154</v>
      </c>
      <c r="K58" s="17" t="s">
        <v>154</v>
      </c>
      <c r="L58" s="18" t="s">
        <v>154</v>
      </c>
      <c r="M58" s="17" t="s">
        <v>154</v>
      </c>
      <c r="N58" s="18" t="s">
        <v>154</v>
      </c>
      <c r="O58" s="17" t="s">
        <v>154</v>
      </c>
      <c r="P58" s="18" t="s">
        <v>154</v>
      </c>
      <c r="Q58" s="17" t="s">
        <v>154</v>
      </c>
      <c r="R58" s="18" t="s">
        <v>154</v>
      </c>
    </row>
    <row r="59" spans="1:18" x14ac:dyDescent="0.25">
      <c r="A59" s="11" t="s">
        <v>192</v>
      </c>
      <c r="B59" s="17" t="s">
        <v>154</v>
      </c>
      <c r="C59" s="17" t="s">
        <v>154</v>
      </c>
      <c r="D59" s="18" t="s">
        <v>154</v>
      </c>
      <c r="E59" s="17" t="s">
        <v>154</v>
      </c>
      <c r="F59" s="18" t="s">
        <v>154</v>
      </c>
      <c r="G59" s="17" t="s">
        <v>154</v>
      </c>
      <c r="H59" s="18" t="s">
        <v>154</v>
      </c>
      <c r="I59" s="17" t="s">
        <v>154</v>
      </c>
      <c r="J59" s="18" t="s">
        <v>154</v>
      </c>
      <c r="K59" s="17" t="s">
        <v>154</v>
      </c>
      <c r="L59" s="18" t="s">
        <v>154</v>
      </c>
      <c r="M59" s="17" t="s">
        <v>154</v>
      </c>
      <c r="N59" s="18" t="s">
        <v>154</v>
      </c>
      <c r="O59" s="17" t="s">
        <v>154</v>
      </c>
      <c r="P59" s="18" t="s">
        <v>154</v>
      </c>
      <c r="Q59" s="17" t="s">
        <v>154</v>
      </c>
      <c r="R59" s="18" t="s">
        <v>154</v>
      </c>
    </row>
    <row r="60" spans="1:18" x14ac:dyDescent="0.25">
      <c r="A60" s="11" t="s">
        <v>193</v>
      </c>
      <c r="B60" s="17" t="s">
        <v>154</v>
      </c>
      <c r="C60" s="17" t="s">
        <v>154</v>
      </c>
      <c r="D60" s="18" t="s">
        <v>154</v>
      </c>
      <c r="E60" s="17" t="s">
        <v>154</v>
      </c>
      <c r="F60" s="18" t="s">
        <v>154</v>
      </c>
      <c r="G60" s="17" t="s">
        <v>154</v>
      </c>
      <c r="H60" s="18" t="s">
        <v>154</v>
      </c>
      <c r="I60" s="17" t="s">
        <v>154</v>
      </c>
      <c r="J60" s="18" t="s">
        <v>154</v>
      </c>
      <c r="K60" s="17" t="s">
        <v>154</v>
      </c>
      <c r="L60" s="18" t="s">
        <v>154</v>
      </c>
      <c r="M60" s="17" t="s">
        <v>154</v>
      </c>
      <c r="N60" s="18" t="s">
        <v>154</v>
      </c>
      <c r="O60" s="17" t="s">
        <v>154</v>
      </c>
      <c r="P60" s="18" t="s">
        <v>154</v>
      </c>
      <c r="Q60" s="17" t="s">
        <v>154</v>
      </c>
      <c r="R60" s="18" t="s">
        <v>154</v>
      </c>
    </row>
    <row r="61" spans="1:18" x14ac:dyDescent="0.25">
      <c r="A61" s="11" t="s">
        <v>194</v>
      </c>
      <c r="B61" s="13">
        <v>6525</v>
      </c>
      <c r="C61" s="14">
        <f>(5386/B61*100)</f>
        <v>82.544061302681996</v>
      </c>
      <c r="D61" s="15">
        <v>1139</v>
      </c>
      <c r="E61" s="14">
        <v>43.586417310000002</v>
      </c>
      <c r="F61" s="16">
        <v>1.7725581100000001</v>
      </c>
      <c r="G61" s="14">
        <v>56.413582689999998</v>
      </c>
      <c r="H61" s="16">
        <v>1.7725581100000001</v>
      </c>
      <c r="I61" s="14" t="s">
        <v>139</v>
      </c>
      <c r="J61" s="16" t="s">
        <v>139</v>
      </c>
      <c r="K61" s="14">
        <v>0</v>
      </c>
      <c r="L61" s="16">
        <v>0</v>
      </c>
      <c r="M61" s="14">
        <v>0</v>
      </c>
      <c r="N61" s="16">
        <v>0</v>
      </c>
      <c r="O61" s="14">
        <v>0</v>
      </c>
      <c r="P61" s="16">
        <v>0</v>
      </c>
      <c r="Q61" s="14">
        <v>0</v>
      </c>
      <c r="R61" s="16">
        <v>0</v>
      </c>
    </row>
    <row r="62" spans="1:18" x14ac:dyDescent="0.25">
      <c r="A62" s="11" t="s">
        <v>195</v>
      </c>
      <c r="B62" s="13">
        <v>4476</v>
      </c>
      <c r="C62" s="14">
        <f>(3695/B62*100)</f>
        <v>82.551385165326181</v>
      </c>
      <c r="D62" s="15">
        <v>781</v>
      </c>
      <c r="E62" s="14">
        <v>35.898861570000001</v>
      </c>
      <c r="F62" s="16">
        <v>1.7281623699999999</v>
      </c>
      <c r="G62" s="14">
        <v>64.101138430000006</v>
      </c>
      <c r="H62" s="16">
        <v>1.7281623699999999</v>
      </c>
      <c r="I62" s="14" t="s">
        <v>139</v>
      </c>
      <c r="J62" s="16" t="s">
        <v>139</v>
      </c>
      <c r="K62" s="14">
        <v>0</v>
      </c>
      <c r="L62" s="16">
        <v>0</v>
      </c>
      <c r="M62" s="14">
        <v>0</v>
      </c>
      <c r="N62" s="16">
        <v>0</v>
      </c>
      <c r="O62" s="14">
        <v>0</v>
      </c>
      <c r="P62" s="16">
        <v>0</v>
      </c>
      <c r="Q62" s="14">
        <v>0</v>
      </c>
      <c r="R62" s="16">
        <v>0</v>
      </c>
    </row>
    <row r="63" spans="1:18" x14ac:dyDescent="0.25">
      <c r="A63" s="11" t="s">
        <v>196</v>
      </c>
      <c r="B63" s="17" t="s">
        <v>154</v>
      </c>
      <c r="C63" s="17" t="s">
        <v>154</v>
      </c>
      <c r="D63" s="18" t="s">
        <v>154</v>
      </c>
      <c r="E63" s="17" t="s">
        <v>154</v>
      </c>
      <c r="F63" s="18" t="s">
        <v>154</v>
      </c>
      <c r="G63" s="17" t="s">
        <v>154</v>
      </c>
      <c r="H63" s="18" t="s">
        <v>154</v>
      </c>
      <c r="I63" s="17" t="s">
        <v>154</v>
      </c>
      <c r="J63" s="18" t="s">
        <v>154</v>
      </c>
      <c r="K63" s="17" t="s">
        <v>154</v>
      </c>
      <c r="L63" s="18" t="s">
        <v>154</v>
      </c>
      <c r="M63" s="17" t="s">
        <v>154</v>
      </c>
      <c r="N63" s="18" t="s">
        <v>154</v>
      </c>
      <c r="O63" s="17" t="s">
        <v>154</v>
      </c>
      <c r="P63" s="18" t="s">
        <v>154</v>
      </c>
      <c r="Q63" s="17" t="s">
        <v>154</v>
      </c>
      <c r="R63" s="18" t="s">
        <v>154</v>
      </c>
    </row>
    <row r="64" spans="1:18" x14ac:dyDescent="0.25">
      <c r="A64" s="11" t="s">
        <v>197</v>
      </c>
      <c r="B64" s="17" t="s">
        <v>154</v>
      </c>
      <c r="C64" s="17" t="s">
        <v>154</v>
      </c>
      <c r="D64" s="18" t="s">
        <v>154</v>
      </c>
      <c r="E64" s="17" t="s">
        <v>154</v>
      </c>
      <c r="F64" s="18" t="s">
        <v>154</v>
      </c>
      <c r="G64" s="17" t="s">
        <v>154</v>
      </c>
      <c r="H64" s="18" t="s">
        <v>154</v>
      </c>
      <c r="I64" s="17" t="s">
        <v>154</v>
      </c>
      <c r="J64" s="18" t="s">
        <v>154</v>
      </c>
      <c r="K64" s="17" t="s">
        <v>154</v>
      </c>
      <c r="L64" s="18" t="s">
        <v>154</v>
      </c>
      <c r="M64" s="17" t="s">
        <v>154</v>
      </c>
      <c r="N64" s="18" t="s">
        <v>154</v>
      </c>
      <c r="O64" s="17" t="s">
        <v>154</v>
      </c>
      <c r="P64" s="18" t="s">
        <v>154</v>
      </c>
      <c r="Q64" s="17" t="s">
        <v>154</v>
      </c>
      <c r="R64" s="18" t="s">
        <v>154</v>
      </c>
    </row>
    <row r="65" spans="1:18" x14ac:dyDescent="0.25">
      <c r="A65" s="11" t="s">
        <v>198</v>
      </c>
      <c r="B65" s="17" t="s">
        <v>154</v>
      </c>
      <c r="C65" s="17" t="s">
        <v>154</v>
      </c>
      <c r="D65" s="18" t="s">
        <v>154</v>
      </c>
      <c r="E65" s="17" t="s">
        <v>154</v>
      </c>
      <c r="F65" s="18" t="s">
        <v>154</v>
      </c>
      <c r="G65" s="17" t="s">
        <v>154</v>
      </c>
      <c r="H65" s="18" t="s">
        <v>154</v>
      </c>
      <c r="I65" s="17" t="s">
        <v>154</v>
      </c>
      <c r="J65" s="18" t="s">
        <v>154</v>
      </c>
      <c r="K65" s="17" t="s">
        <v>154</v>
      </c>
      <c r="L65" s="18" t="s">
        <v>154</v>
      </c>
      <c r="M65" s="17" t="s">
        <v>154</v>
      </c>
      <c r="N65" s="18" t="s">
        <v>154</v>
      </c>
      <c r="O65" s="17" t="s">
        <v>154</v>
      </c>
      <c r="P65" s="18" t="s">
        <v>154</v>
      </c>
      <c r="Q65" s="17" t="s">
        <v>154</v>
      </c>
      <c r="R65" s="18" t="s">
        <v>154</v>
      </c>
    </row>
    <row r="66" spans="1:18" x14ac:dyDescent="0.25">
      <c r="A66" s="11" t="s">
        <v>199</v>
      </c>
      <c r="B66" s="13">
        <v>5665</v>
      </c>
      <c r="C66" s="14">
        <f>(4698/B66*100)</f>
        <v>82.930273609885262</v>
      </c>
      <c r="D66" s="15">
        <v>967</v>
      </c>
      <c r="E66" s="14">
        <v>70.805574609999994</v>
      </c>
      <c r="F66" s="16">
        <v>1.66416757</v>
      </c>
      <c r="G66" s="14">
        <v>29.194425389999999</v>
      </c>
      <c r="H66" s="16">
        <v>1.66416757</v>
      </c>
      <c r="I66" s="14" t="s">
        <v>139</v>
      </c>
      <c r="J66" s="16" t="s">
        <v>139</v>
      </c>
      <c r="K66" s="14">
        <v>0</v>
      </c>
      <c r="L66" s="16">
        <v>0</v>
      </c>
      <c r="M66" s="14">
        <v>0</v>
      </c>
      <c r="N66" s="16">
        <v>0</v>
      </c>
      <c r="O66" s="14">
        <v>0</v>
      </c>
      <c r="P66" s="16">
        <v>0</v>
      </c>
      <c r="Q66" s="14">
        <v>0</v>
      </c>
      <c r="R66" s="16">
        <v>0</v>
      </c>
    </row>
    <row r="67" spans="1:18" x14ac:dyDescent="0.25">
      <c r="A67" s="11" t="s">
        <v>200</v>
      </c>
      <c r="B67" s="13">
        <v>6971</v>
      </c>
      <c r="C67" s="14">
        <f>(5844/B67*100)</f>
        <v>83.833022521876345</v>
      </c>
      <c r="D67" s="15">
        <v>1127</v>
      </c>
      <c r="E67" s="14">
        <v>71.248080770000001</v>
      </c>
      <c r="F67" s="16">
        <v>1.26229642</v>
      </c>
      <c r="G67" s="14">
        <v>28.751919229999999</v>
      </c>
      <c r="H67" s="16">
        <v>1.26229642</v>
      </c>
      <c r="I67" s="14" t="s">
        <v>139</v>
      </c>
      <c r="J67" s="16" t="s">
        <v>139</v>
      </c>
      <c r="K67" s="14">
        <v>0</v>
      </c>
      <c r="L67" s="16">
        <v>0</v>
      </c>
      <c r="M67" s="14">
        <v>0</v>
      </c>
      <c r="N67" s="16">
        <v>0</v>
      </c>
      <c r="O67" s="14">
        <v>0</v>
      </c>
      <c r="P67" s="16">
        <v>0</v>
      </c>
      <c r="Q67" s="14">
        <v>0</v>
      </c>
      <c r="R67" s="16">
        <v>0</v>
      </c>
    </row>
    <row r="68" spans="1:18" x14ac:dyDescent="0.25">
      <c r="A68" s="11" t="s">
        <v>201</v>
      </c>
      <c r="B68" s="17" t="s">
        <v>154</v>
      </c>
      <c r="C68" s="17" t="s">
        <v>154</v>
      </c>
      <c r="D68" s="18" t="s">
        <v>154</v>
      </c>
      <c r="E68" s="17" t="s">
        <v>154</v>
      </c>
      <c r="F68" s="18" t="s">
        <v>154</v>
      </c>
      <c r="G68" s="17" t="s">
        <v>154</v>
      </c>
      <c r="H68" s="18" t="s">
        <v>154</v>
      </c>
      <c r="I68" s="17" t="s">
        <v>154</v>
      </c>
      <c r="J68" s="18" t="s">
        <v>154</v>
      </c>
      <c r="K68" s="17" t="s">
        <v>154</v>
      </c>
      <c r="L68" s="18" t="s">
        <v>154</v>
      </c>
      <c r="M68" s="17" t="s">
        <v>154</v>
      </c>
      <c r="N68" s="18" t="s">
        <v>154</v>
      </c>
      <c r="O68" s="17" t="s">
        <v>154</v>
      </c>
      <c r="P68" s="18" t="s">
        <v>154</v>
      </c>
      <c r="Q68" s="17" t="s">
        <v>154</v>
      </c>
      <c r="R68" s="18" t="s">
        <v>154</v>
      </c>
    </row>
    <row r="69" spans="1:18" x14ac:dyDescent="0.25">
      <c r="A69" s="11" t="s">
        <v>202</v>
      </c>
      <c r="B69" s="17" t="s">
        <v>154</v>
      </c>
      <c r="C69" s="17" t="s">
        <v>154</v>
      </c>
      <c r="D69" s="18" t="s">
        <v>154</v>
      </c>
      <c r="E69" s="17" t="s">
        <v>154</v>
      </c>
      <c r="F69" s="18" t="s">
        <v>154</v>
      </c>
      <c r="G69" s="17" t="s">
        <v>154</v>
      </c>
      <c r="H69" s="18" t="s">
        <v>154</v>
      </c>
      <c r="I69" s="17" t="s">
        <v>154</v>
      </c>
      <c r="J69" s="18" t="s">
        <v>154</v>
      </c>
      <c r="K69" s="17" t="s">
        <v>154</v>
      </c>
      <c r="L69" s="18" t="s">
        <v>154</v>
      </c>
      <c r="M69" s="17" t="s">
        <v>154</v>
      </c>
      <c r="N69" s="18" t="s">
        <v>154</v>
      </c>
      <c r="O69" s="17" t="s">
        <v>154</v>
      </c>
      <c r="P69" s="18" t="s">
        <v>154</v>
      </c>
      <c r="Q69" s="17" t="s">
        <v>154</v>
      </c>
      <c r="R69" s="18" t="s">
        <v>154</v>
      </c>
    </row>
    <row r="70" spans="1:18" x14ac:dyDescent="0.25">
      <c r="A70" s="11" t="s">
        <v>203</v>
      </c>
      <c r="B70" s="13">
        <v>6036</v>
      </c>
      <c r="C70" s="14">
        <f>(4999/B70*100)</f>
        <v>82.819748177601056</v>
      </c>
      <c r="D70" s="15">
        <v>1037</v>
      </c>
      <c r="E70" s="14">
        <v>43.630154140000002</v>
      </c>
      <c r="F70" s="16">
        <v>1.97284361</v>
      </c>
      <c r="G70" s="14">
        <v>56.369845859999998</v>
      </c>
      <c r="H70" s="16">
        <v>1.97284361</v>
      </c>
      <c r="I70" s="14" t="s">
        <v>139</v>
      </c>
      <c r="J70" s="16" t="s">
        <v>139</v>
      </c>
      <c r="K70" s="14">
        <v>0</v>
      </c>
      <c r="L70" s="16">
        <v>0</v>
      </c>
      <c r="M70" s="14">
        <v>0</v>
      </c>
      <c r="N70" s="16">
        <v>0</v>
      </c>
      <c r="O70" s="14">
        <v>0</v>
      </c>
      <c r="P70" s="16">
        <v>0</v>
      </c>
      <c r="Q70" s="14">
        <v>0</v>
      </c>
      <c r="R70" s="16">
        <v>0</v>
      </c>
    </row>
    <row r="71" spans="1:18" x14ac:dyDescent="0.25">
      <c r="A71" s="11" t="s">
        <v>204</v>
      </c>
      <c r="B71" s="17" t="s">
        <v>154</v>
      </c>
      <c r="C71" s="17" t="s">
        <v>154</v>
      </c>
      <c r="D71" s="18" t="s">
        <v>154</v>
      </c>
      <c r="E71" s="17" t="s">
        <v>154</v>
      </c>
      <c r="F71" s="18" t="s">
        <v>154</v>
      </c>
      <c r="G71" s="17" t="s">
        <v>154</v>
      </c>
      <c r="H71" s="18" t="s">
        <v>154</v>
      </c>
      <c r="I71" s="17" t="s">
        <v>154</v>
      </c>
      <c r="J71" s="18" t="s">
        <v>154</v>
      </c>
      <c r="K71" s="17" t="s">
        <v>154</v>
      </c>
      <c r="L71" s="18" t="s">
        <v>154</v>
      </c>
      <c r="M71" s="17" t="s">
        <v>154</v>
      </c>
      <c r="N71" s="18" t="s">
        <v>154</v>
      </c>
      <c r="O71" s="17" t="s">
        <v>154</v>
      </c>
      <c r="P71" s="18" t="s">
        <v>154</v>
      </c>
      <c r="Q71" s="17" t="s">
        <v>154</v>
      </c>
      <c r="R71" s="18" t="s">
        <v>154</v>
      </c>
    </row>
    <row r="72" spans="1:18" x14ac:dyDescent="0.25">
      <c r="A72" s="11" t="s">
        <v>205</v>
      </c>
      <c r="B72" s="13">
        <v>7708</v>
      </c>
      <c r="C72" s="14">
        <f>(6389/B72*100)</f>
        <v>82.887908666320712</v>
      </c>
      <c r="D72" s="15">
        <v>1319</v>
      </c>
      <c r="E72" s="14">
        <v>39.531298970000002</v>
      </c>
      <c r="F72" s="16">
        <v>1.37044404</v>
      </c>
      <c r="G72" s="14">
        <v>60.468701029999998</v>
      </c>
      <c r="H72" s="16">
        <v>1.37044404</v>
      </c>
      <c r="I72" s="14" t="s">
        <v>139</v>
      </c>
      <c r="J72" s="16" t="s">
        <v>139</v>
      </c>
      <c r="K72" s="14">
        <v>0</v>
      </c>
      <c r="L72" s="16">
        <v>0</v>
      </c>
      <c r="M72" s="14">
        <v>0</v>
      </c>
      <c r="N72" s="16">
        <v>0</v>
      </c>
      <c r="O72" s="14">
        <v>0</v>
      </c>
      <c r="P72" s="16">
        <v>0</v>
      </c>
      <c r="Q72" s="14">
        <v>0</v>
      </c>
      <c r="R72" s="16">
        <v>0</v>
      </c>
    </row>
    <row r="73" spans="1:18" x14ac:dyDescent="0.25">
      <c r="A73" s="11" t="s">
        <v>206</v>
      </c>
      <c r="B73" s="13">
        <v>8249</v>
      </c>
      <c r="C73" s="14">
        <f>(6879/B73*100)</f>
        <v>83.391926294096251</v>
      </c>
      <c r="D73" s="15">
        <v>1370</v>
      </c>
      <c r="E73" s="14">
        <v>43.866259589999999</v>
      </c>
      <c r="F73" s="16">
        <v>1.6661345299999999</v>
      </c>
      <c r="G73" s="14">
        <v>56.133740410000001</v>
      </c>
      <c r="H73" s="16">
        <v>1.6661345299999999</v>
      </c>
      <c r="I73" s="14" t="s">
        <v>139</v>
      </c>
      <c r="J73" s="16" t="s">
        <v>139</v>
      </c>
      <c r="K73" s="14">
        <v>0</v>
      </c>
      <c r="L73" s="16">
        <v>0</v>
      </c>
      <c r="M73" s="14">
        <v>0</v>
      </c>
      <c r="N73" s="16">
        <v>0</v>
      </c>
      <c r="O73" s="14">
        <v>0</v>
      </c>
      <c r="P73" s="16">
        <v>0</v>
      </c>
      <c r="Q73" s="14">
        <v>0</v>
      </c>
      <c r="R73" s="16">
        <v>0</v>
      </c>
    </row>
    <row r="74" spans="1:18" x14ac:dyDescent="0.25">
      <c r="A74" s="11" t="s">
        <v>207</v>
      </c>
      <c r="B74" s="17" t="s">
        <v>154</v>
      </c>
      <c r="C74" s="17" t="s">
        <v>154</v>
      </c>
      <c r="D74" s="18" t="s">
        <v>154</v>
      </c>
      <c r="E74" s="17" t="s">
        <v>154</v>
      </c>
      <c r="F74" s="18" t="s">
        <v>154</v>
      </c>
      <c r="G74" s="17" t="s">
        <v>154</v>
      </c>
      <c r="H74" s="18" t="s">
        <v>154</v>
      </c>
      <c r="I74" s="17" t="s">
        <v>154</v>
      </c>
      <c r="J74" s="18" t="s">
        <v>154</v>
      </c>
      <c r="K74" s="17" t="s">
        <v>154</v>
      </c>
      <c r="L74" s="18" t="s">
        <v>154</v>
      </c>
      <c r="M74" s="17" t="s">
        <v>154</v>
      </c>
      <c r="N74" s="18" t="s">
        <v>154</v>
      </c>
      <c r="O74" s="17" t="s">
        <v>154</v>
      </c>
      <c r="P74" s="18" t="s">
        <v>154</v>
      </c>
      <c r="Q74" s="17" t="s">
        <v>154</v>
      </c>
      <c r="R74" s="18" t="s">
        <v>154</v>
      </c>
    </row>
    <row r="75" spans="1:18" x14ac:dyDescent="0.25">
      <c r="A75" s="11" t="s">
        <v>208</v>
      </c>
      <c r="B75" s="13">
        <v>5375</v>
      </c>
      <c r="C75" s="14">
        <f>(4493/B75*100)</f>
        <v>83.590697674418607</v>
      </c>
      <c r="D75" s="15">
        <v>882</v>
      </c>
      <c r="E75" s="14">
        <v>73.220930159999995</v>
      </c>
      <c r="F75" s="16">
        <v>1.2888260899999999</v>
      </c>
      <c r="G75" s="14">
        <v>26.779069839999998</v>
      </c>
      <c r="H75" s="16">
        <v>1.2888260899999999</v>
      </c>
      <c r="I75" s="14" t="s">
        <v>139</v>
      </c>
      <c r="J75" s="16" t="s">
        <v>139</v>
      </c>
      <c r="K75" s="14">
        <v>0</v>
      </c>
      <c r="L75" s="16">
        <v>0</v>
      </c>
      <c r="M75" s="14">
        <v>0</v>
      </c>
      <c r="N75" s="16">
        <v>0</v>
      </c>
      <c r="O75" s="14">
        <v>0</v>
      </c>
      <c r="P75" s="16">
        <v>0</v>
      </c>
      <c r="Q75" s="14">
        <v>0</v>
      </c>
      <c r="R75" s="16">
        <v>0</v>
      </c>
    </row>
    <row r="76" spans="1:18" x14ac:dyDescent="0.25">
      <c r="A76" s="11" t="s">
        <v>209</v>
      </c>
      <c r="B76" s="13">
        <v>14167</v>
      </c>
      <c r="C76" s="14">
        <f>(11780/B76*100)</f>
        <v>83.150984682713343</v>
      </c>
      <c r="D76" s="15">
        <v>2387</v>
      </c>
      <c r="E76" s="14">
        <v>57.832482319999997</v>
      </c>
      <c r="F76" s="16">
        <v>1.24877686</v>
      </c>
      <c r="G76" s="14">
        <v>42.167517680000003</v>
      </c>
      <c r="H76" s="16">
        <v>1.24877686</v>
      </c>
      <c r="I76" s="14" t="s">
        <v>139</v>
      </c>
      <c r="J76" s="16" t="s">
        <v>139</v>
      </c>
      <c r="K76" s="14">
        <v>0</v>
      </c>
      <c r="L76" s="16">
        <v>0</v>
      </c>
      <c r="M76" s="14">
        <v>0</v>
      </c>
      <c r="N76" s="16">
        <v>0</v>
      </c>
      <c r="O76" s="14">
        <v>0</v>
      </c>
      <c r="P76" s="16">
        <v>0</v>
      </c>
      <c r="Q76" s="14">
        <v>0</v>
      </c>
      <c r="R76" s="16">
        <v>0</v>
      </c>
    </row>
    <row r="77" spans="1:18" x14ac:dyDescent="0.25">
      <c r="A77" s="11" t="s">
        <v>210</v>
      </c>
      <c r="B77" s="13">
        <v>6062</v>
      </c>
      <c r="C77" s="14">
        <f>(5004/B77*100)</f>
        <v>82.547014186737059</v>
      </c>
      <c r="D77" s="15">
        <v>1058</v>
      </c>
      <c r="E77" s="14">
        <v>61.518175800000002</v>
      </c>
      <c r="F77" s="16">
        <v>1.5717924299999999</v>
      </c>
      <c r="G77" s="14">
        <v>38.481824199999998</v>
      </c>
      <c r="H77" s="16">
        <v>1.5717924299999999</v>
      </c>
      <c r="I77" s="14" t="s">
        <v>139</v>
      </c>
      <c r="J77" s="16" t="s">
        <v>139</v>
      </c>
      <c r="K77" s="14">
        <v>0</v>
      </c>
      <c r="L77" s="16">
        <v>0</v>
      </c>
      <c r="M77" s="14">
        <v>0</v>
      </c>
      <c r="N77" s="16">
        <v>0</v>
      </c>
      <c r="O77" s="14">
        <v>0</v>
      </c>
      <c r="P77" s="16">
        <v>0</v>
      </c>
      <c r="Q77" s="14">
        <v>0</v>
      </c>
      <c r="R77" s="16">
        <v>0</v>
      </c>
    </row>
    <row r="78" spans="1:18" x14ac:dyDescent="0.25">
      <c r="A78" s="11" t="s">
        <v>211</v>
      </c>
      <c r="B78" s="17" t="s">
        <v>154</v>
      </c>
      <c r="C78" s="17" t="s">
        <v>154</v>
      </c>
      <c r="D78" s="18" t="s">
        <v>154</v>
      </c>
      <c r="E78" s="17" t="s">
        <v>154</v>
      </c>
      <c r="F78" s="18" t="s">
        <v>154</v>
      </c>
      <c r="G78" s="17" t="s">
        <v>154</v>
      </c>
      <c r="H78" s="18" t="s">
        <v>154</v>
      </c>
      <c r="I78" s="17" t="s">
        <v>154</v>
      </c>
      <c r="J78" s="18" t="s">
        <v>154</v>
      </c>
      <c r="K78" s="17" t="s">
        <v>154</v>
      </c>
      <c r="L78" s="18" t="s">
        <v>154</v>
      </c>
      <c r="M78" s="17" t="s">
        <v>154</v>
      </c>
      <c r="N78" s="18" t="s">
        <v>154</v>
      </c>
      <c r="O78" s="17" t="s">
        <v>154</v>
      </c>
      <c r="P78" s="18" t="s">
        <v>154</v>
      </c>
      <c r="Q78" s="17" t="s">
        <v>154</v>
      </c>
      <c r="R78" s="18" t="s">
        <v>154</v>
      </c>
    </row>
    <row r="79" spans="1:18" ht="24.95" customHeight="1" x14ac:dyDescent="0.25">
      <c r="A79" s="11" t="s">
        <v>212</v>
      </c>
      <c r="B79" s="17" t="s">
        <v>154</v>
      </c>
      <c r="C79" s="17" t="s">
        <v>154</v>
      </c>
      <c r="D79" s="18" t="s">
        <v>154</v>
      </c>
      <c r="E79" s="17" t="s">
        <v>154</v>
      </c>
      <c r="F79" s="18" t="s">
        <v>154</v>
      </c>
      <c r="G79" s="17" t="s">
        <v>154</v>
      </c>
      <c r="H79" s="18" t="s">
        <v>154</v>
      </c>
      <c r="I79" s="17" t="s">
        <v>154</v>
      </c>
      <c r="J79" s="18" t="s">
        <v>154</v>
      </c>
      <c r="K79" s="17" t="s">
        <v>154</v>
      </c>
      <c r="L79" s="18" t="s">
        <v>154</v>
      </c>
      <c r="M79" s="17" t="s">
        <v>154</v>
      </c>
      <c r="N79" s="18" t="s">
        <v>154</v>
      </c>
      <c r="O79" s="17" t="s">
        <v>154</v>
      </c>
      <c r="P79" s="18" t="s">
        <v>154</v>
      </c>
      <c r="Q79" s="17" t="s">
        <v>154</v>
      </c>
      <c r="R79" s="18" t="s">
        <v>154</v>
      </c>
    </row>
    <row r="80" spans="1:18" x14ac:dyDescent="0.25">
      <c r="A80" s="11" t="s">
        <v>213</v>
      </c>
      <c r="B80" s="17" t="s">
        <v>154</v>
      </c>
      <c r="C80" s="17" t="s">
        <v>154</v>
      </c>
      <c r="D80" s="18" t="s">
        <v>154</v>
      </c>
      <c r="E80" s="17" t="s">
        <v>154</v>
      </c>
      <c r="F80" s="18" t="s">
        <v>154</v>
      </c>
      <c r="G80" s="17" t="s">
        <v>154</v>
      </c>
      <c r="H80" s="18" t="s">
        <v>154</v>
      </c>
      <c r="I80" s="17" t="s">
        <v>154</v>
      </c>
      <c r="J80" s="18" t="s">
        <v>154</v>
      </c>
      <c r="K80" s="17" t="s">
        <v>154</v>
      </c>
      <c r="L80" s="18" t="s">
        <v>154</v>
      </c>
      <c r="M80" s="17" t="s">
        <v>154</v>
      </c>
      <c r="N80" s="18" t="s">
        <v>154</v>
      </c>
      <c r="O80" s="17" t="s">
        <v>154</v>
      </c>
      <c r="P80" s="18" t="s">
        <v>154</v>
      </c>
      <c r="Q80" s="17" t="s">
        <v>154</v>
      </c>
      <c r="R80" s="18" t="s">
        <v>154</v>
      </c>
    </row>
    <row r="81" spans="1:18" x14ac:dyDescent="0.25">
      <c r="A81" s="19" t="s">
        <v>214</v>
      </c>
      <c r="B81" s="13">
        <v>8861</v>
      </c>
      <c r="C81" s="14">
        <f>(7311/B81*100)</f>
        <v>82.507617650378066</v>
      </c>
      <c r="D81" s="15">
        <v>1550</v>
      </c>
      <c r="E81" s="14">
        <v>54.440473930000003</v>
      </c>
      <c r="F81" s="16">
        <v>1.6955072099999999</v>
      </c>
      <c r="G81" s="14">
        <v>45.559526069999997</v>
      </c>
      <c r="H81" s="16">
        <v>1.6955072099999999</v>
      </c>
      <c r="I81" s="14" t="s">
        <v>139</v>
      </c>
      <c r="J81" s="16" t="s">
        <v>139</v>
      </c>
      <c r="K81" s="14">
        <v>0</v>
      </c>
      <c r="L81" s="16">
        <v>0</v>
      </c>
      <c r="M81" s="14">
        <v>0</v>
      </c>
      <c r="N81" s="16">
        <v>0</v>
      </c>
      <c r="O81" s="14">
        <v>0</v>
      </c>
      <c r="P81" s="16">
        <v>0</v>
      </c>
      <c r="Q81" s="14">
        <v>0</v>
      </c>
      <c r="R81" s="16">
        <v>0</v>
      </c>
    </row>
    <row r="82" spans="1:18" x14ac:dyDescent="0.25">
      <c r="A82" s="20"/>
      <c r="B82" s="20" t="s">
        <v>215</v>
      </c>
      <c r="C82" s="20" t="s">
        <v>215</v>
      </c>
      <c r="D82" s="20" t="s">
        <v>215</v>
      </c>
      <c r="E82" s="20" t="s">
        <v>215</v>
      </c>
      <c r="F82" s="20" t="s">
        <v>215</v>
      </c>
      <c r="G82" s="20" t="s">
        <v>215</v>
      </c>
      <c r="H82" s="20" t="s">
        <v>215</v>
      </c>
      <c r="I82" s="20" t="s">
        <v>215</v>
      </c>
      <c r="J82" s="20" t="s">
        <v>215</v>
      </c>
      <c r="K82" s="20" t="s">
        <v>215</v>
      </c>
      <c r="L82" s="20" t="s">
        <v>215</v>
      </c>
      <c r="M82" s="20" t="s">
        <v>215</v>
      </c>
      <c r="N82" s="20" t="s">
        <v>215</v>
      </c>
      <c r="O82" s="20" t="s">
        <v>215</v>
      </c>
      <c r="P82" s="20" t="s">
        <v>215</v>
      </c>
      <c r="Q82" s="20" t="s">
        <v>215</v>
      </c>
      <c r="R82" s="20" t="s">
        <v>215</v>
      </c>
    </row>
    <row r="83" spans="1:18" x14ac:dyDescent="0.25">
      <c r="A83" s="3" t="s">
        <v>216</v>
      </c>
    </row>
    <row r="84" spans="1:18" x14ac:dyDescent="0.25">
      <c r="A84" s="22" t="s">
        <v>217</v>
      </c>
      <c r="B84" s="23"/>
      <c r="C84" s="23"/>
      <c r="D84" s="23"/>
      <c r="E84" s="23"/>
      <c r="F84" s="23"/>
      <c r="G84" s="23"/>
      <c r="H84" s="23"/>
      <c r="I84" s="23"/>
      <c r="J84" s="23"/>
      <c r="K84" s="23"/>
      <c r="L84" s="23"/>
      <c r="M84" s="23"/>
      <c r="N84" s="23"/>
      <c r="O84" s="23"/>
      <c r="P84" s="23"/>
      <c r="Q84" s="23"/>
      <c r="R84" s="23"/>
    </row>
    <row r="85" spans="1:18" x14ac:dyDescent="0.25">
      <c r="A85" s="22" t="s">
        <v>218</v>
      </c>
      <c r="B85" s="23"/>
      <c r="C85" s="23"/>
      <c r="D85" s="23"/>
      <c r="E85" s="23"/>
      <c r="F85" s="23"/>
      <c r="G85" s="23"/>
      <c r="H85" s="23"/>
      <c r="I85" s="23"/>
      <c r="J85" s="23"/>
      <c r="K85" s="23"/>
      <c r="L85" s="23"/>
      <c r="M85" s="23"/>
      <c r="N85" s="23"/>
      <c r="O85" s="23"/>
      <c r="P85" s="23"/>
      <c r="Q85" s="23"/>
      <c r="R85" s="23"/>
    </row>
    <row r="86" spans="1:18" ht="30" customHeight="1" x14ac:dyDescent="0.25">
      <c r="A86" s="22" t="s">
        <v>219</v>
      </c>
      <c r="B86" s="23"/>
      <c r="C86" s="23"/>
      <c r="D86" s="23"/>
      <c r="E86" s="23"/>
      <c r="F86" s="23"/>
      <c r="G86" s="23"/>
      <c r="H86" s="23"/>
      <c r="I86" s="23"/>
      <c r="J86" s="23"/>
      <c r="K86" s="23"/>
      <c r="L86" s="23"/>
      <c r="M86" s="23"/>
      <c r="N86" s="23"/>
      <c r="O86" s="23"/>
      <c r="P86" s="23"/>
      <c r="Q86" s="23"/>
      <c r="R86" s="23"/>
    </row>
    <row r="87" spans="1:18" ht="30" customHeight="1" x14ac:dyDescent="0.25">
      <c r="A87" s="22" t="s">
        <v>215</v>
      </c>
      <c r="B87" s="23"/>
      <c r="C87" s="23"/>
      <c r="D87" s="23"/>
      <c r="E87" s="23"/>
      <c r="F87" s="23"/>
      <c r="G87" s="23"/>
      <c r="H87" s="23"/>
      <c r="I87" s="23"/>
      <c r="J87" s="23"/>
      <c r="K87" s="23"/>
      <c r="L87" s="23"/>
      <c r="M87" s="23"/>
      <c r="N87" s="23"/>
      <c r="O87" s="23"/>
      <c r="P87" s="23"/>
      <c r="Q87" s="23"/>
      <c r="R87" s="23"/>
    </row>
    <row r="88" spans="1:18" ht="30" customHeight="1" x14ac:dyDescent="0.25">
      <c r="A88" s="22" t="s">
        <v>220</v>
      </c>
      <c r="B88" s="23"/>
      <c r="C88" s="23"/>
      <c r="D88" s="23"/>
      <c r="E88" s="23"/>
      <c r="F88" s="23"/>
      <c r="G88" s="23"/>
      <c r="H88" s="23"/>
      <c r="I88" s="23"/>
      <c r="J88" s="23"/>
      <c r="K88" s="23"/>
      <c r="L88" s="23"/>
      <c r="M88" s="23"/>
      <c r="N88" s="23"/>
      <c r="O88" s="23"/>
      <c r="P88" s="23"/>
      <c r="Q88" s="23"/>
      <c r="R88" s="23"/>
    </row>
    <row r="89" spans="1:18" ht="30" customHeight="1" x14ac:dyDescent="0.25">
      <c r="A89" s="22" t="s">
        <v>221</v>
      </c>
      <c r="B89" s="23"/>
      <c r="C89" s="23"/>
      <c r="D89" s="23"/>
      <c r="E89" s="23"/>
      <c r="F89" s="23"/>
      <c r="G89" s="23"/>
      <c r="H89" s="23"/>
      <c r="I89" s="23"/>
      <c r="J89" s="23"/>
      <c r="K89" s="23"/>
      <c r="L89" s="23"/>
      <c r="M89" s="23"/>
      <c r="N89" s="23"/>
      <c r="O89" s="23"/>
      <c r="P89" s="23"/>
      <c r="Q89" s="23"/>
      <c r="R89" s="23"/>
    </row>
    <row r="90" spans="1:18" ht="30" customHeight="1" x14ac:dyDescent="0.25">
      <c r="A90" s="22" t="s">
        <v>222</v>
      </c>
      <c r="B90" s="23"/>
      <c r="C90" s="23"/>
      <c r="D90" s="23"/>
      <c r="E90" s="23"/>
      <c r="F90" s="23"/>
      <c r="G90" s="23"/>
      <c r="H90" s="23"/>
      <c r="I90" s="23"/>
      <c r="J90" s="23"/>
      <c r="K90" s="23"/>
      <c r="L90" s="23"/>
      <c r="M90" s="23"/>
      <c r="N90" s="23"/>
      <c r="O90" s="23"/>
      <c r="P90" s="23"/>
      <c r="Q90" s="23"/>
      <c r="R90" s="23"/>
    </row>
    <row r="91" spans="1:18" ht="30" customHeight="1" x14ac:dyDescent="0.25">
      <c r="A91" s="22" t="s">
        <v>223</v>
      </c>
      <c r="B91" s="23"/>
      <c r="C91" s="23"/>
      <c r="D91" s="23"/>
      <c r="E91" s="23"/>
      <c r="F91" s="23"/>
      <c r="G91" s="23"/>
      <c r="H91" s="23"/>
      <c r="I91" s="23"/>
      <c r="J91" s="23"/>
      <c r="K91" s="23"/>
      <c r="L91" s="23"/>
      <c r="M91" s="23"/>
      <c r="N91" s="23"/>
      <c r="O91" s="23"/>
      <c r="P91" s="23"/>
      <c r="Q91" s="23"/>
      <c r="R91" s="23"/>
    </row>
    <row r="92" spans="1:18" ht="30" customHeight="1" x14ac:dyDescent="0.25">
      <c r="A92" s="22" t="s">
        <v>224</v>
      </c>
      <c r="B92" s="23"/>
      <c r="C92" s="23"/>
      <c r="D92" s="23"/>
      <c r="E92" s="23"/>
      <c r="F92" s="23"/>
      <c r="G92" s="23"/>
      <c r="H92" s="23"/>
      <c r="I92" s="23"/>
      <c r="J92" s="23"/>
      <c r="K92" s="23"/>
      <c r="L92" s="23"/>
      <c r="M92" s="23"/>
      <c r="N92" s="23"/>
      <c r="O92" s="23"/>
      <c r="P92" s="23"/>
      <c r="Q92" s="23"/>
      <c r="R92" s="23"/>
    </row>
    <row r="93" spans="1:18" ht="30" customHeight="1" x14ac:dyDescent="0.25">
      <c r="A93" s="22" t="s">
        <v>225</v>
      </c>
      <c r="B93" s="23"/>
      <c r="C93" s="23"/>
      <c r="D93" s="23"/>
      <c r="E93" s="23"/>
      <c r="F93" s="23"/>
      <c r="G93" s="23"/>
      <c r="H93" s="23"/>
      <c r="I93" s="23"/>
      <c r="J93" s="23"/>
      <c r="K93" s="23"/>
      <c r="L93" s="23"/>
      <c r="M93" s="23"/>
      <c r="N93" s="23"/>
      <c r="O93" s="23"/>
      <c r="P93" s="23"/>
      <c r="Q93" s="23"/>
      <c r="R93" s="23"/>
    </row>
    <row r="94" spans="1:18" ht="30" customHeight="1" x14ac:dyDescent="0.25">
      <c r="A94" s="22" t="s">
        <v>226</v>
      </c>
      <c r="B94" s="23"/>
      <c r="C94" s="23"/>
      <c r="D94" s="23"/>
      <c r="E94" s="23"/>
      <c r="F94" s="23"/>
      <c r="G94" s="23"/>
      <c r="H94" s="23"/>
      <c r="I94" s="23"/>
      <c r="J94" s="23"/>
      <c r="K94" s="23"/>
      <c r="L94" s="23"/>
      <c r="M94" s="23"/>
      <c r="N94" s="23"/>
      <c r="O94" s="23"/>
      <c r="P94" s="23"/>
      <c r="Q94" s="23"/>
      <c r="R94" s="23"/>
    </row>
    <row r="95" spans="1:18" ht="30" customHeight="1" x14ac:dyDescent="0.25">
      <c r="A95" s="22" t="s">
        <v>227</v>
      </c>
      <c r="B95" s="23"/>
      <c r="C95" s="23"/>
      <c r="D95" s="23"/>
      <c r="E95" s="23"/>
      <c r="F95" s="23"/>
      <c r="G95" s="23"/>
      <c r="H95" s="23"/>
      <c r="I95" s="23"/>
      <c r="J95" s="23"/>
      <c r="K95" s="23"/>
      <c r="L95" s="23"/>
      <c r="M95" s="23"/>
      <c r="N95" s="23"/>
      <c r="O95" s="23"/>
      <c r="P95" s="23"/>
      <c r="Q95" s="23"/>
      <c r="R95" s="23"/>
    </row>
    <row r="96" spans="1:18" ht="30" customHeight="1" x14ac:dyDescent="0.25">
      <c r="A96" s="22" t="s">
        <v>228</v>
      </c>
      <c r="B96" s="23"/>
      <c r="C96" s="23"/>
      <c r="D96" s="23"/>
      <c r="E96" s="23"/>
      <c r="F96" s="23"/>
      <c r="G96" s="23"/>
      <c r="H96" s="23"/>
      <c r="I96" s="23"/>
      <c r="J96" s="23"/>
      <c r="K96" s="23"/>
      <c r="L96" s="23"/>
      <c r="M96" s="23"/>
      <c r="N96" s="23"/>
      <c r="O96" s="23"/>
      <c r="P96" s="23"/>
      <c r="Q96" s="23"/>
      <c r="R96" s="23"/>
    </row>
  </sheetData>
  <mergeCells count="22">
    <mergeCell ref="O4:P4"/>
    <mergeCell ref="Q4:R4"/>
    <mergeCell ref="A1:R1"/>
    <mergeCell ref="A2:R2"/>
    <mergeCell ref="A84:R84"/>
    <mergeCell ref="E4:F4"/>
    <mergeCell ref="G4:H4"/>
    <mergeCell ref="I4:J4"/>
    <mergeCell ref="K4:L4"/>
    <mergeCell ref="M4:N4"/>
    <mergeCell ref="A85:R85"/>
    <mergeCell ref="A86:R86"/>
    <mergeCell ref="A87:R87"/>
    <mergeCell ref="A88:R88"/>
    <mergeCell ref="A89:R89"/>
    <mergeCell ref="A95:R95"/>
    <mergeCell ref="A96:R96"/>
    <mergeCell ref="A90:R90"/>
    <mergeCell ref="A91:R91"/>
    <mergeCell ref="A92:R92"/>
    <mergeCell ref="A93:R93"/>
    <mergeCell ref="A94:R94"/>
  </mergeCells>
  <pageMargins left="0.75" right="0.75" top="1" bottom="1"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dimension ref="A1:R96"/>
  <sheetViews>
    <sheetView zoomScale="80" workbookViewId="0">
      <pane xSplit="4" topLeftCell="E1" activePane="topRight" state="frozen"/>
      <selection sqref="A1:R1"/>
      <selection pane="topRight" sqref="A1:R1"/>
    </sheetView>
  </sheetViews>
  <sheetFormatPr defaultColWidth="11.42578125" defaultRowHeight="15" x14ac:dyDescent="0.25"/>
  <cols>
    <col min="1" max="1" width="50" customWidth="1"/>
  </cols>
  <sheetData>
    <row r="1" spans="1:18" x14ac:dyDescent="0.25">
      <c r="A1" s="26" t="s">
        <v>122</v>
      </c>
      <c r="B1" s="23"/>
      <c r="C1" s="23"/>
      <c r="D1" s="23"/>
      <c r="E1" s="23"/>
      <c r="F1" s="23"/>
      <c r="G1" s="23"/>
      <c r="H1" s="23"/>
      <c r="I1" s="23"/>
      <c r="J1" s="23"/>
      <c r="K1" s="23"/>
      <c r="L1" s="23"/>
      <c r="M1" s="23"/>
      <c r="N1" s="23"/>
      <c r="O1" s="23"/>
      <c r="P1" s="23"/>
      <c r="Q1" s="23"/>
      <c r="R1" s="23"/>
    </row>
    <row r="2" spans="1:18" x14ac:dyDescent="0.25">
      <c r="A2" s="27" t="s">
        <v>248</v>
      </c>
      <c r="B2" s="23"/>
      <c r="C2" s="23"/>
      <c r="D2" s="23"/>
      <c r="E2" s="23"/>
      <c r="F2" s="23"/>
      <c r="G2" s="23"/>
      <c r="H2" s="23"/>
      <c r="I2" s="23"/>
      <c r="J2" s="23"/>
      <c r="K2" s="23"/>
      <c r="L2" s="23"/>
      <c r="M2" s="23"/>
      <c r="N2" s="23"/>
      <c r="O2" s="23"/>
      <c r="P2" s="23"/>
      <c r="Q2" s="23"/>
      <c r="R2" s="23"/>
    </row>
    <row r="4" spans="1:18" ht="30" customHeight="1" x14ac:dyDescent="0.25">
      <c r="A4" s="4"/>
      <c r="B4" s="5" t="s">
        <v>123</v>
      </c>
      <c r="C4" s="5" t="s">
        <v>124</v>
      </c>
      <c r="D4" s="6" t="s">
        <v>123</v>
      </c>
      <c r="E4" s="24" t="s">
        <v>125</v>
      </c>
      <c r="F4" s="25"/>
      <c r="G4" s="24" t="s">
        <v>126</v>
      </c>
      <c r="H4" s="25"/>
      <c r="I4" s="24" t="s">
        <v>127</v>
      </c>
      <c r="J4" s="25"/>
      <c r="K4" s="24" t="s">
        <v>128</v>
      </c>
      <c r="L4" s="25"/>
      <c r="M4" s="24" t="s">
        <v>129</v>
      </c>
      <c r="N4" s="25"/>
      <c r="O4" s="24" t="s">
        <v>130</v>
      </c>
      <c r="P4" s="25"/>
      <c r="Q4" s="24" t="s">
        <v>131</v>
      </c>
      <c r="R4" s="25"/>
    </row>
    <row r="5" spans="1:18" x14ac:dyDescent="0.25">
      <c r="A5" s="7"/>
      <c r="B5" s="8" t="s">
        <v>132</v>
      </c>
      <c r="C5" s="8" t="s">
        <v>133</v>
      </c>
      <c r="D5" s="7" t="s">
        <v>134</v>
      </c>
      <c r="E5" s="8" t="s">
        <v>135</v>
      </c>
      <c r="F5" s="7" t="s">
        <v>136</v>
      </c>
      <c r="G5" s="8" t="s">
        <v>135</v>
      </c>
      <c r="H5" s="7" t="s">
        <v>136</v>
      </c>
      <c r="I5" s="8" t="s">
        <v>135</v>
      </c>
      <c r="J5" s="7" t="s">
        <v>136</v>
      </c>
      <c r="K5" s="8" t="s">
        <v>135</v>
      </c>
      <c r="L5" s="7" t="s">
        <v>136</v>
      </c>
      <c r="M5" s="8" t="s">
        <v>135</v>
      </c>
      <c r="N5" s="7" t="s">
        <v>136</v>
      </c>
      <c r="O5" s="8" t="s">
        <v>135</v>
      </c>
      <c r="P5" s="7" t="s">
        <v>136</v>
      </c>
      <c r="Q5" s="8" t="s">
        <v>135</v>
      </c>
      <c r="R5" s="7" t="s">
        <v>136</v>
      </c>
    </row>
    <row r="6" spans="1:18" x14ac:dyDescent="0.25">
      <c r="A6" s="9" t="s">
        <v>137</v>
      </c>
      <c r="B6" s="10"/>
      <c r="C6" s="10"/>
      <c r="D6" s="11"/>
      <c r="E6" s="10"/>
      <c r="F6" s="11"/>
      <c r="G6" s="10"/>
      <c r="H6" s="11"/>
      <c r="I6" s="10"/>
      <c r="J6" s="11"/>
      <c r="K6" s="10"/>
      <c r="L6" s="11"/>
      <c r="M6" s="10"/>
      <c r="N6" s="11"/>
      <c r="O6" s="10"/>
      <c r="P6" s="11"/>
      <c r="Q6" s="10"/>
      <c r="R6" s="12"/>
    </row>
    <row r="7" spans="1:18" x14ac:dyDescent="0.25">
      <c r="A7" s="11" t="s">
        <v>138</v>
      </c>
      <c r="B7" s="13">
        <v>14530</v>
      </c>
      <c r="C7" s="14">
        <f>(12075/B7*100)</f>
        <v>83.10392291810048</v>
      </c>
      <c r="D7" s="15">
        <v>2455</v>
      </c>
      <c r="E7" s="14">
        <v>46.55654285</v>
      </c>
      <c r="F7" s="16">
        <v>1.0638622900000001</v>
      </c>
      <c r="G7" s="14">
        <v>53.44345715</v>
      </c>
      <c r="H7" s="16">
        <v>1.0638622900000001</v>
      </c>
      <c r="I7" s="14" t="s">
        <v>139</v>
      </c>
      <c r="J7" s="16" t="s">
        <v>139</v>
      </c>
      <c r="K7" s="14">
        <v>0</v>
      </c>
      <c r="L7" s="16">
        <v>0</v>
      </c>
      <c r="M7" s="14">
        <v>0</v>
      </c>
      <c r="N7" s="16">
        <v>0</v>
      </c>
      <c r="O7" s="14">
        <v>0</v>
      </c>
      <c r="P7" s="16">
        <v>0</v>
      </c>
      <c r="Q7" s="14">
        <v>0</v>
      </c>
      <c r="R7" s="16">
        <v>0</v>
      </c>
    </row>
    <row r="8" spans="1:18" x14ac:dyDescent="0.25">
      <c r="A8" s="11" t="s">
        <v>140</v>
      </c>
      <c r="B8" s="13">
        <v>7007</v>
      </c>
      <c r="C8" s="14">
        <f>(5792/B8*100)</f>
        <v>82.660196945911238</v>
      </c>
      <c r="D8" s="15">
        <v>1215</v>
      </c>
      <c r="E8" s="14">
        <v>50.421237650000002</v>
      </c>
      <c r="F8" s="16">
        <v>1.5224647099999999</v>
      </c>
      <c r="G8" s="14">
        <v>49.578762349999998</v>
      </c>
      <c r="H8" s="16">
        <v>1.5224647099999999</v>
      </c>
      <c r="I8" s="14" t="s">
        <v>139</v>
      </c>
      <c r="J8" s="16" t="s">
        <v>139</v>
      </c>
      <c r="K8" s="14">
        <v>0</v>
      </c>
      <c r="L8" s="16">
        <v>0</v>
      </c>
      <c r="M8" s="14">
        <v>0</v>
      </c>
      <c r="N8" s="16">
        <v>0</v>
      </c>
      <c r="O8" s="14">
        <v>0</v>
      </c>
      <c r="P8" s="16">
        <v>0</v>
      </c>
      <c r="Q8" s="14">
        <v>0</v>
      </c>
      <c r="R8" s="16">
        <v>0</v>
      </c>
    </row>
    <row r="9" spans="1:18" x14ac:dyDescent="0.25">
      <c r="A9" s="11" t="s">
        <v>141</v>
      </c>
      <c r="B9" s="13">
        <v>9651</v>
      </c>
      <c r="C9" s="14">
        <f>(8043/B9*100)</f>
        <v>83.338514143612059</v>
      </c>
      <c r="D9" s="15">
        <v>1608</v>
      </c>
      <c r="E9" s="14">
        <v>58.333730520000003</v>
      </c>
      <c r="F9" s="16">
        <v>1.2527208700000001</v>
      </c>
      <c r="G9" s="14">
        <v>41.666269479999997</v>
      </c>
      <c r="H9" s="16">
        <v>1.2527208700000001</v>
      </c>
      <c r="I9" s="14" t="s">
        <v>139</v>
      </c>
      <c r="J9" s="16" t="s">
        <v>139</v>
      </c>
      <c r="K9" s="14">
        <v>0</v>
      </c>
      <c r="L9" s="16">
        <v>0</v>
      </c>
      <c r="M9" s="14">
        <v>0</v>
      </c>
      <c r="N9" s="16">
        <v>0</v>
      </c>
      <c r="O9" s="14">
        <v>0</v>
      </c>
      <c r="P9" s="16">
        <v>0</v>
      </c>
      <c r="Q9" s="14">
        <v>0</v>
      </c>
      <c r="R9" s="16">
        <v>0</v>
      </c>
    </row>
    <row r="10" spans="1:18" x14ac:dyDescent="0.25">
      <c r="A10" s="11" t="s">
        <v>142</v>
      </c>
      <c r="B10" s="13">
        <v>20058</v>
      </c>
      <c r="C10" s="14">
        <f>(16595/B10*100)</f>
        <v>82.735068301924414</v>
      </c>
      <c r="D10" s="15">
        <v>3463</v>
      </c>
      <c r="E10" s="14">
        <v>49.587797289999997</v>
      </c>
      <c r="F10" s="16">
        <v>1.30188894</v>
      </c>
      <c r="G10" s="14">
        <v>50.412202710000003</v>
      </c>
      <c r="H10" s="16">
        <v>1.30188894</v>
      </c>
      <c r="I10" s="14" t="s">
        <v>139</v>
      </c>
      <c r="J10" s="16" t="s">
        <v>139</v>
      </c>
      <c r="K10" s="14">
        <v>0</v>
      </c>
      <c r="L10" s="16">
        <v>0</v>
      </c>
      <c r="M10" s="14">
        <v>0</v>
      </c>
      <c r="N10" s="16">
        <v>0</v>
      </c>
      <c r="O10" s="14">
        <v>0</v>
      </c>
      <c r="P10" s="16">
        <v>0</v>
      </c>
      <c r="Q10" s="14">
        <v>0</v>
      </c>
      <c r="R10" s="16">
        <v>0</v>
      </c>
    </row>
    <row r="11" spans="1:18" x14ac:dyDescent="0.25">
      <c r="A11" s="11" t="s">
        <v>143</v>
      </c>
      <c r="B11" s="13">
        <v>7053</v>
      </c>
      <c r="C11" s="14">
        <f>(5838/B11*100)</f>
        <v>82.773287962569114</v>
      </c>
      <c r="D11" s="15">
        <v>1215</v>
      </c>
      <c r="E11" s="14">
        <v>65.121647749999994</v>
      </c>
      <c r="F11" s="16">
        <v>1.5241207299999999</v>
      </c>
      <c r="G11" s="14">
        <v>34.878352249999999</v>
      </c>
      <c r="H11" s="16">
        <v>1.5241207299999999</v>
      </c>
      <c r="I11" s="14" t="s">
        <v>139</v>
      </c>
      <c r="J11" s="16" t="s">
        <v>139</v>
      </c>
      <c r="K11" s="14">
        <v>0</v>
      </c>
      <c r="L11" s="16">
        <v>0</v>
      </c>
      <c r="M11" s="14">
        <v>0</v>
      </c>
      <c r="N11" s="16">
        <v>0</v>
      </c>
      <c r="O11" s="14">
        <v>0</v>
      </c>
      <c r="P11" s="16">
        <v>0</v>
      </c>
      <c r="Q11" s="14">
        <v>0</v>
      </c>
      <c r="R11" s="16">
        <v>0</v>
      </c>
    </row>
    <row r="12" spans="1:18" x14ac:dyDescent="0.25">
      <c r="A12" s="11" t="s">
        <v>144</v>
      </c>
      <c r="B12" s="13">
        <v>6894</v>
      </c>
      <c r="C12" s="14">
        <f>(5718/B12*100)</f>
        <v>82.941688424717142</v>
      </c>
      <c r="D12" s="15">
        <v>1176</v>
      </c>
      <c r="E12" s="14">
        <v>0</v>
      </c>
      <c r="F12" s="16">
        <v>0</v>
      </c>
      <c r="G12" s="14">
        <v>0</v>
      </c>
      <c r="H12" s="16">
        <v>0</v>
      </c>
      <c r="I12" s="14" t="s">
        <v>139</v>
      </c>
      <c r="J12" s="16" t="s">
        <v>139</v>
      </c>
      <c r="K12" s="14">
        <v>0</v>
      </c>
      <c r="L12" s="16">
        <v>0</v>
      </c>
      <c r="M12" s="14">
        <v>100</v>
      </c>
      <c r="N12" s="16">
        <v>0</v>
      </c>
      <c r="O12" s="14">
        <v>0</v>
      </c>
      <c r="P12" s="16">
        <v>0</v>
      </c>
      <c r="Q12" s="14">
        <v>0</v>
      </c>
      <c r="R12" s="16">
        <v>0</v>
      </c>
    </row>
    <row r="13" spans="1:18" x14ac:dyDescent="0.25">
      <c r="A13" s="11" t="s">
        <v>145</v>
      </c>
      <c r="B13" s="13">
        <v>7161</v>
      </c>
      <c r="C13" s="14">
        <f>(5997/B13*100)</f>
        <v>83.745286971093421</v>
      </c>
      <c r="D13" s="15">
        <v>1164</v>
      </c>
      <c r="E13" s="14">
        <v>58.705194149999997</v>
      </c>
      <c r="F13" s="16">
        <v>1.70545613</v>
      </c>
      <c r="G13" s="14">
        <v>41.294805850000003</v>
      </c>
      <c r="H13" s="16">
        <v>1.70545613</v>
      </c>
      <c r="I13" s="14" t="s">
        <v>139</v>
      </c>
      <c r="J13" s="16" t="s">
        <v>139</v>
      </c>
      <c r="K13" s="14">
        <v>0</v>
      </c>
      <c r="L13" s="16">
        <v>0</v>
      </c>
      <c r="M13" s="14">
        <v>0</v>
      </c>
      <c r="N13" s="16">
        <v>0</v>
      </c>
      <c r="O13" s="14">
        <v>0</v>
      </c>
      <c r="P13" s="16">
        <v>0</v>
      </c>
      <c r="Q13" s="14">
        <v>0</v>
      </c>
      <c r="R13" s="16">
        <v>0</v>
      </c>
    </row>
    <row r="14" spans="1:18" x14ac:dyDescent="0.25">
      <c r="A14" s="11" t="s">
        <v>146</v>
      </c>
      <c r="B14" s="13">
        <v>5587</v>
      </c>
      <c r="C14" s="14">
        <f>(4630/B14*100)</f>
        <v>82.870950420619295</v>
      </c>
      <c r="D14" s="15">
        <v>957</v>
      </c>
      <c r="E14" s="14">
        <v>59.143269279999998</v>
      </c>
      <c r="F14" s="16">
        <v>1.55345716</v>
      </c>
      <c r="G14" s="14">
        <v>40.856730720000002</v>
      </c>
      <c r="H14" s="16">
        <v>1.55345716</v>
      </c>
      <c r="I14" s="14" t="s">
        <v>139</v>
      </c>
      <c r="J14" s="16" t="s">
        <v>139</v>
      </c>
      <c r="K14" s="14">
        <v>0</v>
      </c>
      <c r="L14" s="16">
        <v>0</v>
      </c>
      <c r="M14" s="14">
        <v>0</v>
      </c>
      <c r="N14" s="16">
        <v>0</v>
      </c>
      <c r="O14" s="14">
        <v>0</v>
      </c>
      <c r="P14" s="16">
        <v>0</v>
      </c>
      <c r="Q14" s="14">
        <v>0</v>
      </c>
      <c r="R14" s="16">
        <v>0</v>
      </c>
    </row>
    <row r="15" spans="1:18" x14ac:dyDescent="0.25">
      <c r="A15" s="11" t="s">
        <v>147</v>
      </c>
      <c r="B15" s="13">
        <v>5882</v>
      </c>
      <c r="C15" s="14">
        <f>(4904/B15*100)</f>
        <v>83.373002380142808</v>
      </c>
      <c r="D15" s="15">
        <v>978</v>
      </c>
      <c r="E15" s="14">
        <v>44.026041210000002</v>
      </c>
      <c r="F15" s="16">
        <v>1.58406519</v>
      </c>
      <c r="G15" s="14">
        <v>55.973958789999998</v>
      </c>
      <c r="H15" s="16">
        <v>1.58406519</v>
      </c>
      <c r="I15" s="14" t="s">
        <v>139</v>
      </c>
      <c r="J15" s="16" t="s">
        <v>139</v>
      </c>
      <c r="K15" s="14">
        <v>0</v>
      </c>
      <c r="L15" s="16">
        <v>0</v>
      </c>
      <c r="M15" s="14">
        <v>0</v>
      </c>
      <c r="N15" s="16">
        <v>0</v>
      </c>
      <c r="O15" s="14">
        <v>0</v>
      </c>
      <c r="P15" s="16">
        <v>0</v>
      </c>
      <c r="Q15" s="14">
        <v>0</v>
      </c>
      <c r="R15" s="16">
        <v>0</v>
      </c>
    </row>
    <row r="16" spans="1:18" x14ac:dyDescent="0.25">
      <c r="A16" s="11" t="s">
        <v>148</v>
      </c>
      <c r="B16" s="13">
        <v>6108</v>
      </c>
      <c r="C16" s="14">
        <f>(5050/B16*100)</f>
        <v>82.678454485920099</v>
      </c>
      <c r="D16" s="15">
        <v>1058</v>
      </c>
      <c r="E16" s="14">
        <v>57.69404368</v>
      </c>
      <c r="F16" s="16">
        <v>1.63233205</v>
      </c>
      <c r="G16" s="14">
        <v>42.30595632</v>
      </c>
      <c r="H16" s="16">
        <v>1.63233205</v>
      </c>
      <c r="I16" s="14" t="s">
        <v>139</v>
      </c>
      <c r="J16" s="16" t="s">
        <v>139</v>
      </c>
      <c r="K16" s="14">
        <v>0</v>
      </c>
      <c r="L16" s="16">
        <v>0</v>
      </c>
      <c r="M16" s="14">
        <v>0</v>
      </c>
      <c r="N16" s="16">
        <v>0</v>
      </c>
      <c r="O16" s="14">
        <v>0</v>
      </c>
      <c r="P16" s="16">
        <v>0</v>
      </c>
      <c r="Q16" s="14">
        <v>0</v>
      </c>
      <c r="R16" s="16">
        <v>0</v>
      </c>
    </row>
    <row r="17" spans="1:18" x14ac:dyDescent="0.25">
      <c r="A17" s="11" t="s">
        <v>149</v>
      </c>
      <c r="B17" s="13">
        <v>6504</v>
      </c>
      <c r="C17" s="14">
        <f>(5409/B17*100)</f>
        <v>83.164206642066418</v>
      </c>
      <c r="D17" s="15">
        <v>1095</v>
      </c>
      <c r="E17" s="14">
        <v>43.736681769999997</v>
      </c>
      <c r="F17" s="16">
        <v>1.53509418</v>
      </c>
      <c r="G17" s="14">
        <v>56.263318230000003</v>
      </c>
      <c r="H17" s="16">
        <v>1.53509418</v>
      </c>
      <c r="I17" s="14" t="s">
        <v>139</v>
      </c>
      <c r="J17" s="16" t="s">
        <v>139</v>
      </c>
      <c r="K17" s="14">
        <v>0</v>
      </c>
      <c r="L17" s="16">
        <v>0</v>
      </c>
      <c r="M17" s="14">
        <v>0</v>
      </c>
      <c r="N17" s="16">
        <v>0</v>
      </c>
      <c r="O17" s="14">
        <v>0</v>
      </c>
      <c r="P17" s="16">
        <v>0</v>
      </c>
      <c r="Q17" s="14">
        <v>0</v>
      </c>
      <c r="R17" s="16">
        <v>0</v>
      </c>
    </row>
    <row r="18" spans="1:18" x14ac:dyDescent="0.25">
      <c r="A18" s="11" t="s">
        <v>150</v>
      </c>
      <c r="B18" s="13">
        <v>5532</v>
      </c>
      <c r="C18" s="14">
        <f>(4565/B18*100)</f>
        <v>82.519884309472161</v>
      </c>
      <c r="D18" s="15">
        <v>967</v>
      </c>
      <c r="E18" s="14">
        <v>58.671518020000001</v>
      </c>
      <c r="F18" s="16">
        <v>1.5530059899999999</v>
      </c>
      <c r="G18" s="14">
        <v>41.328481979999999</v>
      </c>
      <c r="H18" s="16">
        <v>1.5530059899999999</v>
      </c>
      <c r="I18" s="14" t="s">
        <v>139</v>
      </c>
      <c r="J18" s="16" t="s">
        <v>139</v>
      </c>
      <c r="K18" s="14">
        <v>0</v>
      </c>
      <c r="L18" s="16">
        <v>0</v>
      </c>
      <c r="M18" s="14">
        <v>0</v>
      </c>
      <c r="N18" s="16">
        <v>0</v>
      </c>
      <c r="O18" s="14">
        <v>0</v>
      </c>
      <c r="P18" s="16">
        <v>0</v>
      </c>
      <c r="Q18" s="14">
        <v>0</v>
      </c>
      <c r="R18" s="16">
        <v>0</v>
      </c>
    </row>
    <row r="19" spans="1:18" x14ac:dyDescent="0.25">
      <c r="A19" s="11" t="s">
        <v>151</v>
      </c>
      <c r="B19" s="13">
        <v>5658</v>
      </c>
      <c r="C19" s="14">
        <f>(4699/B19*100)</f>
        <v>83.050547896783314</v>
      </c>
      <c r="D19" s="15">
        <v>959</v>
      </c>
      <c r="E19" s="14">
        <v>55.260186609999998</v>
      </c>
      <c r="F19" s="16">
        <v>1.9268659800000001</v>
      </c>
      <c r="G19" s="14">
        <v>44.739813390000002</v>
      </c>
      <c r="H19" s="16">
        <v>1.9268659800000001</v>
      </c>
      <c r="I19" s="14" t="s">
        <v>139</v>
      </c>
      <c r="J19" s="16" t="s">
        <v>139</v>
      </c>
      <c r="K19" s="14">
        <v>0</v>
      </c>
      <c r="L19" s="16">
        <v>0</v>
      </c>
      <c r="M19" s="14">
        <v>0</v>
      </c>
      <c r="N19" s="16">
        <v>0</v>
      </c>
      <c r="O19" s="14">
        <v>0</v>
      </c>
      <c r="P19" s="16">
        <v>0</v>
      </c>
      <c r="Q19" s="14">
        <v>0</v>
      </c>
      <c r="R19" s="16">
        <v>0</v>
      </c>
    </row>
    <row r="20" spans="1:18" x14ac:dyDescent="0.25">
      <c r="A20" s="11" t="s">
        <v>152</v>
      </c>
      <c r="B20" s="13">
        <v>3371</v>
      </c>
      <c r="C20" s="14">
        <f>(2790/B20*100)</f>
        <v>82.764758231978647</v>
      </c>
      <c r="D20" s="15">
        <v>581</v>
      </c>
      <c r="E20" s="14">
        <v>58.249140650000001</v>
      </c>
      <c r="F20" s="16">
        <v>1.5702634900000001</v>
      </c>
      <c r="G20" s="14">
        <v>41.750859349999999</v>
      </c>
      <c r="H20" s="16">
        <v>1.5702634900000001</v>
      </c>
      <c r="I20" s="14" t="s">
        <v>139</v>
      </c>
      <c r="J20" s="16" t="s">
        <v>139</v>
      </c>
      <c r="K20" s="14">
        <v>0</v>
      </c>
      <c r="L20" s="16">
        <v>0</v>
      </c>
      <c r="M20" s="14">
        <v>0</v>
      </c>
      <c r="N20" s="16">
        <v>0</v>
      </c>
      <c r="O20" s="14">
        <v>0</v>
      </c>
      <c r="P20" s="16">
        <v>0</v>
      </c>
      <c r="Q20" s="14">
        <v>0</v>
      </c>
      <c r="R20" s="16">
        <v>0</v>
      </c>
    </row>
    <row r="21" spans="1:18" x14ac:dyDescent="0.25">
      <c r="A21" s="11" t="s">
        <v>153</v>
      </c>
      <c r="B21" s="17" t="s">
        <v>154</v>
      </c>
      <c r="C21" s="17" t="s">
        <v>154</v>
      </c>
      <c r="D21" s="18" t="s">
        <v>154</v>
      </c>
      <c r="E21" s="17" t="s">
        <v>154</v>
      </c>
      <c r="F21" s="18" t="s">
        <v>154</v>
      </c>
      <c r="G21" s="17" t="s">
        <v>154</v>
      </c>
      <c r="H21" s="18" t="s">
        <v>154</v>
      </c>
      <c r="I21" s="17" t="s">
        <v>154</v>
      </c>
      <c r="J21" s="18" t="s">
        <v>154</v>
      </c>
      <c r="K21" s="17" t="s">
        <v>154</v>
      </c>
      <c r="L21" s="18" t="s">
        <v>154</v>
      </c>
      <c r="M21" s="17" t="s">
        <v>154</v>
      </c>
      <c r="N21" s="18" t="s">
        <v>154</v>
      </c>
      <c r="O21" s="17" t="s">
        <v>154</v>
      </c>
      <c r="P21" s="18" t="s">
        <v>154</v>
      </c>
      <c r="Q21" s="17" t="s">
        <v>154</v>
      </c>
      <c r="R21" s="18" t="s">
        <v>154</v>
      </c>
    </row>
    <row r="22" spans="1:18" x14ac:dyDescent="0.25">
      <c r="A22" s="11" t="s">
        <v>155</v>
      </c>
      <c r="B22" s="13">
        <v>6598</v>
      </c>
      <c r="C22" s="14">
        <f>(5565/B22*100)</f>
        <v>84.343740527432558</v>
      </c>
      <c r="D22" s="15">
        <v>1033</v>
      </c>
      <c r="E22" s="14">
        <v>61.666320050000003</v>
      </c>
      <c r="F22" s="16">
        <v>1.69504576</v>
      </c>
      <c r="G22" s="14">
        <v>38.333679949999997</v>
      </c>
      <c r="H22" s="16">
        <v>1.69504576</v>
      </c>
      <c r="I22" s="14" t="s">
        <v>139</v>
      </c>
      <c r="J22" s="16" t="s">
        <v>139</v>
      </c>
      <c r="K22" s="14">
        <v>0</v>
      </c>
      <c r="L22" s="16">
        <v>0</v>
      </c>
      <c r="M22" s="14">
        <v>0</v>
      </c>
      <c r="N22" s="16">
        <v>0</v>
      </c>
      <c r="O22" s="14">
        <v>0</v>
      </c>
      <c r="P22" s="16">
        <v>0</v>
      </c>
      <c r="Q22" s="14">
        <v>0</v>
      </c>
      <c r="R22" s="16">
        <v>0</v>
      </c>
    </row>
    <row r="23" spans="1:18" x14ac:dyDescent="0.25">
      <c r="A23" s="11" t="s">
        <v>156</v>
      </c>
      <c r="B23" s="13">
        <v>11583</v>
      </c>
      <c r="C23" s="14">
        <f>(9605/B23*100)</f>
        <v>82.923249589916253</v>
      </c>
      <c r="D23" s="15">
        <v>1978</v>
      </c>
      <c r="E23" s="14">
        <v>57.956189070000001</v>
      </c>
      <c r="F23" s="16">
        <v>1.5653689</v>
      </c>
      <c r="G23" s="14">
        <v>42.043810929999999</v>
      </c>
      <c r="H23" s="16">
        <v>1.5653689</v>
      </c>
      <c r="I23" s="14" t="s">
        <v>139</v>
      </c>
      <c r="J23" s="16" t="s">
        <v>139</v>
      </c>
      <c r="K23" s="14">
        <v>0</v>
      </c>
      <c r="L23" s="16">
        <v>0</v>
      </c>
      <c r="M23" s="14">
        <v>0</v>
      </c>
      <c r="N23" s="16">
        <v>0</v>
      </c>
      <c r="O23" s="14">
        <v>0</v>
      </c>
      <c r="P23" s="16">
        <v>0</v>
      </c>
      <c r="Q23" s="14">
        <v>0</v>
      </c>
      <c r="R23" s="16">
        <v>0</v>
      </c>
    </row>
    <row r="24" spans="1:18" x14ac:dyDescent="0.25">
      <c r="A24" s="11" t="s">
        <v>157</v>
      </c>
      <c r="B24" s="13">
        <v>6647</v>
      </c>
      <c r="C24" s="14">
        <f>(5489/B24*100)</f>
        <v>82.578606890326469</v>
      </c>
      <c r="D24" s="15">
        <v>1158</v>
      </c>
      <c r="E24" s="14">
        <v>37.584227679999998</v>
      </c>
      <c r="F24" s="16">
        <v>1.35766001</v>
      </c>
      <c r="G24" s="14">
        <v>62.415772320000002</v>
      </c>
      <c r="H24" s="16">
        <v>1.35766001</v>
      </c>
      <c r="I24" s="14" t="s">
        <v>139</v>
      </c>
      <c r="J24" s="16" t="s">
        <v>139</v>
      </c>
      <c r="K24" s="14">
        <v>0</v>
      </c>
      <c r="L24" s="16">
        <v>0</v>
      </c>
      <c r="M24" s="14">
        <v>0</v>
      </c>
      <c r="N24" s="16">
        <v>0</v>
      </c>
      <c r="O24" s="14">
        <v>0</v>
      </c>
      <c r="P24" s="16">
        <v>0</v>
      </c>
      <c r="Q24" s="14">
        <v>0</v>
      </c>
      <c r="R24" s="16">
        <v>0</v>
      </c>
    </row>
    <row r="25" spans="1:18" x14ac:dyDescent="0.25">
      <c r="A25" s="11" t="s">
        <v>158</v>
      </c>
      <c r="B25" s="13">
        <v>5581</v>
      </c>
      <c r="C25" s="14">
        <f>(4616/B25*100)</f>
        <v>82.709191901092993</v>
      </c>
      <c r="D25" s="15">
        <v>965</v>
      </c>
      <c r="E25" s="14">
        <v>30.17088098</v>
      </c>
      <c r="F25" s="16">
        <v>1.4837070299999999</v>
      </c>
      <c r="G25" s="14">
        <v>69.829119019999993</v>
      </c>
      <c r="H25" s="16">
        <v>1.4837070299999999</v>
      </c>
      <c r="I25" s="14" t="s">
        <v>139</v>
      </c>
      <c r="J25" s="16" t="s">
        <v>139</v>
      </c>
      <c r="K25" s="14">
        <v>0</v>
      </c>
      <c r="L25" s="16">
        <v>0</v>
      </c>
      <c r="M25" s="14">
        <v>0</v>
      </c>
      <c r="N25" s="16">
        <v>0</v>
      </c>
      <c r="O25" s="14">
        <v>0</v>
      </c>
      <c r="P25" s="16">
        <v>0</v>
      </c>
      <c r="Q25" s="14">
        <v>0</v>
      </c>
      <c r="R25" s="16">
        <v>0</v>
      </c>
    </row>
    <row r="26" spans="1:18" x14ac:dyDescent="0.25">
      <c r="A26" s="11" t="s">
        <v>159</v>
      </c>
      <c r="B26" s="13">
        <v>4869</v>
      </c>
      <c r="C26" s="14">
        <f>(4009/B26*100)</f>
        <v>82.337235571986028</v>
      </c>
      <c r="D26" s="15">
        <v>860</v>
      </c>
      <c r="E26" s="14">
        <v>55.101486729999998</v>
      </c>
      <c r="F26" s="16">
        <v>1.45118635</v>
      </c>
      <c r="G26" s="14">
        <v>44.898513270000002</v>
      </c>
      <c r="H26" s="16">
        <v>1.45118635</v>
      </c>
      <c r="I26" s="14" t="s">
        <v>139</v>
      </c>
      <c r="J26" s="16" t="s">
        <v>139</v>
      </c>
      <c r="K26" s="14">
        <v>0</v>
      </c>
      <c r="L26" s="16">
        <v>0</v>
      </c>
      <c r="M26" s="14">
        <v>0</v>
      </c>
      <c r="N26" s="16">
        <v>0</v>
      </c>
      <c r="O26" s="14">
        <v>0</v>
      </c>
      <c r="P26" s="16">
        <v>0</v>
      </c>
      <c r="Q26" s="14">
        <v>0</v>
      </c>
      <c r="R26" s="16">
        <v>0</v>
      </c>
    </row>
    <row r="27" spans="1:18" x14ac:dyDescent="0.25">
      <c r="A27" s="11" t="s">
        <v>160</v>
      </c>
      <c r="B27" s="13">
        <v>5299</v>
      </c>
      <c r="C27" s="14">
        <f>(4381/B27*100)</f>
        <v>82.675976599358364</v>
      </c>
      <c r="D27" s="15">
        <v>918</v>
      </c>
      <c r="E27" s="14">
        <v>51.534307810000001</v>
      </c>
      <c r="F27" s="16">
        <v>1.7065534200000001</v>
      </c>
      <c r="G27" s="14">
        <v>48.465692189999999</v>
      </c>
      <c r="H27" s="16">
        <v>1.7065534200000001</v>
      </c>
      <c r="I27" s="14" t="s">
        <v>139</v>
      </c>
      <c r="J27" s="16" t="s">
        <v>139</v>
      </c>
      <c r="K27" s="14">
        <v>0</v>
      </c>
      <c r="L27" s="16">
        <v>0</v>
      </c>
      <c r="M27" s="14">
        <v>0</v>
      </c>
      <c r="N27" s="16">
        <v>0</v>
      </c>
      <c r="O27" s="14">
        <v>0</v>
      </c>
      <c r="P27" s="16">
        <v>0</v>
      </c>
      <c r="Q27" s="14">
        <v>0</v>
      </c>
      <c r="R27" s="16">
        <v>0</v>
      </c>
    </row>
    <row r="28" spans="1:18" x14ac:dyDescent="0.25">
      <c r="A28" s="11" t="s">
        <v>161</v>
      </c>
      <c r="B28" s="13">
        <v>7568</v>
      </c>
      <c r="C28" s="14">
        <f>(6328/B28*100)</f>
        <v>83.61522198731501</v>
      </c>
      <c r="D28" s="15">
        <v>1240</v>
      </c>
      <c r="E28" s="14">
        <v>62.580569300000001</v>
      </c>
      <c r="F28" s="16">
        <v>1.55655075</v>
      </c>
      <c r="G28" s="14">
        <v>37.419430699999999</v>
      </c>
      <c r="H28" s="16">
        <v>1.55655075</v>
      </c>
      <c r="I28" s="14" t="s">
        <v>139</v>
      </c>
      <c r="J28" s="16" t="s">
        <v>139</v>
      </c>
      <c r="K28" s="14">
        <v>0</v>
      </c>
      <c r="L28" s="16">
        <v>0</v>
      </c>
      <c r="M28" s="14">
        <v>0</v>
      </c>
      <c r="N28" s="16">
        <v>0</v>
      </c>
      <c r="O28" s="14">
        <v>0</v>
      </c>
      <c r="P28" s="16">
        <v>0</v>
      </c>
      <c r="Q28" s="14">
        <v>0</v>
      </c>
      <c r="R28" s="16">
        <v>0</v>
      </c>
    </row>
    <row r="29" spans="1:18" x14ac:dyDescent="0.25">
      <c r="A29" s="11" t="s">
        <v>162</v>
      </c>
      <c r="B29" s="13">
        <v>5385</v>
      </c>
      <c r="C29" s="14">
        <f>(4470/B29*100)</f>
        <v>83.008356545961007</v>
      </c>
      <c r="D29" s="15">
        <v>915</v>
      </c>
      <c r="E29" s="14">
        <v>57.033290219999998</v>
      </c>
      <c r="F29" s="16">
        <v>1.4989167800000001</v>
      </c>
      <c r="G29" s="14">
        <v>42.966709780000002</v>
      </c>
      <c r="H29" s="16">
        <v>1.4989167800000001</v>
      </c>
      <c r="I29" s="14" t="s">
        <v>139</v>
      </c>
      <c r="J29" s="16" t="s">
        <v>139</v>
      </c>
      <c r="K29" s="14">
        <v>0</v>
      </c>
      <c r="L29" s="16">
        <v>0</v>
      </c>
      <c r="M29" s="14">
        <v>0</v>
      </c>
      <c r="N29" s="16">
        <v>0</v>
      </c>
      <c r="O29" s="14">
        <v>0</v>
      </c>
      <c r="P29" s="16">
        <v>0</v>
      </c>
      <c r="Q29" s="14">
        <v>0</v>
      </c>
      <c r="R29" s="16">
        <v>0</v>
      </c>
    </row>
    <row r="30" spans="1:18" x14ac:dyDescent="0.25">
      <c r="A30" s="11" t="s">
        <v>163</v>
      </c>
      <c r="B30" s="13">
        <v>4520</v>
      </c>
      <c r="C30" s="14">
        <f>(3747/B30*100)</f>
        <v>82.898230088495566</v>
      </c>
      <c r="D30" s="15">
        <v>773</v>
      </c>
      <c r="E30" s="14">
        <v>44.27226134</v>
      </c>
      <c r="F30" s="16">
        <v>1.76910481</v>
      </c>
      <c r="G30" s="14">
        <v>55.72773866</v>
      </c>
      <c r="H30" s="16">
        <v>1.76910481</v>
      </c>
      <c r="I30" s="14" t="s">
        <v>139</v>
      </c>
      <c r="J30" s="16" t="s">
        <v>139</v>
      </c>
      <c r="K30" s="14">
        <v>0</v>
      </c>
      <c r="L30" s="16">
        <v>0</v>
      </c>
      <c r="M30" s="14">
        <v>0</v>
      </c>
      <c r="N30" s="16">
        <v>0</v>
      </c>
      <c r="O30" s="14">
        <v>0</v>
      </c>
      <c r="P30" s="16">
        <v>0</v>
      </c>
      <c r="Q30" s="14">
        <v>0</v>
      </c>
      <c r="R30" s="16">
        <v>0</v>
      </c>
    </row>
    <row r="31" spans="1:18" x14ac:dyDescent="0.25">
      <c r="A31" s="11" t="s">
        <v>164</v>
      </c>
      <c r="B31" s="13">
        <v>5456</v>
      </c>
      <c r="C31" s="14">
        <f>(4535/B31*100)</f>
        <v>83.119501466275665</v>
      </c>
      <c r="D31" s="15">
        <v>921</v>
      </c>
      <c r="E31" s="14">
        <v>57.564132870000002</v>
      </c>
      <c r="F31" s="16">
        <v>1.57675553</v>
      </c>
      <c r="G31" s="14">
        <v>42.435867129999998</v>
      </c>
      <c r="H31" s="16">
        <v>1.57675553</v>
      </c>
      <c r="I31" s="14" t="s">
        <v>139</v>
      </c>
      <c r="J31" s="16" t="s">
        <v>139</v>
      </c>
      <c r="K31" s="14">
        <v>0</v>
      </c>
      <c r="L31" s="16">
        <v>0</v>
      </c>
      <c r="M31" s="14">
        <v>0</v>
      </c>
      <c r="N31" s="16">
        <v>0</v>
      </c>
      <c r="O31" s="14">
        <v>0</v>
      </c>
      <c r="P31" s="16">
        <v>0</v>
      </c>
      <c r="Q31" s="14">
        <v>0</v>
      </c>
      <c r="R31" s="16">
        <v>0</v>
      </c>
    </row>
    <row r="32" spans="1:18" x14ac:dyDescent="0.25">
      <c r="A32" s="11" t="s">
        <v>165</v>
      </c>
      <c r="B32" s="17" t="s">
        <v>154</v>
      </c>
      <c r="C32" s="17" t="s">
        <v>154</v>
      </c>
      <c r="D32" s="18" t="s">
        <v>154</v>
      </c>
      <c r="E32" s="17" t="s">
        <v>154</v>
      </c>
      <c r="F32" s="18" t="s">
        <v>154</v>
      </c>
      <c r="G32" s="17" t="s">
        <v>154</v>
      </c>
      <c r="H32" s="18" t="s">
        <v>154</v>
      </c>
      <c r="I32" s="17" t="s">
        <v>154</v>
      </c>
      <c r="J32" s="18" t="s">
        <v>154</v>
      </c>
      <c r="K32" s="17" t="s">
        <v>154</v>
      </c>
      <c r="L32" s="18" t="s">
        <v>154</v>
      </c>
      <c r="M32" s="17" t="s">
        <v>154</v>
      </c>
      <c r="N32" s="18" t="s">
        <v>154</v>
      </c>
      <c r="O32" s="17" t="s">
        <v>154</v>
      </c>
      <c r="P32" s="18" t="s">
        <v>154</v>
      </c>
      <c r="Q32" s="17" t="s">
        <v>154</v>
      </c>
      <c r="R32" s="18" t="s">
        <v>154</v>
      </c>
    </row>
    <row r="33" spans="1:18" x14ac:dyDescent="0.25">
      <c r="A33" s="11" t="s">
        <v>166</v>
      </c>
      <c r="B33" s="13">
        <v>7325</v>
      </c>
      <c r="C33" s="14">
        <f>(6101/B33*100)</f>
        <v>83.290102389078498</v>
      </c>
      <c r="D33" s="15">
        <v>1224</v>
      </c>
      <c r="E33" s="14">
        <v>59.295700660000001</v>
      </c>
      <c r="F33" s="16">
        <v>1.8378426800000001</v>
      </c>
      <c r="G33" s="14">
        <v>40.704299339999999</v>
      </c>
      <c r="H33" s="16">
        <v>1.8378426800000001</v>
      </c>
      <c r="I33" s="14" t="s">
        <v>139</v>
      </c>
      <c r="J33" s="16" t="s">
        <v>139</v>
      </c>
      <c r="K33" s="14">
        <v>0</v>
      </c>
      <c r="L33" s="16">
        <v>0</v>
      </c>
      <c r="M33" s="14">
        <v>0</v>
      </c>
      <c r="N33" s="16">
        <v>0</v>
      </c>
      <c r="O33" s="14">
        <v>0</v>
      </c>
      <c r="P33" s="16">
        <v>0</v>
      </c>
      <c r="Q33" s="14">
        <v>0</v>
      </c>
      <c r="R33" s="16">
        <v>0</v>
      </c>
    </row>
    <row r="34" spans="1:18" x14ac:dyDescent="0.25">
      <c r="A34" s="11" t="s">
        <v>167</v>
      </c>
      <c r="B34" s="13">
        <v>6350</v>
      </c>
      <c r="C34" s="14">
        <f>(5284/B34*100)</f>
        <v>83.212598425196845</v>
      </c>
      <c r="D34" s="15">
        <v>1066</v>
      </c>
      <c r="E34" s="14">
        <v>62.906433800000002</v>
      </c>
      <c r="F34" s="16">
        <v>1.6907034599999999</v>
      </c>
      <c r="G34" s="14">
        <v>37.093566199999998</v>
      </c>
      <c r="H34" s="16">
        <v>1.6907034599999999</v>
      </c>
      <c r="I34" s="14" t="s">
        <v>139</v>
      </c>
      <c r="J34" s="16" t="s">
        <v>139</v>
      </c>
      <c r="K34" s="14">
        <v>0</v>
      </c>
      <c r="L34" s="16">
        <v>0</v>
      </c>
      <c r="M34" s="14">
        <v>0</v>
      </c>
      <c r="N34" s="16">
        <v>0</v>
      </c>
      <c r="O34" s="14">
        <v>0</v>
      </c>
      <c r="P34" s="16">
        <v>0</v>
      </c>
      <c r="Q34" s="14">
        <v>0</v>
      </c>
      <c r="R34" s="16">
        <v>0</v>
      </c>
    </row>
    <row r="35" spans="1:18" x14ac:dyDescent="0.25">
      <c r="A35" s="11" t="s">
        <v>168</v>
      </c>
      <c r="B35" s="13">
        <v>6406</v>
      </c>
      <c r="C35" s="14">
        <f>(5299/B35*100)</f>
        <v>82.719325632219793</v>
      </c>
      <c r="D35" s="15">
        <v>1107</v>
      </c>
      <c r="E35" s="14">
        <v>46.7229776</v>
      </c>
      <c r="F35" s="16">
        <v>1.6755047700000001</v>
      </c>
      <c r="G35" s="14">
        <v>53.2770224</v>
      </c>
      <c r="H35" s="16">
        <v>1.6755047700000001</v>
      </c>
      <c r="I35" s="14" t="s">
        <v>139</v>
      </c>
      <c r="J35" s="16" t="s">
        <v>139</v>
      </c>
      <c r="K35" s="14">
        <v>0</v>
      </c>
      <c r="L35" s="16">
        <v>0</v>
      </c>
      <c r="M35" s="14">
        <v>0</v>
      </c>
      <c r="N35" s="16">
        <v>0</v>
      </c>
      <c r="O35" s="14">
        <v>0</v>
      </c>
      <c r="P35" s="16">
        <v>0</v>
      </c>
      <c r="Q35" s="14">
        <v>0</v>
      </c>
      <c r="R35" s="16">
        <v>0</v>
      </c>
    </row>
    <row r="36" spans="1:18" x14ac:dyDescent="0.25">
      <c r="A36" s="11" t="s">
        <v>169</v>
      </c>
      <c r="B36" s="13">
        <v>6736</v>
      </c>
      <c r="C36" s="14">
        <f>(5580/B36*100)</f>
        <v>82.838479809976249</v>
      </c>
      <c r="D36" s="15">
        <v>1156</v>
      </c>
      <c r="E36" s="14">
        <v>61.524546729999997</v>
      </c>
      <c r="F36" s="16">
        <v>1.51376372</v>
      </c>
      <c r="G36" s="14">
        <v>38.475453270000003</v>
      </c>
      <c r="H36" s="16">
        <v>1.51376372</v>
      </c>
      <c r="I36" s="14" t="s">
        <v>139</v>
      </c>
      <c r="J36" s="16" t="s">
        <v>139</v>
      </c>
      <c r="K36" s="14">
        <v>0</v>
      </c>
      <c r="L36" s="16">
        <v>0</v>
      </c>
      <c r="M36" s="14">
        <v>0</v>
      </c>
      <c r="N36" s="16">
        <v>0</v>
      </c>
      <c r="O36" s="14">
        <v>0</v>
      </c>
      <c r="P36" s="16">
        <v>0</v>
      </c>
      <c r="Q36" s="14">
        <v>0</v>
      </c>
      <c r="R36" s="16">
        <v>0</v>
      </c>
    </row>
    <row r="37" spans="1:18" x14ac:dyDescent="0.25">
      <c r="A37" s="11" t="s">
        <v>170</v>
      </c>
      <c r="B37" s="13">
        <v>5458</v>
      </c>
      <c r="C37" s="14">
        <f>(4558/B37*100)</f>
        <v>83.510443385855623</v>
      </c>
      <c r="D37" s="15">
        <v>900</v>
      </c>
      <c r="E37" s="14">
        <v>59.82832363</v>
      </c>
      <c r="F37" s="16">
        <v>1.657621</v>
      </c>
      <c r="G37" s="14">
        <v>40.17167637</v>
      </c>
      <c r="H37" s="16">
        <v>1.657621</v>
      </c>
      <c r="I37" s="14" t="s">
        <v>139</v>
      </c>
      <c r="J37" s="16" t="s">
        <v>139</v>
      </c>
      <c r="K37" s="14">
        <v>0</v>
      </c>
      <c r="L37" s="16">
        <v>0</v>
      </c>
      <c r="M37" s="14">
        <v>0</v>
      </c>
      <c r="N37" s="16">
        <v>0</v>
      </c>
      <c r="O37" s="14">
        <v>0</v>
      </c>
      <c r="P37" s="16">
        <v>0</v>
      </c>
      <c r="Q37" s="14">
        <v>0</v>
      </c>
      <c r="R37" s="16">
        <v>0</v>
      </c>
    </row>
    <row r="38" spans="1:18" x14ac:dyDescent="0.25">
      <c r="A38" s="11" t="s">
        <v>171</v>
      </c>
      <c r="B38" s="17" t="s">
        <v>154</v>
      </c>
      <c r="C38" s="17" t="s">
        <v>154</v>
      </c>
      <c r="D38" s="18" t="s">
        <v>154</v>
      </c>
      <c r="E38" s="17" t="s">
        <v>154</v>
      </c>
      <c r="F38" s="18" t="s">
        <v>154</v>
      </c>
      <c r="G38" s="17" t="s">
        <v>154</v>
      </c>
      <c r="H38" s="18" t="s">
        <v>154</v>
      </c>
      <c r="I38" s="17" t="s">
        <v>154</v>
      </c>
      <c r="J38" s="18" t="s">
        <v>154</v>
      </c>
      <c r="K38" s="17" t="s">
        <v>154</v>
      </c>
      <c r="L38" s="18" t="s">
        <v>154</v>
      </c>
      <c r="M38" s="17" t="s">
        <v>154</v>
      </c>
      <c r="N38" s="18" t="s">
        <v>154</v>
      </c>
      <c r="O38" s="17" t="s">
        <v>154</v>
      </c>
      <c r="P38" s="18" t="s">
        <v>154</v>
      </c>
      <c r="Q38" s="17" t="s">
        <v>154</v>
      </c>
      <c r="R38" s="18" t="s">
        <v>154</v>
      </c>
    </row>
    <row r="39" spans="1:18" x14ac:dyDescent="0.25">
      <c r="A39" s="11" t="s">
        <v>172</v>
      </c>
      <c r="B39" s="13">
        <v>5895</v>
      </c>
      <c r="C39" s="14">
        <f>(4870/B39*100)</f>
        <v>82.612383375742155</v>
      </c>
      <c r="D39" s="15">
        <v>1025</v>
      </c>
      <c r="E39" s="14">
        <v>52.559732760000003</v>
      </c>
      <c r="F39" s="16">
        <v>1.6512182399999999</v>
      </c>
      <c r="G39" s="14">
        <v>47.440267239999997</v>
      </c>
      <c r="H39" s="16">
        <v>1.6512182399999999</v>
      </c>
      <c r="I39" s="14" t="s">
        <v>139</v>
      </c>
      <c r="J39" s="16" t="s">
        <v>139</v>
      </c>
      <c r="K39" s="14">
        <v>0</v>
      </c>
      <c r="L39" s="16">
        <v>0</v>
      </c>
      <c r="M39" s="14">
        <v>0</v>
      </c>
      <c r="N39" s="16">
        <v>0</v>
      </c>
      <c r="O39" s="14">
        <v>0</v>
      </c>
      <c r="P39" s="16">
        <v>0</v>
      </c>
      <c r="Q39" s="14">
        <v>0</v>
      </c>
      <c r="R39" s="16">
        <v>0</v>
      </c>
    </row>
    <row r="40" spans="1:18" x14ac:dyDescent="0.25">
      <c r="A40" s="11" t="s">
        <v>173</v>
      </c>
      <c r="B40" s="13">
        <v>14157</v>
      </c>
      <c r="C40" s="14">
        <f>(11633/B40*100)</f>
        <v>82.17136398954581</v>
      </c>
      <c r="D40" s="15">
        <v>2524</v>
      </c>
      <c r="E40" s="14">
        <v>50.277346940000001</v>
      </c>
      <c r="F40" s="16">
        <v>1.46397585</v>
      </c>
      <c r="G40" s="14">
        <v>49.722653059999999</v>
      </c>
      <c r="H40" s="16">
        <v>1.46397585</v>
      </c>
      <c r="I40" s="14" t="s">
        <v>139</v>
      </c>
      <c r="J40" s="16" t="s">
        <v>139</v>
      </c>
      <c r="K40" s="14">
        <v>0</v>
      </c>
      <c r="L40" s="16">
        <v>0</v>
      </c>
      <c r="M40" s="14">
        <v>0</v>
      </c>
      <c r="N40" s="16">
        <v>0</v>
      </c>
      <c r="O40" s="14">
        <v>0</v>
      </c>
      <c r="P40" s="16">
        <v>0</v>
      </c>
      <c r="Q40" s="14">
        <v>0</v>
      </c>
      <c r="R40" s="16">
        <v>0</v>
      </c>
    </row>
    <row r="41" spans="1:18" x14ac:dyDescent="0.25">
      <c r="A41" s="11" t="s">
        <v>174</v>
      </c>
      <c r="B41" s="13">
        <v>5712</v>
      </c>
      <c r="C41" s="14">
        <f>(4759/B41*100)</f>
        <v>83.315826330532218</v>
      </c>
      <c r="D41" s="15">
        <v>953</v>
      </c>
      <c r="E41" s="14">
        <v>51.241578699999998</v>
      </c>
      <c r="F41" s="16">
        <v>1.5873556200000001</v>
      </c>
      <c r="G41" s="14">
        <v>48.758421300000002</v>
      </c>
      <c r="H41" s="16">
        <v>1.5873556200000001</v>
      </c>
      <c r="I41" s="14" t="s">
        <v>139</v>
      </c>
      <c r="J41" s="16" t="s">
        <v>139</v>
      </c>
      <c r="K41" s="14">
        <v>0</v>
      </c>
      <c r="L41" s="16">
        <v>0</v>
      </c>
      <c r="M41" s="14">
        <v>0</v>
      </c>
      <c r="N41" s="16">
        <v>0</v>
      </c>
      <c r="O41" s="14">
        <v>0</v>
      </c>
      <c r="P41" s="16">
        <v>0</v>
      </c>
      <c r="Q41" s="14">
        <v>0</v>
      </c>
      <c r="R41" s="16">
        <v>0</v>
      </c>
    </row>
    <row r="42" spans="1:18" x14ac:dyDescent="0.25">
      <c r="A42" s="11" t="s">
        <v>175</v>
      </c>
      <c r="B42" s="13">
        <f>IF(COUNT(B7:B41) &gt; 0, AVERAGE(B7:B41), "\u2014")</f>
        <v>7266.90625</v>
      </c>
      <c r="C42" s="14">
        <f>IF(COUNT(C7:C41) &gt; 0, AVERAGE(C7:C41), "—")</f>
        <v>82.987487641913049</v>
      </c>
      <c r="D42" s="15">
        <f>IF(COUNT(D7:D41) &gt; 0, AVERAGE(D7:D41), "—")</f>
        <v>1237.71875</v>
      </c>
      <c r="E42" s="14">
        <f>IF(COUNT(E7:E41) &gt; 0, AVERAGE(E7:E41), "—")</f>
        <v>52.041479321875009</v>
      </c>
      <c r="F42" s="16">
        <f>IF(COUNT(F7:F41) &gt; 0, SQRT(SUMSQ(F7:F41)/(COUNT(F7:F41)*COUNT(F7:F41)) ), "—")</f>
        <v>0.27354617509165086</v>
      </c>
      <c r="G42" s="14">
        <f>IF(COUNT(G7:G41) &gt; 0, AVERAGE(G7:G41), "—")</f>
        <v>44.833520678125005</v>
      </c>
      <c r="H42" s="16">
        <f>IF(COUNT(H7:H41) &gt; 0, SQRT(SUMSQ(H7:H41)/(COUNT(H7:H41)*COUNT(H7:H41)) ), "—")</f>
        <v>0.27354617509165086</v>
      </c>
      <c r="I42" s="14" t="str">
        <f>IF(COUNT(I7:I41) &gt; 0, AVERAGE(I7:I41), "—")</f>
        <v>—</v>
      </c>
      <c r="J42" s="16" t="str">
        <f>IF(COUNT(J7:J41) &gt; 0, SQRT(SUMSQ(J7:J41)/(COUNT(J7:J41)*COUNT(J7:J41)) ), "—")</f>
        <v>—</v>
      </c>
      <c r="K42" s="14">
        <f>IF(COUNT(K7:K41) &gt; 0, AVERAGE(K7:K41), "—")</f>
        <v>0</v>
      </c>
      <c r="L42" s="16">
        <f>IF(COUNT(L7:L41) &gt; 0, SQRT(SUMSQ(L7:L41)/(COUNT(L7:L41)*COUNT(L7:L41)) ), "—")</f>
        <v>0</v>
      </c>
      <c r="M42" s="14">
        <f>IF(COUNT(M7:M41) &gt; 0, AVERAGE(M7:M41), "—")</f>
        <v>3.125</v>
      </c>
      <c r="N42" s="16">
        <f>IF(COUNT(N7:N41) &gt; 0, SQRT(SUMSQ(N7:N41)/(COUNT(N7:N41)*COUNT(N7:N41)) ), "—")</f>
        <v>0</v>
      </c>
      <c r="O42" s="14">
        <f>IF(COUNT(O7:O41) &gt; 0, AVERAGE(O7:O41), "—")</f>
        <v>0</v>
      </c>
      <c r="P42" s="16">
        <f>IF(COUNT(P7:P41) &gt; 0, SQRT(SUMSQ(P7:P41)/(COUNT(P7:P41)*COUNT(P7:P41)) ), "—")</f>
        <v>0</v>
      </c>
      <c r="Q42" s="14">
        <f>IF(COUNT(Q7:Q41) &gt; 0, AVERAGE(Q7:Q41), "—")</f>
        <v>0</v>
      </c>
      <c r="R42" s="16">
        <f>IF(COUNT(R7:R41) &gt; 0, SQRT(SUMSQ(R7:R41)/(COUNT(R7:R41)*COUNT(R7:R41)) ), "—")</f>
        <v>0</v>
      </c>
    </row>
    <row r="43" spans="1:18" x14ac:dyDescent="0.25">
      <c r="A43" s="9" t="s">
        <v>176</v>
      </c>
      <c r="B43" s="10"/>
      <c r="C43" s="10"/>
      <c r="D43" s="11"/>
      <c r="E43" s="10"/>
      <c r="F43" s="11"/>
      <c r="G43" s="10"/>
      <c r="H43" s="11"/>
      <c r="I43" s="10"/>
      <c r="J43" s="11"/>
      <c r="K43" s="10"/>
      <c r="L43" s="11"/>
      <c r="M43" s="10"/>
      <c r="N43" s="11"/>
      <c r="O43" s="10"/>
      <c r="P43" s="11"/>
      <c r="Q43" s="10"/>
      <c r="R43" s="12"/>
    </row>
    <row r="44" spans="1:18" x14ac:dyDescent="0.25">
      <c r="A44" s="11" t="s">
        <v>177</v>
      </c>
      <c r="B44" s="17" t="s">
        <v>154</v>
      </c>
      <c r="C44" s="17" t="s">
        <v>154</v>
      </c>
      <c r="D44" s="18" t="s">
        <v>154</v>
      </c>
      <c r="E44" s="17" t="s">
        <v>154</v>
      </c>
      <c r="F44" s="18" t="s">
        <v>154</v>
      </c>
      <c r="G44" s="17" t="s">
        <v>154</v>
      </c>
      <c r="H44" s="18" t="s">
        <v>154</v>
      </c>
      <c r="I44" s="17" t="s">
        <v>154</v>
      </c>
      <c r="J44" s="18" t="s">
        <v>154</v>
      </c>
      <c r="K44" s="17" t="s">
        <v>154</v>
      </c>
      <c r="L44" s="18" t="s">
        <v>154</v>
      </c>
      <c r="M44" s="17" t="s">
        <v>154</v>
      </c>
      <c r="N44" s="18" t="s">
        <v>154</v>
      </c>
      <c r="O44" s="17" t="s">
        <v>154</v>
      </c>
      <c r="P44" s="18" t="s">
        <v>154</v>
      </c>
      <c r="Q44" s="17" t="s">
        <v>154</v>
      </c>
      <c r="R44" s="18" t="s">
        <v>154</v>
      </c>
    </row>
    <row r="45" spans="1:18" x14ac:dyDescent="0.25">
      <c r="A45" s="11" t="s">
        <v>178</v>
      </c>
      <c r="B45" s="17" t="s">
        <v>154</v>
      </c>
      <c r="C45" s="17" t="s">
        <v>154</v>
      </c>
      <c r="D45" s="18" t="s">
        <v>154</v>
      </c>
      <c r="E45" s="17" t="s">
        <v>154</v>
      </c>
      <c r="F45" s="18" t="s">
        <v>154</v>
      </c>
      <c r="G45" s="17" t="s">
        <v>154</v>
      </c>
      <c r="H45" s="18" t="s">
        <v>154</v>
      </c>
      <c r="I45" s="17" t="s">
        <v>154</v>
      </c>
      <c r="J45" s="18" t="s">
        <v>154</v>
      </c>
      <c r="K45" s="17" t="s">
        <v>154</v>
      </c>
      <c r="L45" s="18" t="s">
        <v>154</v>
      </c>
      <c r="M45" s="17" t="s">
        <v>154</v>
      </c>
      <c r="N45" s="18" t="s">
        <v>154</v>
      </c>
      <c r="O45" s="17" t="s">
        <v>154</v>
      </c>
      <c r="P45" s="18" t="s">
        <v>154</v>
      </c>
      <c r="Q45" s="17" t="s">
        <v>154</v>
      </c>
      <c r="R45" s="18" t="s">
        <v>154</v>
      </c>
    </row>
    <row r="46" spans="1:18" x14ac:dyDescent="0.25">
      <c r="A46" s="11" t="s">
        <v>179</v>
      </c>
      <c r="B46" s="13">
        <v>23141</v>
      </c>
      <c r="C46" s="14">
        <f>(19679/B46*100)</f>
        <v>85.039540210016852</v>
      </c>
      <c r="D46" s="15">
        <v>3462</v>
      </c>
      <c r="E46" s="14">
        <v>65.296936439999996</v>
      </c>
      <c r="F46" s="16">
        <v>1.07772168</v>
      </c>
      <c r="G46" s="14">
        <v>34.703063559999997</v>
      </c>
      <c r="H46" s="16">
        <v>1.07772168</v>
      </c>
      <c r="I46" s="14" t="s">
        <v>139</v>
      </c>
      <c r="J46" s="16" t="s">
        <v>139</v>
      </c>
      <c r="K46" s="14">
        <v>0</v>
      </c>
      <c r="L46" s="16">
        <v>0</v>
      </c>
      <c r="M46" s="14">
        <v>0</v>
      </c>
      <c r="N46" s="16">
        <v>0</v>
      </c>
      <c r="O46" s="14">
        <v>0</v>
      </c>
      <c r="P46" s="16">
        <v>0</v>
      </c>
      <c r="Q46" s="14">
        <v>0</v>
      </c>
      <c r="R46" s="16">
        <v>0</v>
      </c>
    </row>
    <row r="47" spans="1:18" x14ac:dyDescent="0.25">
      <c r="A47" s="11" t="s">
        <v>180</v>
      </c>
      <c r="B47" s="13">
        <v>5928</v>
      </c>
      <c r="C47" s="14">
        <f>(4925/B47*100)</f>
        <v>83.080296896086367</v>
      </c>
      <c r="D47" s="15">
        <v>1003</v>
      </c>
      <c r="E47" s="14">
        <v>58.402528789999998</v>
      </c>
      <c r="F47" s="16">
        <v>1.54466423</v>
      </c>
      <c r="G47" s="14">
        <v>41.597471210000002</v>
      </c>
      <c r="H47" s="16">
        <v>1.54466423</v>
      </c>
      <c r="I47" s="14" t="s">
        <v>139</v>
      </c>
      <c r="J47" s="16" t="s">
        <v>139</v>
      </c>
      <c r="K47" s="14">
        <v>0</v>
      </c>
      <c r="L47" s="16">
        <v>0</v>
      </c>
      <c r="M47" s="14">
        <v>0</v>
      </c>
      <c r="N47" s="16">
        <v>0</v>
      </c>
      <c r="O47" s="14">
        <v>0</v>
      </c>
      <c r="P47" s="16">
        <v>0</v>
      </c>
      <c r="Q47" s="14">
        <v>0</v>
      </c>
      <c r="R47" s="16">
        <v>0</v>
      </c>
    </row>
    <row r="48" spans="1:18" x14ac:dyDescent="0.25">
      <c r="A48" s="11" t="s">
        <v>181</v>
      </c>
      <c r="B48" s="13">
        <v>9841</v>
      </c>
      <c r="C48" s="14">
        <f>(8150/B48*100)</f>
        <v>82.8167869118992</v>
      </c>
      <c r="D48" s="15">
        <v>1691</v>
      </c>
      <c r="E48" s="14">
        <v>59.952459500000003</v>
      </c>
      <c r="F48" s="16">
        <v>1.63818007</v>
      </c>
      <c r="G48" s="14">
        <v>40.047540499999997</v>
      </c>
      <c r="H48" s="16">
        <v>1.63818007</v>
      </c>
      <c r="I48" s="14" t="s">
        <v>139</v>
      </c>
      <c r="J48" s="16" t="s">
        <v>139</v>
      </c>
      <c r="K48" s="14">
        <v>0</v>
      </c>
      <c r="L48" s="16">
        <v>0</v>
      </c>
      <c r="M48" s="14">
        <v>0</v>
      </c>
      <c r="N48" s="16">
        <v>0</v>
      </c>
      <c r="O48" s="14">
        <v>0</v>
      </c>
      <c r="P48" s="16">
        <v>0</v>
      </c>
      <c r="Q48" s="14">
        <v>0</v>
      </c>
      <c r="R48" s="16">
        <v>0</v>
      </c>
    </row>
    <row r="49" spans="1:18" x14ac:dyDescent="0.25">
      <c r="A49" s="11" t="s">
        <v>182</v>
      </c>
      <c r="B49" s="17" t="s">
        <v>154</v>
      </c>
      <c r="C49" s="17" t="s">
        <v>154</v>
      </c>
      <c r="D49" s="18" t="s">
        <v>154</v>
      </c>
      <c r="E49" s="17" t="s">
        <v>154</v>
      </c>
      <c r="F49" s="18" t="s">
        <v>154</v>
      </c>
      <c r="G49" s="17" t="s">
        <v>154</v>
      </c>
      <c r="H49" s="18" t="s">
        <v>154</v>
      </c>
      <c r="I49" s="17" t="s">
        <v>154</v>
      </c>
      <c r="J49" s="18" t="s">
        <v>154</v>
      </c>
      <c r="K49" s="17" t="s">
        <v>154</v>
      </c>
      <c r="L49" s="18" t="s">
        <v>154</v>
      </c>
      <c r="M49" s="17" t="s">
        <v>154</v>
      </c>
      <c r="N49" s="18" t="s">
        <v>154</v>
      </c>
      <c r="O49" s="17" t="s">
        <v>154</v>
      </c>
      <c r="P49" s="18" t="s">
        <v>154</v>
      </c>
      <c r="Q49" s="17" t="s">
        <v>154</v>
      </c>
      <c r="R49" s="18" t="s">
        <v>154</v>
      </c>
    </row>
    <row r="50" spans="1:18" x14ac:dyDescent="0.25">
      <c r="A50" s="11" t="s">
        <v>183</v>
      </c>
      <c r="B50" s="13">
        <v>11795</v>
      </c>
      <c r="C50" s="14">
        <f>(9800/B50*100)</f>
        <v>83.086053412462917</v>
      </c>
      <c r="D50" s="15">
        <v>1995</v>
      </c>
      <c r="E50" s="14">
        <v>65.880548189999999</v>
      </c>
      <c r="F50" s="16">
        <v>1.48391209</v>
      </c>
      <c r="G50" s="14">
        <v>34.119451810000001</v>
      </c>
      <c r="H50" s="16">
        <v>1.48391209</v>
      </c>
      <c r="I50" s="14" t="s">
        <v>139</v>
      </c>
      <c r="J50" s="16" t="s">
        <v>139</v>
      </c>
      <c r="K50" s="14">
        <v>0</v>
      </c>
      <c r="L50" s="16">
        <v>0</v>
      </c>
      <c r="M50" s="14">
        <v>0</v>
      </c>
      <c r="N50" s="16">
        <v>0</v>
      </c>
      <c r="O50" s="14">
        <v>0</v>
      </c>
      <c r="P50" s="16">
        <v>0</v>
      </c>
      <c r="Q50" s="14">
        <v>0</v>
      </c>
      <c r="R50" s="16">
        <v>0</v>
      </c>
    </row>
    <row r="51" spans="1:18" x14ac:dyDescent="0.25">
      <c r="A51" s="11" t="s">
        <v>184</v>
      </c>
      <c r="B51" s="13">
        <v>6866</v>
      </c>
      <c r="C51" s="14">
        <f>(5850/B51*100)</f>
        <v>85.202446839498975</v>
      </c>
      <c r="D51" s="15">
        <v>1016</v>
      </c>
      <c r="E51" s="14">
        <v>71.20315205</v>
      </c>
      <c r="F51" s="16">
        <v>1.58772157</v>
      </c>
      <c r="G51" s="14">
        <v>28.79684795</v>
      </c>
      <c r="H51" s="16">
        <v>1.58772157</v>
      </c>
      <c r="I51" s="14" t="s">
        <v>139</v>
      </c>
      <c r="J51" s="16" t="s">
        <v>139</v>
      </c>
      <c r="K51" s="14">
        <v>0</v>
      </c>
      <c r="L51" s="16">
        <v>0</v>
      </c>
      <c r="M51" s="14">
        <v>0</v>
      </c>
      <c r="N51" s="16">
        <v>0</v>
      </c>
      <c r="O51" s="14">
        <v>0</v>
      </c>
      <c r="P51" s="16">
        <v>0</v>
      </c>
      <c r="Q51" s="14">
        <v>0</v>
      </c>
      <c r="R51" s="16">
        <v>0</v>
      </c>
    </row>
    <row r="52" spans="1:18" x14ac:dyDescent="0.25">
      <c r="A52" s="11" t="s">
        <v>185</v>
      </c>
      <c r="B52" s="13">
        <v>5809</v>
      </c>
      <c r="C52" s="14">
        <f>(4801/B52*100)</f>
        <v>82.647615768634878</v>
      </c>
      <c r="D52" s="15">
        <v>1008</v>
      </c>
      <c r="E52" s="14">
        <v>58.936218760000003</v>
      </c>
      <c r="F52" s="16">
        <v>1.5930800000000001</v>
      </c>
      <c r="G52" s="14">
        <v>41.063781239999997</v>
      </c>
      <c r="H52" s="16">
        <v>1.5930800000000001</v>
      </c>
      <c r="I52" s="14" t="s">
        <v>139</v>
      </c>
      <c r="J52" s="16" t="s">
        <v>139</v>
      </c>
      <c r="K52" s="14">
        <v>0</v>
      </c>
      <c r="L52" s="16">
        <v>0</v>
      </c>
      <c r="M52" s="14">
        <v>0</v>
      </c>
      <c r="N52" s="16">
        <v>0</v>
      </c>
      <c r="O52" s="14">
        <v>0</v>
      </c>
      <c r="P52" s="16">
        <v>0</v>
      </c>
      <c r="Q52" s="14">
        <v>0</v>
      </c>
      <c r="R52" s="16">
        <v>0</v>
      </c>
    </row>
    <row r="53" spans="1:18" x14ac:dyDescent="0.25">
      <c r="A53" s="11" t="s">
        <v>186</v>
      </c>
      <c r="B53" s="13">
        <v>5571</v>
      </c>
      <c r="C53" s="14">
        <f>(4606/B53*100)</f>
        <v>82.678154729851016</v>
      </c>
      <c r="D53" s="15">
        <v>965</v>
      </c>
      <c r="E53" s="14">
        <v>65.678020570000001</v>
      </c>
      <c r="F53" s="16">
        <v>1.3201240000000001</v>
      </c>
      <c r="G53" s="14">
        <v>34.321979429999999</v>
      </c>
      <c r="H53" s="16">
        <v>1.3201240000000001</v>
      </c>
      <c r="I53" s="14" t="s">
        <v>139</v>
      </c>
      <c r="J53" s="16" t="s">
        <v>139</v>
      </c>
      <c r="K53" s="14">
        <v>0</v>
      </c>
      <c r="L53" s="16">
        <v>0</v>
      </c>
      <c r="M53" s="14">
        <v>0</v>
      </c>
      <c r="N53" s="16">
        <v>0</v>
      </c>
      <c r="O53" s="14">
        <v>0</v>
      </c>
      <c r="P53" s="16">
        <v>0</v>
      </c>
      <c r="Q53" s="14">
        <v>0</v>
      </c>
      <c r="R53" s="16">
        <v>0</v>
      </c>
    </row>
    <row r="54" spans="1:18" x14ac:dyDescent="0.25">
      <c r="A54" s="11" t="s">
        <v>187</v>
      </c>
      <c r="B54" s="17" t="s">
        <v>154</v>
      </c>
      <c r="C54" s="17" t="s">
        <v>154</v>
      </c>
      <c r="D54" s="18" t="s">
        <v>154</v>
      </c>
      <c r="E54" s="17" t="s">
        <v>154</v>
      </c>
      <c r="F54" s="18" t="s">
        <v>154</v>
      </c>
      <c r="G54" s="17" t="s">
        <v>154</v>
      </c>
      <c r="H54" s="18" t="s">
        <v>154</v>
      </c>
      <c r="I54" s="17" t="s">
        <v>154</v>
      </c>
      <c r="J54" s="18" t="s">
        <v>154</v>
      </c>
      <c r="K54" s="17" t="s">
        <v>154</v>
      </c>
      <c r="L54" s="18" t="s">
        <v>154</v>
      </c>
      <c r="M54" s="17" t="s">
        <v>154</v>
      </c>
      <c r="N54" s="18" t="s">
        <v>154</v>
      </c>
      <c r="O54" s="17" t="s">
        <v>154</v>
      </c>
      <c r="P54" s="18" t="s">
        <v>154</v>
      </c>
      <c r="Q54" s="17" t="s">
        <v>154</v>
      </c>
      <c r="R54" s="18" t="s">
        <v>154</v>
      </c>
    </row>
    <row r="55" spans="1:18" x14ac:dyDescent="0.25">
      <c r="A55" s="11" t="s">
        <v>188</v>
      </c>
      <c r="B55" s="17" t="s">
        <v>154</v>
      </c>
      <c r="C55" s="17" t="s">
        <v>154</v>
      </c>
      <c r="D55" s="18" t="s">
        <v>154</v>
      </c>
      <c r="E55" s="17" t="s">
        <v>154</v>
      </c>
      <c r="F55" s="18" t="s">
        <v>154</v>
      </c>
      <c r="G55" s="17" t="s">
        <v>154</v>
      </c>
      <c r="H55" s="18" t="s">
        <v>154</v>
      </c>
      <c r="I55" s="17" t="s">
        <v>154</v>
      </c>
      <c r="J55" s="18" t="s">
        <v>154</v>
      </c>
      <c r="K55" s="17" t="s">
        <v>154</v>
      </c>
      <c r="L55" s="18" t="s">
        <v>154</v>
      </c>
      <c r="M55" s="17" t="s">
        <v>154</v>
      </c>
      <c r="N55" s="18" t="s">
        <v>154</v>
      </c>
      <c r="O55" s="17" t="s">
        <v>154</v>
      </c>
      <c r="P55" s="18" t="s">
        <v>154</v>
      </c>
      <c r="Q55" s="17" t="s">
        <v>154</v>
      </c>
      <c r="R55" s="18" t="s">
        <v>154</v>
      </c>
    </row>
    <row r="56" spans="1:18" x14ac:dyDescent="0.25">
      <c r="A56" s="11" t="s">
        <v>189</v>
      </c>
      <c r="B56" s="13">
        <v>5359</v>
      </c>
      <c r="C56" s="14">
        <f>(4443/B56*100)</f>
        <v>82.907258816943468</v>
      </c>
      <c r="D56" s="15">
        <v>916</v>
      </c>
      <c r="E56" s="14">
        <v>42.461076169999998</v>
      </c>
      <c r="F56" s="16">
        <v>1.66416432</v>
      </c>
      <c r="G56" s="14">
        <v>57.538923830000002</v>
      </c>
      <c r="H56" s="16">
        <v>1.66416432</v>
      </c>
      <c r="I56" s="14" t="s">
        <v>139</v>
      </c>
      <c r="J56" s="16" t="s">
        <v>139</v>
      </c>
      <c r="K56" s="14">
        <v>0</v>
      </c>
      <c r="L56" s="16">
        <v>0</v>
      </c>
      <c r="M56" s="14">
        <v>0</v>
      </c>
      <c r="N56" s="16">
        <v>0</v>
      </c>
      <c r="O56" s="14">
        <v>0</v>
      </c>
      <c r="P56" s="16">
        <v>0</v>
      </c>
      <c r="Q56" s="14">
        <v>0</v>
      </c>
      <c r="R56" s="16">
        <v>0</v>
      </c>
    </row>
    <row r="57" spans="1:18" x14ac:dyDescent="0.25">
      <c r="A57" s="11" t="s">
        <v>190</v>
      </c>
      <c r="B57" s="17" t="s">
        <v>154</v>
      </c>
      <c r="C57" s="17" t="s">
        <v>154</v>
      </c>
      <c r="D57" s="18" t="s">
        <v>154</v>
      </c>
      <c r="E57" s="17" t="s">
        <v>154</v>
      </c>
      <c r="F57" s="18" t="s">
        <v>154</v>
      </c>
      <c r="G57" s="17" t="s">
        <v>154</v>
      </c>
      <c r="H57" s="18" t="s">
        <v>154</v>
      </c>
      <c r="I57" s="17" t="s">
        <v>154</v>
      </c>
      <c r="J57" s="18" t="s">
        <v>154</v>
      </c>
      <c r="K57" s="17" t="s">
        <v>154</v>
      </c>
      <c r="L57" s="18" t="s">
        <v>154</v>
      </c>
      <c r="M57" s="17" t="s">
        <v>154</v>
      </c>
      <c r="N57" s="18" t="s">
        <v>154</v>
      </c>
      <c r="O57" s="17" t="s">
        <v>154</v>
      </c>
      <c r="P57" s="18" t="s">
        <v>154</v>
      </c>
      <c r="Q57" s="17" t="s">
        <v>154</v>
      </c>
      <c r="R57" s="18" t="s">
        <v>154</v>
      </c>
    </row>
    <row r="58" spans="1:18" x14ac:dyDescent="0.25">
      <c r="A58" s="11" t="s">
        <v>191</v>
      </c>
      <c r="B58" s="17" t="s">
        <v>154</v>
      </c>
      <c r="C58" s="17" t="s">
        <v>154</v>
      </c>
      <c r="D58" s="18" t="s">
        <v>154</v>
      </c>
      <c r="E58" s="17" t="s">
        <v>154</v>
      </c>
      <c r="F58" s="18" t="s">
        <v>154</v>
      </c>
      <c r="G58" s="17" t="s">
        <v>154</v>
      </c>
      <c r="H58" s="18" t="s">
        <v>154</v>
      </c>
      <c r="I58" s="17" t="s">
        <v>154</v>
      </c>
      <c r="J58" s="18" t="s">
        <v>154</v>
      </c>
      <c r="K58" s="17" t="s">
        <v>154</v>
      </c>
      <c r="L58" s="18" t="s">
        <v>154</v>
      </c>
      <c r="M58" s="17" t="s">
        <v>154</v>
      </c>
      <c r="N58" s="18" t="s">
        <v>154</v>
      </c>
      <c r="O58" s="17" t="s">
        <v>154</v>
      </c>
      <c r="P58" s="18" t="s">
        <v>154</v>
      </c>
      <c r="Q58" s="17" t="s">
        <v>154</v>
      </c>
      <c r="R58" s="18" t="s">
        <v>154</v>
      </c>
    </row>
    <row r="59" spans="1:18" x14ac:dyDescent="0.25">
      <c r="A59" s="11" t="s">
        <v>192</v>
      </c>
      <c r="B59" s="17" t="s">
        <v>154</v>
      </c>
      <c r="C59" s="17" t="s">
        <v>154</v>
      </c>
      <c r="D59" s="18" t="s">
        <v>154</v>
      </c>
      <c r="E59" s="17" t="s">
        <v>154</v>
      </c>
      <c r="F59" s="18" t="s">
        <v>154</v>
      </c>
      <c r="G59" s="17" t="s">
        <v>154</v>
      </c>
      <c r="H59" s="18" t="s">
        <v>154</v>
      </c>
      <c r="I59" s="17" t="s">
        <v>154</v>
      </c>
      <c r="J59" s="18" t="s">
        <v>154</v>
      </c>
      <c r="K59" s="17" t="s">
        <v>154</v>
      </c>
      <c r="L59" s="18" t="s">
        <v>154</v>
      </c>
      <c r="M59" s="17" t="s">
        <v>154</v>
      </c>
      <c r="N59" s="18" t="s">
        <v>154</v>
      </c>
      <c r="O59" s="17" t="s">
        <v>154</v>
      </c>
      <c r="P59" s="18" t="s">
        <v>154</v>
      </c>
      <c r="Q59" s="17" t="s">
        <v>154</v>
      </c>
      <c r="R59" s="18" t="s">
        <v>154</v>
      </c>
    </row>
    <row r="60" spans="1:18" x14ac:dyDescent="0.25">
      <c r="A60" s="11" t="s">
        <v>193</v>
      </c>
      <c r="B60" s="17" t="s">
        <v>154</v>
      </c>
      <c r="C60" s="17" t="s">
        <v>154</v>
      </c>
      <c r="D60" s="18" t="s">
        <v>154</v>
      </c>
      <c r="E60" s="17" t="s">
        <v>154</v>
      </c>
      <c r="F60" s="18" t="s">
        <v>154</v>
      </c>
      <c r="G60" s="17" t="s">
        <v>154</v>
      </c>
      <c r="H60" s="18" t="s">
        <v>154</v>
      </c>
      <c r="I60" s="17" t="s">
        <v>154</v>
      </c>
      <c r="J60" s="18" t="s">
        <v>154</v>
      </c>
      <c r="K60" s="17" t="s">
        <v>154</v>
      </c>
      <c r="L60" s="18" t="s">
        <v>154</v>
      </c>
      <c r="M60" s="17" t="s">
        <v>154</v>
      </c>
      <c r="N60" s="18" t="s">
        <v>154</v>
      </c>
      <c r="O60" s="17" t="s">
        <v>154</v>
      </c>
      <c r="P60" s="18" t="s">
        <v>154</v>
      </c>
      <c r="Q60" s="17" t="s">
        <v>154</v>
      </c>
      <c r="R60" s="18" t="s">
        <v>154</v>
      </c>
    </row>
    <row r="61" spans="1:18" x14ac:dyDescent="0.25">
      <c r="A61" s="11" t="s">
        <v>194</v>
      </c>
      <c r="B61" s="13">
        <v>6525</v>
      </c>
      <c r="C61" s="14">
        <f>(5386/B61*100)</f>
        <v>82.544061302681996</v>
      </c>
      <c r="D61" s="15">
        <v>1139</v>
      </c>
      <c r="E61" s="14">
        <v>59.078105870000002</v>
      </c>
      <c r="F61" s="16">
        <v>1.5455050400000001</v>
      </c>
      <c r="G61" s="14">
        <v>40.921894129999998</v>
      </c>
      <c r="H61" s="16">
        <v>1.5455050400000001</v>
      </c>
      <c r="I61" s="14" t="s">
        <v>139</v>
      </c>
      <c r="J61" s="16" t="s">
        <v>139</v>
      </c>
      <c r="K61" s="14">
        <v>0</v>
      </c>
      <c r="L61" s="16">
        <v>0</v>
      </c>
      <c r="M61" s="14">
        <v>0</v>
      </c>
      <c r="N61" s="16">
        <v>0</v>
      </c>
      <c r="O61" s="14">
        <v>0</v>
      </c>
      <c r="P61" s="16">
        <v>0</v>
      </c>
      <c r="Q61" s="14">
        <v>0</v>
      </c>
      <c r="R61" s="16">
        <v>0</v>
      </c>
    </row>
    <row r="62" spans="1:18" x14ac:dyDescent="0.25">
      <c r="A62" s="11" t="s">
        <v>195</v>
      </c>
      <c r="B62" s="13">
        <v>4476</v>
      </c>
      <c r="C62" s="14">
        <f>(3695/B62*100)</f>
        <v>82.551385165326181</v>
      </c>
      <c r="D62" s="15">
        <v>781</v>
      </c>
      <c r="E62" s="14">
        <v>42.918003409999997</v>
      </c>
      <c r="F62" s="16">
        <v>1.61372991</v>
      </c>
      <c r="G62" s="14">
        <v>57.081996590000003</v>
      </c>
      <c r="H62" s="16">
        <v>1.61372991</v>
      </c>
      <c r="I62" s="14" t="s">
        <v>139</v>
      </c>
      <c r="J62" s="16" t="s">
        <v>139</v>
      </c>
      <c r="K62" s="14">
        <v>0</v>
      </c>
      <c r="L62" s="16">
        <v>0</v>
      </c>
      <c r="M62" s="14">
        <v>0</v>
      </c>
      <c r="N62" s="16">
        <v>0</v>
      </c>
      <c r="O62" s="14">
        <v>0</v>
      </c>
      <c r="P62" s="16">
        <v>0</v>
      </c>
      <c r="Q62" s="14">
        <v>0</v>
      </c>
      <c r="R62" s="16">
        <v>0</v>
      </c>
    </row>
    <row r="63" spans="1:18" x14ac:dyDescent="0.25">
      <c r="A63" s="11" t="s">
        <v>196</v>
      </c>
      <c r="B63" s="17" t="s">
        <v>154</v>
      </c>
      <c r="C63" s="17" t="s">
        <v>154</v>
      </c>
      <c r="D63" s="18" t="s">
        <v>154</v>
      </c>
      <c r="E63" s="17" t="s">
        <v>154</v>
      </c>
      <c r="F63" s="18" t="s">
        <v>154</v>
      </c>
      <c r="G63" s="17" t="s">
        <v>154</v>
      </c>
      <c r="H63" s="18" t="s">
        <v>154</v>
      </c>
      <c r="I63" s="17" t="s">
        <v>154</v>
      </c>
      <c r="J63" s="18" t="s">
        <v>154</v>
      </c>
      <c r="K63" s="17" t="s">
        <v>154</v>
      </c>
      <c r="L63" s="18" t="s">
        <v>154</v>
      </c>
      <c r="M63" s="17" t="s">
        <v>154</v>
      </c>
      <c r="N63" s="18" t="s">
        <v>154</v>
      </c>
      <c r="O63" s="17" t="s">
        <v>154</v>
      </c>
      <c r="P63" s="18" t="s">
        <v>154</v>
      </c>
      <c r="Q63" s="17" t="s">
        <v>154</v>
      </c>
      <c r="R63" s="18" t="s">
        <v>154</v>
      </c>
    </row>
    <row r="64" spans="1:18" x14ac:dyDescent="0.25">
      <c r="A64" s="11" t="s">
        <v>197</v>
      </c>
      <c r="B64" s="17" t="s">
        <v>154</v>
      </c>
      <c r="C64" s="17" t="s">
        <v>154</v>
      </c>
      <c r="D64" s="18" t="s">
        <v>154</v>
      </c>
      <c r="E64" s="17" t="s">
        <v>154</v>
      </c>
      <c r="F64" s="18" t="s">
        <v>154</v>
      </c>
      <c r="G64" s="17" t="s">
        <v>154</v>
      </c>
      <c r="H64" s="18" t="s">
        <v>154</v>
      </c>
      <c r="I64" s="17" t="s">
        <v>154</v>
      </c>
      <c r="J64" s="18" t="s">
        <v>154</v>
      </c>
      <c r="K64" s="17" t="s">
        <v>154</v>
      </c>
      <c r="L64" s="18" t="s">
        <v>154</v>
      </c>
      <c r="M64" s="17" t="s">
        <v>154</v>
      </c>
      <c r="N64" s="18" t="s">
        <v>154</v>
      </c>
      <c r="O64" s="17" t="s">
        <v>154</v>
      </c>
      <c r="P64" s="18" t="s">
        <v>154</v>
      </c>
      <c r="Q64" s="17" t="s">
        <v>154</v>
      </c>
      <c r="R64" s="18" t="s">
        <v>154</v>
      </c>
    </row>
    <row r="65" spans="1:18" x14ac:dyDescent="0.25">
      <c r="A65" s="11" t="s">
        <v>198</v>
      </c>
      <c r="B65" s="17" t="s">
        <v>154</v>
      </c>
      <c r="C65" s="17" t="s">
        <v>154</v>
      </c>
      <c r="D65" s="18" t="s">
        <v>154</v>
      </c>
      <c r="E65" s="17" t="s">
        <v>154</v>
      </c>
      <c r="F65" s="18" t="s">
        <v>154</v>
      </c>
      <c r="G65" s="17" t="s">
        <v>154</v>
      </c>
      <c r="H65" s="18" t="s">
        <v>154</v>
      </c>
      <c r="I65" s="17" t="s">
        <v>154</v>
      </c>
      <c r="J65" s="18" t="s">
        <v>154</v>
      </c>
      <c r="K65" s="17" t="s">
        <v>154</v>
      </c>
      <c r="L65" s="18" t="s">
        <v>154</v>
      </c>
      <c r="M65" s="17" t="s">
        <v>154</v>
      </c>
      <c r="N65" s="18" t="s">
        <v>154</v>
      </c>
      <c r="O65" s="17" t="s">
        <v>154</v>
      </c>
      <c r="P65" s="18" t="s">
        <v>154</v>
      </c>
      <c r="Q65" s="17" t="s">
        <v>154</v>
      </c>
      <c r="R65" s="18" t="s">
        <v>154</v>
      </c>
    </row>
    <row r="66" spans="1:18" x14ac:dyDescent="0.25">
      <c r="A66" s="11" t="s">
        <v>199</v>
      </c>
      <c r="B66" s="13">
        <v>5665</v>
      </c>
      <c r="C66" s="14">
        <f>(4698/B66*100)</f>
        <v>82.930273609885262</v>
      </c>
      <c r="D66" s="15">
        <v>967</v>
      </c>
      <c r="E66" s="14">
        <v>62.791802130000001</v>
      </c>
      <c r="F66" s="16">
        <v>1.52464281</v>
      </c>
      <c r="G66" s="14">
        <v>37.208197869999999</v>
      </c>
      <c r="H66" s="16">
        <v>1.52464281</v>
      </c>
      <c r="I66" s="14" t="s">
        <v>139</v>
      </c>
      <c r="J66" s="16" t="s">
        <v>139</v>
      </c>
      <c r="K66" s="14">
        <v>0</v>
      </c>
      <c r="L66" s="16">
        <v>0</v>
      </c>
      <c r="M66" s="14">
        <v>0</v>
      </c>
      <c r="N66" s="16">
        <v>0</v>
      </c>
      <c r="O66" s="14">
        <v>0</v>
      </c>
      <c r="P66" s="16">
        <v>0</v>
      </c>
      <c r="Q66" s="14">
        <v>0</v>
      </c>
      <c r="R66" s="16">
        <v>0</v>
      </c>
    </row>
    <row r="67" spans="1:18" x14ac:dyDescent="0.25">
      <c r="A67" s="11" t="s">
        <v>200</v>
      </c>
      <c r="B67" s="13">
        <v>6971</v>
      </c>
      <c r="C67" s="14">
        <f>(5844/B67*100)</f>
        <v>83.833022521876345</v>
      </c>
      <c r="D67" s="15">
        <v>1127</v>
      </c>
      <c r="E67" s="14">
        <v>65.923392669999998</v>
      </c>
      <c r="F67" s="16">
        <v>1.66156495</v>
      </c>
      <c r="G67" s="14">
        <v>34.076607330000002</v>
      </c>
      <c r="H67" s="16">
        <v>1.66156495</v>
      </c>
      <c r="I67" s="14" t="s">
        <v>139</v>
      </c>
      <c r="J67" s="16" t="s">
        <v>139</v>
      </c>
      <c r="K67" s="14">
        <v>0</v>
      </c>
      <c r="L67" s="16">
        <v>0</v>
      </c>
      <c r="M67" s="14">
        <v>0</v>
      </c>
      <c r="N67" s="16">
        <v>0</v>
      </c>
      <c r="O67" s="14">
        <v>0</v>
      </c>
      <c r="P67" s="16">
        <v>0</v>
      </c>
      <c r="Q67" s="14">
        <v>0</v>
      </c>
      <c r="R67" s="16">
        <v>0</v>
      </c>
    </row>
    <row r="68" spans="1:18" x14ac:dyDescent="0.25">
      <c r="A68" s="11" t="s">
        <v>201</v>
      </c>
      <c r="B68" s="17" t="s">
        <v>154</v>
      </c>
      <c r="C68" s="17" t="s">
        <v>154</v>
      </c>
      <c r="D68" s="18" t="s">
        <v>154</v>
      </c>
      <c r="E68" s="17" t="s">
        <v>154</v>
      </c>
      <c r="F68" s="18" t="s">
        <v>154</v>
      </c>
      <c r="G68" s="17" t="s">
        <v>154</v>
      </c>
      <c r="H68" s="18" t="s">
        <v>154</v>
      </c>
      <c r="I68" s="17" t="s">
        <v>154</v>
      </c>
      <c r="J68" s="18" t="s">
        <v>154</v>
      </c>
      <c r="K68" s="17" t="s">
        <v>154</v>
      </c>
      <c r="L68" s="18" t="s">
        <v>154</v>
      </c>
      <c r="M68" s="17" t="s">
        <v>154</v>
      </c>
      <c r="N68" s="18" t="s">
        <v>154</v>
      </c>
      <c r="O68" s="17" t="s">
        <v>154</v>
      </c>
      <c r="P68" s="18" t="s">
        <v>154</v>
      </c>
      <c r="Q68" s="17" t="s">
        <v>154</v>
      </c>
      <c r="R68" s="18" t="s">
        <v>154</v>
      </c>
    </row>
    <row r="69" spans="1:18" x14ac:dyDescent="0.25">
      <c r="A69" s="11" t="s">
        <v>202</v>
      </c>
      <c r="B69" s="17" t="s">
        <v>154</v>
      </c>
      <c r="C69" s="17" t="s">
        <v>154</v>
      </c>
      <c r="D69" s="18" t="s">
        <v>154</v>
      </c>
      <c r="E69" s="17" t="s">
        <v>154</v>
      </c>
      <c r="F69" s="18" t="s">
        <v>154</v>
      </c>
      <c r="G69" s="17" t="s">
        <v>154</v>
      </c>
      <c r="H69" s="18" t="s">
        <v>154</v>
      </c>
      <c r="I69" s="17" t="s">
        <v>154</v>
      </c>
      <c r="J69" s="18" t="s">
        <v>154</v>
      </c>
      <c r="K69" s="17" t="s">
        <v>154</v>
      </c>
      <c r="L69" s="18" t="s">
        <v>154</v>
      </c>
      <c r="M69" s="17" t="s">
        <v>154</v>
      </c>
      <c r="N69" s="18" t="s">
        <v>154</v>
      </c>
      <c r="O69" s="17" t="s">
        <v>154</v>
      </c>
      <c r="P69" s="18" t="s">
        <v>154</v>
      </c>
      <c r="Q69" s="17" t="s">
        <v>154</v>
      </c>
      <c r="R69" s="18" t="s">
        <v>154</v>
      </c>
    </row>
    <row r="70" spans="1:18" x14ac:dyDescent="0.25">
      <c r="A70" s="11" t="s">
        <v>203</v>
      </c>
      <c r="B70" s="13">
        <v>6036</v>
      </c>
      <c r="C70" s="14">
        <f>(4999/B70*100)</f>
        <v>82.819748177601056</v>
      </c>
      <c r="D70" s="15">
        <v>1037</v>
      </c>
      <c r="E70" s="14">
        <v>59.640841399999999</v>
      </c>
      <c r="F70" s="16">
        <v>1.73862019</v>
      </c>
      <c r="G70" s="14">
        <v>40.359158600000001</v>
      </c>
      <c r="H70" s="16">
        <v>1.73862019</v>
      </c>
      <c r="I70" s="14" t="s">
        <v>139</v>
      </c>
      <c r="J70" s="16" t="s">
        <v>139</v>
      </c>
      <c r="K70" s="14">
        <v>0</v>
      </c>
      <c r="L70" s="16">
        <v>0</v>
      </c>
      <c r="M70" s="14">
        <v>0</v>
      </c>
      <c r="N70" s="16">
        <v>0</v>
      </c>
      <c r="O70" s="14">
        <v>0</v>
      </c>
      <c r="P70" s="16">
        <v>0</v>
      </c>
      <c r="Q70" s="14">
        <v>0</v>
      </c>
      <c r="R70" s="16">
        <v>0</v>
      </c>
    </row>
    <row r="71" spans="1:18" x14ac:dyDescent="0.25">
      <c r="A71" s="11" t="s">
        <v>204</v>
      </c>
      <c r="B71" s="17" t="s">
        <v>154</v>
      </c>
      <c r="C71" s="17" t="s">
        <v>154</v>
      </c>
      <c r="D71" s="18" t="s">
        <v>154</v>
      </c>
      <c r="E71" s="17" t="s">
        <v>154</v>
      </c>
      <c r="F71" s="18" t="s">
        <v>154</v>
      </c>
      <c r="G71" s="17" t="s">
        <v>154</v>
      </c>
      <c r="H71" s="18" t="s">
        <v>154</v>
      </c>
      <c r="I71" s="17" t="s">
        <v>154</v>
      </c>
      <c r="J71" s="18" t="s">
        <v>154</v>
      </c>
      <c r="K71" s="17" t="s">
        <v>154</v>
      </c>
      <c r="L71" s="18" t="s">
        <v>154</v>
      </c>
      <c r="M71" s="17" t="s">
        <v>154</v>
      </c>
      <c r="N71" s="18" t="s">
        <v>154</v>
      </c>
      <c r="O71" s="17" t="s">
        <v>154</v>
      </c>
      <c r="P71" s="18" t="s">
        <v>154</v>
      </c>
      <c r="Q71" s="17" t="s">
        <v>154</v>
      </c>
      <c r="R71" s="18" t="s">
        <v>154</v>
      </c>
    </row>
    <row r="72" spans="1:18" x14ac:dyDescent="0.25">
      <c r="A72" s="11" t="s">
        <v>205</v>
      </c>
      <c r="B72" s="13">
        <v>7708</v>
      </c>
      <c r="C72" s="14">
        <f>(6389/B72*100)</f>
        <v>82.887908666320712</v>
      </c>
      <c r="D72" s="15">
        <v>1319</v>
      </c>
      <c r="E72" s="14">
        <v>46.276047640000002</v>
      </c>
      <c r="F72" s="16">
        <v>1.4726494699999999</v>
      </c>
      <c r="G72" s="14">
        <v>53.723952359999998</v>
      </c>
      <c r="H72" s="16">
        <v>1.4726494699999999</v>
      </c>
      <c r="I72" s="14" t="s">
        <v>139</v>
      </c>
      <c r="J72" s="16" t="s">
        <v>139</v>
      </c>
      <c r="K72" s="14">
        <v>0</v>
      </c>
      <c r="L72" s="16">
        <v>0</v>
      </c>
      <c r="M72" s="14">
        <v>0</v>
      </c>
      <c r="N72" s="16">
        <v>0</v>
      </c>
      <c r="O72" s="14">
        <v>0</v>
      </c>
      <c r="P72" s="16">
        <v>0</v>
      </c>
      <c r="Q72" s="14">
        <v>0</v>
      </c>
      <c r="R72" s="16">
        <v>0</v>
      </c>
    </row>
    <row r="73" spans="1:18" x14ac:dyDescent="0.25">
      <c r="A73" s="11" t="s">
        <v>206</v>
      </c>
      <c r="B73" s="13">
        <v>8249</v>
      </c>
      <c r="C73" s="14">
        <f>(6879/B73*100)</f>
        <v>83.391926294096251</v>
      </c>
      <c r="D73" s="15">
        <v>1370</v>
      </c>
      <c r="E73" s="14">
        <v>69.225754379999998</v>
      </c>
      <c r="F73" s="16">
        <v>1.4057457799999999</v>
      </c>
      <c r="G73" s="14">
        <v>30.774245619999999</v>
      </c>
      <c r="H73" s="16">
        <v>1.4057457799999999</v>
      </c>
      <c r="I73" s="14" t="s">
        <v>139</v>
      </c>
      <c r="J73" s="16" t="s">
        <v>139</v>
      </c>
      <c r="K73" s="14">
        <v>0</v>
      </c>
      <c r="L73" s="16">
        <v>0</v>
      </c>
      <c r="M73" s="14">
        <v>0</v>
      </c>
      <c r="N73" s="16">
        <v>0</v>
      </c>
      <c r="O73" s="14">
        <v>0</v>
      </c>
      <c r="P73" s="16">
        <v>0</v>
      </c>
      <c r="Q73" s="14">
        <v>0</v>
      </c>
      <c r="R73" s="16">
        <v>0</v>
      </c>
    </row>
    <row r="74" spans="1:18" x14ac:dyDescent="0.25">
      <c r="A74" s="11" t="s">
        <v>207</v>
      </c>
      <c r="B74" s="17" t="s">
        <v>154</v>
      </c>
      <c r="C74" s="17" t="s">
        <v>154</v>
      </c>
      <c r="D74" s="18" t="s">
        <v>154</v>
      </c>
      <c r="E74" s="17" t="s">
        <v>154</v>
      </c>
      <c r="F74" s="18" t="s">
        <v>154</v>
      </c>
      <c r="G74" s="17" t="s">
        <v>154</v>
      </c>
      <c r="H74" s="18" t="s">
        <v>154</v>
      </c>
      <c r="I74" s="17" t="s">
        <v>154</v>
      </c>
      <c r="J74" s="18" t="s">
        <v>154</v>
      </c>
      <c r="K74" s="17" t="s">
        <v>154</v>
      </c>
      <c r="L74" s="18" t="s">
        <v>154</v>
      </c>
      <c r="M74" s="17" t="s">
        <v>154</v>
      </c>
      <c r="N74" s="18" t="s">
        <v>154</v>
      </c>
      <c r="O74" s="17" t="s">
        <v>154</v>
      </c>
      <c r="P74" s="18" t="s">
        <v>154</v>
      </c>
      <c r="Q74" s="17" t="s">
        <v>154</v>
      </c>
      <c r="R74" s="18" t="s">
        <v>154</v>
      </c>
    </row>
    <row r="75" spans="1:18" x14ac:dyDescent="0.25">
      <c r="A75" s="11" t="s">
        <v>208</v>
      </c>
      <c r="B75" s="13">
        <v>5375</v>
      </c>
      <c r="C75" s="14">
        <f>(4493/B75*100)</f>
        <v>83.590697674418607</v>
      </c>
      <c r="D75" s="15">
        <v>882</v>
      </c>
      <c r="E75" s="14">
        <v>68.986990359999993</v>
      </c>
      <c r="F75" s="16">
        <v>1.38939933</v>
      </c>
      <c r="G75" s="14">
        <v>31.01300964</v>
      </c>
      <c r="H75" s="16">
        <v>1.38939933</v>
      </c>
      <c r="I75" s="14" t="s">
        <v>139</v>
      </c>
      <c r="J75" s="16" t="s">
        <v>139</v>
      </c>
      <c r="K75" s="14">
        <v>0</v>
      </c>
      <c r="L75" s="16">
        <v>0</v>
      </c>
      <c r="M75" s="14">
        <v>0</v>
      </c>
      <c r="N75" s="16">
        <v>0</v>
      </c>
      <c r="O75" s="14">
        <v>0</v>
      </c>
      <c r="P75" s="16">
        <v>0</v>
      </c>
      <c r="Q75" s="14">
        <v>0</v>
      </c>
      <c r="R75" s="16">
        <v>0</v>
      </c>
    </row>
    <row r="76" spans="1:18" x14ac:dyDescent="0.25">
      <c r="A76" s="11" t="s">
        <v>209</v>
      </c>
      <c r="B76" s="13">
        <v>14167</v>
      </c>
      <c r="C76" s="14">
        <f>(11780/B76*100)</f>
        <v>83.150984682713343</v>
      </c>
      <c r="D76" s="15">
        <v>2387</v>
      </c>
      <c r="E76" s="14">
        <v>59.018659620000001</v>
      </c>
      <c r="F76" s="16">
        <v>1.13258938</v>
      </c>
      <c r="G76" s="14">
        <v>40.981340379999999</v>
      </c>
      <c r="H76" s="16">
        <v>1.13258938</v>
      </c>
      <c r="I76" s="14" t="s">
        <v>139</v>
      </c>
      <c r="J76" s="16" t="s">
        <v>139</v>
      </c>
      <c r="K76" s="14">
        <v>0</v>
      </c>
      <c r="L76" s="16">
        <v>0</v>
      </c>
      <c r="M76" s="14">
        <v>0</v>
      </c>
      <c r="N76" s="16">
        <v>0</v>
      </c>
      <c r="O76" s="14">
        <v>0</v>
      </c>
      <c r="P76" s="16">
        <v>0</v>
      </c>
      <c r="Q76" s="14">
        <v>0</v>
      </c>
      <c r="R76" s="16">
        <v>0</v>
      </c>
    </row>
    <row r="77" spans="1:18" x14ac:dyDescent="0.25">
      <c r="A77" s="11" t="s">
        <v>210</v>
      </c>
      <c r="B77" s="13">
        <v>6062</v>
      </c>
      <c r="C77" s="14">
        <f>(5004/B77*100)</f>
        <v>82.547014186737059</v>
      </c>
      <c r="D77" s="15">
        <v>1058</v>
      </c>
      <c r="E77" s="14">
        <v>64.90012849</v>
      </c>
      <c r="F77" s="16">
        <v>1.4650560500000001</v>
      </c>
      <c r="G77" s="14">
        <v>35.09987151</v>
      </c>
      <c r="H77" s="16">
        <v>1.4650560500000001</v>
      </c>
      <c r="I77" s="14" t="s">
        <v>139</v>
      </c>
      <c r="J77" s="16" t="s">
        <v>139</v>
      </c>
      <c r="K77" s="14">
        <v>0</v>
      </c>
      <c r="L77" s="16">
        <v>0</v>
      </c>
      <c r="M77" s="14">
        <v>0</v>
      </c>
      <c r="N77" s="16">
        <v>0</v>
      </c>
      <c r="O77" s="14">
        <v>0</v>
      </c>
      <c r="P77" s="16">
        <v>0</v>
      </c>
      <c r="Q77" s="14">
        <v>0</v>
      </c>
      <c r="R77" s="16">
        <v>0</v>
      </c>
    </row>
    <row r="78" spans="1:18" x14ac:dyDescent="0.25">
      <c r="A78" s="11" t="s">
        <v>211</v>
      </c>
      <c r="B78" s="17" t="s">
        <v>154</v>
      </c>
      <c r="C78" s="17" t="s">
        <v>154</v>
      </c>
      <c r="D78" s="18" t="s">
        <v>154</v>
      </c>
      <c r="E78" s="17" t="s">
        <v>154</v>
      </c>
      <c r="F78" s="18" t="s">
        <v>154</v>
      </c>
      <c r="G78" s="17" t="s">
        <v>154</v>
      </c>
      <c r="H78" s="18" t="s">
        <v>154</v>
      </c>
      <c r="I78" s="17" t="s">
        <v>154</v>
      </c>
      <c r="J78" s="18" t="s">
        <v>154</v>
      </c>
      <c r="K78" s="17" t="s">
        <v>154</v>
      </c>
      <c r="L78" s="18" t="s">
        <v>154</v>
      </c>
      <c r="M78" s="17" t="s">
        <v>154</v>
      </c>
      <c r="N78" s="18" t="s">
        <v>154</v>
      </c>
      <c r="O78" s="17" t="s">
        <v>154</v>
      </c>
      <c r="P78" s="18" t="s">
        <v>154</v>
      </c>
      <c r="Q78" s="17" t="s">
        <v>154</v>
      </c>
      <c r="R78" s="18" t="s">
        <v>154</v>
      </c>
    </row>
    <row r="79" spans="1:18" ht="24.95" customHeight="1" x14ac:dyDescent="0.25">
      <c r="A79" s="11" t="s">
        <v>212</v>
      </c>
      <c r="B79" s="17" t="s">
        <v>154</v>
      </c>
      <c r="C79" s="17" t="s">
        <v>154</v>
      </c>
      <c r="D79" s="18" t="s">
        <v>154</v>
      </c>
      <c r="E79" s="17" t="s">
        <v>154</v>
      </c>
      <c r="F79" s="18" t="s">
        <v>154</v>
      </c>
      <c r="G79" s="17" t="s">
        <v>154</v>
      </c>
      <c r="H79" s="18" t="s">
        <v>154</v>
      </c>
      <c r="I79" s="17" t="s">
        <v>154</v>
      </c>
      <c r="J79" s="18" t="s">
        <v>154</v>
      </c>
      <c r="K79" s="17" t="s">
        <v>154</v>
      </c>
      <c r="L79" s="18" t="s">
        <v>154</v>
      </c>
      <c r="M79" s="17" t="s">
        <v>154</v>
      </c>
      <c r="N79" s="18" t="s">
        <v>154</v>
      </c>
      <c r="O79" s="17" t="s">
        <v>154</v>
      </c>
      <c r="P79" s="18" t="s">
        <v>154</v>
      </c>
      <c r="Q79" s="17" t="s">
        <v>154</v>
      </c>
      <c r="R79" s="18" t="s">
        <v>154</v>
      </c>
    </row>
    <row r="80" spans="1:18" x14ac:dyDescent="0.25">
      <c r="A80" s="11" t="s">
        <v>213</v>
      </c>
      <c r="B80" s="17" t="s">
        <v>154</v>
      </c>
      <c r="C80" s="17" t="s">
        <v>154</v>
      </c>
      <c r="D80" s="18" t="s">
        <v>154</v>
      </c>
      <c r="E80" s="17" t="s">
        <v>154</v>
      </c>
      <c r="F80" s="18" t="s">
        <v>154</v>
      </c>
      <c r="G80" s="17" t="s">
        <v>154</v>
      </c>
      <c r="H80" s="18" t="s">
        <v>154</v>
      </c>
      <c r="I80" s="17" t="s">
        <v>154</v>
      </c>
      <c r="J80" s="18" t="s">
        <v>154</v>
      </c>
      <c r="K80" s="17" t="s">
        <v>154</v>
      </c>
      <c r="L80" s="18" t="s">
        <v>154</v>
      </c>
      <c r="M80" s="17" t="s">
        <v>154</v>
      </c>
      <c r="N80" s="18" t="s">
        <v>154</v>
      </c>
      <c r="O80" s="17" t="s">
        <v>154</v>
      </c>
      <c r="P80" s="18" t="s">
        <v>154</v>
      </c>
      <c r="Q80" s="17" t="s">
        <v>154</v>
      </c>
      <c r="R80" s="18" t="s">
        <v>154</v>
      </c>
    </row>
    <row r="81" spans="1:18" x14ac:dyDescent="0.25">
      <c r="A81" s="19" t="s">
        <v>214</v>
      </c>
      <c r="B81" s="13">
        <v>8861</v>
      </c>
      <c r="C81" s="14">
        <f>(7311/B81*100)</f>
        <v>82.507617650378066</v>
      </c>
      <c r="D81" s="15">
        <v>1550</v>
      </c>
      <c r="E81" s="14">
        <v>48.33016035</v>
      </c>
      <c r="F81" s="16">
        <v>1.90213717</v>
      </c>
      <c r="G81" s="14">
        <v>51.66983965</v>
      </c>
      <c r="H81" s="16">
        <v>1.90213717</v>
      </c>
      <c r="I81" s="14" t="s">
        <v>139</v>
      </c>
      <c r="J81" s="16" t="s">
        <v>139</v>
      </c>
      <c r="K81" s="14">
        <v>0</v>
      </c>
      <c r="L81" s="16">
        <v>0</v>
      </c>
      <c r="M81" s="14">
        <v>0</v>
      </c>
      <c r="N81" s="16">
        <v>0</v>
      </c>
      <c r="O81" s="14">
        <v>0</v>
      </c>
      <c r="P81" s="16">
        <v>0</v>
      </c>
      <c r="Q81" s="14">
        <v>0</v>
      </c>
      <c r="R81" s="16">
        <v>0</v>
      </c>
    </row>
    <row r="82" spans="1:18" x14ac:dyDescent="0.25">
      <c r="A82" s="20"/>
      <c r="B82" s="20" t="s">
        <v>215</v>
      </c>
      <c r="C82" s="20" t="s">
        <v>215</v>
      </c>
      <c r="D82" s="20" t="s">
        <v>215</v>
      </c>
      <c r="E82" s="20" t="s">
        <v>215</v>
      </c>
      <c r="F82" s="20" t="s">
        <v>215</v>
      </c>
      <c r="G82" s="20" t="s">
        <v>215</v>
      </c>
      <c r="H82" s="20" t="s">
        <v>215</v>
      </c>
      <c r="I82" s="20" t="s">
        <v>215</v>
      </c>
      <c r="J82" s="20" t="s">
        <v>215</v>
      </c>
      <c r="K82" s="20" t="s">
        <v>215</v>
      </c>
      <c r="L82" s="20" t="s">
        <v>215</v>
      </c>
      <c r="M82" s="20" t="s">
        <v>215</v>
      </c>
      <c r="N82" s="20" t="s">
        <v>215</v>
      </c>
      <c r="O82" s="20" t="s">
        <v>215</v>
      </c>
      <c r="P82" s="20" t="s">
        <v>215</v>
      </c>
      <c r="Q82" s="20" t="s">
        <v>215</v>
      </c>
      <c r="R82" s="20" t="s">
        <v>215</v>
      </c>
    </row>
    <row r="83" spans="1:18" x14ac:dyDescent="0.25">
      <c r="A83" s="3" t="s">
        <v>216</v>
      </c>
    </row>
    <row r="84" spans="1:18" x14ac:dyDescent="0.25">
      <c r="A84" s="22" t="s">
        <v>217</v>
      </c>
      <c r="B84" s="23"/>
      <c r="C84" s="23"/>
      <c r="D84" s="23"/>
      <c r="E84" s="23"/>
      <c r="F84" s="23"/>
      <c r="G84" s="23"/>
      <c r="H84" s="23"/>
      <c r="I84" s="23"/>
      <c r="J84" s="23"/>
      <c r="K84" s="23"/>
      <c r="L84" s="23"/>
      <c r="M84" s="23"/>
      <c r="N84" s="23"/>
      <c r="O84" s="23"/>
      <c r="P84" s="23"/>
      <c r="Q84" s="23"/>
      <c r="R84" s="23"/>
    </row>
    <row r="85" spans="1:18" x14ac:dyDescent="0.25">
      <c r="A85" s="22" t="s">
        <v>218</v>
      </c>
      <c r="B85" s="23"/>
      <c r="C85" s="23"/>
      <c r="D85" s="23"/>
      <c r="E85" s="23"/>
      <c r="F85" s="23"/>
      <c r="G85" s="23"/>
      <c r="H85" s="23"/>
      <c r="I85" s="23"/>
      <c r="J85" s="23"/>
      <c r="K85" s="23"/>
      <c r="L85" s="23"/>
      <c r="M85" s="23"/>
      <c r="N85" s="23"/>
      <c r="O85" s="23"/>
      <c r="P85" s="23"/>
      <c r="Q85" s="23"/>
      <c r="R85" s="23"/>
    </row>
    <row r="86" spans="1:18" ht="30" customHeight="1" x14ac:dyDescent="0.25">
      <c r="A86" s="22" t="s">
        <v>219</v>
      </c>
      <c r="B86" s="23"/>
      <c r="C86" s="23"/>
      <c r="D86" s="23"/>
      <c r="E86" s="23"/>
      <c r="F86" s="23"/>
      <c r="G86" s="23"/>
      <c r="H86" s="23"/>
      <c r="I86" s="23"/>
      <c r="J86" s="23"/>
      <c r="K86" s="23"/>
      <c r="L86" s="23"/>
      <c r="M86" s="23"/>
      <c r="N86" s="23"/>
      <c r="O86" s="23"/>
      <c r="P86" s="23"/>
      <c r="Q86" s="23"/>
      <c r="R86" s="23"/>
    </row>
    <row r="87" spans="1:18" ht="30" customHeight="1" x14ac:dyDescent="0.25">
      <c r="A87" s="22" t="s">
        <v>215</v>
      </c>
      <c r="B87" s="23"/>
      <c r="C87" s="23"/>
      <c r="D87" s="23"/>
      <c r="E87" s="23"/>
      <c r="F87" s="23"/>
      <c r="G87" s="23"/>
      <c r="H87" s="23"/>
      <c r="I87" s="23"/>
      <c r="J87" s="23"/>
      <c r="K87" s="23"/>
      <c r="L87" s="23"/>
      <c r="M87" s="23"/>
      <c r="N87" s="23"/>
      <c r="O87" s="23"/>
      <c r="P87" s="23"/>
      <c r="Q87" s="23"/>
      <c r="R87" s="23"/>
    </row>
    <row r="88" spans="1:18" ht="30" customHeight="1" x14ac:dyDescent="0.25">
      <c r="A88" s="22" t="s">
        <v>220</v>
      </c>
      <c r="B88" s="23"/>
      <c r="C88" s="23"/>
      <c r="D88" s="23"/>
      <c r="E88" s="23"/>
      <c r="F88" s="23"/>
      <c r="G88" s="23"/>
      <c r="H88" s="23"/>
      <c r="I88" s="23"/>
      <c r="J88" s="23"/>
      <c r="K88" s="23"/>
      <c r="L88" s="23"/>
      <c r="M88" s="23"/>
      <c r="N88" s="23"/>
      <c r="O88" s="23"/>
      <c r="P88" s="23"/>
      <c r="Q88" s="23"/>
      <c r="R88" s="23"/>
    </row>
    <row r="89" spans="1:18" ht="30" customHeight="1" x14ac:dyDescent="0.25">
      <c r="A89" s="22" t="s">
        <v>221</v>
      </c>
      <c r="B89" s="23"/>
      <c r="C89" s="23"/>
      <c r="D89" s="23"/>
      <c r="E89" s="23"/>
      <c r="F89" s="23"/>
      <c r="G89" s="23"/>
      <c r="H89" s="23"/>
      <c r="I89" s="23"/>
      <c r="J89" s="23"/>
      <c r="K89" s="23"/>
      <c r="L89" s="23"/>
      <c r="M89" s="23"/>
      <c r="N89" s="23"/>
      <c r="O89" s="23"/>
      <c r="P89" s="23"/>
      <c r="Q89" s="23"/>
      <c r="R89" s="23"/>
    </row>
    <row r="90" spans="1:18" ht="30" customHeight="1" x14ac:dyDescent="0.25">
      <c r="A90" s="22" t="s">
        <v>222</v>
      </c>
      <c r="B90" s="23"/>
      <c r="C90" s="23"/>
      <c r="D90" s="23"/>
      <c r="E90" s="23"/>
      <c r="F90" s="23"/>
      <c r="G90" s="23"/>
      <c r="H90" s="23"/>
      <c r="I90" s="23"/>
      <c r="J90" s="23"/>
      <c r="K90" s="23"/>
      <c r="L90" s="23"/>
      <c r="M90" s="23"/>
      <c r="N90" s="23"/>
      <c r="O90" s="23"/>
      <c r="P90" s="23"/>
      <c r="Q90" s="23"/>
      <c r="R90" s="23"/>
    </row>
    <row r="91" spans="1:18" ht="30" customHeight="1" x14ac:dyDescent="0.25">
      <c r="A91" s="22" t="s">
        <v>223</v>
      </c>
      <c r="B91" s="23"/>
      <c r="C91" s="23"/>
      <c r="D91" s="23"/>
      <c r="E91" s="23"/>
      <c r="F91" s="23"/>
      <c r="G91" s="23"/>
      <c r="H91" s="23"/>
      <c r="I91" s="23"/>
      <c r="J91" s="23"/>
      <c r="K91" s="23"/>
      <c r="L91" s="23"/>
      <c r="M91" s="23"/>
      <c r="N91" s="23"/>
      <c r="O91" s="23"/>
      <c r="P91" s="23"/>
      <c r="Q91" s="23"/>
      <c r="R91" s="23"/>
    </row>
    <row r="92" spans="1:18" ht="30" customHeight="1" x14ac:dyDescent="0.25">
      <c r="A92" s="22" t="s">
        <v>224</v>
      </c>
      <c r="B92" s="23"/>
      <c r="C92" s="23"/>
      <c r="D92" s="23"/>
      <c r="E92" s="23"/>
      <c r="F92" s="23"/>
      <c r="G92" s="23"/>
      <c r="H92" s="23"/>
      <c r="I92" s="23"/>
      <c r="J92" s="23"/>
      <c r="K92" s="23"/>
      <c r="L92" s="23"/>
      <c r="M92" s="23"/>
      <c r="N92" s="23"/>
      <c r="O92" s="23"/>
      <c r="P92" s="23"/>
      <c r="Q92" s="23"/>
      <c r="R92" s="23"/>
    </row>
    <row r="93" spans="1:18" ht="30" customHeight="1" x14ac:dyDescent="0.25">
      <c r="A93" s="22" t="s">
        <v>225</v>
      </c>
      <c r="B93" s="23"/>
      <c r="C93" s="23"/>
      <c r="D93" s="23"/>
      <c r="E93" s="23"/>
      <c r="F93" s="23"/>
      <c r="G93" s="23"/>
      <c r="H93" s="23"/>
      <c r="I93" s="23"/>
      <c r="J93" s="23"/>
      <c r="K93" s="23"/>
      <c r="L93" s="23"/>
      <c r="M93" s="23"/>
      <c r="N93" s="23"/>
      <c r="O93" s="23"/>
      <c r="P93" s="23"/>
      <c r="Q93" s="23"/>
      <c r="R93" s="23"/>
    </row>
    <row r="94" spans="1:18" ht="30" customHeight="1" x14ac:dyDescent="0.25">
      <c r="A94" s="22" t="s">
        <v>226</v>
      </c>
      <c r="B94" s="23"/>
      <c r="C94" s="23"/>
      <c r="D94" s="23"/>
      <c r="E94" s="23"/>
      <c r="F94" s="23"/>
      <c r="G94" s="23"/>
      <c r="H94" s="23"/>
      <c r="I94" s="23"/>
      <c r="J94" s="23"/>
      <c r="K94" s="23"/>
      <c r="L94" s="23"/>
      <c r="M94" s="23"/>
      <c r="N94" s="23"/>
      <c r="O94" s="23"/>
      <c r="P94" s="23"/>
      <c r="Q94" s="23"/>
      <c r="R94" s="23"/>
    </row>
    <row r="95" spans="1:18" ht="30" customHeight="1" x14ac:dyDescent="0.25">
      <c r="A95" s="22" t="s">
        <v>227</v>
      </c>
      <c r="B95" s="23"/>
      <c r="C95" s="23"/>
      <c r="D95" s="23"/>
      <c r="E95" s="23"/>
      <c r="F95" s="23"/>
      <c r="G95" s="23"/>
      <c r="H95" s="23"/>
      <c r="I95" s="23"/>
      <c r="J95" s="23"/>
      <c r="K95" s="23"/>
      <c r="L95" s="23"/>
      <c r="M95" s="23"/>
      <c r="N95" s="23"/>
      <c r="O95" s="23"/>
      <c r="P95" s="23"/>
      <c r="Q95" s="23"/>
      <c r="R95" s="23"/>
    </row>
    <row r="96" spans="1:18" ht="30" customHeight="1" x14ac:dyDescent="0.25">
      <c r="A96" s="22" t="s">
        <v>228</v>
      </c>
      <c r="B96" s="23"/>
      <c r="C96" s="23"/>
      <c r="D96" s="23"/>
      <c r="E96" s="23"/>
      <c r="F96" s="23"/>
      <c r="G96" s="23"/>
      <c r="H96" s="23"/>
      <c r="I96" s="23"/>
      <c r="J96" s="23"/>
      <c r="K96" s="23"/>
      <c r="L96" s="23"/>
      <c r="M96" s="23"/>
      <c r="N96" s="23"/>
      <c r="O96" s="23"/>
      <c r="P96" s="23"/>
      <c r="Q96" s="23"/>
      <c r="R96" s="23"/>
    </row>
  </sheetData>
  <mergeCells count="22">
    <mergeCell ref="O4:P4"/>
    <mergeCell ref="Q4:R4"/>
    <mergeCell ref="A1:R1"/>
    <mergeCell ref="A2:R2"/>
    <mergeCell ref="A84:R84"/>
    <mergeCell ref="E4:F4"/>
    <mergeCell ref="G4:H4"/>
    <mergeCell ref="I4:J4"/>
    <mergeCell ref="K4:L4"/>
    <mergeCell ref="M4:N4"/>
    <mergeCell ref="A85:R85"/>
    <mergeCell ref="A86:R86"/>
    <mergeCell ref="A87:R87"/>
    <mergeCell ref="A88:R88"/>
    <mergeCell ref="A89:R89"/>
    <mergeCell ref="A95:R95"/>
    <mergeCell ref="A96:R96"/>
    <mergeCell ref="A90:R90"/>
    <mergeCell ref="A91:R91"/>
    <mergeCell ref="A92:R92"/>
    <mergeCell ref="A93:R93"/>
    <mergeCell ref="A94:R94"/>
  </mergeCells>
  <pageMargins left="0.75" right="0.75" top="1" bottom="1" header="0.5" footer="0.5"/>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dimension ref="A1:R96"/>
  <sheetViews>
    <sheetView zoomScale="80" workbookViewId="0">
      <pane xSplit="4" topLeftCell="E1" activePane="topRight" state="frozen"/>
      <selection sqref="A1:R1"/>
      <selection pane="topRight" sqref="A1:R1"/>
    </sheetView>
  </sheetViews>
  <sheetFormatPr defaultColWidth="11.42578125" defaultRowHeight="15" x14ac:dyDescent="0.25"/>
  <cols>
    <col min="1" max="1" width="50" customWidth="1"/>
  </cols>
  <sheetData>
    <row r="1" spans="1:18" x14ac:dyDescent="0.25">
      <c r="A1" s="26" t="s">
        <v>122</v>
      </c>
      <c r="B1" s="23"/>
      <c r="C1" s="23"/>
      <c r="D1" s="23"/>
      <c r="E1" s="23"/>
      <c r="F1" s="23"/>
      <c r="G1" s="23"/>
      <c r="H1" s="23"/>
      <c r="I1" s="23"/>
      <c r="J1" s="23"/>
      <c r="K1" s="23"/>
      <c r="L1" s="23"/>
      <c r="M1" s="23"/>
      <c r="N1" s="23"/>
      <c r="O1" s="23"/>
      <c r="P1" s="23"/>
      <c r="Q1" s="23"/>
      <c r="R1" s="23"/>
    </row>
    <row r="2" spans="1:18" x14ac:dyDescent="0.25">
      <c r="A2" s="27" t="s">
        <v>249</v>
      </c>
      <c r="B2" s="23"/>
      <c r="C2" s="23"/>
      <c r="D2" s="23"/>
      <c r="E2" s="23"/>
      <c r="F2" s="23"/>
      <c r="G2" s="23"/>
      <c r="H2" s="23"/>
      <c r="I2" s="23"/>
      <c r="J2" s="23"/>
      <c r="K2" s="23"/>
      <c r="L2" s="23"/>
      <c r="M2" s="23"/>
      <c r="N2" s="23"/>
      <c r="O2" s="23"/>
      <c r="P2" s="23"/>
      <c r="Q2" s="23"/>
      <c r="R2" s="23"/>
    </row>
    <row r="4" spans="1:18" ht="30" customHeight="1" x14ac:dyDescent="0.25">
      <c r="A4" s="4"/>
      <c r="B4" s="5" t="s">
        <v>123</v>
      </c>
      <c r="C4" s="5" t="s">
        <v>124</v>
      </c>
      <c r="D4" s="6" t="s">
        <v>123</v>
      </c>
      <c r="E4" s="24" t="s">
        <v>125</v>
      </c>
      <c r="F4" s="25"/>
      <c r="G4" s="24" t="s">
        <v>126</v>
      </c>
      <c r="H4" s="25"/>
      <c r="I4" s="24" t="s">
        <v>127</v>
      </c>
      <c r="J4" s="25"/>
      <c r="K4" s="24" t="s">
        <v>128</v>
      </c>
      <c r="L4" s="25"/>
      <c r="M4" s="24" t="s">
        <v>129</v>
      </c>
      <c r="N4" s="25"/>
      <c r="O4" s="24" t="s">
        <v>130</v>
      </c>
      <c r="P4" s="25"/>
      <c r="Q4" s="24" t="s">
        <v>131</v>
      </c>
      <c r="R4" s="25"/>
    </row>
    <row r="5" spans="1:18" x14ac:dyDescent="0.25">
      <c r="A5" s="7"/>
      <c r="B5" s="8" t="s">
        <v>132</v>
      </c>
      <c r="C5" s="8" t="s">
        <v>133</v>
      </c>
      <c r="D5" s="7" t="s">
        <v>134</v>
      </c>
      <c r="E5" s="8" t="s">
        <v>135</v>
      </c>
      <c r="F5" s="7" t="s">
        <v>136</v>
      </c>
      <c r="G5" s="8" t="s">
        <v>135</v>
      </c>
      <c r="H5" s="7" t="s">
        <v>136</v>
      </c>
      <c r="I5" s="8" t="s">
        <v>135</v>
      </c>
      <c r="J5" s="7" t="s">
        <v>136</v>
      </c>
      <c r="K5" s="8" t="s">
        <v>135</v>
      </c>
      <c r="L5" s="7" t="s">
        <v>136</v>
      </c>
      <c r="M5" s="8" t="s">
        <v>135</v>
      </c>
      <c r="N5" s="7" t="s">
        <v>136</v>
      </c>
      <c r="O5" s="8" t="s">
        <v>135</v>
      </c>
      <c r="P5" s="7" t="s">
        <v>136</v>
      </c>
      <c r="Q5" s="8" t="s">
        <v>135</v>
      </c>
      <c r="R5" s="7" t="s">
        <v>136</v>
      </c>
    </row>
    <row r="6" spans="1:18" x14ac:dyDescent="0.25">
      <c r="A6" s="9" t="s">
        <v>137</v>
      </c>
      <c r="B6" s="10"/>
      <c r="C6" s="10"/>
      <c r="D6" s="11"/>
      <c r="E6" s="10"/>
      <c r="F6" s="11"/>
      <c r="G6" s="10"/>
      <c r="H6" s="11"/>
      <c r="I6" s="10"/>
      <c r="J6" s="11"/>
      <c r="K6" s="10"/>
      <c r="L6" s="11"/>
      <c r="M6" s="10"/>
      <c r="N6" s="11"/>
      <c r="O6" s="10"/>
      <c r="P6" s="11"/>
      <c r="Q6" s="10"/>
      <c r="R6" s="12"/>
    </row>
    <row r="7" spans="1:18" x14ac:dyDescent="0.25">
      <c r="A7" s="11" t="s">
        <v>138</v>
      </c>
      <c r="B7" s="13">
        <v>14530</v>
      </c>
      <c r="C7" s="14">
        <f>(12075/B7*100)</f>
        <v>83.10392291810048</v>
      </c>
      <c r="D7" s="15">
        <v>2455</v>
      </c>
      <c r="E7" s="14">
        <v>23.676512160000001</v>
      </c>
      <c r="F7" s="16">
        <v>0.99579720000000005</v>
      </c>
      <c r="G7" s="14">
        <v>76.323487839999999</v>
      </c>
      <c r="H7" s="16">
        <v>0.99579720000000005</v>
      </c>
      <c r="I7" s="14" t="s">
        <v>139</v>
      </c>
      <c r="J7" s="16" t="s">
        <v>139</v>
      </c>
      <c r="K7" s="14">
        <v>0</v>
      </c>
      <c r="L7" s="16">
        <v>0</v>
      </c>
      <c r="M7" s="14">
        <v>0</v>
      </c>
      <c r="N7" s="16">
        <v>0</v>
      </c>
      <c r="O7" s="14">
        <v>0</v>
      </c>
      <c r="P7" s="16">
        <v>0</v>
      </c>
      <c r="Q7" s="14">
        <v>0</v>
      </c>
      <c r="R7" s="16">
        <v>0</v>
      </c>
    </row>
    <row r="8" spans="1:18" x14ac:dyDescent="0.25">
      <c r="A8" s="11" t="s">
        <v>140</v>
      </c>
      <c r="B8" s="13">
        <v>7007</v>
      </c>
      <c r="C8" s="14">
        <f>(5792/B8*100)</f>
        <v>82.660196945911238</v>
      </c>
      <c r="D8" s="15">
        <v>1215</v>
      </c>
      <c r="E8" s="14">
        <v>27.985932909999999</v>
      </c>
      <c r="F8" s="16">
        <v>1.32242522</v>
      </c>
      <c r="G8" s="14">
        <v>72.014067089999998</v>
      </c>
      <c r="H8" s="16">
        <v>1.32242522</v>
      </c>
      <c r="I8" s="14" t="s">
        <v>139</v>
      </c>
      <c r="J8" s="16" t="s">
        <v>139</v>
      </c>
      <c r="K8" s="14">
        <v>0</v>
      </c>
      <c r="L8" s="16">
        <v>0</v>
      </c>
      <c r="M8" s="14">
        <v>0</v>
      </c>
      <c r="N8" s="16">
        <v>0</v>
      </c>
      <c r="O8" s="14">
        <v>0</v>
      </c>
      <c r="P8" s="16">
        <v>0</v>
      </c>
      <c r="Q8" s="14">
        <v>0</v>
      </c>
      <c r="R8" s="16">
        <v>0</v>
      </c>
    </row>
    <row r="9" spans="1:18" x14ac:dyDescent="0.25">
      <c r="A9" s="11" t="s">
        <v>141</v>
      </c>
      <c r="B9" s="13">
        <v>9651</v>
      </c>
      <c r="C9" s="14">
        <f>(8043/B9*100)</f>
        <v>83.338514143612059</v>
      </c>
      <c r="D9" s="15">
        <v>1608</v>
      </c>
      <c r="E9" s="14">
        <v>28.739480560000001</v>
      </c>
      <c r="F9" s="16">
        <v>1.25300455</v>
      </c>
      <c r="G9" s="14">
        <v>71.260519439999996</v>
      </c>
      <c r="H9" s="16">
        <v>1.25300455</v>
      </c>
      <c r="I9" s="14" t="s">
        <v>139</v>
      </c>
      <c r="J9" s="16" t="s">
        <v>139</v>
      </c>
      <c r="K9" s="14">
        <v>0</v>
      </c>
      <c r="L9" s="16">
        <v>0</v>
      </c>
      <c r="M9" s="14">
        <v>0</v>
      </c>
      <c r="N9" s="16">
        <v>0</v>
      </c>
      <c r="O9" s="14">
        <v>0</v>
      </c>
      <c r="P9" s="16">
        <v>0</v>
      </c>
      <c r="Q9" s="14">
        <v>0</v>
      </c>
      <c r="R9" s="16">
        <v>0</v>
      </c>
    </row>
    <row r="10" spans="1:18" x14ac:dyDescent="0.25">
      <c r="A10" s="11" t="s">
        <v>142</v>
      </c>
      <c r="B10" s="13">
        <v>20058</v>
      </c>
      <c r="C10" s="14">
        <f>(16595/B10*100)</f>
        <v>82.735068301924414</v>
      </c>
      <c r="D10" s="15">
        <v>3463</v>
      </c>
      <c r="E10" s="14">
        <v>22.15321514</v>
      </c>
      <c r="F10" s="16">
        <v>0.82720139999999998</v>
      </c>
      <c r="G10" s="14">
        <v>77.84678486</v>
      </c>
      <c r="H10" s="16">
        <v>0.82720139999999998</v>
      </c>
      <c r="I10" s="14" t="s">
        <v>139</v>
      </c>
      <c r="J10" s="16" t="s">
        <v>139</v>
      </c>
      <c r="K10" s="14">
        <v>0</v>
      </c>
      <c r="L10" s="16">
        <v>0</v>
      </c>
      <c r="M10" s="14">
        <v>0</v>
      </c>
      <c r="N10" s="16">
        <v>0</v>
      </c>
      <c r="O10" s="14">
        <v>0</v>
      </c>
      <c r="P10" s="16">
        <v>0</v>
      </c>
      <c r="Q10" s="14">
        <v>0</v>
      </c>
      <c r="R10" s="16">
        <v>0</v>
      </c>
    </row>
    <row r="11" spans="1:18" x14ac:dyDescent="0.25">
      <c r="A11" s="11" t="s">
        <v>143</v>
      </c>
      <c r="B11" s="13">
        <v>7053</v>
      </c>
      <c r="C11" s="14">
        <f>(5838/B11*100)</f>
        <v>82.773287962569114</v>
      </c>
      <c r="D11" s="15">
        <v>1215</v>
      </c>
      <c r="E11" s="14">
        <v>39.168445460000001</v>
      </c>
      <c r="F11" s="16">
        <v>1.69677199</v>
      </c>
      <c r="G11" s="14">
        <v>60.831554539999999</v>
      </c>
      <c r="H11" s="16">
        <v>1.69677199</v>
      </c>
      <c r="I11" s="14" t="s">
        <v>139</v>
      </c>
      <c r="J11" s="16" t="s">
        <v>139</v>
      </c>
      <c r="K11" s="14">
        <v>0</v>
      </c>
      <c r="L11" s="16">
        <v>0</v>
      </c>
      <c r="M11" s="14">
        <v>0</v>
      </c>
      <c r="N11" s="16">
        <v>0</v>
      </c>
      <c r="O11" s="14">
        <v>0</v>
      </c>
      <c r="P11" s="16">
        <v>0</v>
      </c>
      <c r="Q11" s="14">
        <v>0</v>
      </c>
      <c r="R11" s="16">
        <v>0</v>
      </c>
    </row>
    <row r="12" spans="1:18" x14ac:dyDescent="0.25">
      <c r="A12" s="11" t="s">
        <v>144</v>
      </c>
      <c r="B12" s="13">
        <v>6894</v>
      </c>
      <c r="C12" s="14">
        <f>(5718/B12*100)</f>
        <v>82.941688424717142</v>
      </c>
      <c r="D12" s="15">
        <v>1176</v>
      </c>
      <c r="E12" s="14">
        <v>23.874533809999999</v>
      </c>
      <c r="F12" s="16">
        <v>1.57822332</v>
      </c>
      <c r="G12" s="14">
        <v>76.125466189999997</v>
      </c>
      <c r="H12" s="16">
        <v>1.57822332</v>
      </c>
      <c r="I12" s="14" t="s">
        <v>139</v>
      </c>
      <c r="J12" s="16" t="s">
        <v>139</v>
      </c>
      <c r="K12" s="14">
        <v>0</v>
      </c>
      <c r="L12" s="16">
        <v>0</v>
      </c>
      <c r="M12" s="14">
        <v>0</v>
      </c>
      <c r="N12" s="16">
        <v>0</v>
      </c>
      <c r="O12" s="14">
        <v>0</v>
      </c>
      <c r="P12" s="16">
        <v>0</v>
      </c>
      <c r="Q12" s="14">
        <v>0</v>
      </c>
      <c r="R12" s="16">
        <v>0</v>
      </c>
    </row>
    <row r="13" spans="1:18" x14ac:dyDescent="0.25">
      <c r="A13" s="11" t="s">
        <v>145</v>
      </c>
      <c r="B13" s="13">
        <v>7161</v>
      </c>
      <c r="C13" s="14">
        <f>(5997/B13*100)</f>
        <v>83.745286971093421</v>
      </c>
      <c r="D13" s="15">
        <v>1164</v>
      </c>
      <c r="E13" s="14">
        <v>25.045358190000002</v>
      </c>
      <c r="F13" s="16">
        <v>1.4914440099999999</v>
      </c>
      <c r="G13" s="14">
        <v>74.954641809999998</v>
      </c>
      <c r="H13" s="16">
        <v>1.4914440099999999</v>
      </c>
      <c r="I13" s="14" t="s">
        <v>139</v>
      </c>
      <c r="J13" s="16" t="s">
        <v>139</v>
      </c>
      <c r="K13" s="14">
        <v>0</v>
      </c>
      <c r="L13" s="16">
        <v>0</v>
      </c>
      <c r="M13" s="14">
        <v>0</v>
      </c>
      <c r="N13" s="16">
        <v>0</v>
      </c>
      <c r="O13" s="14">
        <v>0</v>
      </c>
      <c r="P13" s="16">
        <v>0</v>
      </c>
      <c r="Q13" s="14">
        <v>0</v>
      </c>
      <c r="R13" s="16">
        <v>0</v>
      </c>
    </row>
    <row r="14" spans="1:18" x14ac:dyDescent="0.25">
      <c r="A14" s="11" t="s">
        <v>146</v>
      </c>
      <c r="B14" s="13">
        <v>5587</v>
      </c>
      <c r="C14" s="14">
        <f>(4630/B14*100)</f>
        <v>82.870950420619295</v>
      </c>
      <c r="D14" s="15">
        <v>957</v>
      </c>
      <c r="E14" s="14">
        <v>20.35173064</v>
      </c>
      <c r="F14" s="16">
        <v>1.45928072</v>
      </c>
      <c r="G14" s="14">
        <v>79.64826936</v>
      </c>
      <c r="H14" s="16">
        <v>1.45928072</v>
      </c>
      <c r="I14" s="14" t="s">
        <v>139</v>
      </c>
      <c r="J14" s="16" t="s">
        <v>139</v>
      </c>
      <c r="K14" s="14">
        <v>0</v>
      </c>
      <c r="L14" s="16">
        <v>0</v>
      </c>
      <c r="M14" s="14">
        <v>0</v>
      </c>
      <c r="N14" s="16">
        <v>0</v>
      </c>
      <c r="O14" s="14">
        <v>0</v>
      </c>
      <c r="P14" s="16">
        <v>0</v>
      </c>
      <c r="Q14" s="14">
        <v>0</v>
      </c>
      <c r="R14" s="16">
        <v>0</v>
      </c>
    </row>
    <row r="15" spans="1:18" x14ac:dyDescent="0.25">
      <c r="A15" s="11" t="s">
        <v>147</v>
      </c>
      <c r="B15" s="13">
        <v>5882</v>
      </c>
      <c r="C15" s="14">
        <f>(4904/B15*100)</f>
        <v>83.373002380142808</v>
      </c>
      <c r="D15" s="15">
        <v>978</v>
      </c>
      <c r="E15" s="14">
        <v>22.802395260000001</v>
      </c>
      <c r="F15" s="16">
        <v>1.3790341800000001</v>
      </c>
      <c r="G15" s="14">
        <v>77.197604740000003</v>
      </c>
      <c r="H15" s="16">
        <v>1.3790341800000001</v>
      </c>
      <c r="I15" s="14" t="s">
        <v>139</v>
      </c>
      <c r="J15" s="16" t="s">
        <v>139</v>
      </c>
      <c r="K15" s="14">
        <v>0</v>
      </c>
      <c r="L15" s="16">
        <v>0</v>
      </c>
      <c r="M15" s="14">
        <v>0</v>
      </c>
      <c r="N15" s="16">
        <v>0</v>
      </c>
      <c r="O15" s="14">
        <v>0</v>
      </c>
      <c r="P15" s="16">
        <v>0</v>
      </c>
      <c r="Q15" s="14">
        <v>0</v>
      </c>
      <c r="R15" s="16">
        <v>0</v>
      </c>
    </row>
    <row r="16" spans="1:18" x14ac:dyDescent="0.25">
      <c r="A16" s="11" t="s">
        <v>148</v>
      </c>
      <c r="B16" s="13">
        <v>6108</v>
      </c>
      <c r="C16" s="14">
        <f>(5050/B16*100)</f>
        <v>82.678454485920099</v>
      </c>
      <c r="D16" s="15">
        <v>1058</v>
      </c>
      <c r="E16" s="14">
        <v>31.400011620000001</v>
      </c>
      <c r="F16" s="16">
        <v>1.4248919799999999</v>
      </c>
      <c r="G16" s="14">
        <v>68.599988379999999</v>
      </c>
      <c r="H16" s="16">
        <v>1.4248919799999999</v>
      </c>
      <c r="I16" s="14" t="s">
        <v>139</v>
      </c>
      <c r="J16" s="16" t="s">
        <v>139</v>
      </c>
      <c r="K16" s="14">
        <v>0</v>
      </c>
      <c r="L16" s="16">
        <v>0</v>
      </c>
      <c r="M16" s="14">
        <v>0</v>
      </c>
      <c r="N16" s="16">
        <v>0</v>
      </c>
      <c r="O16" s="14">
        <v>0</v>
      </c>
      <c r="P16" s="16">
        <v>0</v>
      </c>
      <c r="Q16" s="14">
        <v>0</v>
      </c>
      <c r="R16" s="16">
        <v>0</v>
      </c>
    </row>
    <row r="17" spans="1:18" x14ac:dyDescent="0.25">
      <c r="A17" s="11" t="s">
        <v>149</v>
      </c>
      <c r="B17" s="13">
        <v>6504</v>
      </c>
      <c r="C17" s="14">
        <f>(5409/B17*100)</f>
        <v>83.164206642066418</v>
      </c>
      <c r="D17" s="15">
        <v>1095</v>
      </c>
      <c r="E17" s="14">
        <v>24.765742939999999</v>
      </c>
      <c r="F17" s="16">
        <v>1.27645765</v>
      </c>
      <c r="G17" s="14">
        <v>75.234257060000004</v>
      </c>
      <c r="H17" s="16">
        <v>1.27645765</v>
      </c>
      <c r="I17" s="14" t="s">
        <v>139</v>
      </c>
      <c r="J17" s="16" t="s">
        <v>139</v>
      </c>
      <c r="K17" s="14">
        <v>0</v>
      </c>
      <c r="L17" s="16">
        <v>0</v>
      </c>
      <c r="M17" s="14">
        <v>0</v>
      </c>
      <c r="N17" s="16">
        <v>0</v>
      </c>
      <c r="O17" s="14">
        <v>0</v>
      </c>
      <c r="P17" s="16">
        <v>0</v>
      </c>
      <c r="Q17" s="14">
        <v>0</v>
      </c>
      <c r="R17" s="16">
        <v>0</v>
      </c>
    </row>
    <row r="18" spans="1:18" x14ac:dyDescent="0.25">
      <c r="A18" s="11" t="s">
        <v>150</v>
      </c>
      <c r="B18" s="13">
        <v>5532</v>
      </c>
      <c r="C18" s="14">
        <f>(4565/B18*100)</f>
        <v>82.519884309472161</v>
      </c>
      <c r="D18" s="15">
        <v>967</v>
      </c>
      <c r="E18" s="14">
        <v>33.779748259999998</v>
      </c>
      <c r="F18" s="16">
        <v>1.72702863</v>
      </c>
      <c r="G18" s="14">
        <v>66.220251739999995</v>
      </c>
      <c r="H18" s="16">
        <v>1.72702863</v>
      </c>
      <c r="I18" s="14" t="s">
        <v>139</v>
      </c>
      <c r="J18" s="16" t="s">
        <v>139</v>
      </c>
      <c r="K18" s="14">
        <v>0</v>
      </c>
      <c r="L18" s="16">
        <v>0</v>
      </c>
      <c r="M18" s="14">
        <v>0</v>
      </c>
      <c r="N18" s="16">
        <v>0</v>
      </c>
      <c r="O18" s="14">
        <v>0</v>
      </c>
      <c r="P18" s="16">
        <v>0</v>
      </c>
      <c r="Q18" s="14">
        <v>0</v>
      </c>
      <c r="R18" s="16">
        <v>0</v>
      </c>
    </row>
    <row r="19" spans="1:18" x14ac:dyDescent="0.25">
      <c r="A19" s="11" t="s">
        <v>151</v>
      </c>
      <c r="B19" s="13">
        <v>5658</v>
      </c>
      <c r="C19" s="14">
        <f>(4699/B19*100)</f>
        <v>83.050547896783314</v>
      </c>
      <c r="D19" s="15">
        <v>959</v>
      </c>
      <c r="E19" s="14">
        <v>32.648065750000001</v>
      </c>
      <c r="F19" s="16">
        <v>1.7280358600000001</v>
      </c>
      <c r="G19" s="14">
        <v>67.351934249999999</v>
      </c>
      <c r="H19" s="16">
        <v>1.7280358600000001</v>
      </c>
      <c r="I19" s="14" t="s">
        <v>139</v>
      </c>
      <c r="J19" s="16" t="s">
        <v>139</v>
      </c>
      <c r="K19" s="14">
        <v>0</v>
      </c>
      <c r="L19" s="16">
        <v>0</v>
      </c>
      <c r="M19" s="14">
        <v>0</v>
      </c>
      <c r="N19" s="16">
        <v>0</v>
      </c>
      <c r="O19" s="14">
        <v>0</v>
      </c>
      <c r="P19" s="16">
        <v>0</v>
      </c>
      <c r="Q19" s="14">
        <v>0</v>
      </c>
      <c r="R19" s="16">
        <v>0</v>
      </c>
    </row>
    <row r="20" spans="1:18" x14ac:dyDescent="0.25">
      <c r="A20" s="11" t="s">
        <v>152</v>
      </c>
      <c r="B20" s="13">
        <v>3371</v>
      </c>
      <c r="C20" s="14">
        <f>(2790/B20*100)</f>
        <v>82.764758231978647</v>
      </c>
      <c r="D20" s="15">
        <v>581</v>
      </c>
      <c r="E20" s="14">
        <v>39.50105636</v>
      </c>
      <c r="F20" s="16">
        <v>1.8986111699999999</v>
      </c>
      <c r="G20" s="14">
        <v>60.49894364</v>
      </c>
      <c r="H20" s="16">
        <v>1.8986111699999999</v>
      </c>
      <c r="I20" s="14" t="s">
        <v>139</v>
      </c>
      <c r="J20" s="16" t="s">
        <v>139</v>
      </c>
      <c r="K20" s="14">
        <v>0</v>
      </c>
      <c r="L20" s="16">
        <v>0</v>
      </c>
      <c r="M20" s="14">
        <v>0</v>
      </c>
      <c r="N20" s="16">
        <v>0</v>
      </c>
      <c r="O20" s="14">
        <v>0</v>
      </c>
      <c r="P20" s="16">
        <v>0</v>
      </c>
      <c r="Q20" s="14">
        <v>0</v>
      </c>
      <c r="R20" s="16">
        <v>0</v>
      </c>
    </row>
    <row r="21" spans="1:18" x14ac:dyDescent="0.25">
      <c r="A21" s="11" t="s">
        <v>153</v>
      </c>
      <c r="B21" s="17" t="s">
        <v>154</v>
      </c>
      <c r="C21" s="17" t="s">
        <v>154</v>
      </c>
      <c r="D21" s="18" t="s">
        <v>154</v>
      </c>
      <c r="E21" s="17" t="s">
        <v>154</v>
      </c>
      <c r="F21" s="18" t="s">
        <v>154</v>
      </c>
      <c r="G21" s="17" t="s">
        <v>154</v>
      </c>
      <c r="H21" s="18" t="s">
        <v>154</v>
      </c>
      <c r="I21" s="17" t="s">
        <v>154</v>
      </c>
      <c r="J21" s="18" t="s">
        <v>154</v>
      </c>
      <c r="K21" s="17" t="s">
        <v>154</v>
      </c>
      <c r="L21" s="18" t="s">
        <v>154</v>
      </c>
      <c r="M21" s="17" t="s">
        <v>154</v>
      </c>
      <c r="N21" s="18" t="s">
        <v>154</v>
      </c>
      <c r="O21" s="17" t="s">
        <v>154</v>
      </c>
      <c r="P21" s="18" t="s">
        <v>154</v>
      </c>
      <c r="Q21" s="17" t="s">
        <v>154</v>
      </c>
      <c r="R21" s="18" t="s">
        <v>154</v>
      </c>
    </row>
    <row r="22" spans="1:18" x14ac:dyDescent="0.25">
      <c r="A22" s="11" t="s">
        <v>155</v>
      </c>
      <c r="B22" s="13">
        <v>6598</v>
      </c>
      <c r="C22" s="14">
        <f>(5565/B22*100)</f>
        <v>84.343740527432558</v>
      </c>
      <c r="D22" s="15">
        <v>1033</v>
      </c>
      <c r="E22" s="14">
        <v>31.32960439</v>
      </c>
      <c r="F22" s="16">
        <v>1.6979409000000001</v>
      </c>
      <c r="G22" s="14">
        <v>68.67039561</v>
      </c>
      <c r="H22" s="16">
        <v>1.6979409000000001</v>
      </c>
      <c r="I22" s="14" t="s">
        <v>139</v>
      </c>
      <c r="J22" s="16" t="s">
        <v>139</v>
      </c>
      <c r="K22" s="14">
        <v>0</v>
      </c>
      <c r="L22" s="16">
        <v>0</v>
      </c>
      <c r="M22" s="14">
        <v>0</v>
      </c>
      <c r="N22" s="16">
        <v>0</v>
      </c>
      <c r="O22" s="14">
        <v>0</v>
      </c>
      <c r="P22" s="16">
        <v>0</v>
      </c>
      <c r="Q22" s="14">
        <v>0</v>
      </c>
      <c r="R22" s="16">
        <v>0</v>
      </c>
    </row>
    <row r="23" spans="1:18" x14ac:dyDescent="0.25">
      <c r="A23" s="11" t="s">
        <v>156</v>
      </c>
      <c r="B23" s="13">
        <v>11583</v>
      </c>
      <c r="C23" s="14">
        <f>(9605/B23*100)</f>
        <v>82.923249589916253</v>
      </c>
      <c r="D23" s="15">
        <v>1978</v>
      </c>
      <c r="E23" s="14">
        <v>33.822044630000001</v>
      </c>
      <c r="F23" s="16">
        <v>1.78501913</v>
      </c>
      <c r="G23" s="14">
        <v>66.177955370000006</v>
      </c>
      <c r="H23" s="16">
        <v>1.78501913</v>
      </c>
      <c r="I23" s="14" t="s">
        <v>139</v>
      </c>
      <c r="J23" s="16" t="s">
        <v>139</v>
      </c>
      <c r="K23" s="14">
        <v>0</v>
      </c>
      <c r="L23" s="16">
        <v>0</v>
      </c>
      <c r="M23" s="14">
        <v>0</v>
      </c>
      <c r="N23" s="16">
        <v>0</v>
      </c>
      <c r="O23" s="14">
        <v>0</v>
      </c>
      <c r="P23" s="16">
        <v>0</v>
      </c>
      <c r="Q23" s="14">
        <v>0</v>
      </c>
      <c r="R23" s="16">
        <v>0</v>
      </c>
    </row>
    <row r="24" spans="1:18" x14ac:dyDescent="0.25">
      <c r="A24" s="11" t="s">
        <v>157</v>
      </c>
      <c r="B24" s="13">
        <v>6647</v>
      </c>
      <c r="C24" s="14">
        <f>(5489/B24*100)</f>
        <v>82.578606890326469</v>
      </c>
      <c r="D24" s="15">
        <v>1158</v>
      </c>
      <c r="E24" s="14">
        <v>19.479302069999999</v>
      </c>
      <c r="F24" s="16">
        <v>1.2513485900000001</v>
      </c>
      <c r="G24" s="14">
        <v>80.520697929999997</v>
      </c>
      <c r="H24" s="16">
        <v>1.2513485900000001</v>
      </c>
      <c r="I24" s="14" t="s">
        <v>139</v>
      </c>
      <c r="J24" s="16" t="s">
        <v>139</v>
      </c>
      <c r="K24" s="14">
        <v>0</v>
      </c>
      <c r="L24" s="16">
        <v>0</v>
      </c>
      <c r="M24" s="14">
        <v>0</v>
      </c>
      <c r="N24" s="16">
        <v>0</v>
      </c>
      <c r="O24" s="14">
        <v>0</v>
      </c>
      <c r="P24" s="16">
        <v>0</v>
      </c>
      <c r="Q24" s="14">
        <v>0</v>
      </c>
      <c r="R24" s="16">
        <v>0</v>
      </c>
    </row>
    <row r="25" spans="1:18" x14ac:dyDescent="0.25">
      <c r="A25" s="11" t="s">
        <v>158</v>
      </c>
      <c r="B25" s="13">
        <v>5581</v>
      </c>
      <c r="C25" s="14">
        <f>(4616/B25*100)</f>
        <v>82.709191901092993</v>
      </c>
      <c r="D25" s="15">
        <v>965</v>
      </c>
      <c r="E25" s="14">
        <v>13.911065369999999</v>
      </c>
      <c r="F25" s="16">
        <v>1.1604800900000001</v>
      </c>
      <c r="G25" s="14">
        <v>86.088934629999997</v>
      </c>
      <c r="H25" s="16">
        <v>1.1604800900000001</v>
      </c>
      <c r="I25" s="14" t="s">
        <v>139</v>
      </c>
      <c r="J25" s="16" t="s">
        <v>139</v>
      </c>
      <c r="K25" s="14">
        <v>0</v>
      </c>
      <c r="L25" s="16">
        <v>0</v>
      </c>
      <c r="M25" s="14">
        <v>0</v>
      </c>
      <c r="N25" s="16">
        <v>0</v>
      </c>
      <c r="O25" s="14">
        <v>0</v>
      </c>
      <c r="P25" s="16">
        <v>0</v>
      </c>
      <c r="Q25" s="14">
        <v>0</v>
      </c>
      <c r="R25" s="16">
        <v>0</v>
      </c>
    </row>
    <row r="26" spans="1:18" x14ac:dyDescent="0.25">
      <c r="A26" s="11" t="s">
        <v>159</v>
      </c>
      <c r="B26" s="13">
        <v>4869</v>
      </c>
      <c r="C26" s="14">
        <f>(4009/B26*100)</f>
        <v>82.337235571986028</v>
      </c>
      <c r="D26" s="15">
        <v>860</v>
      </c>
      <c r="E26" s="14">
        <v>26.56985508</v>
      </c>
      <c r="F26" s="16">
        <v>1.4817711</v>
      </c>
      <c r="G26" s="14">
        <v>73.430144920000004</v>
      </c>
      <c r="H26" s="16">
        <v>1.4817711</v>
      </c>
      <c r="I26" s="14" t="s">
        <v>139</v>
      </c>
      <c r="J26" s="16" t="s">
        <v>139</v>
      </c>
      <c r="K26" s="14">
        <v>0</v>
      </c>
      <c r="L26" s="16">
        <v>0</v>
      </c>
      <c r="M26" s="14">
        <v>0</v>
      </c>
      <c r="N26" s="16">
        <v>0</v>
      </c>
      <c r="O26" s="14">
        <v>0</v>
      </c>
      <c r="P26" s="16">
        <v>0</v>
      </c>
      <c r="Q26" s="14">
        <v>0</v>
      </c>
      <c r="R26" s="16">
        <v>0</v>
      </c>
    </row>
    <row r="27" spans="1:18" x14ac:dyDescent="0.25">
      <c r="A27" s="11" t="s">
        <v>160</v>
      </c>
      <c r="B27" s="13">
        <v>5299</v>
      </c>
      <c r="C27" s="14">
        <f>(4381/B27*100)</f>
        <v>82.675976599358364</v>
      </c>
      <c r="D27" s="15">
        <v>918</v>
      </c>
      <c r="E27" s="14">
        <v>29.891751339999999</v>
      </c>
      <c r="F27" s="16">
        <v>1.56658494</v>
      </c>
      <c r="G27" s="14">
        <v>70.108248660000001</v>
      </c>
      <c r="H27" s="16">
        <v>1.56658494</v>
      </c>
      <c r="I27" s="14" t="s">
        <v>139</v>
      </c>
      <c r="J27" s="16" t="s">
        <v>139</v>
      </c>
      <c r="K27" s="14">
        <v>0</v>
      </c>
      <c r="L27" s="16">
        <v>0</v>
      </c>
      <c r="M27" s="14">
        <v>0</v>
      </c>
      <c r="N27" s="16">
        <v>0</v>
      </c>
      <c r="O27" s="14">
        <v>0</v>
      </c>
      <c r="P27" s="16">
        <v>0</v>
      </c>
      <c r="Q27" s="14">
        <v>0</v>
      </c>
      <c r="R27" s="16">
        <v>0</v>
      </c>
    </row>
    <row r="28" spans="1:18" x14ac:dyDescent="0.25">
      <c r="A28" s="11" t="s">
        <v>161</v>
      </c>
      <c r="B28" s="13">
        <v>7568</v>
      </c>
      <c r="C28" s="14">
        <f>(6328/B28*100)</f>
        <v>83.61522198731501</v>
      </c>
      <c r="D28" s="15">
        <v>1240</v>
      </c>
      <c r="E28" s="14">
        <v>46.649931209999998</v>
      </c>
      <c r="F28" s="16">
        <v>1.5955754600000001</v>
      </c>
      <c r="G28" s="14">
        <v>53.350068790000002</v>
      </c>
      <c r="H28" s="16">
        <v>1.5955754600000001</v>
      </c>
      <c r="I28" s="14" t="s">
        <v>139</v>
      </c>
      <c r="J28" s="16" t="s">
        <v>139</v>
      </c>
      <c r="K28" s="14">
        <v>0</v>
      </c>
      <c r="L28" s="16">
        <v>0</v>
      </c>
      <c r="M28" s="14">
        <v>0</v>
      </c>
      <c r="N28" s="16">
        <v>0</v>
      </c>
      <c r="O28" s="14">
        <v>0</v>
      </c>
      <c r="P28" s="16">
        <v>0</v>
      </c>
      <c r="Q28" s="14">
        <v>0</v>
      </c>
      <c r="R28" s="16">
        <v>0</v>
      </c>
    </row>
    <row r="29" spans="1:18" x14ac:dyDescent="0.25">
      <c r="A29" s="11" t="s">
        <v>162</v>
      </c>
      <c r="B29" s="13">
        <v>5385</v>
      </c>
      <c r="C29" s="14">
        <f>(4470/B29*100)</f>
        <v>83.008356545961007</v>
      </c>
      <c r="D29" s="15">
        <v>915</v>
      </c>
      <c r="E29" s="14">
        <v>28.29901211</v>
      </c>
      <c r="F29" s="16">
        <v>1.4259186100000001</v>
      </c>
      <c r="G29" s="14">
        <v>71.700987889999993</v>
      </c>
      <c r="H29" s="16">
        <v>1.4259186100000001</v>
      </c>
      <c r="I29" s="14" t="s">
        <v>139</v>
      </c>
      <c r="J29" s="16" t="s">
        <v>139</v>
      </c>
      <c r="K29" s="14">
        <v>0</v>
      </c>
      <c r="L29" s="16">
        <v>0</v>
      </c>
      <c r="M29" s="14">
        <v>0</v>
      </c>
      <c r="N29" s="16">
        <v>0</v>
      </c>
      <c r="O29" s="14">
        <v>0</v>
      </c>
      <c r="P29" s="16">
        <v>0</v>
      </c>
      <c r="Q29" s="14">
        <v>0</v>
      </c>
      <c r="R29" s="16">
        <v>0</v>
      </c>
    </row>
    <row r="30" spans="1:18" x14ac:dyDescent="0.25">
      <c r="A30" s="11" t="s">
        <v>163</v>
      </c>
      <c r="B30" s="13">
        <v>4520</v>
      </c>
      <c r="C30" s="14">
        <f>(3747/B30*100)</f>
        <v>82.898230088495566</v>
      </c>
      <c r="D30" s="15">
        <v>773</v>
      </c>
      <c r="E30" s="14">
        <v>19.640121690000001</v>
      </c>
      <c r="F30" s="16">
        <v>1.33830369</v>
      </c>
      <c r="G30" s="14">
        <v>80.359878309999999</v>
      </c>
      <c r="H30" s="16">
        <v>1.33830369</v>
      </c>
      <c r="I30" s="14" t="s">
        <v>139</v>
      </c>
      <c r="J30" s="16" t="s">
        <v>139</v>
      </c>
      <c r="K30" s="14">
        <v>0</v>
      </c>
      <c r="L30" s="16">
        <v>0</v>
      </c>
      <c r="M30" s="14">
        <v>0</v>
      </c>
      <c r="N30" s="16">
        <v>0</v>
      </c>
      <c r="O30" s="14">
        <v>0</v>
      </c>
      <c r="P30" s="16">
        <v>0</v>
      </c>
      <c r="Q30" s="14">
        <v>0</v>
      </c>
      <c r="R30" s="16">
        <v>0</v>
      </c>
    </row>
    <row r="31" spans="1:18" x14ac:dyDescent="0.25">
      <c r="A31" s="11" t="s">
        <v>164</v>
      </c>
      <c r="B31" s="13">
        <v>5456</v>
      </c>
      <c r="C31" s="14">
        <f>(4535/B31*100)</f>
        <v>83.119501466275665</v>
      </c>
      <c r="D31" s="15">
        <v>921</v>
      </c>
      <c r="E31" s="14">
        <v>28.164545889999999</v>
      </c>
      <c r="F31" s="16">
        <v>1.7120713400000001</v>
      </c>
      <c r="G31" s="14">
        <v>71.835454110000001</v>
      </c>
      <c r="H31" s="16">
        <v>1.7120713400000001</v>
      </c>
      <c r="I31" s="14" t="s">
        <v>139</v>
      </c>
      <c r="J31" s="16" t="s">
        <v>139</v>
      </c>
      <c r="K31" s="14">
        <v>0</v>
      </c>
      <c r="L31" s="16">
        <v>0</v>
      </c>
      <c r="M31" s="14">
        <v>0</v>
      </c>
      <c r="N31" s="16">
        <v>0</v>
      </c>
      <c r="O31" s="14">
        <v>0</v>
      </c>
      <c r="P31" s="16">
        <v>0</v>
      </c>
      <c r="Q31" s="14">
        <v>0</v>
      </c>
      <c r="R31" s="16">
        <v>0</v>
      </c>
    </row>
    <row r="32" spans="1:18" x14ac:dyDescent="0.25">
      <c r="A32" s="11" t="s">
        <v>165</v>
      </c>
      <c r="B32" s="17" t="s">
        <v>154</v>
      </c>
      <c r="C32" s="17" t="s">
        <v>154</v>
      </c>
      <c r="D32" s="18" t="s">
        <v>154</v>
      </c>
      <c r="E32" s="17" t="s">
        <v>154</v>
      </c>
      <c r="F32" s="18" t="s">
        <v>154</v>
      </c>
      <c r="G32" s="17" t="s">
        <v>154</v>
      </c>
      <c r="H32" s="18" t="s">
        <v>154</v>
      </c>
      <c r="I32" s="17" t="s">
        <v>154</v>
      </c>
      <c r="J32" s="18" t="s">
        <v>154</v>
      </c>
      <c r="K32" s="17" t="s">
        <v>154</v>
      </c>
      <c r="L32" s="18" t="s">
        <v>154</v>
      </c>
      <c r="M32" s="17" t="s">
        <v>154</v>
      </c>
      <c r="N32" s="18" t="s">
        <v>154</v>
      </c>
      <c r="O32" s="17" t="s">
        <v>154</v>
      </c>
      <c r="P32" s="18" t="s">
        <v>154</v>
      </c>
      <c r="Q32" s="17" t="s">
        <v>154</v>
      </c>
      <c r="R32" s="18" t="s">
        <v>154</v>
      </c>
    </row>
    <row r="33" spans="1:18" x14ac:dyDescent="0.25">
      <c r="A33" s="11" t="s">
        <v>166</v>
      </c>
      <c r="B33" s="13">
        <v>7325</v>
      </c>
      <c r="C33" s="14">
        <f>(6101/B33*100)</f>
        <v>83.290102389078498</v>
      </c>
      <c r="D33" s="15">
        <v>1224</v>
      </c>
      <c r="E33" s="14">
        <v>37.273618620000001</v>
      </c>
      <c r="F33" s="16">
        <v>2.07365983</v>
      </c>
      <c r="G33" s="14">
        <v>62.726381379999999</v>
      </c>
      <c r="H33" s="16">
        <v>2.07365983</v>
      </c>
      <c r="I33" s="14" t="s">
        <v>139</v>
      </c>
      <c r="J33" s="16" t="s">
        <v>139</v>
      </c>
      <c r="K33" s="14">
        <v>0</v>
      </c>
      <c r="L33" s="16">
        <v>0</v>
      </c>
      <c r="M33" s="14">
        <v>0</v>
      </c>
      <c r="N33" s="16">
        <v>0</v>
      </c>
      <c r="O33" s="14">
        <v>0</v>
      </c>
      <c r="P33" s="16">
        <v>0</v>
      </c>
      <c r="Q33" s="14">
        <v>0</v>
      </c>
      <c r="R33" s="16">
        <v>0</v>
      </c>
    </row>
    <row r="34" spans="1:18" x14ac:dyDescent="0.25">
      <c r="A34" s="11" t="s">
        <v>167</v>
      </c>
      <c r="B34" s="13">
        <v>6350</v>
      </c>
      <c r="C34" s="14">
        <f>(5284/B34*100)</f>
        <v>83.212598425196845</v>
      </c>
      <c r="D34" s="15">
        <v>1066</v>
      </c>
      <c r="E34" s="14">
        <v>39.578985330000002</v>
      </c>
      <c r="F34" s="16">
        <v>1.6219735900000001</v>
      </c>
      <c r="G34" s="14">
        <v>60.421014669999998</v>
      </c>
      <c r="H34" s="16">
        <v>1.6219735900000001</v>
      </c>
      <c r="I34" s="14" t="s">
        <v>139</v>
      </c>
      <c r="J34" s="16" t="s">
        <v>139</v>
      </c>
      <c r="K34" s="14">
        <v>0</v>
      </c>
      <c r="L34" s="16">
        <v>0</v>
      </c>
      <c r="M34" s="14">
        <v>0</v>
      </c>
      <c r="N34" s="16">
        <v>0</v>
      </c>
      <c r="O34" s="14">
        <v>0</v>
      </c>
      <c r="P34" s="16">
        <v>0</v>
      </c>
      <c r="Q34" s="14">
        <v>0</v>
      </c>
      <c r="R34" s="16">
        <v>0</v>
      </c>
    </row>
    <row r="35" spans="1:18" x14ac:dyDescent="0.25">
      <c r="A35" s="11" t="s">
        <v>168</v>
      </c>
      <c r="B35" s="13">
        <v>6406</v>
      </c>
      <c r="C35" s="14">
        <f>(5299/B35*100)</f>
        <v>82.719325632219793</v>
      </c>
      <c r="D35" s="15">
        <v>1107</v>
      </c>
      <c r="E35" s="14">
        <v>27.959209420000001</v>
      </c>
      <c r="F35" s="16">
        <v>1.4813858900000001</v>
      </c>
      <c r="G35" s="14">
        <v>72.040790580000007</v>
      </c>
      <c r="H35" s="16">
        <v>1.4813858900000001</v>
      </c>
      <c r="I35" s="14" t="s">
        <v>139</v>
      </c>
      <c r="J35" s="16" t="s">
        <v>139</v>
      </c>
      <c r="K35" s="14">
        <v>0</v>
      </c>
      <c r="L35" s="16">
        <v>0</v>
      </c>
      <c r="M35" s="14">
        <v>0</v>
      </c>
      <c r="N35" s="16">
        <v>0</v>
      </c>
      <c r="O35" s="14">
        <v>0</v>
      </c>
      <c r="P35" s="16">
        <v>0</v>
      </c>
      <c r="Q35" s="14">
        <v>0</v>
      </c>
      <c r="R35" s="16">
        <v>0</v>
      </c>
    </row>
    <row r="36" spans="1:18" x14ac:dyDescent="0.25">
      <c r="A36" s="11" t="s">
        <v>169</v>
      </c>
      <c r="B36" s="13">
        <v>6736</v>
      </c>
      <c r="C36" s="14">
        <f>(5580/B36*100)</f>
        <v>82.838479809976249</v>
      </c>
      <c r="D36" s="15">
        <v>1156</v>
      </c>
      <c r="E36" s="14">
        <v>29.26092263</v>
      </c>
      <c r="F36" s="16">
        <v>1.45060652</v>
      </c>
      <c r="G36" s="14">
        <v>70.739077370000004</v>
      </c>
      <c r="H36" s="16">
        <v>1.45060652</v>
      </c>
      <c r="I36" s="14" t="s">
        <v>139</v>
      </c>
      <c r="J36" s="16" t="s">
        <v>139</v>
      </c>
      <c r="K36" s="14">
        <v>0</v>
      </c>
      <c r="L36" s="16">
        <v>0</v>
      </c>
      <c r="M36" s="14">
        <v>0</v>
      </c>
      <c r="N36" s="16">
        <v>0</v>
      </c>
      <c r="O36" s="14">
        <v>0</v>
      </c>
      <c r="P36" s="16">
        <v>0</v>
      </c>
      <c r="Q36" s="14">
        <v>0</v>
      </c>
      <c r="R36" s="16">
        <v>0</v>
      </c>
    </row>
    <row r="37" spans="1:18" x14ac:dyDescent="0.25">
      <c r="A37" s="11" t="s">
        <v>170</v>
      </c>
      <c r="B37" s="13">
        <v>5458</v>
      </c>
      <c r="C37" s="14">
        <f>(4558/B37*100)</f>
        <v>83.510443385855623</v>
      </c>
      <c r="D37" s="15">
        <v>900</v>
      </c>
      <c r="E37" s="14">
        <v>22.490612209999998</v>
      </c>
      <c r="F37" s="16">
        <v>1.4766598900000001</v>
      </c>
      <c r="G37" s="14">
        <v>77.509387790000005</v>
      </c>
      <c r="H37" s="16">
        <v>1.4766598900000001</v>
      </c>
      <c r="I37" s="14" t="s">
        <v>139</v>
      </c>
      <c r="J37" s="16" t="s">
        <v>139</v>
      </c>
      <c r="K37" s="14">
        <v>0</v>
      </c>
      <c r="L37" s="16">
        <v>0</v>
      </c>
      <c r="M37" s="14">
        <v>0</v>
      </c>
      <c r="N37" s="16">
        <v>0</v>
      </c>
      <c r="O37" s="14">
        <v>0</v>
      </c>
      <c r="P37" s="16">
        <v>0</v>
      </c>
      <c r="Q37" s="14">
        <v>0</v>
      </c>
      <c r="R37" s="16">
        <v>0</v>
      </c>
    </row>
    <row r="38" spans="1:18" x14ac:dyDescent="0.25">
      <c r="A38" s="11" t="s">
        <v>171</v>
      </c>
      <c r="B38" s="17" t="s">
        <v>154</v>
      </c>
      <c r="C38" s="17" t="s">
        <v>154</v>
      </c>
      <c r="D38" s="18" t="s">
        <v>154</v>
      </c>
      <c r="E38" s="17" t="s">
        <v>154</v>
      </c>
      <c r="F38" s="18" t="s">
        <v>154</v>
      </c>
      <c r="G38" s="17" t="s">
        <v>154</v>
      </c>
      <c r="H38" s="18" t="s">
        <v>154</v>
      </c>
      <c r="I38" s="17" t="s">
        <v>154</v>
      </c>
      <c r="J38" s="18" t="s">
        <v>154</v>
      </c>
      <c r="K38" s="17" t="s">
        <v>154</v>
      </c>
      <c r="L38" s="18" t="s">
        <v>154</v>
      </c>
      <c r="M38" s="17" t="s">
        <v>154</v>
      </c>
      <c r="N38" s="18" t="s">
        <v>154</v>
      </c>
      <c r="O38" s="17" t="s">
        <v>154</v>
      </c>
      <c r="P38" s="18" t="s">
        <v>154</v>
      </c>
      <c r="Q38" s="17" t="s">
        <v>154</v>
      </c>
      <c r="R38" s="18" t="s">
        <v>154</v>
      </c>
    </row>
    <row r="39" spans="1:18" x14ac:dyDescent="0.25">
      <c r="A39" s="11" t="s">
        <v>172</v>
      </c>
      <c r="B39" s="13">
        <v>5895</v>
      </c>
      <c r="C39" s="14">
        <f>(4870/B39*100)</f>
        <v>82.612383375742155</v>
      </c>
      <c r="D39" s="15">
        <v>1025</v>
      </c>
      <c r="E39" s="14">
        <v>45.127500589999997</v>
      </c>
      <c r="F39" s="16">
        <v>1.8592830499999999</v>
      </c>
      <c r="G39" s="14">
        <v>54.872499410000003</v>
      </c>
      <c r="H39" s="16">
        <v>1.8592830499999999</v>
      </c>
      <c r="I39" s="14" t="s">
        <v>139</v>
      </c>
      <c r="J39" s="16" t="s">
        <v>139</v>
      </c>
      <c r="K39" s="14">
        <v>0</v>
      </c>
      <c r="L39" s="16">
        <v>0</v>
      </c>
      <c r="M39" s="14">
        <v>0</v>
      </c>
      <c r="N39" s="16">
        <v>0</v>
      </c>
      <c r="O39" s="14">
        <v>0</v>
      </c>
      <c r="P39" s="16">
        <v>0</v>
      </c>
      <c r="Q39" s="14">
        <v>0</v>
      </c>
      <c r="R39" s="16">
        <v>0</v>
      </c>
    </row>
    <row r="40" spans="1:18" x14ac:dyDescent="0.25">
      <c r="A40" s="11" t="s">
        <v>173</v>
      </c>
      <c r="B40" s="13">
        <v>14157</v>
      </c>
      <c r="C40" s="14">
        <f>(11633/B40*100)</f>
        <v>82.17136398954581</v>
      </c>
      <c r="D40" s="15">
        <v>2524</v>
      </c>
      <c r="E40" s="14">
        <v>23.353699800000001</v>
      </c>
      <c r="F40" s="16">
        <v>1.39534984</v>
      </c>
      <c r="G40" s="14">
        <v>76.646300199999999</v>
      </c>
      <c r="H40" s="16">
        <v>1.39534984</v>
      </c>
      <c r="I40" s="14" t="s">
        <v>139</v>
      </c>
      <c r="J40" s="16" t="s">
        <v>139</v>
      </c>
      <c r="K40" s="14">
        <v>0</v>
      </c>
      <c r="L40" s="16">
        <v>0</v>
      </c>
      <c r="M40" s="14">
        <v>0</v>
      </c>
      <c r="N40" s="16">
        <v>0</v>
      </c>
      <c r="O40" s="14">
        <v>0</v>
      </c>
      <c r="P40" s="16">
        <v>0</v>
      </c>
      <c r="Q40" s="14">
        <v>0</v>
      </c>
      <c r="R40" s="16">
        <v>0</v>
      </c>
    </row>
    <row r="41" spans="1:18" x14ac:dyDescent="0.25">
      <c r="A41" s="11" t="s">
        <v>174</v>
      </c>
      <c r="B41" s="13">
        <v>5712</v>
      </c>
      <c r="C41" s="14">
        <f>(4759/B41*100)</f>
        <v>83.315826330532218</v>
      </c>
      <c r="D41" s="15">
        <v>953</v>
      </c>
      <c r="E41" s="14">
        <v>23.642255630000001</v>
      </c>
      <c r="F41" s="16">
        <v>1.35732553</v>
      </c>
      <c r="G41" s="14">
        <v>76.357744370000006</v>
      </c>
      <c r="H41" s="16">
        <v>1.35732553</v>
      </c>
      <c r="I41" s="14" t="s">
        <v>139</v>
      </c>
      <c r="J41" s="16" t="s">
        <v>139</v>
      </c>
      <c r="K41" s="14">
        <v>0</v>
      </c>
      <c r="L41" s="16">
        <v>0</v>
      </c>
      <c r="M41" s="14">
        <v>0</v>
      </c>
      <c r="N41" s="16">
        <v>0</v>
      </c>
      <c r="O41" s="14">
        <v>0</v>
      </c>
      <c r="P41" s="16">
        <v>0</v>
      </c>
      <c r="Q41" s="14">
        <v>0</v>
      </c>
      <c r="R41" s="16">
        <v>0</v>
      </c>
    </row>
    <row r="42" spans="1:18" x14ac:dyDescent="0.25">
      <c r="A42" s="11" t="s">
        <v>175</v>
      </c>
      <c r="B42" s="13">
        <f>IF(COUNT(B7:B41) &gt; 0, AVERAGE(B7:B41), "\u2014")</f>
        <v>7266.90625</v>
      </c>
      <c r="C42" s="14">
        <f>IF(COUNT(C7:C41) &gt; 0, AVERAGE(C7:C41), "—")</f>
        <v>82.987487641913049</v>
      </c>
      <c r="D42" s="15">
        <f>IF(COUNT(D7:D41) &gt; 0, AVERAGE(D7:D41), "—")</f>
        <v>1237.71875</v>
      </c>
      <c r="E42" s="14">
        <f>IF(COUNT(E7:E41) &gt; 0, AVERAGE(E7:E41), "—")</f>
        <v>28.823008345937499</v>
      </c>
      <c r="F42" s="16">
        <f>IF(COUNT(F7:F41) &gt; 0, SQRT(SUMSQ(F7:F41)/(COUNT(F7:F41)*COUNT(F7:F41)) ), "—")</f>
        <v>0.26780862690681795</v>
      </c>
      <c r="G42" s="14">
        <f>IF(COUNT(G7:G41) &gt; 0, AVERAGE(G7:G41), "—")</f>
        <v>71.176991654062505</v>
      </c>
      <c r="H42" s="16">
        <f>IF(COUNT(H7:H41) &gt; 0, SQRT(SUMSQ(H7:H41)/(COUNT(H7:H41)*COUNT(H7:H41)) ), "—")</f>
        <v>0.26780862690681795</v>
      </c>
      <c r="I42" s="14" t="str">
        <f>IF(COUNT(I7:I41) &gt; 0, AVERAGE(I7:I41), "—")</f>
        <v>—</v>
      </c>
      <c r="J42" s="16" t="str">
        <f>IF(COUNT(J7:J41) &gt; 0, SQRT(SUMSQ(J7:J41)/(COUNT(J7:J41)*COUNT(J7:J41)) ), "—")</f>
        <v>—</v>
      </c>
      <c r="K42" s="14">
        <f>IF(COUNT(K7:K41) &gt; 0, AVERAGE(K7:K41), "—")</f>
        <v>0</v>
      </c>
      <c r="L42" s="16">
        <f>IF(COUNT(L7:L41) &gt; 0, SQRT(SUMSQ(L7:L41)/(COUNT(L7:L41)*COUNT(L7:L41)) ), "—")</f>
        <v>0</v>
      </c>
      <c r="M42" s="14">
        <f>IF(COUNT(M7:M41) &gt; 0, AVERAGE(M7:M41), "—")</f>
        <v>0</v>
      </c>
      <c r="N42" s="16">
        <f>IF(COUNT(N7:N41) &gt; 0, SQRT(SUMSQ(N7:N41)/(COUNT(N7:N41)*COUNT(N7:N41)) ), "—")</f>
        <v>0</v>
      </c>
      <c r="O42" s="14">
        <f>IF(COUNT(O7:O41) &gt; 0, AVERAGE(O7:O41), "—")</f>
        <v>0</v>
      </c>
      <c r="P42" s="16">
        <f>IF(COUNT(P7:P41) &gt; 0, SQRT(SUMSQ(P7:P41)/(COUNT(P7:P41)*COUNT(P7:P41)) ), "—")</f>
        <v>0</v>
      </c>
      <c r="Q42" s="14">
        <f>IF(COUNT(Q7:Q41) &gt; 0, AVERAGE(Q7:Q41), "—")</f>
        <v>0</v>
      </c>
      <c r="R42" s="16">
        <f>IF(COUNT(R7:R41) &gt; 0, SQRT(SUMSQ(R7:R41)/(COUNT(R7:R41)*COUNT(R7:R41)) ), "—")</f>
        <v>0</v>
      </c>
    </row>
    <row r="43" spans="1:18" x14ac:dyDescent="0.25">
      <c r="A43" s="9" t="s">
        <v>176</v>
      </c>
      <c r="B43" s="10"/>
      <c r="C43" s="10"/>
      <c r="D43" s="11"/>
      <c r="E43" s="10"/>
      <c r="F43" s="11"/>
      <c r="G43" s="10"/>
      <c r="H43" s="11"/>
      <c r="I43" s="10"/>
      <c r="J43" s="11"/>
      <c r="K43" s="10"/>
      <c r="L43" s="11"/>
      <c r="M43" s="10"/>
      <c r="N43" s="11"/>
      <c r="O43" s="10"/>
      <c r="P43" s="11"/>
      <c r="Q43" s="10"/>
      <c r="R43" s="12"/>
    </row>
    <row r="44" spans="1:18" x14ac:dyDescent="0.25">
      <c r="A44" s="11" t="s">
        <v>177</v>
      </c>
      <c r="B44" s="17" t="s">
        <v>154</v>
      </c>
      <c r="C44" s="17" t="s">
        <v>154</v>
      </c>
      <c r="D44" s="18" t="s">
        <v>154</v>
      </c>
      <c r="E44" s="17" t="s">
        <v>154</v>
      </c>
      <c r="F44" s="18" t="s">
        <v>154</v>
      </c>
      <c r="G44" s="17" t="s">
        <v>154</v>
      </c>
      <c r="H44" s="18" t="s">
        <v>154</v>
      </c>
      <c r="I44" s="17" t="s">
        <v>154</v>
      </c>
      <c r="J44" s="18" t="s">
        <v>154</v>
      </c>
      <c r="K44" s="17" t="s">
        <v>154</v>
      </c>
      <c r="L44" s="18" t="s">
        <v>154</v>
      </c>
      <c r="M44" s="17" t="s">
        <v>154</v>
      </c>
      <c r="N44" s="18" t="s">
        <v>154</v>
      </c>
      <c r="O44" s="17" t="s">
        <v>154</v>
      </c>
      <c r="P44" s="18" t="s">
        <v>154</v>
      </c>
      <c r="Q44" s="17" t="s">
        <v>154</v>
      </c>
      <c r="R44" s="18" t="s">
        <v>154</v>
      </c>
    </row>
    <row r="45" spans="1:18" x14ac:dyDescent="0.25">
      <c r="A45" s="11" t="s">
        <v>178</v>
      </c>
      <c r="B45" s="17" t="s">
        <v>154</v>
      </c>
      <c r="C45" s="17" t="s">
        <v>154</v>
      </c>
      <c r="D45" s="18" t="s">
        <v>154</v>
      </c>
      <c r="E45" s="17" t="s">
        <v>154</v>
      </c>
      <c r="F45" s="18" t="s">
        <v>154</v>
      </c>
      <c r="G45" s="17" t="s">
        <v>154</v>
      </c>
      <c r="H45" s="18" t="s">
        <v>154</v>
      </c>
      <c r="I45" s="17" t="s">
        <v>154</v>
      </c>
      <c r="J45" s="18" t="s">
        <v>154</v>
      </c>
      <c r="K45" s="17" t="s">
        <v>154</v>
      </c>
      <c r="L45" s="18" t="s">
        <v>154</v>
      </c>
      <c r="M45" s="17" t="s">
        <v>154</v>
      </c>
      <c r="N45" s="18" t="s">
        <v>154</v>
      </c>
      <c r="O45" s="17" t="s">
        <v>154</v>
      </c>
      <c r="P45" s="18" t="s">
        <v>154</v>
      </c>
      <c r="Q45" s="17" t="s">
        <v>154</v>
      </c>
      <c r="R45" s="18" t="s">
        <v>154</v>
      </c>
    </row>
    <row r="46" spans="1:18" x14ac:dyDescent="0.25">
      <c r="A46" s="11" t="s">
        <v>179</v>
      </c>
      <c r="B46" s="13">
        <v>23141</v>
      </c>
      <c r="C46" s="14">
        <f>(19679/B46*100)</f>
        <v>85.039540210016852</v>
      </c>
      <c r="D46" s="15">
        <v>3462</v>
      </c>
      <c r="E46" s="14">
        <v>61.032352580000001</v>
      </c>
      <c r="F46" s="16">
        <v>1.18826378</v>
      </c>
      <c r="G46" s="14">
        <v>38.967647419999999</v>
      </c>
      <c r="H46" s="16">
        <v>1.18826378</v>
      </c>
      <c r="I46" s="14" t="s">
        <v>139</v>
      </c>
      <c r="J46" s="16" t="s">
        <v>139</v>
      </c>
      <c r="K46" s="14">
        <v>0</v>
      </c>
      <c r="L46" s="16">
        <v>0</v>
      </c>
      <c r="M46" s="14">
        <v>0</v>
      </c>
      <c r="N46" s="16">
        <v>0</v>
      </c>
      <c r="O46" s="14">
        <v>0</v>
      </c>
      <c r="P46" s="16">
        <v>0</v>
      </c>
      <c r="Q46" s="14">
        <v>0</v>
      </c>
      <c r="R46" s="16">
        <v>0</v>
      </c>
    </row>
    <row r="47" spans="1:18" x14ac:dyDescent="0.25">
      <c r="A47" s="11" t="s">
        <v>180</v>
      </c>
      <c r="B47" s="13">
        <v>5928</v>
      </c>
      <c r="C47" s="14">
        <f>(4925/B47*100)</f>
        <v>83.080296896086367</v>
      </c>
      <c r="D47" s="15">
        <v>1003</v>
      </c>
      <c r="E47" s="14">
        <v>43.63657396</v>
      </c>
      <c r="F47" s="16">
        <v>1.90522356</v>
      </c>
      <c r="G47" s="14">
        <v>56.36342604</v>
      </c>
      <c r="H47" s="16">
        <v>1.90522356</v>
      </c>
      <c r="I47" s="14" t="s">
        <v>139</v>
      </c>
      <c r="J47" s="16" t="s">
        <v>139</v>
      </c>
      <c r="K47" s="14">
        <v>0</v>
      </c>
      <c r="L47" s="16">
        <v>0</v>
      </c>
      <c r="M47" s="14">
        <v>0</v>
      </c>
      <c r="N47" s="16">
        <v>0</v>
      </c>
      <c r="O47" s="14">
        <v>0</v>
      </c>
      <c r="P47" s="16">
        <v>0</v>
      </c>
      <c r="Q47" s="14">
        <v>0</v>
      </c>
      <c r="R47" s="16">
        <v>0</v>
      </c>
    </row>
    <row r="48" spans="1:18" x14ac:dyDescent="0.25">
      <c r="A48" s="11" t="s">
        <v>181</v>
      </c>
      <c r="B48" s="13">
        <v>9841</v>
      </c>
      <c r="C48" s="14">
        <f>(8150/B48*100)</f>
        <v>82.8167869118992</v>
      </c>
      <c r="D48" s="15">
        <v>1691</v>
      </c>
      <c r="E48" s="14">
        <v>25.069556599999999</v>
      </c>
      <c r="F48" s="16">
        <v>1.34112853</v>
      </c>
      <c r="G48" s="14">
        <v>74.930443400000001</v>
      </c>
      <c r="H48" s="16">
        <v>1.34112853</v>
      </c>
      <c r="I48" s="14" t="s">
        <v>139</v>
      </c>
      <c r="J48" s="16" t="s">
        <v>139</v>
      </c>
      <c r="K48" s="14">
        <v>0</v>
      </c>
      <c r="L48" s="16">
        <v>0</v>
      </c>
      <c r="M48" s="14">
        <v>0</v>
      </c>
      <c r="N48" s="16">
        <v>0</v>
      </c>
      <c r="O48" s="14">
        <v>0</v>
      </c>
      <c r="P48" s="16">
        <v>0</v>
      </c>
      <c r="Q48" s="14">
        <v>0</v>
      </c>
      <c r="R48" s="16">
        <v>0</v>
      </c>
    </row>
    <row r="49" spans="1:18" x14ac:dyDescent="0.25">
      <c r="A49" s="11" t="s">
        <v>182</v>
      </c>
      <c r="B49" s="17" t="s">
        <v>154</v>
      </c>
      <c r="C49" s="17" t="s">
        <v>154</v>
      </c>
      <c r="D49" s="18" t="s">
        <v>154</v>
      </c>
      <c r="E49" s="17" t="s">
        <v>154</v>
      </c>
      <c r="F49" s="18" t="s">
        <v>154</v>
      </c>
      <c r="G49" s="17" t="s">
        <v>154</v>
      </c>
      <c r="H49" s="18" t="s">
        <v>154</v>
      </c>
      <c r="I49" s="17" t="s">
        <v>154</v>
      </c>
      <c r="J49" s="18" t="s">
        <v>154</v>
      </c>
      <c r="K49" s="17" t="s">
        <v>154</v>
      </c>
      <c r="L49" s="18" t="s">
        <v>154</v>
      </c>
      <c r="M49" s="17" t="s">
        <v>154</v>
      </c>
      <c r="N49" s="18" t="s">
        <v>154</v>
      </c>
      <c r="O49" s="17" t="s">
        <v>154</v>
      </c>
      <c r="P49" s="18" t="s">
        <v>154</v>
      </c>
      <c r="Q49" s="17" t="s">
        <v>154</v>
      </c>
      <c r="R49" s="18" t="s">
        <v>154</v>
      </c>
    </row>
    <row r="50" spans="1:18" x14ac:dyDescent="0.25">
      <c r="A50" s="11" t="s">
        <v>183</v>
      </c>
      <c r="B50" s="13">
        <v>11795</v>
      </c>
      <c r="C50" s="14">
        <f>(9800/B50*100)</f>
        <v>83.086053412462917</v>
      </c>
      <c r="D50" s="15">
        <v>1995</v>
      </c>
      <c r="E50" s="14">
        <v>52.626221110000003</v>
      </c>
      <c r="F50" s="16">
        <v>1.5782508900000001</v>
      </c>
      <c r="G50" s="14">
        <v>47.373778889999997</v>
      </c>
      <c r="H50" s="16">
        <v>1.5782508900000001</v>
      </c>
      <c r="I50" s="14" t="s">
        <v>139</v>
      </c>
      <c r="J50" s="16" t="s">
        <v>139</v>
      </c>
      <c r="K50" s="14">
        <v>0</v>
      </c>
      <c r="L50" s="16">
        <v>0</v>
      </c>
      <c r="M50" s="14">
        <v>0</v>
      </c>
      <c r="N50" s="16">
        <v>0</v>
      </c>
      <c r="O50" s="14">
        <v>0</v>
      </c>
      <c r="P50" s="16">
        <v>0</v>
      </c>
      <c r="Q50" s="14">
        <v>0</v>
      </c>
      <c r="R50" s="16">
        <v>0</v>
      </c>
    </row>
    <row r="51" spans="1:18" x14ac:dyDescent="0.25">
      <c r="A51" s="11" t="s">
        <v>184</v>
      </c>
      <c r="B51" s="13">
        <v>6866</v>
      </c>
      <c r="C51" s="14">
        <f>(5850/B51*100)</f>
        <v>85.202446839498975</v>
      </c>
      <c r="D51" s="15">
        <v>1016</v>
      </c>
      <c r="E51" s="14">
        <v>52.986702360000002</v>
      </c>
      <c r="F51" s="16">
        <v>1.7617053600000001</v>
      </c>
      <c r="G51" s="14">
        <v>47.013297639999998</v>
      </c>
      <c r="H51" s="16">
        <v>1.7617053600000001</v>
      </c>
      <c r="I51" s="14" t="s">
        <v>139</v>
      </c>
      <c r="J51" s="16" t="s">
        <v>139</v>
      </c>
      <c r="K51" s="14">
        <v>0</v>
      </c>
      <c r="L51" s="16">
        <v>0</v>
      </c>
      <c r="M51" s="14">
        <v>0</v>
      </c>
      <c r="N51" s="16">
        <v>0</v>
      </c>
      <c r="O51" s="14">
        <v>0</v>
      </c>
      <c r="P51" s="16">
        <v>0</v>
      </c>
      <c r="Q51" s="14">
        <v>0</v>
      </c>
      <c r="R51" s="16">
        <v>0</v>
      </c>
    </row>
    <row r="52" spans="1:18" x14ac:dyDescent="0.25">
      <c r="A52" s="11" t="s">
        <v>185</v>
      </c>
      <c r="B52" s="13">
        <v>5809</v>
      </c>
      <c r="C52" s="14">
        <f>(4801/B52*100)</f>
        <v>82.647615768634878</v>
      </c>
      <c r="D52" s="15">
        <v>1008</v>
      </c>
      <c r="E52" s="14">
        <v>31.04043029</v>
      </c>
      <c r="F52" s="16">
        <v>1.5702930900000001</v>
      </c>
      <c r="G52" s="14">
        <v>68.959569709999997</v>
      </c>
      <c r="H52" s="16">
        <v>1.5702930900000001</v>
      </c>
      <c r="I52" s="14" t="s">
        <v>139</v>
      </c>
      <c r="J52" s="16" t="s">
        <v>139</v>
      </c>
      <c r="K52" s="14">
        <v>0</v>
      </c>
      <c r="L52" s="16">
        <v>0</v>
      </c>
      <c r="M52" s="14">
        <v>0</v>
      </c>
      <c r="N52" s="16">
        <v>0</v>
      </c>
      <c r="O52" s="14">
        <v>0</v>
      </c>
      <c r="P52" s="16">
        <v>0</v>
      </c>
      <c r="Q52" s="14">
        <v>0</v>
      </c>
      <c r="R52" s="16">
        <v>0</v>
      </c>
    </row>
    <row r="53" spans="1:18" x14ac:dyDescent="0.25">
      <c r="A53" s="11" t="s">
        <v>186</v>
      </c>
      <c r="B53" s="13">
        <v>5571</v>
      </c>
      <c r="C53" s="14">
        <f>(4606/B53*100)</f>
        <v>82.678154729851016</v>
      </c>
      <c r="D53" s="15">
        <v>965</v>
      </c>
      <c r="E53" s="14">
        <v>37.626934370000001</v>
      </c>
      <c r="F53" s="16">
        <v>1.7390536400000001</v>
      </c>
      <c r="G53" s="14">
        <v>62.373065629999999</v>
      </c>
      <c r="H53" s="16">
        <v>1.7390536400000001</v>
      </c>
      <c r="I53" s="14" t="s">
        <v>139</v>
      </c>
      <c r="J53" s="16" t="s">
        <v>139</v>
      </c>
      <c r="K53" s="14">
        <v>0</v>
      </c>
      <c r="L53" s="16">
        <v>0</v>
      </c>
      <c r="M53" s="14">
        <v>0</v>
      </c>
      <c r="N53" s="16">
        <v>0</v>
      </c>
      <c r="O53" s="14">
        <v>0</v>
      </c>
      <c r="P53" s="16">
        <v>0</v>
      </c>
      <c r="Q53" s="14">
        <v>0</v>
      </c>
      <c r="R53" s="16">
        <v>0</v>
      </c>
    </row>
    <row r="54" spans="1:18" x14ac:dyDescent="0.25">
      <c r="A54" s="11" t="s">
        <v>187</v>
      </c>
      <c r="B54" s="17" t="s">
        <v>154</v>
      </c>
      <c r="C54" s="17" t="s">
        <v>154</v>
      </c>
      <c r="D54" s="18" t="s">
        <v>154</v>
      </c>
      <c r="E54" s="17" t="s">
        <v>154</v>
      </c>
      <c r="F54" s="18" t="s">
        <v>154</v>
      </c>
      <c r="G54" s="17" t="s">
        <v>154</v>
      </c>
      <c r="H54" s="18" t="s">
        <v>154</v>
      </c>
      <c r="I54" s="17" t="s">
        <v>154</v>
      </c>
      <c r="J54" s="18" t="s">
        <v>154</v>
      </c>
      <c r="K54" s="17" t="s">
        <v>154</v>
      </c>
      <c r="L54" s="18" t="s">
        <v>154</v>
      </c>
      <c r="M54" s="17" t="s">
        <v>154</v>
      </c>
      <c r="N54" s="18" t="s">
        <v>154</v>
      </c>
      <c r="O54" s="17" t="s">
        <v>154</v>
      </c>
      <c r="P54" s="18" t="s">
        <v>154</v>
      </c>
      <c r="Q54" s="17" t="s">
        <v>154</v>
      </c>
      <c r="R54" s="18" t="s">
        <v>154</v>
      </c>
    </row>
    <row r="55" spans="1:18" x14ac:dyDescent="0.25">
      <c r="A55" s="11" t="s">
        <v>188</v>
      </c>
      <c r="B55" s="17" t="s">
        <v>154</v>
      </c>
      <c r="C55" s="17" t="s">
        <v>154</v>
      </c>
      <c r="D55" s="18" t="s">
        <v>154</v>
      </c>
      <c r="E55" s="17" t="s">
        <v>154</v>
      </c>
      <c r="F55" s="18" t="s">
        <v>154</v>
      </c>
      <c r="G55" s="17" t="s">
        <v>154</v>
      </c>
      <c r="H55" s="18" t="s">
        <v>154</v>
      </c>
      <c r="I55" s="17" t="s">
        <v>154</v>
      </c>
      <c r="J55" s="18" t="s">
        <v>154</v>
      </c>
      <c r="K55" s="17" t="s">
        <v>154</v>
      </c>
      <c r="L55" s="18" t="s">
        <v>154</v>
      </c>
      <c r="M55" s="17" t="s">
        <v>154</v>
      </c>
      <c r="N55" s="18" t="s">
        <v>154</v>
      </c>
      <c r="O55" s="17" t="s">
        <v>154</v>
      </c>
      <c r="P55" s="18" t="s">
        <v>154</v>
      </c>
      <c r="Q55" s="17" t="s">
        <v>154</v>
      </c>
      <c r="R55" s="18" t="s">
        <v>154</v>
      </c>
    </row>
    <row r="56" spans="1:18" x14ac:dyDescent="0.25">
      <c r="A56" s="11" t="s">
        <v>189</v>
      </c>
      <c r="B56" s="13">
        <v>5359</v>
      </c>
      <c r="C56" s="14">
        <f>(4443/B56*100)</f>
        <v>82.907258816943468</v>
      </c>
      <c r="D56" s="15">
        <v>916</v>
      </c>
      <c r="E56" s="14">
        <v>18.905898579999999</v>
      </c>
      <c r="F56" s="16">
        <v>1.26411718</v>
      </c>
      <c r="G56" s="14">
        <v>81.094101420000001</v>
      </c>
      <c r="H56" s="16">
        <v>1.26411718</v>
      </c>
      <c r="I56" s="14" t="s">
        <v>139</v>
      </c>
      <c r="J56" s="16" t="s">
        <v>139</v>
      </c>
      <c r="K56" s="14">
        <v>0</v>
      </c>
      <c r="L56" s="16">
        <v>0</v>
      </c>
      <c r="M56" s="14">
        <v>0</v>
      </c>
      <c r="N56" s="16">
        <v>0</v>
      </c>
      <c r="O56" s="14">
        <v>0</v>
      </c>
      <c r="P56" s="16">
        <v>0</v>
      </c>
      <c r="Q56" s="14">
        <v>0</v>
      </c>
      <c r="R56" s="16">
        <v>0</v>
      </c>
    </row>
    <row r="57" spans="1:18" x14ac:dyDescent="0.25">
      <c r="A57" s="11" t="s">
        <v>190</v>
      </c>
      <c r="B57" s="17" t="s">
        <v>154</v>
      </c>
      <c r="C57" s="17" t="s">
        <v>154</v>
      </c>
      <c r="D57" s="18" t="s">
        <v>154</v>
      </c>
      <c r="E57" s="17" t="s">
        <v>154</v>
      </c>
      <c r="F57" s="18" t="s">
        <v>154</v>
      </c>
      <c r="G57" s="17" t="s">
        <v>154</v>
      </c>
      <c r="H57" s="18" t="s">
        <v>154</v>
      </c>
      <c r="I57" s="17" t="s">
        <v>154</v>
      </c>
      <c r="J57" s="18" t="s">
        <v>154</v>
      </c>
      <c r="K57" s="17" t="s">
        <v>154</v>
      </c>
      <c r="L57" s="18" t="s">
        <v>154</v>
      </c>
      <c r="M57" s="17" t="s">
        <v>154</v>
      </c>
      <c r="N57" s="18" t="s">
        <v>154</v>
      </c>
      <c r="O57" s="17" t="s">
        <v>154</v>
      </c>
      <c r="P57" s="18" t="s">
        <v>154</v>
      </c>
      <c r="Q57" s="17" t="s">
        <v>154</v>
      </c>
      <c r="R57" s="18" t="s">
        <v>154</v>
      </c>
    </row>
    <row r="58" spans="1:18" x14ac:dyDescent="0.25">
      <c r="A58" s="11" t="s">
        <v>191</v>
      </c>
      <c r="B58" s="17" t="s">
        <v>154</v>
      </c>
      <c r="C58" s="17" t="s">
        <v>154</v>
      </c>
      <c r="D58" s="18" t="s">
        <v>154</v>
      </c>
      <c r="E58" s="17" t="s">
        <v>154</v>
      </c>
      <c r="F58" s="18" t="s">
        <v>154</v>
      </c>
      <c r="G58" s="17" t="s">
        <v>154</v>
      </c>
      <c r="H58" s="18" t="s">
        <v>154</v>
      </c>
      <c r="I58" s="17" t="s">
        <v>154</v>
      </c>
      <c r="J58" s="18" t="s">
        <v>154</v>
      </c>
      <c r="K58" s="17" t="s">
        <v>154</v>
      </c>
      <c r="L58" s="18" t="s">
        <v>154</v>
      </c>
      <c r="M58" s="17" t="s">
        <v>154</v>
      </c>
      <c r="N58" s="18" t="s">
        <v>154</v>
      </c>
      <c r="O58" s="17" t="s">
        <v>154</v>
      </c>
      <c r="P58" s="18" t="s">
        <v>154</v>
      </c>
      <c r="Q58" s="17" t="s">
        <v>154</v>
      </c>
      <c r="R58" s="18" t="s">
        <v>154</v>
      </c>
    </row>
    <row r="59" spans="1:18" x14ac:dyDescent="0.25">
      <c r="A59" s="11" t="s">
        <v>192</v>
      </c>
      <c r="B59" s="17" t="s">
        <v>154</v>
      </c>
      <c r="C59" s="17" t="s">
        <v>154</v>
      </c>
      <c r="D59" s="18" t="s">
        <v>154</v>
      </c>
      <c r="E59" s="17" t="s">
        <v>154</v>
      </c>
      <c r="F59" s="18" t="s">
        <v>154</v>
      </c>
      <c r="G59" s="17" t="s">
        <v>154</v>
      </c>
      <c r="H59" s="18" t="s">
        <v>154</v>
      </c>
      <c r="I59" s="17" t="s">
        <v>154</v>
      </c>
      <c r="J59" s="18" t="s">
        <v>154</v>
      </c>
      <c r="K59" s="17" t="s">
        <v>154</v>
      </c>
      <c r="L59" s="18" t="s">
        <v>154</v>
      </c>
      <c r="M59" s="17" t="s">
        <v>154</v>
      </c>
      <c r="N59" s="18" t="s">
        <v>154</v>
      </c>
      <c r="O59" s="17" t="s">
        <v>154</v>
      </c>
      <c r="P59" s="18" t="s">
        <v>154</v>
      </c>
      <c r="Q59" s="17" t="s">
        <v>154</v>
      </c>
      <c r="R59" s="18" t="s">
        <v>154</v>
      </c>
    </row>
    <row r="60" spans="1:18" x14ac:dyDescent="0.25">
      <c r="A60" s="11" t="s">
        <v>193</v>
      </c>
      <c r="B60" s="17" t="s">
        <v>154</v>
      </c>
      <c r="C60" s="17" t="s">
        <v>154</v>
      </c>
      <c r="D60" s="18" t="s">
        <v>154</v>
      </c>
      <c r="E60" s="17" t="s">
        <v>154</v>
      </c>
      <c r="F60" s="18" t="s">
        <v>154</v>
      </c>
      <c r="G60" s="17" t="s">
        <v>154</v>
      </c>
      <c r="H60" s="18" t="s">
        <v>154</v>
      </c>
      <c r="I60" s="17" t="s">
        <v>154</v>
      </c>
      <c r="J60" s="18" t="s">
        <v>154</v>
      </c>
      <c r="K60" s="17" t="s">
        <v>154</v>
      </c>
      <c r="L60" s="18" t="s">
        <v>154</v>
      </c>
      <c r="M60" s="17" t="s">
        <v>154</v>
      </c>
      <c r="N60" s="18" t="s">
        <v>154</v>
      </c>
      <c r="O60" s="17" t="s">
        <v>154</v>
      </c>
      <c r="P60" s="18" t="s">
        <v>154</v>
      </c>
      <c r="Q60" s="17" t="s">
        <v>154</v>
      </c>
      <c r="R60" s="18" t="s">
        <v>154</v>
      </c>
    </row>
    <row r="61" spans="1:18" x14ac:dyDescent="0.25">
      <c r="A61" s="11" t="s">
        <v>194</v>
      </c>
      <c r="B61" s="13">
        <v>6525</v>
      </c>
      <c r="C61" s="14">
        <f>(5386/B61*100)</f>
        <v>82.544061302681996</v>
      </c>
      <c r="D61" s="15">
        <v>1139</v>
      </c>
      <c r="E61" s="14">
        <v>32.487706959999997</v>
      </c>
      <c r="F61" s="16">
        <v>1.8011807399999999</v>
      </c>
      <c r="G61" s="14">
        <v>67.512293040000003</v>
      </c>
      <c r="H61" s="16">
        <v>1.8011807399999999</v>
      </c>
      <c r="I61" s="14" t="s">
        <v>139</v>
      </c>
      <c r="J61" s="16" t="s">
        <v>139</v>
      </c>
      <c r="K61" s="14">
        <v>0</v>
      </c>
      <c r="L61" s="16">
        <v>0</v>
      </c>
      <c r="M61" s="14">
        <v>0</v>
      </c>
      <c r="N61" s="16">
        <v>0</v>
      </c>
      <c r="O61" s="14">
        <v>0</v>
      </c>
      <c r="P61" s="16">
        <v>0</v>
      </c>
      <c r="Q61" s="14">
        <v>0</v>
      </c>
      <c r="R61" s="16">
        <v>0</v>
      </c>
    </row>
    <row r="62" spans="1:18" x14ac:dyDescent="0.25">
      <c r="A62" s="11" t="s">
        <v>195</v>
      </c>
      <c r="B62" s="13">
        <v>4476</v>
      </c>
      <c r="C62" s="14">
        <f>(3695/B62*100)</f>
        <v>82.551385165326181</v>
      </c>
      <c r="D62" s="15">
        <v>781</v>
      </c>
      <c r="E62" s="14">
        <v>20.769897650000001</v>
      </c>
      <c r="F62" s="16">
        <v>1.7189333899999999</v>
      </c>
      <c r="G62" s="14">
        <v>79.230102349999996</v>
      </c>
      <c r="H62" s="16">
        <v>1.7189333899999999</v>
      </c>
      <c r="I62" s="14" t="s">
        <v>139</v>
      </c>
      <c r="J62" s="16" t="s">
        <v>139</v>
      </c>
      <c r="K62" s="14">
        <v>0</v>
      </c>
      <c r="L62" s="16">
        <v>0</v>
      </c>
      <c r="M62" s="14">
        <v>0</v>
      </c>
      <c r="N62" s="16">
        <v>0</v>
      </c>
      <c r="O62" s="14">
        <v>0</v>
      </c>
      <c r="P62" s="16">
        <v>0</v>
      </c>
      <c r="Q62" s="14">
        <v>0</v>
      </c>
      <c r="R62" s="16">
        <v>0</v>
      </c>
    </row>
    <row r="63" spans="1:18" x14ac:dyDescent="0.25">
      <c r="A63" s="11" t="s">
        <v>196</v>
      </c>
      <c r="B63" s="17" t="s">
        <v>154</v>
      </c>
      <c r="C63" s="17" t="s">
        <v>154</v>
      </c>
      <c r="D63" s="18" t="s">
        <v>154</v>
      </c>
      <c r="E63" s="17" t="s">
        <v>154</v>
      </c>
      <c r="F63" s="18" t="s">
        <v>154</v>
      </c>
      <c r="G63" s="17" t="s">
        <v>154</v>
      </c>
      <c r="H63" s="18" t="s">
        <v>154</v>
      </c>
      <c r="I63" s="17" t="s">
        <v>154</v>
      </c>
      <c r="J63" s="18" t="s">
        <v>154</v>
      </c>
      <c r="K63" s="17" t="s">
        <v>154</v>
      </c>
      <c r="L63" s="18" t="s">
        <v>154</v>
      </c>
      <c r="M63" s="17" t="s">
        <v>154</v>
      </c>
      <c r="N63" s="18" t="s">
        <v>154</v>
      </c>
      <c r="O63" s="17" t="s">
        <v>154</v>
      </c>
      <c r="P63" s="18" t="s">
        <v>154</v>
      </c>
      <c r="Q63" s="17" t="s">
        <v>154</v>
      </c>
      <c r="R63" s="18" t="s">
        <v>154</v>
      </c>
    </row>
    <row r="64" spans="1:18" x14ac:dyDescent="0.25">
      <c r="A64" s="11" t="s">
        <v>197</v>
      </c>
      <c r="B64" s="17" t="s">
        <v>154</v>
      </c>
      <c r="C64" s="17" t="s">
        <v>154</v>
      </c>
      <c r="D64" s="18" t="s">
        <v>154</v>
      </c>
      <c r="E64" s="17" t="s">
        <v>154</v>
      </c>
      <c r="F64" s="18" t="s">
        <v>154</v>
      </c>
      <c r="G64" s="17" t="s">
        <v>154</v>
      </c>
      <c r="H64" s="18" t="s">
        <v>154</v>
      </c>
      <c r="I64" s="17" t="s">
        <v>154</v>
      </c>
      <c r="J64" s="18" t="s">
        <v>154</v>
      </c>
      <c r="K64" s="17" t="s">
        <v>154</v>
      </c>
      <c r="L64" s="18" t="s">
        <v>154</v>
      </c>
      <c r="M64" s="17" t="s">
        <v>154</v>
      </c>
      <c r="N64" s="18" t="s">
        <v>154</v>
      </c>
      <c r="O64" s="17" t="s">
        <v>154</v>
      </c>
      <c r="P64" s="18" t="s">
        <v>154</v>
      </c>
      <c r="Q64" s="17" t="s">
        <v>154</v>
      </c>
      <c r="R64" s="18" t="s">
        <v>154</v>
      </c>
    </row>
    <row r="65" spans="1:18" x14ac:dyDescent="0.25">
      <c r="A65" s="11" t="s">
        <v>198</v>
      </c>
      <c r="B65" s="17" t="s">
        <v>154</v>
      </c>
      <c r="C65" s="17" t="s">
        <v>154</v>
      </c>
      <c r="D65" s="18" t="s">
        <v>154</v>
      </c>
      <c r="E65" s="17" t="s">
        <v>154</v>
      </c>
      <c r="F65" s="18" t="s">
        <v>154</v>
      </c>
      <c r="G65" s="17" t="s">
        <v>154</v>
      </c>
      <c r="H65" s="18" t="s">
        <v>154</v>
      </c>
      <c r="I65" s="17" t="s">
        <v>154</v>
      </c>
      <c r="J65" s="18" t="s">
        <v>154</v>
      </c>
      <c r="K65" s="17" t="s">
        <v>154</v>
      </c>
      <c r="L65" s="18" t="s">
        <v>154</v>
      </c>
      <c r="M65" s="17" t="s">
        <v>154</v>
      </c>
      <c r="N65" s="18" t="s">
        <v>154</v>
      </c>
      <c r="O65" s="17" t="s">
        <v>154</v>
      </c>
      <c r="P65" s="18" t="s">
        <v>154</v>
      </c>
      <c r="Q65" s="17" t="s">
        <v>154</v>
      </c>
      <c r="R65" s="18" t="s">
        <v>154</v>
      </c>
    </row>
    <row r="66" spans="1:18" x14ac:dyDescent="0.25">
      <c r="A66" s="11" t="s">
        <v>199</v>
      </c>
      <c r="B66" s="13">
        <v>5665</v>
      </c>
      <c r="C66" s="14">
        <f>(4698/B66*100)</f>
        <v>82.930273609885262</v>
      </c>
      <c r="D66" s="15">
        <v>967</v>
      </c>
      <c r="E66" s="14">
        <v>45.110328690000003</v>
      </c>
      <c r="F66" s="16">
        <v>1.69275946</v>
      </c>
      <c r="G66" s="14">
        <v>54.889671309999997</v>
      </c>
      <c r="H66" s="16">
        <v>1.69275946</v>
      </c>
      <c r="I66" s="14" t="s">
        <v>139</v>
      </c>
      <c r="J66" s="16" t="s">
        <v>139</v>
      </c>
      <c r="K66" s="14">
        <v>0</v>
      </c>
      <c r="L66" s="16">
        <v>0</v>
      </c>
      <c r="M66" s="14">
        <v>0</v>
      </c>
      <c r="N66" s="16">
        <v>0</v>
      </c>
      <c r="O66" s="14">
        <v>0</v>
      </c>
      <c r="P66" s="16">
        <v>0</v>
      </c>
      <c r="Q66" s="14">
        <v>0</v>
      </c>
      <c r="R66" s="16">
        <v>0</v>
      </c>
    </row>
    <row r="67" spans="1:18" x14ac:dyDescent="0.25">
      <c r="A67" s="11" t="s">
        <v>200</v>
      </c>
      <c r="B67" s="13">
        <v>6971</v>
      </c>
      <c r="C67" s="14">
        <f>(5844/B67*100)</f>
        <v>83.833022521876345</v>
      </c>
      <c r="D67" s="15">
        <v>1127</v>
      </c>
      <c r="E67" s="14">
        <v>51.679002439999998</v>
      </c>
      <c r="F67" s="16">
        <v>1.79333952</v>
      </c>
      <c r="G67" s="14">
        <v>48.320997560000002</v>
      </c>
      <c r="H67" s="16">
        <v>1.79333952</v>
      </c>
      <c r="I67" s="14" t="s">
        <v>139</v>
      </c>
      <c r="J67" s="16" t="s">
        <v>139</v>
      </c>
      <c r="K67" s="14">
        <v>0</v>
      </c>
      <c r="L67" s="16">
        <v>0</v>
      </c>
      <c r="M67" s="14">
        <v>0</v>
      </c>
      <c r="N67" s="16">
        <v>0</v>
      </c>
      <c r="O67" s="14">
        <v>0</v>
      </c>
      <c r="P67" s="16">
        <v>0</v>
      </c>
      <c r="Q67" s="14">
        <v>0</v>
      </c>
      <c r="R67" s="16">
        <v>0</v>
      </c>
    </row>
    <row r="68" spans="1:18" x14ac:dyDescent="0.25">
      <c r="A68" s="11" t="s">
        <v>201</v>
      </c>
      <c r="B68" s="17" t="s">
        <v>154</v>
      </c>
      <c r="C68" s="17" t="s">
        <v>154</v>
      </c>
      <c r="D68" s="18" t="s">
        <v>154</v>
      </c>
      <c r="E68" s="17" t="s">
        <v>154</v>
      </c>
      <c r="F68" s="18" t="s">
        <v>154</v>
      </c>
      <c r="G68" s="17" t="s">
        <v>154</v>
      </c>
      <c r="H68" s="18" t="s">
        <v>154</v>
      </c>
      <c r="I68" s="17" t="s">
        <v>154</v>
      </c>
      <c r="J68" s="18" t="s">
        <v>154</v>
      </c>
      <c r="K68" s="17" t="s">
        <v>154</v>
      </c>
      <c r="L68" s="18" t="s">
        <v>154</v>
      </c>
      <c r="M68" s="17" t="s">
        <v>154</v>
      </c>
      <c r="N68" s="18" t="s">
        <v>154</v>
      </c>
      <c r="O68" s="17" t="s">
        <v>154</v>
      </c>
      <c r="P68" s="18" t="s">
        <v>154</v>
      </c>
      <c r="Q68" s="17" t="s">
        <v>154</v>
      </c>
      <c r="R68" s="18" t="s">
        <v>154</v>
      </c>
    </row>
    <row r="69" spans="1:18" x14ac:dyDescent="0.25">
      <c r="A69" s="11" t="s">
        <v>202</v>
      </c>
      <c r="B69" s="17" t="s">
        <v>154</v>
      </c>
      <c r="C69" s="17" t="s">
        <v>154</v>
      </c>
      <c r="D69" s="18" t="s">
        <v>154</v>
      </c>
      <c r="E69" s="17" t="s">
        <v>154</v>
      </c>
      <c r="F69" s="18" t="s">
        <v>154</v>
      </c>
      <c r="G69" s="17" t="s">
        <v>154</v>
      </c>
      <c r="H69" s="18" t="s">
        <v>154</v>
      </c>
      <c r="I69" s="17" t="s">
        <v>154</v>
      </c>
      <c r="J69" s="18" t="s">
        <v>154</v>
      </c>
      <c r="K69" s="17" t="s">
        <v>154</v>
      </c>
      <c r="L69" s="18" t="s">
        <v>154</v>
      </c>
      <c r="M69" s="17" t="s">
        <v>154</v>
      </c>
      <c r="N69" s="18" t="s">
        <v>154</v>
      </c>
      <c r="O69" s="17" t="s">
        <v>154</v>
      </c>
      <c r="P69" s="18" t="s">
        <v>154</v>
      </c>
      <c r="Q69" s="17" t="s">
        <v>154</v>
      </c>
      <c r="R69" s="18" t="s">
        <v>154</v>
      </c>
    </row>
    <row r="70" spans="1:18" x14ac:dyDescent="0.25">
      <c r="A70" s="11" t="s">
        <v>203</v>
      </c>
      <c r="B70" s="13">
        <v>6036</v>
      </c>
      <c r="C70" s="14">
        <f>(4999/B70*100)</f>
        <v>82.819748177601056</v>
      </c>
      <c r="D70" s="15">
        <v>1037</v>
      </c>
      <c r="E70" s="14">
        <v>40.273246460000003</v>
      </c>
      <c r="F70" s="16">
        <v>1.63713712</v>
      </c>
      <c r="G70" s="14">
        <v>59.726753539999997</v>
      </c>
      <c r="H70" s="16">
        <v>1.63713712</v>
      </c>
      <c r="I70" s="14" t="s">
        <v>139</v>
      </c>
      <c r="J70" s="16" t="s">
        <v>139</v>
      </c>
      <c r="K70" s="14">
        <v>0</v>
      </c>
      <c r="L70" s="16">
        <v>0</v>
      </c>
      <c r="M70" s="14">
        <v>0</v>
      </c>
      <c r="N70" s="16">
        <v>0</v>
      </c>
      <c r="O70" s="14">
        <v>0</v>
      </c>
      <c r="P70" s="16">
        <v>0</v>
      </c>
      <c r="Q70" s="14">
        <v>0</v>
      </c>
      <c r="R70" s="16">
        <v>0</v>
      </c>
    </row>
    <row r="71" spans="1:18" x14ac:dyDescent="0.25">
      <c r="A71" s="11" t="s">
        <v>204</v>
      </c>
      <c r="B71" s="17" t="s">
        <v>154</v>
      </c>
      <c r="C71" s="17" t="s">
        <v>154</v>
      </c>
      <c r="D71" s="18" t="s">
        <v>154</v>
      </c>
      <c r="E71" s="17" t="s">
        <v>154</v>
      </c>
      <c r="F71" s="18" t="s">
        <v>154</v>
      </c>
      <c r="G71" s="17" t="s">
        <v>154</v>
      </c>
      <c r="H71" s="18" t="s">
        <v>154</v>
      </c>
      <c r="I71" s="17" t="s">
        <v>154</v>
      </c>
      <c r="J71" s="18" t="s">
        <v>154</v>
      </c>
      <c r="K71" s="17" t="s">
        <v>154</v>
      </c>
      <c r="L71" s="18" t="s">
        <v>154</v>
      </c>
      <c r="M71" s="17" t="s">
        <v>154</v>
      </c>
      <c r="N71" s="18" t="s">
        <v>154</v>
      </c>
      <c r="O71" s="17" t="s">
        <v>154</v>
      </c>
      <c r="P71" s="18" t="s">
        <v>154</v>
      </c>
      <c r="Q71" s="17" t="s">
        <v>154</v>
      </c>
      <c r="R71" s="18" t="s">
        <v>154</v>
      </c>
    </row>
    <row r="72" spans="1:18" x14ac:dyDescent="0.25">
      <c r="A72" s="11" t="s">
        <v>205</v>
      </c>
      <c r="B72" s="13">
        <v>7708</v>
      </c>
      <c r="C72" s="14">
        <f>(6389/B72*100)</f>
        <v>82.887908666320712</v>
      </c>
      <c r="D72" s="15">
        <v>1319</v>
      </c>
      <c r="E72" s="14">
        <v>22.353167249999998</v>
      </c>
      <c r="F72" s="16">
        <v>1.15993448</v>
      </c>
      <c r="G72" s="14">
        <v>77.646832750000002</v>
      </c>
      <c r="H72" s="16">
        <v>1.15993448</v>
      </c>
      <c r="I72" s="14" t="s">
        <v>139</v>
      </c>
      <c r="J72" s="16" t="s">
        <v>139</v>
      </c>
      <c r="K72" s="14">
        <v>0</v>
      </c>
      <c r="L72" s="16">
        <v>0</v>
      </c>
      <c r="M72" s="14">
        <v>0</v>
      </c>
      <c r="N72" s="16">
        <v>0</v>
      </c>
      <c r="O72" s="14">
        <v>0</v>
      </c>
      <c r="P72" s="16">
        <v>0</v>
      </c>
      <c r="Q72" s="14">
        <v>0</v>
      </c>
      <c r="R72" s="16">
        <v>0</v>
      </c>
    </row>
    <row r="73" spans="1:18" x14ac:dyDescent="0.25">
      <c r="A73" s="11" t="s">
        <v>206</v>
      </c>
      <c r="B73" s="13">
        <v>8249</v>
      </c>
      <c r="C73" s="14">
        <f>(6879/B73*100)</f>
        <v>83.391926294096251</v>
      </c>
      <c r="D73" s="15">
        <v>1370</v>
      </c>
      <c r="E73" s="14">
        <v>51.395827250000004</v>
      </c>
      <c r="F73" s="16">
        <v>1.7527378899999999</v>
      </c>
      <c r="G73" s="14">
        <v>48.604172749999996</v>
      </c>
      <c r="H73" s="16">
        <v>1.7527378899999999</v>
      </c>
      <c r="I73" s="14" t="s">
        <v>139</v>
      </c>
      <c r="J73" s="16" t="s">
        <v>139</v>
      </c>
      <c r="K73" s="14">
        <v>0</v>
      </c>
      <c r="L73" s="16">
        <v>0</v>
      </c>
      <c r="M73" s="14">
        <v>0</v>
      </c>
      <c r="N73" s="16">
        <v>0</v>
      </c>
      <c r="O73" s="14">
        <v>0</v>
      </c>
      <c r="P73" s="16">
        <v>0</v>
      </c>
      <c r="Q73" s="14">
        <v>0</v>
      </c>
      <c r="R73" s="16">
        <v>0</v>
      </c>
    </row>
    <row r="74" spans="1:18" x14ac:dyDescent="0.25">
      <c r="A74" s="11" t="s">
        <v>207</v>
      </c>
      <c r="B74" s="17" t="s">
        <v>154</v>
      </c>
      <c r="C74" s="17" t="s">
        <v>154</v>
      </c>
      <c r="D74" s="18" t="s">
        <v>154</v>
      </c>
      <c r="E74" s="17" t="s">
        <v>154</v>
      </c>
      <c r="F74" s="18" t="s">
        <v>154</v>
      </c>
      <c r="G74" s="17" t="s">
        <v>154</v>
      </c>
      <c r="H74" s="18" t="s">
        <v>154</v>
      </c>
      <c r="I74" s="17" t="s">
        <v>154</v>
      </c>
      <c r="J74" s="18" t="s">
        <v>154</v>
      </c>
      <c r="K74" s="17" t="s">
        <v>154</v>
      </c>
      <c r="L74" s="18" t="s">
        <v>154</v>
      </c>
      <c r="M74" s="17" t="s">
        <v>154</v>
      </c>
      <c r="N74" s="18" t="s">
        <v>154</v>
      </c>
      <c r="O74" s="17" t="s">
        <v>154</v>
      </c>
      <c r="P74" s="18" t="s">
        <v>154</v>
      </c>
      <c r="Q74" s="17" t="s">
        <v>154</v>
      </c>
      <c r="R74" s="18" t="s">
        <v>154</v>
      </c>
    </row>
    <row r="75" spans="1:18" x14ac:dyDescent="0.25">
      <c r="A75" s="11" t="s">
        <v>208</v>
      </c>
      <c r="B75" s="13">
        <v>5375</v>
      </c>
      <c r="C75" s="14">
        <f>(4493/B75*100)</f>
        <v>83.590697674418607</v>
      </c>
      <c r="D75" s="15">
        <v>882</v>
      </c>
      <c r="E75" s="14">
        <v>61.783709969999997</v>
      </c>
      <c r="F75" s="16">
        <v>1.3904476299999999</v>
      </c>
      <c r="G75" s="14">
        <v>38.216290030000003</v>
      </c>
      <c r="H75" s="16">
        <v>1.3904476299999999</v>
      </c>
      <c r="I75" s="14" t="s">
        <v>139</v>
      </c>
      <c r="J75" s="16" t="s">
        <v>139</v>
      </c>
      <c r="K75" s="14">
        <v>0</v>
      </c>
      <c r="L75" s="16">
        <v>0</v>
      </c>
      <c r="M75" s="14">
        <v>0</v>
      </c>
      <c r="N75" s="16">
        <v>0</v>
      </c>
      <c r="O75" s="14">
        <v>0</v>
      </c>
      <c r="P75" s="16">
        <v>0</v>
      </c>
      <c r="Q75" s="14">
        <v>0</v>
      </c>
      <c r="R75" s="16">
        <v>0</v>
      </c>
    </row>
    <row r="76" spans="1:18" x14ac:dyDescent="0.25">
      <c r="A76" s="11" t="s">
        <v>209</v>
      </c>
      <c r="B76" s="13">
        <v>14167</v>
      </c>
      <c r="C76" s="14">
        <f>(11780/B76*100)</f>
        <v>83.150984682713343</v>
      </c>
      <c r="D76" s="15">
        <v>2387</v>
      </c>
      <c r="E76" s="14">
        <v>46.509535380000003</v>
      </c>
      <c r="F76" s="16">
        <v>1.4994613999999999</v>
      </c>
      <c r="G76" s="14">
        <v>53.490464619999997</v>
      </c>
      <c r="H76" s="16">
        <v>1.4994613999999999</v>
      </c>
      <c r="I76" s="14" t="s">
        <v>139</v>
      </c>
      <c r="J76" s="16" t="s">
        <v>139</v>
      </c>
      <c r="K76" s="14">
        <v>0</v>
      </c>
      <c r="L76" s="16">
        <v>0</v>
      </c>
      <c r="M76" s="14">
        <v>0</v>
      </c>
      <c r="N76" s="16">
        <v>0</v>
      </c>
      <c r="O76" s="14">
        <v>0</v>
      </c>
      <c r="P76" s="16">
        <v>0</v>
      </c>
      <c r="Q76" s="14">
        <v>0</v>
      </c>
      <c r="R76" s="16">
        <v>0</v>
      </c>
    </row>
    <row r="77" spans="1:18" x14ac:dyDescent="0.25">
      <c r="A77" s="11" t="s">
        <v>210</v>
      </c>
      <c r="B77" s="13">
        <v>6062</v>
      </c>
      <c r="C77" s="14">
        <f>(5004/B77*100)</f>
        <v>82.547014186737059</v>
      </c>
      <c r="D77" s="15">
        <v>1058</v>
      </c>
      <c r="E77" s="14">
        <v>45.607434490000003</v>
      </c>
      <c r="F77" s="16">
        <v>1.68600978</v>
      </c>
      <c r="G77" s="14">
        <v>54.392565509999997</v>
      </c>
      <c r="H77" s="16">
        <v>1.68600978</v>
      </c>
      <c r="I77" s="14" t="s">
        <v>139</v>
      </c>
      <c r="J77" s="16" t="s">
        <v>139</v>
      </c>
      <c r="K77" s="14">
        <v>0</v>
      </c>
      <c r="L77" s="16">
        <v>0</v>
      </c>
      <c r="M77" s="14">
        <v>0</v>
      </c>
      <c r="N77" s="16">
        <v>0</v>
      </c>
      <c r="O77" s="14">
        <v>0</v>
      </c>
      <c r="P77" s="16">
        <v>0</v>
      </c>
      <c r="Q77" s="14">
        <v>0</v>
      </c>
      <c r="R77" s="16">
        <v>0</v>
      </c>
    </row>
    <row r="78" spans="1:18" x14ac:dyDescent="0.25">
      <c r="A78" s="11" t="s">
        <v>211</v>
      </c>
      <c r="B78" s="17" t="s">
        <v>154</v>
      </c>
      <c r="C78" s="17" t="s">
        <v>154</v>
      </c>
      <c r="D78" s="18" t="s">
        <v>154</v>
      </c>
      <c r="E78" s="17" t="s">
        <v>154</v>
      </c>
      <c r="F78" s="18" t="s">
        <v>154</v>
      </c>
      <c r="G78" s="17" t="s">
        <v>154</v>
      </c>
      <c r="H78" s="18" t="s">
        <v>154</v>
      </c>
      <c r="I78" s="17" t="s">
        <v>154</v>
      </c>
      <c r="J78" s="18" t="s">
        <v>154</v>
      </c>
      <c r="K78" s="17" t="s">
        <v>154</v>
      </c>
      <c r="L78" s="18" t="s">
        <v>154</v>
      </c>
      <c r="M78" s="17" t="s">
        <v>154</v>
      </c>
      <c r="N78" s="18" t="s">
        <v>154</v>
      </c>
      <c r="O78" s="17" t="s">
        <v>154</v>
      </c>
      <c r="P78" s="18" t="s">
        <v>154</v>
      </c>
      <c r="Q78" s="17" t="s">
        <v>154</v>
      </c>
      <c r="R78" s="18" t="s">
        <v>154</v>
      </c>
    </row>
    <row r="79" spans="1:18" ht="24.95" customHeight="1" x14ac:dyDescent="0.25">
      <c r="A79" s="11" t="s">
        <v>212</v>
      </c>
      <c r="B79" s="17" t="s">
        <v>154</v>
      </c>
      <c r="C79" s="17" t="s">
        <v>154</v>
      </c>
      <c r="D79" s="18" t="s">
        <v>154</v>
      </c>
      <c r="E79" s="17" t="s">
        <v>154</v>
      </c>
      <c r="F79" s="18" t="s">
        <v>154</v>
      </c>
      <c r="G79" s="17" t="s">
        <v>154</v>
      </c>
      <c r="H79" s="18" t="s">
        <v>154</v>
      </c>
      <c r="I79" s="17" t="s">
        <v>154</v>
      </c>
      <c r="J79" s="18" t="s">
        <v>154</v>
      </c>
      <c r="K79" s="17" t="s">
        <v>154</v>
      </c>
      <c r="L79" s="18" t="s">
        <v>154</v>
      </c>
      <c r="M79" s="17" t="s">
        <v>154</v>
      </c>
      <c r="N79" s="18" t="s">
        <v>154</v>
      </c>
      <c r="O79" s="17" t="s">
        <v>154</v>
      </c>
      <c r="P79" s="18" t="s">
        <v>154</v>
      </c>
      <c r="Q79" s="17" t="s">
        <v>154</v>
      </c>
      <c r="R79" s="18" t="s">
        <v>154</v>
      </c>
    </row>
    <row r="80" spans="1:18" x14ac:dyDescent="0.25">
      <c r="A80" s="11" t="s">
        <v>213</v>
      </c>
      <c r="B80" s="17" t="s">
        <v>154</v>
      </c>
      <c r="C80" s="17" t="s">
        <v>154</v>
      </c>
      <c r="D80" s="18" t="s">
        <v>154</v>
      </c>
      <c r="E80" s="17" t="s">
        <v>154</v>
      </c>
      <c r="F80" s="18" t="s">
        <v>154</v>
      </c>
      <c r="G80" s="17" t="s">
        <v>154</v>
      </c>
      <c r="H80" s="18" t="s">
        <v>154</v>
      </c>
      <c r="I80" s="17" t="s">
        <v>154</v>
      </c>
      <c r="J80" s="18" t="s">
        <v>154</v>
      </c>
      <c r="K80" s="17" t="s">
        <v>154</v>
      </c>
      <c r="L80" s="18" t="s">
        <v>154</v>
      </c>
      <c r="M80" s="17" t="s">
        <v>154</v>
      </c>
      <c r="N80" s="18" t="s">
        <v>154</v>
      </c>
      <c r="O80" s="17" t="s">
        <v>154</v>
      </c>
      <c r="P80" s="18" t="s">
        <v>154</v>
      </c>
      <c r="Q80" s="17" t="s">
        <v>154</v>
      </c>
      <c r="R80" s="18" t="s">
        <v>154</v>
      </c>
    </row>
    <row r="81" spans="1:18" x14ac:dyDescent="0.25">
      <c r="A81" s="19" t="s">
        <v>214</v>
      </c>
      <c r="B81" s="13">
        <v>8861</v>
      </c>
      <c r="C81" s="14">
        <f>(7311/B81*100)</f>
        <v>82.507617650378066</v>
      </c>
      <c r="D81" s="15">
        <v>1550</v>
      </c>
      <c r="E81" s="14">
        <v>44.780941949999999</v>
      </c>
      <c r="F81" s="16">
        <v>1.76031278</v>
      </c>
      <c r="G81" s="14">
        <v>55.219058050000001</v>
      </c>
      <c r="H81" s="16">
        <v>1.76031278</v>
      </c>
      <c r="I81" s="14" t="s">
        <v>139</v>
      </c>
      <c r="J81" s="16" t="s">
        <v>139</v>
      </c>
      <c r="K81" s="14">
        <v>0</v>
      </c>
      <c r="L81" s="16">
        <v>0</v>
      </c>
      <c r="M81" s="14">
        <v>0</v>
      </c>
      <c r="N81" s="16">
        <v>0</v>
      </c>
      <c r="O81" s="14">
        <v>0</v>
      </c>
      <c r="P81" s="16">
        <v>0</v>
      </c>
      <c r="Q81" s="14">
        <v>0</v>
      </c>
      <c r="R81" s="16">
        <v>0</v>
      </c>
    </row>
    <row r="82" spans="1:18" x14ac:dyDescent="0.25">
      <c r="A82" s="20"/>
      <c r="B82" s="20" t="s">
        <v>215</v>
      </c>
      <c r="C82" s="20" t="s">
        <v>215</v>
      </c>
      <c r="D82" s="20" t="s">
        <v>215</v>
      </c>
      <c r="E82" s="20" t="s">
        <v>215</v>
      </c>
      <c r="F82" s="20" t="s">
        <v>215</v>
      </c>
      <c r="G82" s="20" t="s">
        <v>215</v>
      </c>
      <c r="H82" s="20" t="s">
        <v>215</v>
      </c>
      <c r="I82" s="20" t="s">
        <v>215</v>
      </c>
      <c r="J82" s="20" t="s">
        <v>215</v>
      </c>
      <c r="K82" s="20" t="s">
        <v>215</v>
      </c>
      <c r="L82" s="20" t="s">
        <v>215</v>
      </c>
      <c r="M82" s="20" t="s">
        <v>215</v>
      </c>
      <c r="N82" s="20" t="s">
        <v>215</v>
      </c>
      <c r="O82" s="20" t="s">
        <v>215</v>
      </c>
      <c r="P82" s="20" t="s">
        <v>215</v>
      </c>
      <c r="Q82" s="20" t="s">
        <v>215</v>
      </c>
      <c r="R82" s="20" t="s">
        <v>215</v>
      </c>
    </row>
    <row r="83" spans="1:18" x14ac:dyDescent="0.25">
      <c r="A83" s="3" t="s">
        <v>216</v>
      </c>
    </row>
    <row r="84" spans="1:18" x14ac:dyDescent="0.25">
      <c r="A84" s="22" t="s">
        <v>217</v>
      </c>
      <c r="B84" s="23"/>
      <c r="C84" s="23"/>
      <c r="D84" s="23"/>
      <c r="E84" s="23"/>
      <c r="F84" s="23"/>
      <c r="G84" s="23"/>
      <c r="H84" s="23"/>
      <c r="I84" s="23"/>
      <c r="J84" s="23"/>
      <c r="K84" s="23"/>
      <c r="L84" s="23"/>
      <c r="M84" s="23"/>
      <c r="N84" s="23"/>
      <c r="O84" s="23"/>
      <c r="P84" s="23"/>
      <c r="Q84" s="23"/>
      <c r="R84" s="23"/>
    </row>
    <row r="85" spans="1:18" x14ac:dyDescent="0.25">
      <c r="A85" s="22" t="s">
        <v>218</v>
      </c>
      <c r="B85" s="23"/>
      <c r="C85" s="23"/>
      <c r="D85" s="23"/>
      <c r="E85" s="23"/>
      <c r="F85" s="23"/>
      <c r="G85" s="23"/>
      <c r="H85" s="23"/>
      <c r="I85" s="23"/>
      <c r="J85" s="23"/>
      <c r="K85" s="23"/>
      <c r="L85" s="23"/>
      <c r="M85" s="23"/>
      <c r="N85" s="23"/>
      <c r="O85" s="23"/>
      <c r="P85" s="23"/>
      <c r="Q85" s="23"/>
      <c r="R85" s="23"/>
    </row>
    <row r="86" spans="1:18" ht="30" customHeight="1" x14ac:dyDescent="0.25">
      <c r="A86" s="22" t="s">
        <v>219</v>
      </c>
      <c r="B86" s="23"/>
      <c r="C86" s="23"/>
      <c r="D86" s="23"/>
      <c r="E86" s="23"/>
      <c r="F86" s="23"/>
      <c r="G86" s="23"/>
      <c r="H86" s="23"/>
      <c r="I86" s="23"/>
      <c r="J86" s="23"/>
      <c r="K86" s="23"/>
      <c r="L86" s="23"/>
      <c r="M86" s="23"/>
      <c r="N86" s="23"/>
      <c r="O86" s="23"/>
      <c r="P86" s="23"/>
      <c r="Q86" s="23"/>
      <c r="R86" s="23"/>
    </row>
    <row r="87" spans="1:18" ht="30" customHeight="1" x14ac:dyDescent="0.25">
      <c r="A87" s="22" t="s">
        <v>215</v>
      </c>
      <c r="B87" s="23"/>
      <c r="C87" s="23"/>
      <c r="D87" s="23"/>
      <c r="E87" s="23"/>
      <c r="F87" s="23"/>
      <c r="G87" s="23"/>
      <c r="H87" s="23"/>
      <c r="I87" s="23"/>
      <c r="J87" s="23"/>
      <c r="K87" s="23"/>
      <c r="L87" s="23"/>
      <c r="M87" s="23"/>
      <c r="N87" s="23"/>
      <c r="O87" s="23"/>
      <c r="P87" s="23"/>
      <c r="Q87" s="23"/>
      <c r="R87" s="23"/>
    </row>
    <row r="88" spans="1:18" ht="30" customHeight="1" x14ac:dyDescent="0.25">
      <c r="A88" s="22" t="s">
        <v>220</v>
      </c>
      <c r="B88" s="23"/>
      <c r="C88" s="23"/>
      <c r="D88" s="23"/>
      <c r="E88" s="23"/>
      <c r="F88" s="23"/>
      <c r="G88" s="23"/>
      <c r="H88" s="23"/>
      <c r="I88" s="23"/>
      <c r="J88" s="23"/>
      <c r="K88" s="23"/>
      <c r="L88" s="23"/>
      <c r="M88" s="23"/>
      <c r="N88" s="23"/>
      <c r="O88" s="23"/>
      <c r="P88" s="23"/>
      <c r="Q88" s="23"/>
      <c r="R88" s="23"/>
    </row>
    <row r="89" spans="1:18" ht="30" customHeight="1" x14ac:dyDescent="0.25">
      <c r="A89" s="22" t="s">
        <v>221</v>
      </c>
      <c r="B89" s="23"/>
      <c r="C89" s="23"/>
      <c r="D89" s="23"/>
      <c r="E89" s="23"/>
      <c r="F89" s="23"/>
      <c r="G89" s="23"/>
      <c r="H89" s="23"/>
      <c r="I89" s="23"/>
      <c r="J89" s="23"/>
      <c r="K89" s="23"/>
      <c r="L89" s="23"/>
      <c r="M89" s="23"/>
      <c r="N89" s="23"/>
      <c r="O89" s="23"/>
      <c r="P89" s="23"/>
      <c r="Q89" s="23"/>
      <c r="R89" s="23"/>
    </row>
    <row r="90" spans="1:18" ht="30" customHeight="1" x14ac:dyDescent="0.25">
      <c r="A90" s="22" t="s">
        <v>222</v>
      </c>
      <c r="B90" s="23"/>
      <c r="C90" s="23"/>
      <c r="D90" s="23"/>
      <c r="E90" s="23"/>
      <c r="F90" s="23"/>
      <c r="G90" s="23"/>
      <c r="H90" s="23"/>
      <c r="I90" s="23"/>
      <c r="J90" s="23"/>
      <c r="K90" s="23"/>
      <c r="L90" s="23"/>
      <c r="M90" s="23"/>
      <c r="N90" s="23"/>
      <c r="O90" s="23"/>
      <c r="P90" s="23"/>
      <c r="Q90" s="23"/>
      <c r="R90" s="23"/>
    </row>
    <row r="91" spans="1:18" ht="30" customHeight="1" x14ac:dyDescent="0.25">
      <c r="A91" s="22" t="s">
        <v>223</v>
      </c>
      <c r="B91" s="23"/>
      <c r="C91" s="23"/>
      <c r="D91" s="23"/>
      <c r="E91" s="23"/>
      <c r="F91" s="23"/>
      <c r="G91" s="23"/>
      <c r="H91" s="23"/>
      <c r="I91" s="23"/>
      <c r="J91" s="23"/>
      <c r="K91" s="23"/>
      <c r="L91" s="23"/>
      <c r="M91" s="23"/>
      <c r="N91" s="23"/>
      <c r="O91" s="23"/>
      <c r="P91" s="23"/>
      <c r="Q91" s="23"/>
      <c r="R91" s="23"/>
    </row>
    <row r="92" spans="1:18" ht="30" customHeight="1" x14ac:dyDescent="0.25">
      <c r="A92" s="22" t="s">
        <v>224</v>
      </c>
      <c r="B92" s="23"/>
      <c r="C92" s="23"/>
      <c r="D92" s="23"/>
      <c r="E92" s="23"/>
      <c r="F92" s="23"/>
      <c r="G92" s="23"/>
      <c r="H92" s="23"/>
      <c r="I92" s="23"/>
      <c r="J92" s="23"/>
      <c r="K92" s="23"/>
      <c r="L92" s="23"/>
      <c r="M92" s="23"/>
      <c r="N92" s="23"/>
      <c r="O92" s="23"/>
      <c r="P92" s="23"/>
      <c r="Q92" s="23"/>
      <c r="R92" s="23"/>
    </row>
    <row r="93" spans="1:18" ht="30" customHeight="1" x14ac:dyDescent="0.25">
      <c r="A93" s="22" t="s">
        <v>225</v>
      </c>
      <c r="B93" s="23"/>
      <c r="C93" s="23"/>
      <c r="D93" s="23"/>
      <c r="E93" s="23"/>
      <c r="F93" s="23"/>
      <c r="G93" s="23"/>
      <c r="H93" s="23"/>
      <c r="I93" s="23"/>
      <c r="J93" s="23"/>
      <c r="K93" s="23"/>
      <c r="L93" s="23"/>
      <c r="M93" s="23"/>
      <c r="N93" s="23"/>
      <c r="O93" s="23"/>
      <c r="P93" s="23"/>
      <c r="Q93" s="23"/>
      <c r="R93" s="23"/>
    </row>
    <row r="94" spans="1:18" ht="30" customHeight="1" x14ac:dyDescent="0.25">
      <c r="A94" s="22" t="s">
        <v>226</v>
      </c>
      <c r="B94" s="23"/>
      <c r="C94" s="23"/>
      <c r="D94" s="23"/>
      <c r="E94" s="23"/>
      <c r="F94" s="23"/>
      <c r="G94" s="23"/>
      <c r="H94" s="23"/>
      <c r="I94" s="23"/>
      <c r="J94" s="23"/>
      <c r="K94" s="23"/>
      <c r="L94" s="23"/>
      <c r="M94" s="23"/>
      <c r="N94" s="23"/>
      <c r="O94" s="23"/>
      <c r="P94" s="23"/>
      <c r="Q94" s="23"/>
      <c r="R94" s="23"/>
    </row>
    <row r="95" spans="1:18" ht="30" customHeight="1" x14ac:dyDescent="0.25">
      <c r="A95" s="22" t="s">
        <v>227</v>
      </c>
      <c r="B95" s="23"/>
      <c r="C95" s="23"/>
      <c r="D95" s="23"/>
      <c r="E95" s="23"/>
      <c r="F95" s="23"/>
      <c r="G95" s="23"/>
      <c r="H95" s="23"/>
      <c r="I95" s="23"/>
      <c r="J95" s="23"/>
      <c r="K95" s="23"/>
      <c r="L95" s="23"/>
      <c r="M95" s="23"/>
      <c r="N95" s="23"/>
      <c r="O95" s="23"/>
      <c r="P95" s="23"/>
      <c r="Q95" s="23"/>
      <c r="R95" s="23"/>
    </row>
    <row r="96" spans="1:18" ht="30" customHeight="1" x14ac:dyDescent="0.25">
      <c r="A96" s="22" t="s">
        <v>228</v>
      </c>
      <c r="B96" s="23"/>
      <c r="C96" s="23"/>
      <c r="D96" s="23"/>
      <c r="E96" s="23"/>
      <c r="F96" s="23"/>
      <c r="G96" s="23"/>
      <c r="H96" s="23"/>
      <c r="I96" s="23"/>
      <c r="J96" s="23"/>
      <c r="K96" s="23"/>
      <c r="L96" s="23"/>
      <c r="M96" s="23"/>
      <c r="N96" s="23"/>
      <c r="O96" s="23"/>
      <c r="P96" s="23"/>
      <c r="Q96" s="23"/>
      <c r="R96" s="23"/>
    </row>
  </sheetData>
  <mergeCells count="22">
    <mergeCell ref="O4:P4"/>
    <mergeCell ref="Q4:R4"/>
    <mergeCell ref="A1:R1"/>
    <mergeCell ref="A2:R2"/>
    <mergeCell ref="A84:R84"/>
    <mergeCell ref="E4:F4"/>
    <mergeCell ref="G4:H4"/>
    <mergeCell ref="I4:J4"/>
    <mergeCell ref="K4:L4"/>
    <mergeCell ref="M4:N4"/>
    <mergeCell ref="A85:R85"/>
    <mergeCell ref="A86:R86"/>
    <mergeCell ref="A87:R87"/>
    <mergeCell ref="A88:R88"/>
    <mergeCell ref="A89:R89"/>
    <mergeCell ref="A95:R95"/>
    <mergeCell ref="A96:R96"/>
    <mergeCell ref="A90:R90"/>
    <mergeCell ref="A91:R91"/>
    <mergeCell ref="A92:R92"/>
    <mergeCell ref="A93:R93"/>
    <mergeCell ref="A94:R94"/>
  </mergeCells>
  <pageMargins left="0.75" right="0.75" top="1" bottom="1" header="0.5" footer="0.5"/>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dimension ref="A1:R96"/>
  <sheetViews>
    <sheetView zoomScale="80" workbookViewId="0">
      <pane xSplit="4" topLeftCell="E1" activePane="topRight" state="frozen"/>
      <selection sqref="A1:R1"/>
      <selection pane="topRight" sqref="A1:R1"/>
    </sheetView>
  </sheetViews>
  <sheetFormatPr defaultColWidth="11.42578125" defaultRowHeight="15" x14ac:dyDescent="0.25"/>
  <cols>
    <col min="1" max="1" width="50" customWidth="1"/>
  </cols>
  <sheetData>
    <row r="1" spans="1:18" x14ac:dyDescent="0.25">
      <c r="A1" s="26" t="s">
        <v>122</v>
      </c>
      <c r="B1" s="23"/>
      <c r="C1" s="23"/>
      <c r="D1" s="23"/>
      <c r="E1" s="23"/>
      <c r="F1" s="23"/>
      <c r="G1" s="23"/>
      <c r="H1" s="23"/>
      <c r="I1" s="23"/>
      <c r="J1" s="23"/>
      <c r="K1" s="23"/>
      <c r="L1" s="23"/>
      <c r="M1" s="23"/>
      <c r="N1" s="23"/>
      <c r="O1" s="23"/>
      <c r="P1" s="23"/>
      <c r="Q1" s="23"/>
      <c r="R1" s="23"/>
    </row>
    <row r="2" spans="1:18" x14ac:dyDescent="0.25">
      <c r="A2" s="27" t="s">
        <v>250</v>
      </c>
      <c r="B2" s="23"/>
      <c r="C2" s="23"/>
      <c r="D2" s="23"/>
      <c r="E2" s="23"/>
      <c r="F2" s="23"/>
      <c r="G2" s="23"/>
      <c r="H2" s="23"/>
      <c r="I2" s="23"/>
      <c r="J2" s="23"/>
      <c r="K2" s="23"/>
      <c r="L2" s="23"/>
      <c r="M2" s="23"/>
      <c r="N2" s="23"/>
      <c r="O2" s="23"/>
      <c r="P2" s="23"/>
      <c r="Q2" s="23"/>
      <c r="R2" s="23"/>
    </row>
    <row r="4" spans="1:18" ht="30" customHeight="1" x14ac:dyDescent="0.25">
      <c r="A4" s="4"/>
      <c r="B4" s="5" t="s">
        <v>123</v>
      </c>
      <c r="C4" s="5" t="s">
        <v>124</v>
      </c>
      <c r="D4" s="6" t="s">
        <v>123</v>
      </c>
      <c r="E4" s="24" t="s">
        <v>125</v>
      </c>
      <c r="F4" s="25"/>
      <c r="G4" s="24" t="s">
        <v>126</v>
      </c>
      <c r="H4" s="25"/>
      <c r="I4" s="24" t="s">
        <v>127</v>
      </c>
      <c r="J4" s="25"/>
      <c r="K4" s="24" t="s">
        <v>128</v>
      </c>
      <c r="L4" s="25"/>
      <c r="M4" s="24" t="s">
        <v>129</v>
      </c>
      <c r="N4" s="25"/>
      <c r="O4" s="24" t="s">
        <v>130</v>
      </c>
      <c r="P4" s="25"/>
      <c r="Q4" s="24" t="s">
        <v>131</v>
      </c>
      <c r="R4" s="25"/>
    </row>
    <row r="5" spans="1:18" x14ac:dyDescent="0.25">
      <c r="A5" s="7"/>
      <c r="B5" s="8" t="s">
        <v>132</v>
      </c>
      <c r="C5" s="8" t="s">
        <v>133</v>
      </c>
      <c r="D5" s="7" t="s">
        <v>134</v>
      </c>
      <c r="E5" s="8" t="s">
        <v>135</v>
      </c>
      <c r="F5" s="7" t="s">
        <v>136</v>
      </c>
      <c r="G5" s="8" t="s">
        <v>135</v>
      </c>
      <c r="H5" s="7" t="s">
        <v>136</v>
      </c>
      <c r="I5" s="8" t="s">
        <v>135</v>
      </c>
      <c r="J5" s="7" t="s">
        <v>136</v>
      </c>
      <c r="K5" s="8" t="s">
        <v>135</v>
      </c>
      <c r="L5" s="7" t="s">
        <v>136</v>
      </c>
      <c r="M5" s="8" t="s">
        <v>135</v>
      </c>
      <c r="N5" s="7" t="s">
        <v>136</v>
      </c>
      <c r="O5" s="8" t="s">
        <v>135</v>
      </c>
      <c r="P5" s="7" t="s">
        <v>136</v>
      </c>
      <c r="Q5" s="8" t="s">
        <v>135</v>
      </c>
      <c r="R5" s="7" t="s">
        <v>136</v>
      </c>
    </row>
    <row r="6" spans="1:18" x14ac:dyDescent="0.25">
      <c r="A6" s="9" t="s">
        <v>137</v>
      </c>
      <c r="B6" s="10"/>
      <c r="C6" s="10"/>
      <c r="D6" s="11"/>
      <c r="E6" s="10"/>
      <c r="F6" s="11"/>
      <c r="G6" s="10"/>
      <c r="H6" s="11"/>
      <c r="I6" s="10"/>
      <c r="J6" s="11"/>
      <c r="K6" s="10"/>
      <c r="L6" s="11"/>
      <c r="M6" s="10"/>
      <c r="N6" s="11"/>
      <c r="O6" s="10"/>
      <c r="P6" s="11"/>
      <c r="Q6" s="10"/>
      <c r="R6" s="12"/>
    </row>
    <row r="7" spans="1:18" x14ac:dyDescent="0.25">
      <c r="A7" s="11" t="s">
        <v>138</v>
      </c>
      <c r="B7" s="13">
        <v>14530</v>
      </c>
      <c r="C7" s="14">
        <f>(12075/B7*100)</f>
        <v>83.10392291810048</v>
      </c>
      <c r="D7" s="15">
        <v>2455</v>
      </c>
      <c r="E7" s="14">
        <v>30.0932253</v>
      </c>
      <c r="F7" s="16">
        <v>1.0983498599999999</v>
      </c>
      <c r="G7" s="14">
        <v>69.9067747</v>
      </c>
      <c r="H7" s="16">
        <v>1.0983498599999999</v>
      </c>
      <c r="I7" s="14" t="s">
        <v>139</v>
      </c>
      <c r="J7" s="16" t="s">
        <v>139</v>
      </c>
      <c r="K7" s="14">
        <v>0</v>
      </c>
      <c r="L7" s="16">
        <v>0</v>
      </c>
      <c r="M7" s="14">
        <v>0</v>
      </c>
      <c r="N7" s="16">
        <v>0</v>
      </c>
      <c r="O7" s="14">
        <v>0</v>
      </c>
      <c r="P7" s="16">
        <v>0</v>
      </c>
      <c r="Q7" s="14">
        <v>0</v>
      </c>
      <c r="R7" s="16">
        <v>0</v>
      </c>
    </row>
    <row r="8" spans="1:18" x14ac:dyDescent="0.25">
      <c r="A8" s="11" t="s">
        <v>140</v>
      </c>
      <c r="B8" s="13">
        <v>7007</v>
      </c>
      <c r="C8" s="14">
        <f>(5792/B8*100)</f>
        <v>82.660196945911238</v>
      </c>
      <c r="D8" s="15">
        <v>1215</v>
      </c>
      <c r="E8" s="14">
        <v>35.985928350000002</v>
      </c>
      <c r="F8" s="16">
        <v>1.30933816</v>
      </c>
      <c r="G8" s="14">
        <v>64.014071650000005</v>
      </c>
      <c r="H8" s="16">
        <v>1.30933816</v>
      </c>
      <c r="I8" s="14" t="s">
        <v>139</v>
      </c>
      <c r="J8" s="16" t="s">
        <v>139</v>
      </c>
      <c r="K8" s="14">
        <v>0</v>
      </c>
      <c r="L8" s="16">
        <v>0</v>
      </c>
      <c r="M8" s="14">
        <v>0</v>
      </c>
      <c r="N8" s="16">
        <v>0</v>
      </c>
      <c r="O8" s="14">
        <v>0</v>
      </c>
      <c r="P8" s="16">
        <v>0</v>
      </c>
      <c r="Q8" s="14">
        <v>0</v>
      </c>
      <c r="R8" s="16">
        <v>0</v>
      </c>
    </row>
    <row r="9" spans="1:18" x14ac:dyDescent="0.25">
      <c r="A9" s="11" t="s">
        <v>141</v>
      </c>
      <c r="B9" s="13">
        <v>9651</v>
      </c>
      <c r="C9" s="14">
        <f>(8043/B9*100)</f>
        <v>83.338514143612059</v>
      </c>
      <c r="D9" s="15">
        <v>1608</v>
      </c>
      <c r="E9" s="14">
        <v>39.504586209999999</v>
      </c>
      <c r="F9" s="16">
        <v>1.41258694</v>
      </c>
      <c r="G9" s="14">
        <v>60.495413790000001</v>
      </c>
      <c r="H9" s="16">
        <v>1.41258694</v>
      </c>
      <c r="I9" s="14" t="s">
        <v>139</v>
      </c>
      <c r="J9" s="16" t="s">
        <v>139</v>
      </c>
      <c r="K9" s="14">
        <v>0</v>
      </c>
      <c r="L9" s="16">
        <v>0</v>
      </c>
      <c r="M9" s="14">
        <v>0</v>
      </c>
      <c r="N9" s="16">
        <v>0</v>
      </c>
      <c r="O9" s="14">
        <v>0</v>
      </c>
      <c r="P9" s="16">
        <v>0</v>
      </c>
      <c r="Q9" s="14">
        <v>0</v>
      </c>
      <c r="R9" s="16">
        <v>0</v>
      </c>
    </row>
    <row r="10" spans="1:18" x14ac:dyDescent="0.25">
      <c r="A10" s="11" t="s">
        <v>142</v>
      </c>
      <c r="B10" s="13">
        <v>20058</v>
      </c>
      <c r="C10" s="14">
        <f>(16595/B10*100)</f>
        <v>82.735068301924414</v>
      </c>
      <c r="D10" s="15">
        <v>3463</v>
      </c>
      <c r="E10" s="14">
        <v>29.713262480000001</v>
      </c>
      <c r="F10" s="16">
        <v>1.0289971</v>
      </c>
      <c r="G10" s="14">
        <v>70.286737520000003</v>
      </c>
      <c r="H10" s="16">
        <v>1.0289971</v>
      </c>
      <c r="I10" s="14" t="s">
        <v>139</v>
      </c>
      <c r="J10" s="16" t="s">
        <v>139</v>
      </c>
      <c r="K10" s="14">
        <v>0</v>
      </c>
      <c r="L10" s="16">
        <v>0</v>
      </c>
      <c r="M10" s="14">
        <v>0</v>
      </c>
      <c r="N10" s="16">
        <v>0</v>
      </c>
      <c r="O10" s="14">
        <v>0</v>
      </c>
      <c r="P10" s="16">
        <v>0</v>
      </c>
      <c r="Q10" s="14">
        <v>0</v>
      </c>
      <c r="R10" s="16">
        <v>0</v>
      </c>
    </row>
    <row r="11" spans="1:18" x14ac:dyDescent="0.25">
      <c r="A11" s="11" t="s">
        <v>143</v>
      </c>
      <c r="B11" s="13">
        <v>7053</v>
      </c>
      <c r="C11" s="14">
        <f>(5838/B11*100)</f>
        <v>82.773287962569114</v>
      </c>
      <c r="D11" s="15">
        <v>1215</v>
      </c>
      <c r="E11" s="14">
        <v>46.448849299999999</v>
      </c>
      <c r="F11" s="16">
        <v>1.7338386400000001</v>
      </c>
      <c r="G11" s="14">
        <v>53.551150700000001</v>
      </c>
      <c r="H11" s="16">
        <v>1.7338386400000001</v>
      </c>
      <c r="I11" s="14" t="s">
        <v>139</v>
      </c>
      <c r="J11" s="16" t="s">
        <v>139</v>
      </c>
      <c r="K11" s="14">
        <v>0</v>
      </c>
      <c r="L11" s="16">
        <v>0</v>
      </c>
      <c r="M11" s="14">
        <v>0</v>
      </c>
      <c r="N11" s="16">
        <v>0</v>
      </c>
      <c r="O11" s="14">
        <v>0</v>
      </c>
      <c r="P11" s="16">
        <v>0</v>
      </c>
      <c r="Q11" s="14">
        <v>0</v>
      </c>
      <c r="R11" s="16">
        <v>0</v>
      </c>
    </row>
    <row r="12" spans="1:18" x14ac:dyDescent="0.25">
      <c r="A12" s="11" t="s">
        <v>144</v>
      </c>
      <c r="B12" s="13">
        <v>6894</v>
      </c>
      <c r="C12" s="14">
        <f>(5718/B12*100)</f>
        <v>82.941688424717142</v>
      </c>
      <c r="D12" s="15">
        <v>1176</v>
      </c>
      <c r="E12" s="14">
        <v>29.719435099999998</v>
      </c>
      <c r="F12" s="16">
        <v>1.63686632</v>
      </c>
      <c r="G12" s="14">
        <v>70.280564900000002</v>
      </c>
      <c r="H12" s="16">
        <v>1.63686632</v>
      </c>
      <c r="I12" s="14" t="s">
        <v>139</v>
      </c>
      <c r="J12" s="16" t="s">
        <v>139</v>
      </c>
      <c r="K12" s="14">
        <v>0</v>
      </c>
      <c r="L12" s="16">
        <v>0</v>
      </c>
      <c r="M12" s="14">
        <v>0</v>
      </c>
      <c r="N12" s="16">
        <v>0</v>
      </c>
      <c r="O12" s="14">
        <v>0</v>
      </c>
      <c r="P12" s="16">
        <v>0</v>
      </c>
      <c r="Q12" s="14">
        <v>0</v>
      </c>
      <c r="R12" s="16">
        <v>0</v>
      </c>
    </row>
    <row r="13" spans="1:18" x14ac:dyDescent="0.25">
      <c r="A13" s="11" t="s">
        <v>145</v>
      </c>
      <c r="B13" s="13">
        <v>7161</v>
      </c>
      <c r="C13" s="14">
        <f>(5997/B13*100)</f>
        <v>83.745286971093421</v>
      </c>
      <c r="D13" s="15">
        <v>1164</v>
      </c>
      <c r="E13" s="14">
        <v>29.12829245</v>
      </c>
      <c r="F13" s="16">
        <v>1.9900642099999999</v>
      </c>
      <c r="G13" s="14">
        <v>70.871707549999996</v>
      </c>
      <c r="H13" s="16">
        <v>1.9900642099999999</v>
      </c>
      <c r="I13" s="14" t="s">
        <v>139</v>
      </c>
      <c r="J13" s="16" t="s">
        <v>139</v>
      </c>
      <c r="K13" s="14">
        <v>0</v>
      </c>
      <c r="L13" s="16">
        <v>0</v>
      </c>
      <c r="M13" s="14">
        <v>0</v>
      </c>
      <c r="N13" s="16">
        <v>0</v>
      </c>
      <c r="O13" s="14">
        <v>0</v>
      </c>
      <c r="P13" s="16">
        <v>0</v>
      </c>
      <c r="Q13" s="14">
        <v>0</v>
      </c>
      <c r="R13" s="16">
        <v>0</v>
      </c>
    </row>
    <row r="14" spans="1:18" x14ac:dyDescent="0.25">
      <c r="A14" s="11" t="s">
        <v>146</v>
      </c>
      <c r="B14" s="13">
        <v>5587</v>
      </c>
      <c r="C14" s="14">
        <f>(4630/B14*100)</f>
        <v>82.870950420619295</v>
      </c>
      <c r="D14" s="15">
        <v>957</v>
      </c>
      <c r="E14" s="14">
        <v>28.150560349999999</v>
      </c>
      <c r="F14" s="16">
        <v>1.42471047</v>
      </c>
      <c r="G14" s="14">
        <v>71.849439649999994</v>
      </c>
      <c r="H14" s="16">
        <v>1.42471047</v>
      </c>
      <c r="I14" s="14" t="s">
        <v>139</v>
      </c>
      <c r="J14" s="16" t="s">
        <v>139</v>
      </c>
      <c r="K14" s="14">
        <v>0</v>
      </c>
      <c r="L14" s="16">
        <v>0</v>
      </c>
      <c r="M14" s="14">
        <v>0</v>
      </c>
      <c r="N14" s="16">
        <v>0</v>
      </c>
      <c r="O14" s="14">
        <v>0</v>
      </c>
      <c r="P14" s="16">
        <v>0</v>
      </c>
      <c r="Q14" s="14">
        <v>0</v>
      </c>
      <c r="R14" s="16">
        <v>0</v>
      </c>
    </row>
    <row r="15" spans="1:18" x14ac:dyDescent="0.25">
      <c r="A15" s="11" t="s">
        <v>147</v>
      </c>
      <c r="B15" s="13">
        <v>5882</v>
      </c>
      <c r="C15" s="14">
        <f>(4904/B15*100)</f>
        <v>83.373002380142808</v>
      </c>
      <c r="D15" s="15">
        <v>978</v>
      </c>
      <c r="E15" s="14">
        <v>25.491671190000002</v>
      </c>
      <c r="F15" s="16">
        <v>1.52039825</v>
      </c>
      <c r="G15" s="14">
        <v>74.508328809999995</v>
      </c>
      <c r="H15" s="16">
        <v>1.52039825</v>
      </c>
      <c r="I15" s="14" t="s">
        <v>139</v>
      </c>
      <c r="J15" s="16" t="s">
        <v>139</v>
      </c>
      <c r="K15" s="14">
        <v>0</v>
      </c>
      <c r="L15" s="16">
        <v>0</v>
      </c>
      <c r="M15" s="14">
        <v>0</v>
      </c>
      <c r="N15" s="16">
        <v>0</v>
      </c>
      <c r="O15" s="14">
        <v>0</v>
      </c>
      <c r="P15" s="16">
        <v>0</v>
      </c>
      <c r="Q15" s="14">
        <v>0</v>
      </c>
      <c r="R15" s="16">
        <v>0</v>
      </c>
    </row>
    <row r="16" spans="1:18" x14ac:dyDescent="0.25">
      <c r="A16" s="11" t="s">
        <v>148</v>
      </c>
      <c r="B16" s="13">
        <v>6108</v>
      </c>
      <c r="C16" s="14">
        <f>(5050/B16*100)</f>
        <v>82.678454485920099</v>
      </c>
      <c r="D16" s="15">
        <v>1058</v>
      </c>
      <c r="E16" s="14">
        <v>38.980233310000003</v>
      </c>
      <c r="F16" s="16">
        <v>1.30555157</v>
      </c>
      <c r="G16" s="14">
        <v>61.019766689999997</v>
      </c>
      <c r="H16" s="16">
        <v>1.30555157</v>
      </c>
      <c r="I16" s="14" t="s">
        <v>139</v>
      </c>
      <c r="J16" s="16" t="s">
        <v>139</v>
      </c>
      <c r="K16" s="14">
        <v>0</v>
      </c>
      <c r="L16" s="16">
        <v>0</v>
      </c>
      <c r="M16" s="14">
        <v>0</v>
      </c>
      <c r="N16" s="16">
        <v>0</v>
      </c>
      <c r="O16" s="14">
        <v>0</v>
      </c>
      <c r="P16" s="16">
        <v>0</v>
      </c>
      <c r="Q16" s="14">
        <v>0</v>
      </c>
      <c r="R16" s="16">
        <v>0</v>
      </c>
    </row>
    <row r="17" spans="1:18" x14ac:dyDescent="0.25">
      <c r="A17" s="11" t="s">
        <v>149</v>
      </c>
      <c r="B17" s="13">
        <v>6504</v>
      </c>
      <c r="C17" s="14">
        <f>(5409/B17*100)</f>
        <v>83.164206642066418</v>
      </c>
      <c r="D17" s="15">
        <v>1095</v>
      </c>
      <c r="E17" s="14">
        <v>31.768058280000002</v>
      </c>
      <c r="F17" s="16">
        <v>1.5088150899999999</v>
      </c>
      <c r="G17" s="14">
        <v>68.231941719999995</v>
      </c>
      <c r="H17" s="16">
        <v>1.5088150899999999</v>
      </c>
      <c r="I17" s="14" t="s">
        <v>139</v>
      </c>
      <c r="J17" s="16" t="s">
        <v>139</v>
      </c>
      <c r="K17" s="14">
        <v>0</v>
      </c>
      <c r="L17" s="16">
        <v>0</v>
      </c>
      <c r="M17" s="14">
        <v>0</v>
      </c>
      <c r="N17" s="16">
        <v>0</v>
      </c>
      <c r="O17" s="14">
        <v>0</v>
      </c>
      <c r="P17" s="16">
        <v>0</v>
      </c>
      <c r="Q17" s="14">
        <v>0</v>
      </c>
      <c r="R17" s="16">
        <v>0</v>
      </c>
    </row>
    <row r="18" spans="1:18" x14ac:dyDescent="0.25">
      <c r="A18" s="11" t="s">
        <v>150</v>
      </c>
      <c r="B18" s="13">
        <v>5532</v>
      </c>
      <c r="C18" s="14">
        <f>(4565/B18*100)</f>
        <v>82.519884309472161</v>
      </c>
      <c r="D18" s="15">
        <v>967</v>
      </c>
      <c r="E18" s="14">
        <v>39.709107019999998</v>
      </c>
      <c r="F18" s="16">
        <v>1.8367667999999999</v>
      </c>
      <c r="G18" s="14">
        <v>60.290892980000002</v>
      </c>
      <c r="H18" s="16">
        <v>1.8367667999999999</v>
      </c>
      <c r="I18" s="14" t="s">
        <v>139</v>
      </c>
      <c r="J18" s="16" t="s">
        <v>139</v>
      </c>
      <c r="K18" s="14">
        <v>0</v>
      </c>
      <c r="L18" s="16">
        <v>0</v>
      </c>
      <c r="M18" s="14">
        <v>0</v>
      </c>
      <c r="N18" s="16">
        <v>0</v>
      </c>
      <c r="O18" s="14">
        <v>0</v>
      </c>
      <c r="P18" s="16">
        <v>0</v>
      </c>
      <c r="Q18" s="14">
        <v>0</v>
      </c>
      <c r="R18" s="16">
        <v>0</v>
      </c>
    </row>
    <row r="19" spans="1:18" x14ac:dyDescent="0.25">
      <c r="A19" s="11" t="s">
        <v>151</v>
      </c>
      <c r="B19" s="13">
        <v>5658</v>
      </c>
      <c r="C19" s="14">
        <f>(4699/B19*100)</f>
        <v>83.050547896783314</v>
      </c>
      <c r="D19" s="15">
        <v>959</v>
      </c>
      <c r="E19" s="14">
        <v>40.714565999999998</v>
      </c>
      <c r="F19" s="16">
        <v>1.96178052</v>
      </c>
      <c r="G19" s="14">
        <v>59.285434000000002</v>
      </c>
      <c r="H19" s="16">
        <v>1.96178052</v>
      </c>
      <c r="I19" s="14" t="s">
        <v>139</v>
      </c>
      <c r="J19" s="16" t="s">
        <v>139</v>
      </c>
      <c r="K19" s="14">
        <v>0</v>
      </c>
      <c r="L19" s="16">
        <v>0</v>
      </c>
      <c r="M19" s="14">
        <v>0</v>
      </c>
      <c r="N19" s="16">
        <v>0</v>
      </c>
      <c r="O19" s="14">
        <v>0</v>
      </c>
      <c r="P19" s="16">
        <v>0</v>
      </c>
      <c r="Q19" s="14">
        <v>0</v>
      </c>
      <c r="R19" s="16">
        <v>0</v>
      </c>
    </row>
    <row r="20" spans="1:18" x14ac:dyDescent="0.25">
      <c r="A20" s="11" t="s">
        <v>152</v>
      </c>
      <c r="B20" s="13">
        <v>3371</v>
      </c>
      <c r="C20" s="14">
        <f>(2790/B20*100)</f>
        <v>82.764758231978647</v>
      </c>
      <c r="D20" s="15">
        <v>581</v>
      </c>
      <c r="E20" s="14">
        <v>38.905467399999999</v>
      </c>
      <c r="F20" s="16">
        <v>2.3696799</v>
      </c>
      <c r="G20" s="14">
        <v>61.094532600000001</v>
      </c>
      <c r="H20" s="16">
        <v>2.3696799</v>
      </c>
      <c r="I20" s="14" t="s">
        <v>139</v>
      </c>
      <c r="J20" s="16" t="s">
        <v>139</v>
      </c>
      <c r="K20" s="14">
        <v>0</v>
      </c>
      <c r="L20" s="16">
        <v>0</v>
      </c>
      <c r="M20" s="14">
        <v>0</v>
      </c>
      <c r="N20" s="16">
        <v>0</v>
      </c>
      <c r="O20" s="14">
        <v>0</v>
      </c>
      <c r="P20" s="16">
        <v>0</v>
      </c>
      <c r="Q20" s="14">
        <v>0</v>
      </c>
      <c r="R20" s="16">
        <v>0</v>
      </c>
    </row>
    <row r="21" spans="1:18" x14ac:dyDescent="0.25">
      <c r="A21" s="11" t="s">
        <v>153</v>
      </c>
      <c r="B21" s="17" t="s">
        <v>154</v>
      </c>
      <c r="C21" s="17" t="s">
        <v>154</v>
      </c>
      <c r="D21" s="18" t="s">
        <v>154</v>
      </c>
      <c r="E21" s="17" t="s">
        <v>154</v>
      </c>
      <c r="F21" s="18" t="s">
        <v>154</v>
      </c>
      <c r="G21" s="17" t="s">
        <v>154</v>
      </c>
      <c r="H21" s="18" t="s">
        <v>154</v>
      </c>
      <c r="I21" s="17" t="s">
        <v>154</v>
      </c>
      <c r="J21" s="18" t="s">
        <v>154</v>
      </c>
      <c r="K21" s="17" t="s">
        <v>154</v>
      </c>
      <c r="L21" s="18" t="s">
        <v>154</v>
      </c>
      <c r="M21" s="17" t="s">
        <v>154</v>
      </c>
      <c r="N21" s="18" t="s">
        <v>154</v>
      </c>
      <c r="O21" s="17" t="s">
        <v>154</v>
      </c>
      <c r="P21" s="18" t="s">
        <v>154</v>
      </c>
      <c r="Q21" s="17" t="s">
        <v>154</v>
      </c>
      <c r="R21" s="18" t="s">
        <v>154</v>
      </c>
    </row>
    <row r="22" spans="1:18" x14ac:dyDescent="0.25">
      <c r="A22" s="11" t="s">
        <v>155</v>
      </c>
      <c r="B22" s="13">
        <v>6598</v>
      </c>
      <c r="C22" s="14">
        <f>(5565/B22*100)</f>
        <v>84.343740527432558</v>
      </c>
      <c r="D22" s="15">
        <v>1033</v>
      </c>
      <c r="E22" s="14">
        <v>39.847709299999998</v>
      </c>
      <c r="F22" s="16">
        <v>1.74644</v>
      </c>
      <c r="G22" s="14">
        <v>60.152290700000002</v>
      </c>
      <c r="H22" s="16">
        <v>1.74644</v>
      </c>
      <c r="I22" s="14" t="s">
        <v>139</v>
      </c>
      <c r="J22" s="16" t="s">
        <v>139</v>
      </c>
      <c r="K22" s="14">
        <v>0</v>
      </c>
      <c r="L22" s="16">
        <v>0</v>
      </c>
      <c r="M22" s="14">
        <v>0</v>
      </c>
      <c r="N22" s="16">
        <v>0</v>
      </c>
      <c r="O22" s="14">
        <v>0</v>
      </c>
      <c r="P22" s="16">
        <v>0</v>
      </c>
      <c r="Q22" s="14">
        <v>0</v>
      </c>
      <c r="R22" s="16">
        <v>0</v>
      </c>
    </row>
    <row r="23" spans="1:18" x14ac:dyDescent="0.25">
      <c r="A23" s="11" t="s">
        <v>156</v>
      </c>
      <c r="B23" s="13">
        <v>11583</v>
      </c>
      <c r="C23" s="14">
        <f>(9605/B23*100)</f>
        <v>82.923249589916253</v>
      </c>
      <c r="D23" s="15">
        <v>1978</v>
      </c>
      <c r="E23" s="14">
        <v>35.27046138</v>
      </c>
      <c r="F23" s="16">
        <v>1.62833231</v>
      </c>
      <c r="G23" s="14">
        <v>64.72953862</v>
      </c>
      <c r="H23" s="16">
        <v>1.62833231</v>
      </c>
      <c r="I23" s="14" t="s">
        <v>139</v>
      </c>
      <c r="J23" s="16" t="s">
        <v>139</v>
      </c>
      <c r="K23" s="14">
        <v>0</v>
      </c>
      <c r="L23" s="16">
        <v>0</v>
      </c>
      <c r="M23" s="14">
        <v>0</v>
      </c>
      <c r="N23" s="16">
        <v>0</v>
      </c>
      <c r="O23" s="14">
        <v>0</v>
      </c>
      <c r="P23" s="16">
        <v>0</v>
      </c>
      <c r="Q23" s="14">
        <v>0</v>
      </c>
      <c r="R23" s="16">
        <v>0</v>
      </c>
    </row>
    <row r="24" spans="1:18" x14ac:dyDescent="0.25">
      <c r="A24" s="11" t="s">
        <v>157</v>
      </c>
      <c r="B24" s="13">
        <v>6647</v>
      </c>
      <c r="C24" s="14">
        <f>(5489/B24*100)</f>
        <v>82.578606890326469</v>
      </c>
      <c r="D24" s="15">
        <v>1158</v>
      </c>
      <c r="E24" s="14">
        <v>23.495644209999998</v>
      </c>
      <c r="F24" s="16">
        <v>1.41224707</v>
      </c>
      <c r="G24" s="14">
        <v>76.504355790000005</v>
      </c>
      <c r="H24" s="16">
        <v>1.41224707</v>
      </c>
      <c r="I24" s="14" t="s">
        <v>139</v>
      </c>
      <c r="J24" s="16" t="s">
        <v>139</v>
      </c>
      <c r="K24" s="14">
        <v>0</v>
      </c>
      <c r="L24" s="16">
        <v>0</v>
      </c>
      <c r="M24" s="14">
        <v>0</v>
      </c>
      <c r="N24" s="16">
        <v>0</v>
      </c>
      <c r="O24" s="14">
        <v>0</v>
      </c>
      <c r="P24" s="16">
        <v>0</v>
      </c>
      <c r="Q24" s="14">
        <v>0</v>
      </c>
      <c r="R24" s="16">
        <v>0</v>
      </c>
    </row>
    <row r="25" spans="1:18" x14ac:dyDescent="0.25">
      <c r="A25" s="11" t="s">
        <v>158</v>
      </c>
      <c r="B25" s="13">
        <v>5581</v>
      </c>
      <c r="C25" s="14">
        <f>(4616/B25*100)</f>
        <v>82.709191901092993</v>
      </c>
      <c r="D25" s="15">
        <v>965</v>
      </c>
      <c r="E25" s="14">
        <v>15.54872063</v>
      </c>
      <c r="F25" s="16">
        <v>1.2820160300000001</v>
      </c>
      <c r="G25" s="14">
        <v>84.451279369999995</v>
      </c>
      <c r="H25" s="16">
        <v>1.2820160300000001</v>
      </c>
      <c r="I25" s="14" t="s">
        <v>139</v>
      </c>
      <c r="J25" s="16" t="s">
        <v>139</v>
      </c>
      <c r="K25" s="14">
        <v>0</v>
      </c>
      <c r="L25" s="16">
        <v>0</v>
      </c>
      <c r="M25" s="14">
        <v>0</v>
      </c>
      <c r="N25" s="16">
        <v>0</v>
      </c>
      <c r="O25" s="14">
        <v>0</v>
      </c>
      <c r="P25" s="16">
        <v>0</v>
      </c>
      <c r="Q25" s="14">
        <v>0</v>
      </c>
      <c r="R25" s="16">
        <v>0</v>
      </c>
    </row>
    <row r="26" spans="1:18" x14ac:dyDescent="0.25">
      <c r="A26" s="11" t="s">
        <v>159</v>
      </c>
      <c r="B26" s="13">
        <v>4869</v>
      </c>
      <c r="C26" s="14">
        <f>(4009/B26*100)</f>
        <v>82.337235571986028</v>
      </c>
      <c r="D26" s="15">
        <v>860</v>
      </c>
      <c r="E26" s="14">
        <v>39.930802649999997</v>
      </c>
      <c r="F26" s="16">
        <v>1.6359304299999999</v>
      </c>
      <c r="G26" s="14">
        <v>60.069197350000003</v>
      </c>
      <c r="H26" s="16">
        <v>1.6359304299999999</v>
      </c>
      <c r="I26" s="14" t="s">
        <v>139</v>
      </c>
      <c r="J26" s="16" t="s">
        <v>139</v>
      </c>
      <c r="K26" s="14">
        <v>0</v>
      </c>
      <c r="L26" s="16">
        <v>0</v>
      </c>
      <c r="M26" s="14">
        <v>0</v>
      </c>
      <c r="N26" s="16">
        <v>0</v>
      </c>
      <c r="O26" s="14">
        <v>0</v>
      </c>
      <c r="P26" s="16">
        <v>0</v>
      </c>
      <c r="Q26" s="14">
        <v>0</v>
      </c>
      <c r="R26" s="16">
        <v>0</v>
      </c>
    </row>
    <row r="27" spans="1:18" x14ac:dyDescent="0.25">
      <c r="A27" s="11" t="s">
        <v>160</v>
      </c>
      <c r="B27" s="13">
        <v>5299</v>
      </c>
      <c r="C27" s="14">
        <f>(4381/B27*100)</f>
        <v>82.675976599358364</v>
      </c>
      <c r="D27" s="15">
        <v>918</v>
      </c>
      <c r="E27" s="14">
        <v>40.491854539999999</v>
      </c>
      <c r="F27" s="16">
        <v>1.9710749999999999</v>
      </c>
      <c r="G27" s="14">
        <v>59.508145460000001</v>
      </c>
      <c r="H27" s="16">
        <v>1.9710749999999999</v>
      </c>
      <c r="I27" s="14" t="s">
        <v>139</v>
      </c>
      <c r="J27" s="16" t="s">
        <v>139</v>
      </c>
      <c r="K27" s="14">
        <v>0</v>
      </c>
      <c r="L27" s="16">
        <v>0</v>
      </c>
      <c r="M27" s="14">
        <v>0</v>
      </c>
      <c r="N27" s="16">
        <v>0</v>
      </c>
      <c r="O27" s="14">
        <v>0</v>
      </c>
      <c r="P27" s="16">
        <v>0</v>
      </c>
      <c r="Q27" s="14">
        <v>0</v>
      </c>
      <c r="R27" s="16">
        <v>0</v>
      </c>
    </row>
    <row r="28" spans="1:18" x14ac:dyDescent="0.25">
      <c r="A28" s="11" t="s">
        <v>161</v>
      </c>
      <c r="B28" s="13">
        <v>7568</v>
      </c>
      <c r="C28" s="14">
        <f>(6328/B28*100)</f>
        <v>83.61522198731501</v>
      </c>
      <c r="D28" s="15">
        <v>1240</v>
      </c>
      <c r="E28" s="14">
        <v>43.894091510000003</v>
      </c>
      <c r="F28" s="16">
        <v>1.57832942</v>
      </c>
      <c r="G28" s="14">
        <v>56.105908489999997</v>
      </c>
      <c r="H28" s="16">
        <v>1.57832942</v>
      </c>
      <c r="I28" s="14" t="s">
        <v>139</v>
      </c>
      <c r="J28" s="16" t="s">
        <v>139</v>
      </c>
      <c r="K28" s="14">
        <v>0</v>
      </c>
      <c r="L28" s="16">
        <v>0</v>
      </c>
      <c r="M28" s="14">
        <v>0</v>
      </c>
      <c r="N28" s="16">
        <v>0</v>
      </c>
      <c r="O28" s="14">
        <v>0</v>
      </c>
      <c r="P28" s="16">
        <v>0</v>
      </c>
      <c r="Q28" s="14">
        <v>0</v>
      </c>
      <c r="R28" s="16">
        <v>0</v>
      </c>
    </row>
    <row r="29" spans="1:18" x14ac:dyDescent="0.25">
      <c r="A29" s="11" t="s">
        <v>162</v>
      </c>
      <c r="B29" s="13">
        <v>5385</v>
      </c>
      <c r="C29" s="14">
        <f>(4470/B29*100)</f>
        <v>83.008356545961007</v>
      </c>
      <c r="D29" s="15">
        <v>915</v>
      </c>
      <c r="E29" s="14">
        <v>31.79404985</v>
      </c>
      <c r="F29" s="16">
        <v>1.56543951</v>
      </c>
      <c r="G29" s="14">
        <v>68.205950150000007</v>
      </c>
      <c r="H29" s="16">
        <v>1.56543951</v>
      </c>
      <c r="I29" s="14" t="s">
        <v>139</v>
      </c>
      <c r="J29" s="16" t="s">
        <v>139</v>
      </c>
      <c r="K29" s="14">
        <v>0</v>
      </c>
      <c r="L29" s="16">
        <v>0</v>
      </c>
      <c r="M29" s="14">
        <v>0</v>
      </c>
      <c r="N29" s="16">
        <v>0</v>
      </c>
      <c r="O29" s="14">
        <v>0</v>
      </c>
      <c r="P29" s="16">
        <v>0</v>
      </c>
      <c r="Q29" s="14">
        <v>0</v>
      </c>
      <c r="R29" s="16">
        <v>0</v>
      </c>
    </row>
    <row r="30" spans="1:18" x14ac:dyDescent="0.25">
      <c r="A30" s="11" t="s">
        <v>163</v>
      </c>
      <c r="B30" s="13">
        <v>4520</v>
      </c>
      <c r="C30" s="14">
        <f>(3747/B30*100)</f>
        <v>82.898230088495566</v>
      </c>
      <c r="D30" s="15">
        <v>773</v>
      </c>
      <c r="E30" s="14">
        <v>30.312940650000002</v>
      </c>
      <c r="F30" s="16">
        <v>1.63812282</v>
      </c>
      <c r="G30" s="14">
        <v>69.687059349999998</v>
      </c>
      <c r="H30" s="16">
        <v>1.63812282</v>
      </c>
      <c r="I30" s="14" t="s">
        <v>139</v>
      </c>
      <c r="J30" s="16" t="s">
        <v>139</v>
      </c>
      <c r="K30" s="14">
        <v>0</v>
      </c>
      <c r="L30" s="16">
        <v>0</v>
      </c>
      <c r="M30" s="14">
        <v>0</v>
      </c>
      <c r="N30" s="16">
        <v>0</v>
      </c>
      <c r="O30" s="14">
        <v>0</v>
      </c>
      <c r="P30" s="16">
        <v>0</v>
      </c>
      <c r="Q30" s="14">
        <v>0</v>
      </c>
      <c r="R30" s="16">
        <v>0</v>
      </c>
    </row>
    <row r="31" spans="1:18" x14ac:dyDescent="0.25">
      <c r="A31" s="11" t="s">
        <v>164</v>
      </c>
      <c r="B31" s="13">
        <v>5456</v>
      </c>
      <c r="C31" s="14">
        <f>(4535/B31*100)</f>
        <v>83.119501466275665</v>
      </c>
      <c r="D31" s="15">
        <v>921</v>
      </c>
      <c r="E31" s="14">
        <v>31.164656430000001</v>
      </c>
      <c r="F31" s="16">
        <v>1.3686773299999999</v>
      </c>
      <c r="G31" s="14">
        <v>68.835343570000006</v>
      </c>
      <c r="H31" s="16">
        <v>1.3686773299999999</v>
      </c>
      <c r="I31" s="14" t="s">
        <v>139</v>
      </c>
      <c r="J31" s="16" t="s">
        <v>139</v>
      </c>
      <c r="K31" s="14">
        <v>0</v>
      </c>
      <c r="L31" s="16">
        <v>0</v>
      </c>
      <c r="M31" s="14">
        <v>0</v>
      </c>
      <c r="N31" s="16">
        <v>0</v>
      </c>
      <c r="O31" s="14">
        <v>0</v>
      </c>
      <c r="P31" s="16">
        <v>0</v>
      </c>
      <c r="Q31" s="14">
        <v>0</v>
      </c>
      <c r="R31" s="16">
        <v>0</v>
      </c>
    </row>
    <row r="32" spans="1:18" x14ac:dyDescent="0.25">
      <c r="A32" s="11" t="s">
        <v>165</v>
      </c>
      <c r="B32" s="17" t="s">
        <v>154</v>
      </c>
      <c r="C32" s="17" t="s">
        <v>154</v>
      </c>
      <c r="D32" s="18" t="s">
        <v>154</v>
      </c>
      <c r="E32" s="17" t="s">
        <v>154</v>
      </c>
      <c r="F32" s="18" t="s">
        <v>154</v>
      </c>
      <c r="G32" s="17" t="s">
        <v>154</v>
      </c>
      <c r="H32" s="18" t="s">
        <v>154</v>
      </c>
      <c r="I32" s="17" t="s">
        <v>154</v>
      </c>
      <c r="J32" s="18" t="s">
        <v>154</v>
      </c>
      <c r="K32" s="17" t="s">
        <v>154</v>
      </c>
      <c r="L32" s="18" t="s">
        <v>154</v>
      </c>
      <c r="M32" s="17" t="s">
        <v>154</v>
      </c>
      <c r="N32" s="18" t="s">
        <v>154</v>
      </c>
      <c r="O32" s="17" t="s">
        <v>154</v>
      </c>
      <c r="P32" s="18" t="s">
        <v>154</v>
      </c>
      <c r="Q32" s="17" t="s">
        <v>154</v>
      </c>
      <c r="R32" s="18" t="s">
        <v>154</v>
      </c>
    </row>
    <row r="33" spans="1:18" x14ac:dyDescent="0.25">
      <c r="A33" s="11" t="s">
        <v>166</v>
      </c>
      <c r="B33" s="13">
        <v>7325</v>
      </c>
      <c r="C33" s="14">
        <f>(6101/B33*100)</f>
        <v>83.290102389078498</v>
      </c>
      <c r="D33" s="15">
        <v>1224</v>
      </c>
      <c r="E33" s="14">
        <v>44.14443318</v>
      </c>
      <c r="F33" s="16">
        <v>1.8065806600000001</v>
      </c>
      <c r="G33" s="14">
        <v>55.85556682</v>
      </c>
      <c r="H33" s="16">
        <v>1.8065806600000001</v>
      </c>
      <c r="I33" s="14" t="s">
        <v>139</v>
      </c>
      <c r="J33" s="16" t="s">
        <v>139</v>
      </c>
      <c r="K33" s="14">
        <v>0</v>
      </c>
      <c r="L33" s="16">
        <v>0</v>
      </c>
      <c r="M33" s="14">
        <v>0</v>
      </c>
      <c r="N33" s="16">
        <v>0</v>
      </c>
      <c r="O33" s="14">
        <v>0</v>
      </c>
      <c r="P33" s="16">
        <v>0</v>
      </c>
      <c r="Q33" s="14">
        <v>0</v>
      </c>
      <c r="R33" s="16">
        <v>0</v>
      </c>
    </row>
    <row r="34" spans="1:18" x14ac:dyDescent="0.25">
      <c r="A34" s="11" t="s">
        <v>167</v>
      </c>
      <c r="B34" s="13">
        <v>6350</v>
      </c>
      <c r="C34" s="14">
        <f>(5284/B34*100)</f>
        <v>83.212598425196845</v>
      </c>
      <c r="D34" s="15">
        <v>1066</v>
      </c>
      <c r="E34" s="14">
        <v>38.938044869999999</v>
      </c>
      <c r="F34" s="16">
        <v>1.5315515099999999</v>
      </c>
      <c r="G34" s="14">
        <v>61.061955130000001</v>
      </c>
      <c r="H34" s="16">
        <v>1.5315515099999999</v>
      </c>
      <c r="I34" s="14" t="s">
        <v>139</v>
      </c>
      <c r="J34" s="16" t="s">
        <v>139</v>
      </c>
      <c r="K34" s="14">
        <v>0</v>
      </c>
      <c r="L34" s="16">
        <v>0</v>
      </c>
      <c r="M34" s="14">
        <v>0</v>
      </c>
      <c r="N34" s="16">
        <v>0</v>
      </c>
      <c r="O34" s="14">
        <v>0</v>
      </c>
      <c r="P34" s="16">
        <v>0</v>
      </c>
      <c r="Q34" s="14">
        <v>0</v>
      </c>
      <c r="R34" s="16">
        <v>0</v>
      </c>
    </row>
    <row r="35" spans="1:18" x14ac:dyDescent="0.25">
      <c r="A35" s="11" t="s">
        <v>168</v>
      </c>
      <c r="B35" s="13">
        <v>6406</v>
      </c>
      <c r="C35" s="14">
        <f>(5299/B35*100)</f>
        <v>82.719325632219793</v>
      </c>
      <c r="D35" s="15">
        <v>1107</v>
      </c>
      <c r="E35" s="14">
        <v>33.253480789999998</v>
      </c>
      <c r="F35" s="16">
        <v>1.52845556</v>
      </c>
      <c r="G35" s="14">
        <v>66.746519210000002</v>
      </c>
      <c r="H35" s="16">
        <v>1.52845556</v>
      </c>
      <c r="I35" s="14" t="s">
        <v>139</v>
      </c>
      <c r="J35" s="16" t="s">
        <v>139</v>
      </c>
      <c r="K35" s="14">
        <v>0</v>
      </c>
      <c r="L35" s="16">
        <v>0</v>
      </c>
      <c r="M35" s="14">
        <v>0</v>
      </c>
      <c r="N35" s="16">
        <v>0</v>
      </c>
      <c r="O35" s="14">
        <v>0</v>
      </c>
      <c r="P35" s="16">
        <v>0</v>
      </c>
      <c r="Q35" s="14">
        <v>0</v>
      </c>
      <c r="R35" s="16">
        <v>0</v>
      </c>
    </row>
    <row r="36" spans="1:18" x14ac:dyDescent="0.25">
      <c r="A36" s="11" t="s">
        <v>169</v>
      </c>
      <c r="B36" s="13">
        <v>6736</v>
      </c>
      <c r="C36" s="14">
        <f>(5580/B36*100)</f>
        <v>82.838479809976249</v>
      </c>
      <c r="D36" s="15">
        <v>1156</v>
      </c>
      <c r="E36" s="14">
        <v>30.641145760000001</v>
      </c>
      <c r="F36" s="16">
        <v>1.28758046</v>
      </c>
      <c r="G36" s="14">
        <v>69.358854239999999</v>
      </c>
      <c r="H36" s="16">
        <v>1.28758046</v>
      </c>
      <c r="I36" s="14" t="s">
        <v>139</v>
      </c>
      <c r="J36" s="16" t="s">
        <v>139</v>
      </c>
      <c r="K36" s="14">
        <v>0</v>
      </c>
      <c r="L36" s="16">
        <v>0</v>
      </c>
      <c r="M36" s="14">
        <v>0</v>
      </c>
      <c r="N36" s="16">
        <v>0</v>
      </c>
      <c r="O36" s="14">
        <v>0</v>
      </c>
      <c r="P36" s="16">
        <v>0</v>
      </c>
      <c r="Q36" s="14">
        <v>0</v>
      </c>
      <c r="R36" s="16">
        <v>0</v>
      </c>
    </row>
    <row r="37" spans="1:18" x14ac:dyDescent="0.25">
      <c r="A37" s="11" t="s">
        <v>170</v>
      </c>
      <c r="B37" s="13">
        <v>5458</v>
      </c>
      <c r="C37" s="14">
        <f>(4558/B37*100)</f>
        <v>83.510443385855623</v>
      </c>
      <c r="D37" s="15">
        <v>900</v>
      </c>
      <c r="E37" s="14">
        <v>26.725759459999999</v>
      </c>
      <c r="F37" s="16">
        <v>1.62153145</v>
      </c>
      <c r="G37" s="14">
        <v>73.274240539999994</v>
      </c>
      <c r="H37" s="16">
        <v>1.62153145</v>
      </c>
      <c r="I37" s="14" t="s">
        <v>139</v>
      </c>
      <c r="J37" s="16" t="s">
        <v>139</v>
      </c>
      <c r="K37" s="14">
        <v>0</v>
      </c>
      <c r="L37" s="16">
        <v>0</v>
      </c>
      <c r="M37" s="14">
        <v>0</v>
      </c>
      <c r="N37" s="16">
        <v>0</v>
      </c>
      <c r="O37" s="14">
        <v>0</v>
      </c>
      <c r="P37" s="16">
        <v>0</v>
      </c>
      <c r="Q37" s="14">
        <v>0</v>
      </c>
      <c r="R37" s="16">
        <v>0</v>
      </c>
    </row>
    <row r="38" spans="1:18" x14ac:dyDescent="0.25">
      <c r="A38" s="11" t="s">
        <v>171</v>
      </c>
      <c r="B38" s="17" t="s">
        <v>154</v>
      </c>
      <c r="C38" s="17" t="s">
        <v>154</v>
      </c>
      <c r="D38" s="18" t="s">
        <v>154</v>
      </c>
      <c r="E38" s="17" t="s">
        <v>154</v>
      </c>
      <c r="F38" s="18" t="s">
        <v>154</v>
      </c>
      <c r="G38" s="17" t="s">
        <v>154</v>
      </c>
      <c r="H38" s="18" t="s">
        <v>154</v>
      </c>
      <c r="I38" s="17" t="s">
        <v>154</v>
      </c>
      <c r="J38" s="18" t="s">
        <v>154</v>
      </c>
      <c r="K38" s="17" t="s">
        <v>154</v>
      </c>
      <c r="L38" s="18" t="s">
        <v>154</v>
      </c>
      <c r="M38" s="17" t="s">
        <v>154</v>
      </c>
      <c r="N38" s="18" t="s">
        <v>154</v>
      </c>
      <c r="O38" s="17" t="s">
        <v>154</v>
      </c>
      <c r="P38" s="18" t="s">
        <v>154</v>
      </c>
      <c r="Q38" s="17" t="s">
        <v>154</v>
      </c>
      <c r="R38" s="18" t="s">
        <v>154</v>
      </c>
    </row>
    <row r="39" spans="1:18" x14ac:dyDescent="0.25">
      <c r="A39" s="11" t="s">
        <v>172</v>
      </c>
      <c r="B39" s="13">
        <v>5895</v>
      </c>
      <c r="C39" s="14">
        <f>(4870/B39*100)</f>
        <v>82.612383375742155</v>
      </c>
      <c r="D39" s="15">
        <v>1025</v>
      </c>
      <c r="E39" s="14">
        <v>43.188615409999997</v>
      </c>
      <c r="F39" s="16">
        <v>1.9338733100000001</v>
      </c>
      <c r="G39" s="14">
        <v>56.811384590000003</v>
      </c>
      <c r="H39" s="16">
        <v>1.9338733100000001</v>
      </c>
      <c r="I39" s="14" t="s">
        <v>139</v>
      </c>
      <c r="J39" s="16" t="s">
        <v>139</v>
      </c>
      <c r="K39" s="14">
        <v>0</v>
      </c>
      <c r="L39" s="16">
        <v>0</v>
      </c>
      <c r="M39" s="14">
        <v>0</v>
      </c>
      <c r="N39" s="16">
        <v>0</v>
      </c>
      <c r="O39" s="14">
        <v>0</v>
      </c>
      <c r="P39" s="16">
        <v>0</v>
      </c>
      <c r="Q39" s="14">
        <v>0</v>
      </c>
      <c r="R39" s="16">
        <v>0</v>
      </c>
    </row>
    <row r="40" spans="1:18" x14ac:dyDescent="0.25">
      <c r="A40" s="11" t="s">
        <v>173</v>
      </c>
      <c r="B40" s="13">
        <v>14157</v>
      </c>
      <c r="C40" s="14">
        <f>(11633/B40*100)</f>
        <v>82.17136398954581</v>
      </c>
      <c r="D40" s="15">
        <v>2524</v>
      </c>
      <c r="E40" s="14">
        <v>31.743097370000001</v>
      </c>
      <c r="F40" s="16">
        <v>1.46432571</v>
      </c>
      <c r="G40" s="14">
        <v>68.256902629999999</v>
      </c>
      <c r="H40" s="16">
        <v>1.46432571</v>
      </c>
      <c r="I40" s="14" t="s">
        <v>139</v>
      </c>
      <c r="J40" s="16" t="s">
        <v>139</v>
      </c>
      <c r="K40" s="14">
        <v>0</v>
      </c>
      <c r="L40" s="16">
        <v>0</v>
      </c>
      <c r="M40" s="14">
        <v>0</v>
      </c>
      <c r="N40" s="16">
        <v>0</v>
      </c>
      <c r="O40" s="14">
        <v>0</v>
      </c>
      <c r="P40" s="16">
        <v>0</v>
      </c>
      <c r="Q40" s="14">
        <v>0</v>
      </c>
      <c r="R40" s="16">
        <v>0</v>
      </c>
    </row>
    <row r="41" spans="1:18" x14ac:dyDescent="0.25">
      <c r="A41" s="11" t="s">
        <v>174</v>
      </c>
      <c r="B41" s="13">
        <v>5712</v>
      </c>
      <c r="C41" s="14">
        <f>(4759/B41*100)</f>
        <v>83.315826330532218</v>
      </c>
      <c r="D41" s="15">
        <v>953</v>
      </c>
      <c r="E41" s="14">
        <v>30.626409070000001</v>
      </c>
      <c r="F41" s="16">
        <v>1.57552392</v>
      </c>
      <c r="G41" s="14">
        <v>69.373590930000006</v>
      </c>
      <c r="H41" s="16">
        <v>1.57552392</v>
      </c>
      <c r="I41" s="14" t="s">
        <v>139</v>
      </c>
      <c r="J41" s="16" t="s">
        <v>139</v>
      </c>
      <c r="K41" s="14">
        <v>0</v>
      </c>
      <c r="L41" s="16">
        <v>0</v>
      </c>
      <c r="M41" s="14">
        <v>0</v>
      </c>
      <c r="N41" s="16">
        <v>0</v>
      </c>
      <c r="O41" s="14">
        <v>0</v>
      </c>
      <c r="P41" s="16">
        <v>0</v>
      </c>
      <c r="Q41" s="14">
        <v>0</v>
      </c>
      <c r="R41" s="16">
        <v>0</v>
      </c>
    </row>
    <row r="42" spans="1:18" x14ac:dyDescent="0.25">
      <c r="A42" s="11" t="s">
        <v>175</v>
      </c>
      <c r="B42" s="13">
        <f>IF(COUNT(B7:B41) &gt; 0, AVERAGE(B7:B41), "\u2014")</f>
        <v>7266.90625</v>
      </c>
      <c r="C42" s="14">
        <f>IF(COUNT(C7:C41) &gt; 0, AVERAGE(C7:C41), "—")</f>
        <v>82.987487641913049</v>
      </c>
      <c r="D42" s="15">
        <f>IF(COUNT(D7:D41) &gt; 0, AVERAGE(D7:D41), "—")</f>
        <v>1237.71875</v>
      </c>
      <c r="E42" s="14">
        <f>IF(COUNT(E7:E41) &gt; 0, AVERAGE(E7:E41), "—")</f>
        <v>34.228911243749991</v>
      </c>
      <c r="F42" s="16">
        <f>IF(COUNT(F7:F41) &gt; 0, SQRT(SUMSQ(F7:F41)/(COUNT(F7:F41)*COUNT(F7:F41)) ), "—")</f>
        <v>0.28432261558108529</v>
      </c>
      <c r="G42" s="14">
        <f>IF(COUNT(G7:G41) &gt; 0, AVERAGE(G7:G41), "—")</f>
        <v>65.771088756249995</v>
      </c>
      <c r="H42" s="16">
        <f>IF(COUNT(H7:H41) &gt; 0, SQRT(SUMSQ(H7:H41)/(COUNT(H7:H41)*COUNT(H7:H41)) ), "—")</f>
        <v>0.28432261558108529</v>
      </c>
      <c r="I42" s="14" t="str">
        <f>IF(COUNT(I7:I41) &gt; 0, AVERAGE(I7:I41), "—")</f>
        <v>—</v>
      </c>
      <c r="J42" s="16" t="str">
        <f>IF(COUNT(J7:J41) &gt; 0, SQRT(SUMSQ(J7:J41)/(COUNT(J7:J41)*COUNT(J7:J41)) ), "—")</f>
        <v>—</v>
      </c>
      <c r="K42" s="14">
        <f>IF(COUNT(K7:K41) &gt; 0, AVERAGE(K7:K41), "—")</f>
        <v>0</v>
      </c>
      <c r="L42" s="16">
        <f>IF(COUNT(L7:L41) &gt; 0, SQRT(SUMSQ(L7:L41)/(COUNT(L7:L41)*COUNT(L7:L41)) ), "—")</f>
        <v>0</v>
      </c>
      <c r="M42" s="14">
        <f>IF(COUNT(M7:M41) &gt; 0, AVERAGE(M7:M41), "—")</f>
        <v>0</v>
      </c>
      <c r="N42" s="16">
        <f>IF(COUNT(N7:N41) &gt; 0, SQRT(SUMSQ(N7:N41)/(COUNT(N7:N41)*COUNT(N7:N41)) ), "—")</f>
        <v>0</v>
      </c>
      <c r="O42" s="14">
        <f>IF(COUNT(O7:O41) &gt; 0, AVERAGE(O7:O41), "—")</f>
        <v>0</v>
      </c>
      <c r="P42" s="16">
        <f>IF(COUNT(P7:P41) &gt; 0, SQRT(SUMSQ(P7:P41)/(COUNT(P7:P41)*COUNT(P7:P41)) ), "—")</f>
        <v>0</v>
      </c>
      <c r="Q42" s="14">
        <f>IF(COUNT(Q7:Q41) &gt; 0, AVERAGE(Q7:Q41), "—")</f>
        <v>0</v>
      </c>
      <c r="R42" s="16">
        <f>IF(COUNT(R7:R41) &gt; 0, SQRT(SUMSQ(R7:R41)/(COUNT(R7:R41)*COUNT(R7:R41)) ), "—")</f>
        <v>0</v>
      </c>
    </row>
    <row r="43" spans="1:18" x14ac:dyDescent="0.25">
      <c r="A43" s="9" t="s">
        <v>176</v>
      </c>
      <c r="B43" s="10"/>
      <c r="C43" s="10"/>
      <c r="D43" s="11"/>
      <c r="E43" s="10"/>
      <c r="F43" s="11"/>
      <c r="G43" s="10"/>
      <c r="H43" s="11"/>
      <c r="I43" s="10"/>
      <c r="J43" s="11"/>
      <c r="K43" s="10"/>
      <c r="L43" s="11"/>
      <c r="M43" s="10"/>
      <c r="N43" s="11"/>
      <c r="O43" s="10"/>
      <c r="P43" s="11"/>
      <c r="Q43" s="10"/>
      <c r="R43" s="12"/>
    </row>
    <row r="44" spans="1:18" x14ac:dyDescent="0.25">
      <c r="A44" s="11" t="s">
        <v>177</v>
      </c>
      <c r="B44" s="17" t="s">
        <v>154</v>
      </c>
      <c r="C44" s="17" t="s">
        <v>154</v>
      </c>
      <c r="D44" s="18" t="s">
        <v>154</v>
      </c>
      <c r="E44" s="17" t="s">
        <v>154</v>
      </c>
      <c r="F44" s="18" t="s">
        <v>154</v>
      </c>
      <c r="G44" s="17" t="s">
        <v>154</v>
      </c>
      <c r="H44" s="18" t="s">
        <v>154</v>
      </c>
      <c r="I44" s="17" t="s">
        <v>154</v>
      </c>
      <c r="J44" s="18" t="s">
        <v>154</v>
      </c>
      <c r="K44" s="17" t="s">
        <v>154</v>
      </c>
      <c r="L44" s="18" t="s">
        <v>154</v>
      </c>
      <c r="M44" s="17" t="s">
        <v>154</v>
      </c>
      <c r="N44" s="18" t="s">
        <v>154</v>
      </c>
      <c r="O44" s="17" t="s">
        <v>154</v>
      </c>
      <c r="P44" s="18" t="s">
        <v>154</v>
      </c>
      <c r="Q44" s="17" t="s">
        <v>154</v>
      </c>
      <c r="R44" s="18" t="s">
        <v>154</v>
      </c>
    </row>
    <row r="45" spans="1:18" x14ac:dyDescent="0.25">
      <c r="A45" s="11" t="s">
        <v>178</v>
      </c>
      <c r="B45" s="17" t="s">
        <v>154</v>
      </c>
      <c r="C45" s="17" t="s">
        <v>154</v>
      </c>
      <c r="D45" s="18" t="s">
        <v>154</v>
      </c>
      <c r="E45" s="17" t="s">
        <v>154</v>
      </c>
      <c r="F45" s="18" t="s">
        <v>154</v>
      </c>
      <c r="G45" s="17" t="s">
        <v>154</v>
      </c>
      <c r="H45" s="18" t="s">
        <v>154</v>
      </c>
      <c r="I45" s="17" t="s">
        <v>154</v>
      </c>
      <c r="J45" s="18" t="s">
        <v>154</v>
      </c>
      <c r="K45" s="17" t="s">
        <v>154</v>
      </c>
      <c r="L45" s="18" t="s">
        <v>154</v>
      </c>
      <c r="M45" s="17" t="s">
        <v>154</v>
      </c>
      <c r="N45" s="18" t="s">
        <v>154</v>
      </c>
      <c r="O45" s="17" t="s">
        <v>154</v>
      </c>
      <c r="P45" s="18" t="s">
        <v>154</v>
      </c>
      <c r="Q45" s="17" t="s">
        <v>154</v>
      </c>
      <c r="R45" s="18" t="s">
        <v>154</v>
      </c>
    </row>
    <row r="46" spans="1:18" x14ac:dyDescent="0.25">
      <c r="A46" s="11" t="s">
        <v>179</v>
      </c>
      <c r="B46" s="13">
        <v>23141</v>
      </c>
      <c r="C46" s="14">
        <f>(19679/B46*100)</f>
        <v>85.039540210016852</v>
      </c>
      <c r="D46" s="15">
        <v>3462</v>
      </c>
      <c r="E46" s="14">
        <v>63.1999797</v>
      </c>
      <c r="F46" s="16">
        <v>1.1034702999999999</v>
      </c>
      <c r="G46" s="14">
        <v>36.8000203</v>
      </c>
      <c r="H46" s="16">
        <v>1.1034702999999999</v>
      </c>
      <c r="I46" s="14" t="s">
        <v>139</v>
      </c>
      <c r="J46" s="16" t="s">
        <v>139</v>
      </c>
      <c r="K46" s="14">
        <v>0</v>
      </c>
      <c r="L46" s="16">
        <v>0</v>
      </c>
      <c r="M46" s="14">
        <v>0</v>
      </c>
      <c r="N46" s="16">
        <v>0</v>
      </c>
      <c r="O46" s="14">
        <v>0</v>
      </c>
      <c r="P46" s="16">
        <v>0</v>
      </c>
      <c r="Q46" s="14">
        <v>0</v>
      </c>
      <c r="R46" s="16">
        <v>0</v>
      </c>
    </row>
    <row r="47" spans="1:18" x14ac:dyDescent="0.25">
      <c r="A47" s="11" t="s">
        <v>180</v>
      </c>
      <c r="B47" s="13">
        <v>5928</v>
      </c>
      <c r="C47" s="14">
        <f>(4925/B47*100)</f>
        <v>83.080296896086367</v>
      </c>
      <c r="D47" s="15">
        <v>1003</v>
      </c>
      <c r="E47" s="14">
        <v>38.476572330000003</v>
      </c>
      <c r="F47" s="16">
        <v>1.7574775899999999</v>
      </c>
      <c r="G47" s="14">
        <v>61.523427669999997</v>
      </c>
      <c r="H47" s="16">
        <v>1.7574775899999999</v>
      </c>
      <c r="I47" s="14" t="s">
        <v>139</v>
      </c>
      <c r="J47" s="16" t="s">
        <v>139</v>
      </c>
      <c r="K47" s="14">
        <v>0</v>
      </c>
      <c r="L47" s="16">
        <v>0</v>
      </c>
      <c r="M47" s="14">
        <v>0</v>
      </c>
      <c r="N47" s="16">
        <v>0</v>
      </c>
      <c r="O47" s="14">
        <v>0</v>
      </c>
      <c r="P47" s="16">
        <v>0</v>
      </c>
      <c r="Q47" s="14">
        <v>0</v>
      </c>
      <c r="R47" s="16">
        <v>0</v>
      </c>
    </row>
    <row r="48" spans="1:18" x14ac:dyDescent="0.25">
      <c r="A48" s="11" t="s">
        <v>181</v>
      </c>
      <c r="B48" s="13">
        <v>9841</v>
      </c>
      <c r="C48" s="14">
        <f>(8150/B48*100)</f>
        <v>82.8167869118992</v>
      </c>
      <c r="D48" s="15">
        <v>1691</v>
      </c>
      <c r="E48" s="14">
        <v>33.03760003</v>
      </c>
      <c r="F48" s="16">
        <v>1.6283010200000001</v>
      </c>
      <c r="G48" s="14">
        <v>66.962399970000007</v>
      </c>
      <c r="H48" s="16">
        <v>1.6283010200000001</v>
      </c>
      <c r="I48" s="14" t="s">
        <v>139</v>
      </c>
      <c r="J48" s="16" t="s">
        <v>139</v>
      </c>
      <c r="K48" s="14">
        <v>0</v>
      </c>
      <c r="L48" s="16">
        <v>0</v>
      </c>
      <c r="M48" s="14">
        <v>0</v>
      </c>
      <c r="N48" s="16">
        <v>0</v>
      </c>
      <c r="O48" s="14">
        <v>0</v>
      </c>
      <c r="P48" s="16">
        <v>0</v>
      </c>
      <c r="Q48" s="14">
        <v>0</v>
      </c>
      <c r="R48" s="16">
        <v>0</v>
      </c>
    </row>
    <row r="49" spans="1:18" x14ac:dyDescent="0.25">
      <c r="A49" s="11" t="s">
        <v>182</v>
      </c>
      <c r="B49" s="17" t="s">
        <v>154</v>
      </c>
      <c r="C49" s="17" t="s">
        <v>154</v>
      </c>
      <c r="D49" s="18" t="s">
        <v>154</v>
      </c>
      <c r="E49" s="17" t="s">
        <v>154</v>
      </c>
      <c r="F49" s="18" t="s">
        <v>154</v>
      </c>
      <c r="G49" s="17" t="s">
        <v>154</v>
      </c>
      <c r="H49" s="18" t="s">
        <v>154</v>
      </c>
      <c r="I49" s="17" t="s">
        <v>154</v>
      </c>
      <c r="J49" s="18" t="s">
        <v>154</v>
      </c>
      <c r="K49" s="17" t="s">
        <v>154</v>
      </c>
      <c r="L49" s="18" t="s">
        <v>154</v>
      </c>
      <c r="M49" s="17" t="s">
        <v>154</v>
      </c>
      <c r="N49" s="18" t="s">
        <v>154</v>
      </c>
      <c r="O49" s="17" t="s">
        <v>154</v>
      </c>
      <c r="P49" s="18" t="s">
        <v>154</v>
      </c>
      <c r="Q49" s="17" t="s">
        <v>154</v>
      </c>
      <c r="R49" s="18" t="s">
        <v>154</v>
      </c>
    </row>
    <row r="50" spans="1:18" x14ac:dyDescent="0.25">
      <c r="A50" s="11" t="s">
        <v>183</v>
      </c>
      <c r="B50" s="13">
        <v>11795</v>
      </c>
      <c r="C50" s="14">
        <f>(9800/B50*100)</f>
        <v>83.086053412462917</v>
      </c>
      <c r="D50" s="15">
        <v>1995</v>
      </c>
      <c r="E50" s="14">
        <v>50.629883290000002</v>
      </c>
      <c r="F50" s="16">
        <v>1.6384048899999999</v>
      </c>
      <c r="G50" s="14">
        <v>49.370116709999998</v>
      </c>
      <c r="H50" s="16">
        <v>1.6384048899999999</v>
      </c>
      <c r="I50" s="14" t="s">
        <v>139</v>
      </c>
      <c r="J50" s="16" t="s">
        <v>139</v>
      </c>
      <c r="K50" s="14">
        <v>0</v>
      </c>
      <c r="L50" s="16">
        <v>0</v>
      </c>
      <c r="M50" s="14">
        <v>0</v>
      </c>
      <c r="N50" s="16">
        <v>0</v>
      </c>
      <c r="O50" s="14">
        <v>0</v>
      </c>
      <c r="P50" s="16">
        <v>0</v>
      </c>
      <c r="Q50" s="14">
        <v>0</v>
      </c>
      <c r="R50" s="16">
        <v>0</v>
      </c>
    </row>
    <row r="51" spans="1:18" x14ac:dyDescent="0.25">
      <c r="A51" s="11" t="s">
        <v>184</v>
      </c>
      <c r="B51" s="13">
        <v>6866</v>
      </c>
      <c r="C51" s="14">
        <f>(5850/B51*100)</f>
        <v>85.202446839498975</v>
      </c>
      <c r="D51" s="15">
        <v>1016</v>
      </c>
      <c r="E51" s="14">
        <v>50.96504127</v>
      </c>
      <c r="F51" s="16">
        <v>1.9526453800000001</v>
      </c>
      <c r="G51" s="14">
        <v>49.03495873</v>
      </c>
      <c r="H51" s="16">
        <v>1.9526453800000001</v>
      </c>
      <c r="I51" s="14" t="s">
        <v>139</v>
      </c>
      <c r="J51" s="16" t="s">
        <v>139</v>
      </c>
      <c r="K51" s="14">
        <v>0</v>
      </c>
      <c r="L51" s="16">
        <v>0</v>
      </c>
      <c r="M51" s="14">
        <v>0</v>
      </c>
      <c r="N51" s="16">
        <v>0</v>
      </c>
      <c r="O51" s="14">
        <v>0</v>
      </c>
      <c r="P51" s="16">
        <v>0</v>
      </c>
      <c r="Q51" s="14">
        <v>0</v>
      </c>
      <c r="R51" s="16">
        <v>0</v>
      </c>
    </row>
    <row r="52" spans="1:18" x14ac:dyDescent="0.25">
      <c r="A52" s="11" t="s">
        <v>185</v>
      </c>
      <c r="B52" s="13">
        <v>5809</v>
      </c>
      <c r="C52" s="14">
        <f>(4801/B52*100)</f>
        <v>82.647615768634878</v>
      </c>
      <c r="D52" s="15">
        <v>1008</v>
      </c>
      <c r="E52" s="14">
        <v>49.863715880000001</v>
      </c>
      <c r="F52" s="16">
        <v>1.6654161300000001</v>
      </c>
      <c r="G52" s="14">
        <v>50.136284119999999</v>
      </c>
      <c r="H52" s="16">
        <v>1.6654161300000001</v>
      </c>
      <c r="I52" s="14" t="s">
        <v>139</v>
      </c>
      <c r="J52" s="16" t="s">
        <v>139</v>
      </c>
      <c r="K52" s="14">
        <v>0</v>
      </c>
      <c r="L52" s="16">
        <v>0</v>
      </c>
      <c r="M52" s="14">
        <v>0</v>
      </c>
      <c r="N52" s="16">
        <v>0</v>
      </c>
      <c r="O52" s="14">
        <v>0</v>
      </c>
      <c r="P52" s="16">
        <v>0</v>
      </c>
      <c r="Q52" s="14">
        <v>0</v>
      </c>
      <c r="R52" s="16">
        <v>0</v>
      </c>
    </row>
    <row r="53" spans="1:18" x14ac:dyDescent="0.25">
      <c r="A53" s="11" t="s">
        <v>186</v>
      </c>
      <c r="B53" s="13">
        <v>5571</v>
      </c>
      <c r="C53" s="14">
        <f>(4606/B53*100)</f>
        <v>82.678154729851016</v>
      </c>
      <c r="D53" s="15">
        <v>965</v>
      </c>
      <c r="E53" s="14">
        <v>44.149288900000002</v>
      </c>
      <c r="F53" s="16">
        <v>1.7079253299999999</v>
      </c>
      <c r="G53" s="14">
        <v>55.850711099999998</v>
      </c>
      <c r="H53" s="16">
        <v>1.7079253299999999</v>
      </c>
      <c r="I53" s="14" t="s">
        <v>139</v>
      </c>
      <c r="J53" s="16" t="s">
        <v>139</v>
      </c>
      <c r="K53" s="14">
        <v>0</v>
      </c>
      <c r="L53" s="16">
        <v>0</v>
      </c>
      <c r="M53" s="14">
        <v>0</v>
      </c>
      <c r="N53" s="16">
        <v>0</v>
      </c>
      <c r="O53" s="14">
        <v>0</v>
      </c>
      <c r="P53" s="16">
        <v>0</v>
      </c>
      <c r="Q53" s="14">
        <v>0</v>
      </c>
      <c r="R53" s="16">
        <v>0</v>
      </c>
    </row>
    <row r="54" spans="1:18" x14ac:dyDescent="0.25">
      <c r="A54" s="11" t="s">
        <v>187</v>
      </c>
      <c r="B54" s="17" t="s">
        <v>154</v>
      </c>
      <c r="C54" s="17" t="s">
        <v>154</v>
      </c>
      <c r="D54" s="18" t="s">
        <v>154</v>
      </c>
      <c r="E54" s="17" t="s">
        <v>154</v>
      </c>
      <c r="F54" s="18" t="s">
        <v>154</v>
      </c>
      <c r="G54" s="17" t="s">
        <v>154</v>
      </c>
      <c r="H54" s="18" t="s">
        <v>154</v>
      </c>
      <c r="I54" s="17" t="s">
        <v>154</v>
      </c>
      <c r="J54" s="18" t="s">
        <v>154</v>
      </c>
      <c r="K54" s="17" t="s">
        <v>154</v>
      </c>
      <c r="L54" s="18" t="s">
        <v>154</v>
      </c>
      <c r="M54" s="17" t="s">
        <v>154</v>
      </c>
      <c r="N54" s="18" t="s">
        <v>154</v>
      </c>
      <c r="O54" s="17" t="s">
        <v>154</v>
      </c>
      <c r="P54" s="18" t="s">
        <v>154</v>
      </c>
      <c r="Q54" s="17" t="s">
        <v>154</v>
      </c>
      <c r="R54" s="18" t="s">
        <v>154</v>
      </c>
    </row>
    <row r="55" spans="1:18" x14ac:dyDescent="0.25">
      <c r="A55" s="11" t="s">
        <v>188</v>
      </c>
      <c r="B55" s="17" t="s">
        <v>154</v>
      </c>
      <c r="C55" s="17" t="s">
        <v>154</v>
      </c>
      <c r="D55" s="18" t="s">
        <v>154</v>
      </c>
      <c r="E55" s="17" t="s">
        <v>154</v>
      </c>
      <c r="F55" s="18" t="s">
        <v>154</v>
      </c>
      <c r="G55" s="17" t="s">
        <v>154</v>
      </c>
      <c r="H55" s="18" t="s">
        <v>154</v>
      </c>
      <c r="I55" s="17" t="s">
        <v>154</v>
      </c>
      <c r="J55" s="18" t="s">
        <v>154</v>
      </c>
      <c r="K55" s="17" t="s">
        <v>154</v>
      </c>
      <c r="L55" s="18" t="s">
        <v>154</v>
      </c>
      <c r="M55" s="17" t="s">
        <v>154</v>
      </c>
      <c r="N55" s="18" t="s">
        <v>154</v>
      </c>
      <c r="O55" s="17" t="s">
        <v>154</v>
      </c>
      <c r="P55" s="18" t="s">
        <v>154</v>
      </c>
      <c r="Q55" s="17" t="s">
        <v>154</v>
      </c>
      <c r="R55" s="18" t="s">
        <v>154</v>
      </c>
    </row>
    <row r="56" spans="1:18" x14ac:dyDescent="0.25">
      <c r="A56" s="11" t="s">
        <v>189</v>
      </c>
      <c r="B56" s="13">
        <v>5359</v>
      </c>
      <c r="C56" s="14">
        <f>(4443/B56*100)</f>
        <v>82.907258816943468</v>
      </c>
      <c r="D56" s="15">
        <v>916</v>
      </c>
      <c r="E56" s="14">
        <v>24.63639483</v>
      </c>
      <c r="F56" s="16">
        <v>1.4130976399999999</v>
      </c>
      <c r="G56" s="14">
        <v>75.36360517</v>
      </c>
      <c r="H56" s="16">
        <v>1.4130976399999999</v>
      </c>
      <c r="I56" s="14" t="s">
        <v>139</v>
      </c>
      <c r="J56" s="16" t="s">
        <v>139</v>
      </c>
      <c r="K56" s="14">
        <v>0</v>
      </c>
      <c r="L56" s="16">
        <v>0</v>
      </c>
      <c r="M56" s="14">
        <v>0</v>
      </c>
      <c r="N56" s="16">
        <v>0</v>
      </c>
      <c r="O56" s="14">
        <v>0</v>
      </c>
      <c r="P56" s="16">
        <v>0</v>
      </c>
      <c r="Q56" s="14">
        <v>0</v>
      </c>
      <c r="R56" s="16">
        <v>0</v>
      </c>
    </row>
    <row r="57" spans="1:18" x14ac:dyDescent="0.25">
      <c r="A57" s="11" t="s">
        <v>190</v>
      </c>
      <c r="B57" s="17" t="s">
        <v>154</v>
      </c>
      <c r="C57" s="17" t="s">
        <v>154</v>
      </c>
      <c r="D57" s="18" t="s">
        <v>154</v>
      </c>
      <c r="E57" s="17" t="s">
        <v>154</v>
      </c>
      <c r="F57" s="18" t="s">
        <v>154</v>
      </c>
      <c r="G57" s="17" t="s">
        <v>154</v>
      </c>
      <c r="H57" s="18" t="s">
        <v>154</v>
      </c>
      <c r="I57" s="17" t="s">
        <v>154</v>
      </c>
      <c r="J57" s="18" t="s">
        <v>154</v>
      </c>
      <c r="K57" s="17" t="s">
        <v>154</v>
      </c>
      <c r="L57" s="18" t="s">
        <v>154</v>
      </c>
      <c r="M57" s="17" t="s">
        <v>154</v>
      </c>
      <c r="N57" s="18" t="s">
        <v>154</v>
      </c>
      <c r="O57" s="17" t="s">
        <v>154</v>
      </c>
      <c r="P57" s="18" t="s">
        <v>154</v>
      </c>
      <c r="Q57" s="17" t="s">
        <v>154</v>
      </c>
      <c r="R57" s="18" t="s">
        <v>154</v>
      </c>
    </row>
    <row r="58" spans="1:18" x14ac:dyDescent="0.25">
      <c r="A58" s="11" t="s">
        <v>191</v>
      </c>
      <c r="B58" s="17" t="s">
        <v>154</v>
      </c>
      <c r="C58" s="17" t="s">
        <v>154</v>
      </c>
      <c r="D58" s="18" t="s">
        <v>154</v>
      </c>
      <c r="E58" s="17" t="s">
        <v>154</v>
      </c>
      <c r="F58" s="18" t="s">
        <v>154</v>
      </c>
      <c r="G58" s="17" t="s">
        <v>154</v>
      </c>
      <c r="H58" s="18" t="s">
        <v>154</v>
      </c>
      <c r="I58" s="17" t="s">
        <v>154</v>
      </c>
      <c r="J58" s="18" t="s">
        <v>154</v>
      </c>
      <c r="K58" s="17" t="s">
        <v>154</v>
      </c>
      <c r="L58" s="18" t="s">
        <v>154</v>
      </c>
      <c r="M58" s="17" t="s">
        <v>154</v>
      </c>
      <c r="N58" s="18" t="s">
        <v>154</v>
      </c>
      <c r="O58" s="17" t="s">
        <v>154</v>
      </c>
      <c r="P58" s="18" t="s">
        <v>154</v>
      </c>
      <c r="Q58" s="17" t="s">
        <v>154</v>
      </c>
      <c r="R58" s="18" t="s">
        <v>154</v>
      </c>
    </row>
    <row r="59" spans="1:18" x14ac:dyDescent="0.25">
      <c r="A59" s="11" t="s">
        <v>192</v>
      </c>
      <c r="B59" s="17" t="s">
        <v>154</v>
      </c>
      <c r="C59" s="17" t="s">
        <v>154</v>
      </c>
      <c r="D59" s="18" t="s">
        <v>154</v>
      </c>
      <c r="E59" s="17" t="s">
        <v>154</v>
      </c>
      <c r="F59" s="18" t="s">
        <v>154</v>
      </c>
      <c r="G59" s="17" t="s">
        <v>154</v>
      </c>
      <c r="H59" s="18" t="s">
        <v>154</v>
      </c>
      <c r="I59" s="17" t="s">
        <v>154</v>
      </c>
      <c r="J59" s="18" t="s">
        <v>154</v>
      </c>
      <c r="K59" s="17" t="s">
        <v>154</v>
      </c>
      <c r="L59" s="18" t="s">
        <v>154</v>
      </c>
      <c r="M59" s="17" t="s">
        <v>154</v>
      </c>
      <c r="N59" s="18" t="s">
        <v>154</v>
      </c>
      <c r="O59" s="17" t="s">
        <v>154</v>
      </c>
      <c r="P59" s="18" t="s">
        <v>154</v>
      </c>
      <c r="Q59" s="17" t="s">
        <v>154</v>
      </c>
      <c r="R59" s="18" t="s">
        <v>154</v>
      </c>
    </row>
    <row r="60" spans="1:18" x14ac:dyDescent="0.25">
      <c r="A60" s="11" t="s">
        <v>193</v>
      </c>
      <c r="B60" s="17" t="s">
        <v>154</v>
      </c>
      <c r="C60" s="17" t="s">
        <v>154</v>
      </c>
      <c r="D60" s="18" t="s">
        <v>154</v>
      </c>
      <c r="E60" s="17" t="s">
        <v>154</v>
      </c>
      <c r="F60" s="18" t="s">
        <v>154</v>
      </c>
      <c r="G60" s="17" t="s">
        <v>154</v>
      </c>
      <c r="H60" s="18" t="s">
        <v>154</v>
      </c>
      <c r="I60" s="17" t="s">
        <v>154</v>
      </c>
      <c r="J60" s="18" t="s">
        <v>154</v>
      </c>
      <c r="K60" s="17" t="s">
        <v>154</v>
      </c>
      <c r="L60" s="18" t="s">
        <v>154</v>
      </c>
      <c r="M60" s="17" t="s">
        <v>154</v>
      </c>
      <c r="N60" s="18" t="s">
        <v>154</v>
      </c>
      <c r="O60" s="17" t="s">
        <v>154</v>
      </c>
      <c r="P60" s="18" t="s">
        <v>154</v>
      </c>
      <c r="Q60" s="17" t="s">
        <v>154</v>
      </c>
      <c r="R60" s="18" t="s">
        <v>154</v>
      </c>
    </row>
    <row r="61" spans="1:18" x14ac:dyDescent="0.25">
      <c r="A61" s="11" t="s">
        <v>194</v>
      </c>
      <c r="B61" s="13">
        <v>6525</v>
      </c>
      <c r="C61" s="14">
        <f>(5386/B61*100)</f>
        <v>82.544061302681996</v>
      </c>
      <c r="D61" s="15">
        <v>1139</v>
      </c>
      <c r="E61" s="14">
        <v>42.704454040000002</v>
      </c>
      <c r="F61" s="16">
        <v>1.77920284</v>
      </c>
      <c r="G61" s="14">
        <v>57.295545959999998</v>
      </c>
      <c r="H61" s="16">
        <v>1.77920284</v>
      </c>
      <c r="I61" s="14" t="s">
        <v>139</v>
      </c>
      <c r="J61" s="16" t="s">
        <v>139</v>
      </c>
      <c r="K61" s="14">
        <v>0</v>
      </c>
      <c r="L61" s="16">
        <v>0</v>
      </c>
      <c r="M61" s="14">
        <v>0</v>
      </c>
      <c r="N61" s="16">
        <v>0</v>
      </c>
      <c r="O61" s="14">
        <v>0</v>
      </c>
      <c r="P61" s="16">
        <v>0</v>
      </c>
      <c r="Q61" s="14">
        <v>0</v>
      </c>
      <c r="R61" s="16">
        <v>0</v>
      </c>
    </row>
    <row r="62" spans="1:18" x14ac:dyDescent="0.25">
      <c r="A62" s="11" t="s">
        <v>195</v>
      </c>
      <c r="B62" s="13">
        <v>4476</v>
      </c>
      <c r="C62" s="14">
        <f>(3695/B62*100)</f>
        <v>82.551385165326181</v>
      </c>
      <c r="D62" s="15">
        <v>781</v>
      </c>
      <c r="E62" s="14">
        <v>30.903867380000001</v>
      </c>
      <c r="F62" s="16">
        <v>1.7353577499999999</v>
      </c>
      <c r="G62" s="14">
        <v>69.096132620000006</v>
      </c>
      <c r="H62" s="16">
        <v>1.7353577499999999</v>
      </c>
      <c r="I62" s="14" t="s">
        <v>139</v>
      </c>
      <c r="J62" s="16" t="s">
        <v>139</v>
      </c>
      <c r="K62" s="14">
        <v>0</v>
      </c>
      <c r="L62" s="16">
        <v>0</v>
      </c>
      <c r="M62" s="14">
        <v>0</v>
      </c>
      <c r="N62" s="16">
        <v>0</v>
      </c>
      <c r="O62" s="14">
        <v>0</v>
      </c>
      <c r="P62" s="16">
        <v>0</v>
      </c>
      <c r="Q62" s="14">
        <v>0</v>
      </c>
      <c r="R62" s="16">
        <v>0</v>
      </c>
    </row>
    <row r="63" spans="1:18" x14ac:dyDescent="0.25">
      <c r="A63" s="11" t="s">
        <v>196</v>
      </c>
      <c r="B63" s="17" t="s">
        <v>154</v>
      </c>
      <c r="C63" s="17" t="s">
        <v>154</v>
      </c>
      <c r="D63" s="18" t="s">
        <v>154</v>
      </c>
      <c r="E63" s="17" t="s">
        <v>154</v>
      </c>
      <c r="F63" s="18" t="s">
        <v>154</v>
      </c>
      <c r="G63" s="17" t="s">
        <v>154</v>
      </c>
      <c r="H63" s="18" t="s">
        <v>154</v>
      </c>
      <c r="I63" s="17" t="s">
        <v>154</v>
      </c>
      <c r="J63" s="18" t="s">
        <v>154</v>
      </c>
      <c r="K63" s="17" t="s">
        <v>154</v>
      </c>
      <c r="L63" s="18" t="s">
        <v>154</v>
      </c>
      <c r="M63" s="17" t="s">
        <v>154</v>
      </c>
      <c r="N63" s="18" t="s">
        <v>154</v>
      </c>
      <c r="O63" s="17" t="s">
        <v>154</v>
      </c>
      <c r="P63" s="18" t="s">
        <v>154</v>
      </c>
      <c r="Q63" s="17" t="s">
        <v>154</v>
      </c>
      <c r="R63" s="18" t="s">
        <v>154</v>
      </c>
    </row>
    <row r="64" spans="1:18" x14ac:dyDescent="0.25">
      <c r="A64" s="11" t="s">
        <v>197</v>
      </c>
      <c r="B64" s="17" t="s">
        <v>154</v>
      </c>
      <c r="C64" s="17" t="s">
        <v>154</v>
      </c>
      <c r="D64" s="18" t="s">
        <v>154</v>
      </c>
      <c r="E64" s="17" t="s">
        <v>154</v>
      </c>
      <c r="F64" s="18" t="s">
        <v>154</v>
      </c>
      <c r="G64" s="17" t="s">
        <v>154</v>
      </c>
      <c r="H64" s="18" t="s">
        <v>154</v>
      </c>
      <c r="I64" s="17" t="s">
        <v>154</v>
      </c>
      <c r="J64" s="18" t="s">
        <v>154</v>
      </c>
      <c r="K64" s="17" t="s">
        <v>154</v>
      </c>
      <c r="L64" s="18" t="s">
        <v>154</v>
      </c>
      <c r="M64" s="17" t="s">
        <v>154</v>
      </c>
      <c r="N64" s="18" t="s">
        <v>154</v>
      </c>
      <c r="O64" s="17" t="s">
        <v>154</v>
      </c>
      <c r="P64" s="18" t="s">
        <v>154</v>
      </c>
      <c r="Q64" s="17" t="s">
        <v>154</v>
      </c>
      <c r="R64" s="18" t="s">
        <v>154</v>
      </c>
    </row>
    <row r="65" spans="1:18" x14ac:dyDescent="0.25">
      <c r="A65" s="11" t="s">
        <v>198</v>
      </c>
      <c r="B65" s="17" t="s">
        <v>154</v>
      </c>
      <c r="C65" s="17" t="s">
        <v>154</v>
      </c>
      <c r="D65" s="18" t="s">
        <v>154</v>
      </c>
      <c r="E65" s="17" t="s">
        <v>154</v>
      </c>
      <c r="F65" s="18" t="s">
        <v>154</v>
      </c>
      <c r="G65" s="17" t="s">
        <v>154</v>
      </c>
      <c r="H65" s="18" t="s">
        <v>154</v>
      </c>
      <c r="I65" s="17" t="s">
        <v>154</v>
      </c>
      <c r="J65" s="18" t="s">
        <v>154</v>
      </c>
      <c r="K65" s="17" t="s">
        <v>154</v>
      </c>
      <c r="L65" s="18" t="s">
        <v>154</v>
      </c>
      <c r="M65" s="17" t="s">
        <v>154</v>
      </c>
      <c r="N65" s="18" t="s">
        <v>154</v>
      </c>
      <c r="O65" s="17" t="s">
        <v>154</v>
      </c>
      <c r="P65" s="18" t="s">
        <v>154</v>
      </c>
      <c r="Q65" s="17" t="s">
        <v>154</v>
      </c>
      <c r="R65" s="18" t="s">
        <v>154</v>
      </c>
    </row>
    <row r="66" spans="1:18" x14ac:dyDescent="0.25">
      <c r="A66" s="11" t="s">
        <v>199</v>
      </c>
      <c r="B66" s="13">
        <v>5665</v>
      </c>
      <c r="C66" s="14">
        <f>(4698/B66*100)</f>
        <v>82.930273609885262</v>
      </c>
      <c r="D66" s="15">
        <v>967</v>
      </c>
      <c r="E66" s="14">
        <v>52.785583350000003</v>
      </c>
      <c r="F66" s="16">
        <v>1.7197572400000001</v>
      </c>
      <c r="G66" s="14">
        <v>47.214416649999997</v>
      </c>
      <c r="H66" s="16">
        <v>1.7197572400000001</v>
      </c>
      <c r="I66" s="14" t="s">
        <v>139</v>
      </c>
      <c r="J66" s="16" t="s">
        <v>139</v>
      </c>
      <c r="K66" s="14">
        <v>0</v>
      </c>
      <c r="L66" s="16">
        <v>0</v>
      </c>
      <c r="M66" s="14">
        <v>0</v>
      </c>
      <c r="N66" s="16">
        <v>0</v>
      </c>
      <c r="O66" s="14">
        <v>0</v>
      </c>
      <c r="P66" s="16">
        <v>0</v>
      </c>
      <c r="Q66" s="14">
        <v>0</v>
      </c>
      <c r="R66" s="16">
        <v>0</v>
      </c>
    </row>
    <row r="67" spans="1:18" x14ac:dyDescent="0.25">
      <c r="A67" s="11" t="s">
        <v>200</v>
      </c>
      <c r="B67" s="13">
        <v>6971</v>
      </c>
      <c r="C67" s="14">
        <f>(5844/B67*100)</f>
        <v>83.833022521876345</v>
      </c>
      <c r="D67" s="15">
        <v>1127</v>
      </c>
      <c r="E67" s="14">
        <v>55.78699314</v>
      </c>
      <c r="F67" s="16">
        <v>1.30370739</v>
      </c>
      <c r="G67" s="14">
        <v>44.21300686</v>
      </c>
      <c r="H67" s="16">
        <v>1.30370739</v>
      </c>
      <c r="I67" s="14" t="s">
        <v>139</v>
      </c>
      <c r="J67" s="16" t="s">
        <v>139</v>
      </c>
      <c r="K67" s="14">
        <v>0</v>
      </c>
      <c r="L67" s="16">
        <v>0</v>
      </c>
      <c r="M67" s="14">
        <v>0</v>
      </c>
      <c r="N67" s="16">
        <v>0</v>
      </c>
      <c r="O67" s="14">
        <v>0</v>
      </c>
      <c r="P67" s="16">
        <v>0</v>
      </c>
      <c r="Q67" s="14">
        <v>0</v>
      </c>
      <c r="R67" s="16">
        <v>0</v>
      </c>
    </row>
    <row r="68" spans="1:18" x14ac:dyDescent="0.25">
      <c r="A68" s="11" t="s">
        <v>201</v>
      </c>
      <c r="B68" s="17" t="s">
        <v>154</v>
      </c>
      <c r="C68" s="17" t="s">
        <v>154</v>
      </c>
      <c r="D68" s="18" t="s">
        <v>154</v>
      </c>
      <c r="E68" s="17" t="s">
        <v>154</v>
      </c>
      <c r="F68" s="18" t="s">
        <v>154</v>
      </c>
      <c r="G68" s="17" t="s">
        <v>154</v>
      </c>
      <c r="H68" s="18" t="s">
        <v>154</v>
      </c>
      <c r="I68" s="17" t="s">
        <v>154</v>
      </c>
      <c r="J68" s="18" t="s">
        <v>154</v>
      </c>
      <c r="K68" s="17" t="s">
        <v>154</v>
      </c>
      <c r="L68" s="18" t="s">
        <v>154</v>
      </c>
      <c r="M68" s="17" t="s">
        <v>154</v>
      </c>
      <c r="N68" s="18" t="s">
        <v>154</v>
      </c>
      <c r="O68" s="17" t="s">
        <v>154</v>
      </c>
      <c r="P68" s="18" t="s">
        <v>154</v>
      </c>
      <c r="Q68" s="17" t="s">
        <v>154</v>
      </c>
      <c r="R68" s="18" t="s">
        <v>154</v>
      </c>
    </row>
    <row r="69" spans="1:18" x14ac:dyDescent="0.25">
      <c r="A69" s="11" t="s">
        <v>202</v>
      </c>
      <c r="B69" s="17" t="s">
        <v>154</v>
      </c>
      <c r="C69" s="17" t="s">
        <v>154</v>
      </c>
      <c r="D69" s="18" t="s">
        <v>154</v>
      </c>
      <c r="E69" s="17" t="s">
        <v>154</v>
      </c>
      <c r="F69" s="18" t="s">
        <v>154</v>
      </c>
      <c r="G69" s="17" t="s">
        <v>154</v>
      </c>
      <c r="H69" s="18" t="s">
        <v>154</v>
      </c>
      <c r="I69" s="17" t="s">
        <v>154</v>
      </c>
      <c r="J69" s="18" t="s">
        <v>154</v>
      </c>
      <c r="K69" s="17" t="s">
        <v>154</v>
      </c>
      <c r="L69" s="18" t="s">
        <v>154</v>
      </c>
      <c r="M69" s="17" t="s">
        <v>154</v>
      </c>
      <c r="N69" s="18" t="s">
        <v>154</v>
      </c>
      <c r="O69" s="17" t="s">
        <v>154</v>
      </c>
      <c r="P69" s="18" t="s">
        <v>154</v>
      </c>
      <c r="Q69" s="17" t="s">
        <v>154</v>
      </c>
      <c r="R69" s="18" t="s">
        <v>154</v>
      </c>
    </row>
    <row r="70" spans="1:18" x14ac:dyDescent="0.25">
      <c r="A70" s="11" t="s">
        <v>203</v>
      </c>
      <c r="B70" s="13">
        <v>6036</v>
      </c>
      <c r="C70" s="14">
        <f>(4999/B70*100)</f>
        <v>82.819748177601056</v>
      </c>
      <c r="D70" s="15">
        <v>1037</v>
      </c>
      <c r="E70" s="14">
        <v>37.321490939999997</v>
      </c>
      <c r="F70" s="16">
        <v>1.8693279700000001</v>
      </c>
      <c r="G70" s="14">
        <v>62.678509060000003</v>
      </c>
      <c r="H70" s="16">
        <v>1.8693279700000001</v>
      </c>
      <c r="I70" s="14" t="s">
        <v>139</v>
      </c>
      <c r="J70" s="16" t="s">
        <v>139</v>
      </c>
      <c r="K70" s="14">
        <v>0</v>
      </c>
      <c r="L70" s="16">
        <v>0</v>
      </c>
      <c r="M70" s="14">
        <v>0</v>
      </c>
      <c r="N70" s="16">
        <v>0</v>
      </c>
      <c r="O70" s="14">
        <v>0</v>
      </c>
      <c r="P70" s="16">
        <v>0</v>
      </c>
      <c r="Q70" s="14">
        <v>0</v>
      </c>
      <c r="R70" s="16">
        <v>0</v>
      </c>
    </row>
    <row r="71" spans="1:18" x14ac:dyDescent="0.25">
      <c r="A71" s="11" t="s">
        <v>204</v>
      </c>
      <c r="B71" s="17" t="s">
        <v>154</v>
      </c>
      <c r="C71" s="17" t="s">
        <v>154</v>
      </c>
      <c r="D71" s="18" t="s">
        <v>154</v>
      </c>
      <c r="E71" s="17" t="s">
        <v>154</v>
      </c>
      <c r="F71" s="18" t="s">
        <v>154</v>
      </c>
      <c r="G71" s="17" t="s">
        <v>154</v>
      </c>
      <c r="H71" s="18" t="s">
        <v>154</v>
      </c>
      <c r="I71" s="17" t="s">
        <v>154</v>
      </c>
      <c r="J71" s="18" t="s">
        <v>154</v>
      </c>
      <c r="K71" s="17" t="s">
        <v>154</v>
      </c>
      <c r="L71" s="18" t="s">
        <v>154</v>
      </c>
      <c r="M71" s="17" t="s">
        <v>154</v>
      </c>
      <c r="N71" s="18" t="s">
        <v>154</v>
      </c>
      <c r="O71" s="17" t="s">
        <v>154</v>
      </c>
      <c r="P71" s="18" t="s">
        <v>154</v>
      </c>
      <c r="Q71" s="17" t="s">
        <v>154</v>
      </c>
      <c r="R71" s="18" t="s">
        <v>154</v>
      </c>
    </row>
    <row r="72" spans="1:18" x14ac:dyDescent="0.25">
      <c r="A72" s="11" t="s">
        <v>205</v>
      </c>
      <c r="B72" s="13">
        <v>7708</v>
      </c>
      <c r="C72" s="14">
        <f>(6389/B72*100)</f>
        <v>82.887908666320712</v>
      </c>
      <c r="D72" s="15">
        <v>1319</v>
      </c>
      <c r="E72" s="14">
        <v>22.674904479999999</v>
      </c>
      <c r="F72" s="16">
        <v>1.1835001199999999</v>
      </c>
      <c r="G72" s="14">
        <v>77.325095520000005</v>
      </c>
      <c r="H72" s="16">
        <v>1.1835001199999999</v>
      </c>
      <c r="I72" s="14" t="s">
        <v>139</v>
      </c>
      <c r="J72" s="16" t="s">
        <v>139</v>
      </c>
      <c r="K72" s="14">
        <v>0</v>
      </c>
      <c r="L72" s="16">
        <v>0</v>
      </c>
      <c r="M72" s="14">
        <v>0</v>
      </c>
      <c r="N72" s="16">
        <v>0</v>
      </c>
      <c r="O72" s="14">
        <v>0</v>
      </c>
      <c r="P72" s="16">
        <v>0</v>
      </c>
      <c r="Q72" s="14">
        <v>0</v>
      </c>
      <c r="R72" s="16">
        <v>0</v>
      </c>
    </row>
    <row r="73" spans="1:18" x14ac:dyDescent="0.25">
      <c r="A73" s="11" t="s">
        <v>206</v>
      </c>
      <c r="B73" s="13">
        <v>8249</v>
      </c>
      <c r="C73" s="14">
        <f>(6879/B73*100)</f>
        <v>83.391926294096251</v>
      </c>
      <c r="D73" s="15">
        <v>1370</v>
      </c>
      <c r="E73" s="14">
        <v>31.919531030000002</v>
      </c>
      <c r="F73" s="16">
        <v>1.5470158899999999</v>
      </c>
      <c r="G73" s="14">
        <v>68.080468969999998</v>
      </c>
      <c r="H73" s="16">
        <v>1.5470158899999999</v>
      </c>
      <c r="I73" s="14" t="s">
        <v>139</v>
      </c>
      <c r="J73" s="16" t="s">
        <v>139</v>
      </c>
      <c r="K73" s="14">
        <v>0</v>
      </c>
      <c r="L73" s="16">
        <v>0</v>
      </c>
      <c r="M73" s="14">
        <v>0</v>
      </c>
      <c r="N73" s="16">
        <v>0</v>
      </c>
      <c r="O73" s="14">
        <v>0</v>
      </c>
      <c r="P73" s="16">
        <v>0</v>
      </c>
      <c r="Q73" s="14">
        <v>0</v>
      </c>
      <c r="R73" s="16">
        <v>0</v>
      </c>
    </row>
    <row r="74" spans="1:18" x14ac:dyDescent="0.25">
      <c r="A74" s="11" t="s">
        <v>207</v>
      </c>
      <c r="B74" s="17" t="s">
        <v>154</v>
      </c>
      <c r="C74" s="17" t="s">
        <v>154</v>
      </c>
      <c r="D74" s="18" t="s">
        <v>154</v>
      </c>
      <c r="E74" s="17" t="s">
        <v>154</v>
      </c>
      <c r="F74" s="18" t="s">
        <v>154</v>
      </c>
      <c r="G74" s="17" t="s">
        <v>154</v>
      </c>
      <c r="H74" s="18" t="s">
        <v>154</v>
      </c>
      <c r="I74" s="17" t="s">
        <v>154</v>
      </c>
      <c r="J74" s="18" t="s">
        <v>154</v>
      </c>
      <c r="K74" s="17" t="s">
        <v>154</v>
      </c>
      <c r="L74" s="18" t="s">
        <v>154</v>
      </c>
      <c r="M74" s="17" t="s">
        <v>154</v>
      </c>
      <c r="N74" s="18" t="s">
        <v>154</v>
      </c>
      <c r="O74" s="17" t="s">
        <v>154</v>
      </c>
      <c r="P74" s="18" t="s">
        <v>154</v>
      </c>
      <c r="Q74" s="17" t="s">
        <v>154</v>
      </c>
      <c r="R74" s="18" t="s">
        <v>154</v>
      </c>
    </row>
    <row r="75" spans="1:18" x14ac:dyDescent="0.25">
      <c r="A75" s="11" t="s">
        <v>208</v>
      </c>
      <c r="B75" s="13">
        <v>5375</v>
      </c>
      <c r="C75" s="14">
        <f>(4493/B75*100)</f>
        <v>83.590697674418607</v>
      </c>
      <c r="D75" s="15">
        <v>882</v>
      </c>
      <c r="E75" s="14">
        <v>72.839426509999996</v>
      </c>
      <c r="F75" s="16">
        <v>1.5297131900000001</v>
      </c>
      <c r="G75" s="14">
        <v>27.160573490000001</v>
      </c>
      <c r="H75" s="16">
        <v>1.5297131900000001</v>
      </c>
      <c r="I75" s="14" t="s">
        <v>139</v>
      </c>
      <c r="J75" s="16" t="s">
        <v>139</v>
      </c>
      <c r="K75" s="14">
        <v>0</v>
      </c>
      <c r="L75" s="16">
        <v>0</v>
      </c>
      <c r="M75" s="14">
        <v>0</v>
      </c>
      <c r="N75" s="16">
        <v>0</v>
      </c>
      <c r="O75" s="14">
        <v>0</v>
      </c>
      <c r="P75" s="16">
        <v>0</v>
      </c>
      <c r="Q75" s="14">
        <v>0</v>
      </c>
      <c r="R75" s="16">
        <v>0</v>
      </c>
    </row>
    <row r="76" spans="1:18" x14ac:dyDescent="0.25">
      <c r="A76" s="11" t="s">
        <v>209</v>
      </c>
      <c r="B76" s="13">
        <v>14167</v>
      </c>
      <c r="C76" s="14">
        <f>(11780/B76*100)</f>
        <v>83.150984682713343</v>
      </c>
      <c r="D76" s="15">
        <v>2387</v>
      </c>
      <c r="E76" s="14">
        <v>48.025467990000003</v>
      </c>
      <c r="F76" s="16">
        <v>1.4404326700000001</v>
      </c>
      <c r="G76" s="14">
        <v>51.974532009999997</v>
      </c>
      <c r="H76" s="16">
        <v>1.4404326700000001</v>
      </c>
      <c r="I76" s="14" t="s">
        <v>139</v>
      </c>
      <c r="J76" s="16" t="s">
        <v>139</v>
      </c>
      <c r="K76" s="14">
        <v>0</v>
      </c>
      <c r="L76" s="16">
        <v>0</v>
      </c>
      <c r="M76" s="14">
        <v>0</v>
      </c>
      <c r="N76" s="16">
        <v>0</v>
      </c>
      <c r="O76" s="14">
        <v>0</v>
      </c>
      <c r="P76" s="16">
        <v>0</v>
      </c>
      <c r="Q76" s="14">
        <v>0</v>
      </c>
      <c r="R76" s="16">
        <v>0</v>
      </c>
    </row>
    <row r="77" spans="1:18" x14ac:dyDescent="0.25">
      <c r="A77" s="11" t="s">
        <v>210</v>
      </c>
      <c r="B77" s="13">
        <v>6062</v>
      </c>
      <c r="C77" s="14">
        <f>(5004/B77*100)</f>
        <v>82.547014186737059</v>
      </c>
      <c r="D77" s="15">
        <v>1058</v>
      </c>
      <c r="E77" s="14">
        <v>46.615655750000002</v>
      </c>
      <c r="F77" s="16">
        <v>1.57073971</v>
      </c>
      <c r="G77" s="14">
        <v>53.384344249999998</v>
      </c>
      <c r="H77" s="16">
        <v>1.57073971</v>
      </c>
      <c r="I77" s="14" t="s">
        <v>139</v>
      </c>
      <c r="J77" s="16" t="s">
        <v>139</v>
      </c>
      <c r="K77" s="14">
        <v>0</v>
      </c>
      <c r="L77" s="16">
        <v>0</v>
      </c>
      <c r="M77" s="14">
        <v>0</v>
      </c>
      <c r="N77" s="16">
        <v>0</v>
      </c>
      <c r="O77" s="14">
        <v>0</v>
      </c>
      <c r="P77" s="16">
        <v>0</v>
      </c>
      <c r="Q77" s="14">
        <v>0</v>
      </c>
      <c r="R77" s="16">
        <v>0</v>
      </c>
    </row>
    <row r="78" spans="1:18" x14ac:dyDescent="0.25">
      <c r="A78" s="11" t="s">
        <v>211</v>
      </c>
      <c r="B78" s="17" t="s">
        <v>154</v>
      </c>
      <c r="C78" s="17" t="s">
        <v>154</v>
      </c>
      <c r="D78" s="18" t="s">
        <v>154</v>
      </c>
      <c r="E78" s="17" t="s">
        <v>154</v>
      </c>
      <c r="F78" s="18" t="s">
        <v>154</v>
      </c>
      <c r="G78" s="17" t="s">
        <v>154</v>
      </c>
      <c r="H78" s="18" t="s">
        <v>154</v>
      </c>
      <c r="I78" s="17" t="s">
        <v>154</v>
      </c>
      <c r="J78" s="18" t="s">
        <v>154</v>
      </c>
      <c r="K78" s="17" t="s">
        <v>154</v>
      </c>
      <c r="L78" s="18" t="s">
        <v>154</v>
      </c>
      <c r="M78" s="17" t="s">
        <v>154</v>
      </c>
      <c r="N78" s="18" t="s">
        <v>154</v>
      </c>
      <c r="O78" s="17" t="s">
        <v>154</v>
      </c>
      <c r="P78" s="18" t="s">
        <v>154</v>
      </c>
      <c r="Q78" s="17" t="s">
        <v>154</v>
      </c>
      <c r="R78" s="18" t="s">
        <v>154</v>
      </c>
    </row>
    <row r="79" spans="1:18" ht="24.95" customHeight="1" x14ac:dyDescent="0.25">
      <c r="A79" s="11" t="s">
        <v>212</v>
      </c>
      <c r="B79" s="17" t="s">
        <v>154</v>
      </c>
      <c r="C79" s="17" t="s">
        <v>154</v>
      </c>
      <c r="D79" s="18" t="s">
        <v>154</v>
      </c>
      <c r="E79" s="17" t="s">
        <v>154</v>
      </c>
      <c r="F79" s="18" t="s">
        <v>154</v>
      </c>
      <c r="G79" s="17" t="s">
        <v>154</v>
      </c>
      <c r="H79" s="18" t="s">
        <v>154</v>
      </c>
      <c r="I79" s="17" t="s">
        <v>154</v>
      </c>
      <c r="J79" s="18" t="s">
        <v>154</v>
      </c>
      <c r="K79" s="17" t="s">
        <v>154</v>
      </c>
      <c r="L79" s="18" t="s">
        <v>154</v>
      </c>
      <c r="M79" s="17" t="s">
        <v>154</v>
      </c>
      <c r="N79" s="18" t="s">
        <v>154</v>
      </c>
      <c r="O79" s="17" t="s">
        <v>154</v>
      </c>
      <c r="P79" s="18" t="s">
        <v>154</v>
      </c>
      <c r="Q79" s="17" t="s">
        <v>154</v>
      </c>
      <c r="R79" s="18" t="s">
        <v>154</v>
      </c>
    </row>
    <row r="80" spans="1:18" x14ac:dyDescent="0.25">
      <c r="A80" s="11" t="s">
        <v>213</v>
      </c>
      <c r="B80" s="17" t="s">
        <v>154</v>
      </c>
      <c r="C80" s="17" t="s">
        <v>154</v>
      </c>
      <c r="D80" s="18" t="s">
        <v>154</v>
      </c>
      <c r="E80" s="17" t="s">
        <v>154</v>
      </c>
      <c r="F80" s="18" t="s">
        <v>154</v>
      </c>
      <c r="G80" s="17" t="s">
        <v>154</v>
      </c>
      <c r="H80" s="18" t="s">
        <v>154</v>
      </c>
      <c r="I80" s="17" t="s">
        <v>154</v>
      </c>
      <c r="J80" s="18" t="s">
        <v>154</v>
      </c>
      <c r="K80" s="17" t="s">
        <v>154</v>
      </c>
      <c r="L80" s="18" t="s">
        <v>154</v>
      </c>
      <c r="M80" s="17" t="s">
        <v>154</v>
      </c>
      <c r="N80" s="18" t="s">
        <v>154</v>
      </c>
      <c r="O80" s="17" t="s">
        <v>154</v>
      </c>
      <c r="P80" s="18" t="s">
        <v>154</v>
      </c>
      <c r="Q80" s="17" t="s">
        <v>154</v>
      </c>
      <c r="R80" s="18" t="s">
        <v>154</v>
      </c>
    </row>
    <row r="81" spans="1:18" x14ac:dyDescent="0.25">
      <c r="A81" s="19" t="s">
        <v>214</v>
      </c>
      <c r="B81" s="13">
        <v>8861</v>
      </c>
      <c r="C81" s="14">
        <f>(7311/B81*100)</f>
        <v>82.507617650378066</v>
      </c>
      <c r="D81" s="15">
        <v>1550</v>
      </c>
      <c r="E81" s="14">
        <v>47.761726830000001</v>
      </c>
      <c r="F81" s="16">
        <v>1.5768563</v>
      </c>
      <c r="G81" s="14">
        <v>52.238273169999999</v>
      </c>
      <c r="H81" s="16">
        <v>1.5768563</v>
      </c>
      <c r="I81" s="14" t="s">
        <v>139</v>
      </c>
      <c r="J81" s="16" t="s">
        <v>139</v>
      </c>
      <c r="K81" s="14">
        <v>0</v>
      </c>
      <c r="L81" s="16">
        <v>0</v>
      </c>
      <c r="M81" s="14">
        <v>0</v>
      </c>
      <c r="N81" s="16">
        <v>0</v>
      </c>
      <c r="O81" s="14">
        <v>0</v>
      </c>
      <c r="P81" s="16">
        <v>0</v>
      </c>
      <c r="Q81" s="14">
        <v>0</v>
      </c>
      <c r="R81" s="16">
        <v>0</v>
      </c>
    </row>
    <row r="82" spans="1:18" x14ac:dyDescent="0.25">
      <c r="A82" s="20"/>
      <c r="B82" s="20" t="s">
        <v>215</v>
      </c>
      <c r="C82" s="20" t="s">
        <v>215</v>
      </c>
      <c r="D82" s="20" t="s">
        <v>215</v>
      </c>
      <c r="E82" s="20" t="s">
        <v>215</v>
      </c>
      <c r="F82" s="20" t="s">
        <v>215</v>
      </c>
      <c r="G82" s="20" t="s">
        <v>215</v>
      </c>
      <c r="H82" s="20" t="s">
        <v>215</v>
      </c>
      <c r="I82" s="20" t="s">
        <v>215</v>
      </c>
      <c r="J82" s="20" t="s">
        <v>215</v>
      </c>
      <c r="K82" s="20" t="s">
        <v>215</v>
      </c>
      <c r="L82" s="20" t="s">
        <v>215</v>
      </c>
      <c r="M82" s="20" t="s">
        <v>215</v>
      </c>
      <c r="N82" s="20" t="s">
        <v>215</v>
      </c>
      <c r="O82" s="20" t="s">
        <v>215</v>
      </c>
      <c r="P82" s="20" t="s">
        <v>215</v>
      </c>
      <c r="Q82" s="20" t="s">
        <v>215</v>
      </c>
      <c r="R82" s="20" t="s">
        <v>215</v>
      </c>
    </row>
    <row r="83" spans="1:18" x14ac:dyDescent="0.25">
      <c r="A83" s="3" t="s">
        <v>216</v>
      </c>
    </row>
    <row r="84" spans="1:18" x14ac:dyDescent="0.25">
      <c r="A84" s="22" t="s">
        <v>217</v>
      </c>
      <c r="B84" s="23"/>
      <c r="C84" s="23"/>
      <c r="D84" s="23"/>
      <c r="E84" s="23"/>
      <c r="F84" s="23"/>
      <c r="G84" s="23"/>
      <c r="H84" s="23"/>
      <c r="I84" s="23"/>
      <c r="J84" s="23"/>
      <c r="K84" s="23"/>
      <c r="L84" s="23"/>
      <c r="M84" s="23"/>
      <c r="N84" s="23"/>
      <c r="O84" s="23"/>
      <c r="P84" s="23"/>
      <c r="Q84" s="23"/>
      <c r="R84" s="23"/>
    </row>
    <row r="85" spans="1:18" x14ac:dyDescent="0.25">
      <c r="A85" s="22" t="s">
        <v>218</v>
      </c>
      <c r="B85" s="23"/>
      <c r="C85" s="23"/>
      <c r="D85" s="23"/>
      <c r="E85" s="23"/>
      <c r="F85" s="23"/>
      <c r="G85" s="23"/>
      <c r="H85" s="23"/>
      <c r="I85" s="23"/>
      <c r="J85" s="23"/>
      <c r="K85" s="23"/>
      <c r="L85" s="23"/>
      <c r="M85" s="23"/>
      <c r="N85" s="23"/>
      <c r="O85" s="23"/>
      <c r="P85" s="23"/>
      <c r="Q85" s="23"/>
      <c r="R85" s="23"/>
    </row>
    <row r="86" spans="1:18" ht="30" customHeight="1" x14ac:dyDescent="0.25">
      <c r="A86" s="22" t="s">
        <v>219</v>
      </c>
      <c r="B86" s="23"/>
      <c r="C86" s="23"/>
      <c r="D86" s="23"/>
      <c r="E86" s="23"/>
      <c r="F86" s="23"/>
      <c r="G86" s="23"/>
      <c r="H86" s="23"/>
      <c r="I86" s="23"/>
      <c r="J86" s="23"/>
      <c r="K86" s="23"/>
      <c r="L86" s="23"/>
      <c r="M86" s="23"/>
      <c r="N86" s="23"/>
      <c r="O86" s="23"/>
      <c r="P86" s="23"/>
      <c r="Q86" s="23"/>
      <c r="R86" s="23"/>
    </row>
    <row r="87" spans="1:18" ht="30" customHeight="1" x14ac:dyDescent="0.25">
      <c r="A87" s="22" t="s">
        <v>215</v>
      </c>
      <c r="B87" s="23"/>
      <c r="C87" s="23"/>
      <c r="D87" s="23"/>
      <c r="E87" s="23"/>
      <c r="F87" s="23"/>
      <c r="G87" s="23"/>
      <c r="H87" s="23"/>
      <c r="I87" s="23"/>
      <c r="J87" s="23"/>
      <c r="K87" s="23"/>
      <c r="L87" s="23"/>
      <c r="M87" s="23"/>
      <c r="N87" s="23"/>
      <c r="O87" s="23"/>
      <c r="P87" s="23"/>
      <c r="Q87" s="23"/>
      <c r="R87" s="23"/>
    </row>
    <row r="88" spans="1:18" ht="30" customHeight="1" x14ac:dyDescent="0.25">
      <c r="A88" s="22" t="s">
        <v>220</v>
      </c>
      <c r="B88" s="23"/>
      <c r="C88" s="23"/>
      <c r="D88" s="23"/>
      <c r="E88" s="23"/>
      <c r="F88" s="23"/>
      <c r="G88" s="23"/>
      <c r="H88" s="23"/>
      <c r="I88" s="23"/>
      <c r="J88" s="23"/>
      <c r="K88" s="23"/>
      <c r="L88" s="23"/>
      <c r="M88" s="23"/>
      <c r="N88" s="23"/>
      <c r="O88" s="23"/>
      <c r="P88" s="23"/>
      <c r="Q88" s="23"/>
      <c r="R88" s="23"/>
    </row>
    <row r="89" spans="1:18" ht="30" customHeight="1" x14ac:dyDescent="0.25">
      <c r="A89" s="22" t="s">
        <v>221</v>
      </c>
      <c r="B89" s="23"/>
      <c r="C89" s="23"/>
      <c r="D89" s="23"/>
      <c r="E89" s="23"/>
      <c r="F89" s="23"/>
      <c r="G89" s="23"/>
      <c r="H89" s="23"/>
      <c r="I89" s="23"/>
      <c r="J89" s="23"/>
      <c r="K89" s="23"/>
      <c r="L89" s="23"/>
      <c r="M89" s="23"/>
      <c r="N89" s="23"/>
      <c r="O89" s="23"/>
      <c r="P89" s="23"/>
      <c r="Q89" s="23"/>
      <c r="R89" s="23"/>
    </row>
    <row r="90" spans="1:18" ht="30" customHeight="1" x14ac:dyDescent="0.25">
      <c r="A90" s="22" t="s">
        <v>222</v>
      </c>
      <c r="B90" s="23"/>
      <c r="C90" s="23"/>
      <c r="D90" s="23"/>
      <c r="E90" s="23"/>
      <c r="F90" s="23"/>
      <c r="G90" s="23"/>
      <c r="H90" s="23"/>
      <c r="I90" s="23"/>
      <c r="J90" s="23"/>
      <c r="K90" s="23"/>
      <c r="L90" s="23"/>
      <c r="M90" s="23"/>
      <c r="N90" s="23"/>
      <c r="O90" s="23"/>
      <c r="P90" s="23"/>
      <c r="Q90" s="23"/>
      <c r="R90" s="23"/>
    </row>
    <row r="91" spans="1:18" ht="30" customHeight="1" x14ac:dyDescent="0.25">
      <c r="A91" s="22" t="s">
        <v>223</v>
      </c>
      <c r="B91" s="23"/>
      <c r="C91" s="23"/>
      <c r="D91" s="23"/>
      <c r="E91" s="23"/>
      <c r="F91" s="23"/>
      <c r="G91" s="23"/>
      <c r="H91" s="23"/>
      <c r="I91" s="23"/>
      <c r="J91" s="23"/>
      <c r="K91" s="23"/>
      <c r="L91" s="23"/>
      <c r="M91" s="23"/>
      <c r="N91" s="23"/>
      <c r="O91" s="23"/>
      <c r="P91" s="23"/>
      <c r="Q91" s="23"/>
      <c r="R91" s="23"/>
    </row>
    <row r="92" spans="1:18" ht="30" customHeight="1" x14ac:dyDescent="0.25">
      <c r="A92" s="22" t="s">
        <v>224</v>
      </c>
      <c r="B92" s="23"/>
      <c r="C92" s="23"/>
      <c r="D92" s="23"/>
      <c r="E92" s="23"/>
      <c r="F92" s="23"/>
      <c r="G92" s="23"/>
      <c r="H92" s="23"/>
      <c r="I92" s="23"/>
      <c r="J92" s="23"/>
      <c r="K92" s="23"/>
      <c r="L92" s="23"/>
      <c r="M92" s="23"/>
      <c r="N92" s="23"/>
      <c r="O92" s="23"/>
      <c r="P92" s="23"/>
      <c r="Q92" s="23"/>
      <c r="R92" s="23"/>
    </row>
    <row r="93" spans="1:18" ht="30" customHeight="1" x14ac:dyDescent="0.25">
      <c r="A93" s="22" t="s">
        <v>225</v>
      </c>
      <c r="B93" s="23"/>
      <c r="C93" s="23"/>
      <c r="D93" s="23"/>
      <c r="E93" s="23"/>
      <c r="F93" s="23"/>
      <c r="G93" s="23"/>
      <c r="H93" s="23"/>
      <c r="I93" s="23"/>
      <c r="J93" s="23"/>
      <c r="K93" s="23"/>
      <c r="L93" s="23"/>
      <c r="M93" s="23"/>
      <c r="N93" s="23"/>
      <c r="O93" s="23"/>
      <c r="P93" s="23"/>
      <c r="Q93" s="23"/>
      <c r="R93" s="23"/>
    </row>
    <row r="94" spans="1:18" ht="30" customHeight="1" x14ac:dyDescent="0.25">
      <c r="A94" s="22" t="s">
        <v>226</v>
      </c>
      <c r="B94" s="23"/>
      <c r="C94" s="23"/>
      <c r="D94" s="23"/>
      <c r="E94" s="23"/>
      <c r="F94" s="23"/>
      <c r="G94" s="23"/>
      <c r="H94" s="23"/>
      <c r="I94" s="23"/>
      <c r="J94" s="23"/>
      <c r="K94" s="23"/>
      <c r="L94" s="23"/>
      <c r="M94" s="23"/>
      <c r="N94" s="23"/>
      <c r="O94" s="23"/>
      <c r="P94" s="23"/>
      <c r="Q94" s="23"/>
      <c r="R94" s="23"/>
    </row>
    <row r="95" spans="1:18" ht="30" customHeight="1" x14ac:dyDescent="0.25">
      <c r="A95" s="22" t="s">
        <v>227</v>
      </c>
      <c r="B95" s="23"/>
      <c r="C95" s="23"/>
      <c r="D95" s="23"/>
      <c r="E95" s="23"/>
      <c r="F95" s="23"/>
      <c r="G95" s="23"/>
      <c r="H95" s="23"/>
      <c r="I95" s="23"/>
      <c r="J95" s="23"/>
      <c r="K95" s="23"/>
      <c r="L95" s="23"/>
      <c r="M95" s="23"/>
      <c r="N95" s="23"/>
      <c r="O95" s="23"/>
      <c r="P95" s="23"/>
      <c r="Q95" s="23"/>
      <c r="R95" s="23"/>
    </row>
    <row r="96" spans="1:18" ht="30" customHeight="1" x14ac:dyDescent="0.25">
      <c r="A96" s="22" t="s">
        <v>228</v>
      </c>
      <c r="B96" s="23"/>
      <c r="C96" s="23"/>
      <c r="D96" s="23"/>
      <c r="E96" s="23"/>
      <c r="F96" s="23"/>
      <c r="G96" s="23"/>
      <c r="H96" s="23"/>
      <c r="I96" s="23"/>
      <c r="J96" s="23"/>
      <c r="K96" s="23"/>
      <c r="L96" s="23"/>
      <c r="M96" s="23"/>
      <c r="N96" s="23"/>
      <c r="O96" s="23"/>
      <c r="P96" s="23"/>
      <c r="Q96" s="23"/>
      <c r="R96" s="23"/>
    </row>
  </sheetData>
  <mergeCells count="22">
    <mergeCell ref="O4:P4"/>
    <mergeCell ref="Q4:R4"/>
    <mergeCell ref="A1:R1"/>
    <mergeCell ref="A2:R2"/>
    <mergeCell ref="A84:R84"/>
    <mergeCell ref="E4:F4"/>
    <mergeCell ref="G4:H4"/>
    <mergeCell ref="I4:J4"/>
    <mergeCell ref="K4:L4"/>
    <mergeCell ref="M4:N4"/>
    <mergeCell ref="A85:R85"/>
    <mergeCell ref="A86:R86"/>
    <mergeCell ref="A87:R87"/>
    <mergeCell ref="A88:R88"/>
    <mergeCell ref="A89:R89"/>
    <mergeCell ref="A95:R95"/>
    <mergeCell ref="A96:R96"/>
    <mergeCell ref="A90:R90"/>
    <mergeCell ref="A91:R91"/>
    <mergeCell ref="A92:R92"/>
    <mergeCell ref="A93:R93"/>
    <mergeCell ref="A94:R94"/>
  </mergeCells>
  <pageMargins left="0.75" right="0.75" top="1" bottom="1" header="0.5" footer="0.5"/>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dimension ref="A1:R96"/>
  <sheetViews>
    <sheetView zoomScale="80" workbookViewId="0">
      <pane xSplit="4" topLeftCell="E1" activePane="topRight" state="frozen"/>
      <selection sqref="A1:R1"/>
      <selection pane="topRight" sqref="A1:R1"/>
    </sheetView>
  </sheetViews>
  <sheetFormatPr defaultColWidth="11.42578125" defaultRowHeight="15" x14ac:dyDescent="0.25"/>
  <cols>
    <col min="1" max="1" width="50" customWidth="1"/>
  </cols>
  <sheetData>
    <row r="1" spans="1:18" x14ac:dyDescent="0.25">
      <c r="A1" s="26" t="s">
        <v>122</v>
      </c>
      <c r="B1" s="23"/>
      <c r="C1" s="23"/>
      <c r="D1" s="23"/>
      <c r="E1" s="23"/>
      <c r="F1" s="23"/>
      <c r="G1" s="23"/>
      <c r="H1" s="23"/>
      <c r="I1" s="23"/>
      <c r="J1" s="23"/>
      <c r="K1" s="23"/>
      <c r="L1" s="23"/>
      <c r="M1" s="23"/>
      <c r="N1" s="23"/>
      <c r="O1" s="23"/>
      <c r="P1" s="23"/>
      <c r="Q1" s="23"/>
      <c r="R1" s="23"/>
    </row>
    <row r="2" spans="1:18" x14ac:dyDescent="0.25">
      <c r="A2" s="27" t="s">
        <v>251</v>
      </c>
      <c r="B2" s="23"/>
      <c r="C2" s="23"/>
      <c r="D2" s="23"/>
      <c r="E2" s="23"/>
      <c r="F2" s="23"/>
      <c r="G2" s="23"/>
      <c r="H2" s="23"/>
      <c r="I2" s="23"/>
      <c r="J2" s="23"/>
      <c r="K2" s="23"/>
      <c r="L2" s="23"/>
      <c r="M2" s="23"/>
      <c r="N2" s="23"/>
      <c r="O2" s="23"/>
      <c r="P2" s="23"/>
      <c r="Q2" s="23"/>
      <c r="R2" s="23"/>
    </row>
    <row r="4" spans="1:18" ht="30" customHeight="1" x14ac:dyDescent="0.25">
      <c r="A4" s="4"/>
      <c r="B4" s="5" t="s">
        <v>123</v>
      </c>
      <c r="C4" s="5" t="s">
        <v>124</v>
      </c>
      <c r="D4" s="6" t="s">
        <v>123</v>
      </c>
      <c r="E4" s="24" t="s">
        <v>125</v>
      </c>
      <c r="F4" s="25"/>
      <c r="G4" s="24" t="s">
        <v>126</v>
      </c>
      <c r="H4" s="25"/>
      <c r="I4" s="24" t="s">
        <v>127</v>
      </c>
      <c r="J4" s="25"/>
      <c r="K4" s="24" t="s">
        <v>128</v>
      </c>
      <c r="L4" s="25"/>
      <c r="M4" s="24" t="s">
        <v>129</v>
      </c>
      <c r="N4" s="25"/>
      <c r="O4" s="24" t="s">
        <v>130</v>
      </c>
      <c r="P4" s="25"/>
      <c r="Q4" s="24" t="s">
        <v>131</v>
      </c>
      <c r="R4" s="25"/>
    </row>
    <row r="5" spans="1:18" x14ac:dyDescent="0.25">
      <c r="A5" s="7"/>
      <c r="B5" s="8" t="s">
        <v>132</v>
      </c>
      <c r="C5" s="8" t="s">
        <v>133</v>
      </c>
      <c r="D5" s="7" t="s">
        <v>134</v>
      </c>
      <c r="E5" s="8" t="s">
        <v>135</v>
      </c>
      <c r="F5" s="7" t="s">
        <v>136</v>
      </c>
      <c r="G5" s="8" t="s">
        <v>135</v>
      </c>
      <c r="H5" s="7" t="s">
        <v>136</v>
      </c>
      <c r="I5" s="8" t="s">
        <v>135</v>
      </c>
      <c r="J5" s="7" t="s">
        <v>136</v>
      </c>
      <c r="K5" s="8" t="s">
        <v>135</v>
      </c>
      <c r="L5" s="7" t="s">
        <v>136</v>
      </c>
      <c r="M5" s="8" t="s">
        <v>135</v>
      </c>
      <c r="N5" s="7" t="s">
        <v>136</v>
      </c>
      <c r="O5" s="8" t="s">
        <v>135</v>
      </c>
      <c r="P5" s="7" t="s">
        <v>136</v>
      </c>
      <c r="Q5" s="8" t="s">
        <v>135</v>
      </c>
      <c r="R5" s="7" t="s">
        <v>136</v>
      </c>
    </row>
    <row r="6" spans="1:18" x14ac:dyDescent="0.25">
      <c r="A6" s="9" t="s">
        <v>137</v>
      </c>
      <c r="B6" s="10"/>
      <c r="C6" s="10"/>
      <c r="D6" s="11"/>
      <c r="E6" s="10"/>
      <c r="F6" s="11"/>
      <c r="G6" s="10"/>
      <c r="H6" s="11"/>
      <c r="I6" s="10"/>
      <c r="J6" s="11"/>
      <c r="K6" s="10"/>
      <c r="L6" s="11"/>
      <c r="M6" s="10"/>
      <c r="N6" s="11"/>
      <c r="O6" s="10"/>
      <c r="P6" s="11"/>
      <c r="Q6" s="10"/>
      <c r="R6" s="12"/>
    </row>
    <row r="7" spans="1:18" x14ac:dyDescent="0.25">
      <c r="A7" s="11" t="s">
        <v>138</v>
      </c>
      <c r="B7" s="13">
        <v>14530</v>
      </c>
      <c r="C7" s="14">
        <f>(12075/B7*100)</f>
        <v>83.10392291810048</v>
      </c>
      <c r="D7" s="15">
        <v>2455</v>
      </c>
      <c r="E7" s="14">
        <v>31.011626809999999</v>
      </c>
      <c r="F7" s="16">
        <v>1.06723411</v>
      </c>
      <c r="G7" s="14">
        <v>68.988373190000004</v>
      </c>
      <c r="H7" s="16">
        <v>1.06723411</v>
      </c>
      <c r="I7" s="14" t="s">
        <v>139</v>
      </c>
      <c r="J7" s="16" t="s">
        <v>139</v>
      </c>
      <c r="K7" s="14">
        <v>0</v>
      </c>
      <c r="L7" s="16">
        <v>0</v>
      </c>
      <c r="M7" s="14">
        <v>0</v>
      </c>
      <c r="N7" s="16">
        <v>0</v>
      </c>
      <c r="O7" s="14">
        <v>0</v>
      </c>
      <c r="P7" s="16">
        <v>0</v>
      </c>
      <c r="Q7" s="14">
        <v>0</v>
      </c>
      <c r="R7" s="16">
        <v>0</v>
      </c>
    </row>
    <row r="8" spans="1:18" x14ac:dyDescent="0.25">
      <c r="A8" s="11" t="s">
        <v>140</v>
      </c>
      <c r="B8" s="13">
        <v>7007</v>
      </c>
      <c r="C8" s="14">
        <f>(5792/B8*100)</f>
        <v>82.660196945911238</v>
      </c>
      <c r="D8" s="15">
        <v>1215</v>
      </c>
      <c r="E8" s="14">
        <v>36.880272699999999</v>
      </c>
      <c r="F8" s="16">
        <v>1.50471789</v>
      </c>
      <c r="G8" s="14">
        <v>63.119727300000001</v>
      </c>
      <c r="H8" s="16">
        <v>1.50471789</v>
      </c>
      <c r="I8" s="14" t="s">
        <v>139</v>
      </c>
      <c r="J8" s="16" t="s">
        <v>139</v>
      </c>
      <c r="K8" s="14">
        <v>0</v>
      </c>
      <c r="L8" s="16">
        <v>0</v>
      </c>
      <c r="M8" s="14">
        <v>0</v>
      </c>
      <c r="N8" s="16">
        <v>0</v>
      </c>
      <c r="O8" s="14">
        <v>0</v>
      </c>
      <c r="P8" s="16">
        <v>0</v>
      </c>
      <c r="Q8" s="14">
        <v>0</v>
      </c>
      <c r="R8" s="16">
        <v>0</v>
      </c>
    </row>
    <row r="9" spans="1:18" x14ac:dyDescent="0.25">
      <c r="A9" s="11" t="s">
        <v>141</v>
      </c>
      <c r="B9" s="13">
        <v>9651</v>
      </c>
      <c r="C9" s="14">
        <f>(8043/B9*100)</f>
        <v>83.338514143612059</v>
      </c>
      <c r="D9" s="15">
        <v>1608</v>
      </c>
      <c r="E9" s="14">
        <v>28.76842061</v>
      </c>
      <c r="F9" s="16">
        <v>1.2203742200000001</v>
      </c>
      <c r="G9" s="14">
        <v>71.231579389999993</v>
      </c>
      <c r="H9" s="16">
        <v>1.2203742200000001</v>
      </c>
      <c r="I9" s="14" t="s">
        <v>139</v>
      </c>
      <c r="J9" s="16" t="s">
        <v>139</v>
      </c>
      <c r="K9" s="14">
        <v>0</v>
      </c>
      <c r="L9" s="16">
        <v>0</v>
      </c>
      <c r="M9" s="14">
        <v>0</v>
      </c>
      <c r="N9" s="16">
        <v>0</v>
      </c>
      <c r="O9" s="14">
        <v>0</v>
      </c>
      <c r="P9" s="16">
        <v>0</v>
      </c>
      <c r="Q9" s="14">
        <v>0</v>
      </c>
      <c r="R9" s="16">
        <v>0</v>
      </c>
    </row>
    <row r="10" spans="1:18" x14ac:dyDescent="0.25">
      <c r="A10" s="11" t="s">
        <v>142</v>
      </c>
      <c r="B10" s="13">
        <v>20058</v>
      </c>
      <c r="C10" s="14">
        <f>(16595/B10*100)</f>
        <v>82.735068301924414</v>
      </c>
      <c r="D10" s="15">
        <v>3463</v>
      </c>
      <c r="E10" s="14">
        <v>27.129287099999999</v>
      </c>
      <c r="F10" s="16">
        <v>1.0359382100000001</v>
      </c>
      <c r="G10" s="14">
        <v>72.870712900000001</v>
      </c>
      <c r="H10" s="16">
        <v>1.0359382100000001</v>
      </c>
      <c r="I10" s="14" t="s">
        <v>139</v>
      </c>
      <c r="J10" s="16" t="s">
        <v>139</v>
      </c>
      <c r="K10" s="14">
        <v>0</v>
      </c>
      <c r="L10" s="16">
        <v>0</v>
      </c>
      <c r="M10" s="14">
        <v>0</v>
      </c>
      <c r="N10" s="16">
        <v>0</v>
      </c>
      <c r="O10" s="14">
        <v>0</v>
      </c>
      <c r="P10" s="16">
        <v>0</v>
      </c>
      <c r="Q10" s="14">
        <v>0</v>
      </c>
      <c r="R10" s="16">
        <v>0</v>
      </c>
    </row>
    <row r="11" spans="1:18" x14ac:dyDescent="0.25">
      <c r="A11" s="11" t="s">
        <v>143</v>
      </c>
      <c r="B11" s="13">
        <v>7053</v>
      </c>
      <c r="C11" s="14">
        <f>(5838/B11*100)</f>
        <v>82.773287962569114</v>
      </c>
      <c r="D11" s="15">
        <v>1215</v>
      </c>
      <c r="E11" s="14">
        <v>31.409354579999999</v>
      </c>
      <c r="F11" s="16">
        <v>1.72250715</v>
      </c>
      <c r="G11" s="14">
        <v>68.590645420000001</v>
      </c>
      <c r="H11" s="16">
        <v>1.72250715</v>
      </c>
      <c r="I11" s="14" t="s">
        <v>139</v>
      </c>
      <c r="J11" s="16" t="s">
        <v>139</v>
      </c>
      <c r="K11" s="14">
        <v>0</v>
      </c>
      <c r="L11" s="16">
        <v>0</v>
      </c>
      <c r="M11" s="14">
        <v>0</v>
      </c>
      <c r="N11" s="16">
        <v>0</v>
      </c>
      <c r="O11" s="14">
        <v>0</v>
      </c>
      <c r="P11" s="16">
        <v>0</v>
      </c>
      <c r="Q11" s="14">
        <v>0</v>
      </c>
      <c r="R11" s="16">
        <v>0</v>
      </c>
    </row>
    <row r="12" spans="1:18" x14ac:dyDescent="0.25">
      <c r="A12" s="11" t="s">
        <v>144</v>
      </c>
      <c r="B12" s="13">
        <v>6894</v>
      </c>
      <c r="C12" s="14">
        <f>(5718/B12*100)</f>
        <v>82.941688424717142</v>
      </c>
      <c r="D12" s="15">
        <v>1176</v>
      </c>
      <c r="E12" s="14">
        <v>32.34372363</v>
      </c>
      <c r="F12" s="16">
        <v>1.3992990300000001</v>
      </c>
      <c r="G12" s="14">
        <v>67.65627637</v>
      </c>
      <c r="H12" s="16">
        <v>1.3992990300000001</v>
      </c>
      <c r="I12" s="14" t="s">
        <v>139</v>
      </c>
      <c r="J12" s="16" t="s">
        <v>139</v>
      </c>
      <c r="K12" s="14">
        <v>0</v>
      </c>
      <c r="L12" s="16">
        <v>0</v>
      </c>
      <c r="M12" s="14">
        <v>0</v>
      </c>
      <c r="N12" s="16">
        <v>0</v>
      </c>
      <c r="O12" s="14">
        <v>0</v>
      </c>
      <c r="P12" s="16">
        <v>0</v>
      </c>
      <c r="Q12" s="14">
        <v>0</v>
      </c>
      <c r="R12" s="16">
        <v>0</v>
      </c>
    </row>
    <row r="13" spans="1:18" x14ac:dyDescent="0.25">
      <c r="A13" s="11" t="s">
        <v>145</v>
      </c>
      <c r="B13" s="13">
        <v>7161</v>
      </c>
      <c r="C13" s="14">
        <f>(5997/B13*100)</f>
        <v>83.745286971093421</v>
      </c>
      <c r="D13" s="15">
        <v>1164</v>
      </c>
      <c r="E13" s="14">
        <v>33.718068590000001</v>
      </c>
      <c r="F13" s="16">
        <v>1.4984584400000001</v>
      </c>
      <c r="G13" s="14">
        <v>66.281931409999999</v>
      </c>
      <c r="H13" s="16">
        <v>1.4984584400000001</v>
      </c>
      <c r="I13" s="14" t="s">
        <v>139</v>
      </c>
      <c r="J13" s="16" t="s">
        <v>139</v>
      </c>
      <c r="K13" s="14">
        <v>0</v>
      </c>
      <c r="L13" s="16">
        <v>0</v>
      </c>
      <c r="M13" s="14">
        <v>0</v>
      </c>
      <c r="N13" s="16">
        <v>0</v>
      </c>
      <c r="O13" s="14">
        <v>0</v>
      </c>
      <c r="P13" s="16">
        <v>0</v>
      </c>
      <c r="Q13" s="14">
        <v>0</v>
      </c>
      <c r="R13" s="16">
        <v>0</v>
      </c>
    </row>
    <row r="14" spans="1:18" x14ac:dyDescent="0.25">
      <c r="A14" s="11" t="s">
        <v>146</v>
      </c>
      <c r="B14" s="13">
        <v>5587</v>
      </c>
      <c r="C14" s="14">
        <f>(4630/B14*100)</f>
        <v>82.870950420619295</v>
      </c>
      <c r="D14" s="15">
        <v>957</v>
      </c>
      <c r="E14" s="14">
        <v>25.376784780000001</v>
      </c>
      <c r="F14" s="16">
        <v>1.44042669</v>
      </c>
      <c r="G14" s="14">
        <v>74.623215220000006</v>
      </c>
      <c r="H14" s="16">
        <v>1.44042669</v>
      </c>
      <c r="I14" s="14" t="s">
        <v>139</v>
      </c>
      <c r="J14" s="16" t="s">
        <v>139</v>
      </c>
      <c r="K14" s="14">
        <v>0</v>
      </c>
      <c r="L14" s="16">
        <v>0</v>
      </c>
      <c r="M14" s="14">
        <v>0</v>
      </c>
      <c r="N14" s="16">
        <v>0</v>
      </c>
      <c r="O14" s="14">
        <v>0</v>
      </c>
      <c r="P14" s="16">
        <v>0</v>
      </c>
      <c r="Q14" s="14">
        <v>0</v>
      </c>
      <c r="R14" s="16">
        <v>0</v>
      </c>
    </row>
    <row r="15" spans="1:18" x14ac:dyDescent="0.25">
      <c r="A15" s="11" t="s">
        <v>147</v>
      </c>
      <c r="B15" s="13">
        <v>5882</v>
      </c>
      <c r="C15" s="14">
        <f>(4904/B15*100)</f>
        <v>83.373002380142808</v>
      </c>
      <c r="D15" s="15">
        <v>978</v>
      </c>
      <c r="E15" s="14">
        <v>29.751860369999999</v>
      </c>
      <c r="F15" s="16">
        <v>1.4796323</v>
      </c>
      <c r="G15" s="14">
        <v>70.248139629999997</v>
      </c>
      <c r="H15" s="16">
        <v>1.4796323</v>
      </c>
      <c r="I15" s="14" t="s">
        <v>139</v>
      </c>
      <c r="J15" s="16" t="s">
        <v>139</v>
      </c>
      <c r="K15" s="14">
        <v>0</v>
      </c>
      <c r="L15" s="16">
        <v>0</v>
      </c>
      <c r="M15" s="14">
        <v>0</v>
      </c>
      <c r="N15" s="16">
        <v>0</v>
      </c>
      <c r="O15" s="14">
        <v>0</v>
      </c>
      <c r="P15" s="16">
        <v>0</v>
      </c>
      <c r="Q15" s="14">
        <v>0</v>
      </c>
      <c r="R15" s="16">
        <v>0</v>
      </c>
    </row>
    <row r="16" spans="1:18" x14ac:dyDescent="0.25">
      <c r="A16" s="11" t="s">
        <v>148</v>
      </c>
      <c r="B16" s="13">
        <v>6108</v>
      </c>
      <c r="C16" s="14">
        <f>(5050/B16*100)</f>
        <v>82.678454485920099</v>
      </c>
      <c r="D16" s="15">
        <v>1058</v>
      </c>
      <c r="E16" s="14">
        <v>24.649949929999998</v>
      </c>
      <c r="F16" s="16">
        <v>1.5409673100000001</v>
      </c>
      <c r="G16" s="14">
        <v>75.350050069999995</v>
      </c>
      <c r="H16" s="16">
        <v>1.5409673100000001</v>
      </c>
      <c r="I16" s="14" t="s">
        <v>139</v>
      </c>
      <c r="J16" s="16" t="s">
        <v>139</v>
      </c>
      <c r="K16" s="14">
        <v>0</v>
      </c>
      <c r="L16" s="16">
        <v>0</v>
      </c>
      <c r="M16" s="14">
        <v>0</v>
      </c>
      <c r="N16" s="16">
        <v>0</v>
      </c>
      <c r="O16" s="14">
        <v>0</v>
      </c>
      <c r="P16" s="16">
        <v>0</v>
      </c>
      <c r="Q16" s="14">
        <v>0</v>
      </c>
      <c r="R16" s="16">
        <v>0</v>
      </c>
    </row>
    <row r="17" spans="1:18" x14ac:dyDescent="0.25">
      <c r="A17" s="11" t="s">
        <v>149</v>
      </c>
      <c r="B17" s="13">
        <v>6504</v>
      </c>
      <c r="C17" s="14">
        <f>(5409/B17*100)</f>
        <v>83.164206642066418</v>
      </c>
      <c r="D17" s="15">
        <v>1095</v>
      </c>
      <c r="E17" s="14">
        <v>32.537285920000002</v>
      </c>
      <c r="F17" s="16">
        <v>1.3741705399999999</v>
      </c>
      <c r="G17" s="14">
        <v>67.462714079999998</v>
      </c>
      <c r="H17" s="16">
        <v>1.3741705399999999</v>
      </c>
      <c r="I17" s="14" t="s">
        <v>139</v>
      </c>
      <c r="J17" s="16" t="s">
        <v>139</v>
      </c>
      <c r="K17" s="14">
        <v>0</v>
      </c>
      <c r="L17" s="16">
        <v>0</v>
      </c>
      <c r="M17" s="14">
        <v>0</v>
      </c>
      <c r="N17" s="16">
        <v>0</v>
      </c>
      <c r="O17" s="14">
        <v>0</v>
      </c>
      <c r="P17" s="16">
        <v>0</v>
      </c>
      <c r="Q17" s="14">
        <v>0</v>
      </c>
      <c r="R17" s="16">
        <v>0</v>
      </c>
    </row>
    <row r="18" spans="1:18" x14ac:dyDescent="0.25">
      <c r="A18" s="11" t="s">
        <v>150</v>
      </c>
      <c r="B18" s="13">
        <v>5532</v>
      </c>
      <c r="C18" s="14">
        <f>(4565/B18*100)</f>
        <v>82.519884309472161</v>
      </c>
      <c r="D18" s="15">
        <v>967</v>
      </c>
      <c r="E18" s="14">
        <v>43.304131990000002</v>
      </c>
      <c r="F18" s="16">
        <v>1.78020848</v>
      </c>
      <c r="G18" s="14">
        <v>56.695868009999998</v>
      </c>
      <c r="H18" s="16">
        <v>1.78020848</v>
      </c>
      <c r="I18" s="14" t="s">
        <v>139</v>
      </c>
      <c r="J18" s="16" t="s">
        <v>139</v>
      </c>
      <c r="K18" s="14">
        <v>0</v>
      </c>
      <c r="L18" s="16">
        <v>0</v>
      </c>
      <c r="M18" s="14">
        <v>0</v>
      </c>
      <c r="N18" s="16">
        <v>0</v>
      </c>
      <c r="O18" s="14">
        <v>0</v>
      </c>
      <c r="P18" s="16">
        <v>0</v>
      </c>
      <c r="Q18" s="14">
        <v>0</v>
      </c>
      <c r="R18" s="16">
        <v>0</v>
      </c>
    </row>
    <row r="19" spans="1:18" x14ac:dyDescent="0.25">
      <c r="A19" s="11" t="s">
        <v>151</v>
      </c>
      <c r="B19" s="13">
        <v>5658</v>
      </c>
      <c r="C19" s="14">
        <f>(4699/B19*100)</f>
        <v>83.050547896783314</v>
      </c>
      <c r="D19" s="15">
        <v>959</v>
      </c>
      <c r="E19" s="14">
        <v>31.304305079999999</v>
      </c>
      <c r="F19" s="16">
        <v>1.6551971000000001</v>
      </c>
      <c r="G19" s="14">
        <v>68.695694919999994</v>
      </c>
      <c r="H19" s="16">
        <v>1.6551971000000001</v>
      </c>
      <c r="I19" s="14" t="s">
        <v>139</v>
      </c>
      <c r="J19" s="16" t="s">
        <v>139</v>
      </c>
      <c r="K19" s="14">
        <v>0</v>
      </c>
      <c r="L19" s="16">
        <v>0</v>
      </c>
      <c r="M19" s="14">
        <v>0</v>
      </c>
      <c r="N19" s="16">
        <v>0</v>
      </c>
      <c r="O19" s="14">
        <v>0</v>
      </c>
      <c r="P19" s="16">
        <v>0</v>
      </c>
      <c r="Q19" s="14">
        <v>0</v>
      </c>
      <c r="R19" s="16">
        <v>0</v>
      </c>
    </row>
    <row r="20" spans="1:18" x14ac:dyDescent="0.25">
      <c r="A20" s="11" t="s">
        <v>152</v>
      </c>
      <c r="B20" s="13">
        <v>3371</v>
      </c>
      <c r="C20" s="14">
        <f>(2790/B20*100)</f>
        <v>82.764758231978647</v>
      </c>
      <c r="D20" s="15">
        <v>581</v>
      </c>
      <c r="E20" s="14">
        <v>35.044066190000002</v>
      </c>
      <c r="F20" s="16">
        <v>1.8465190600000001</v>
      </c>
      <c r="G20" s="14">
        <v>64.955933810000005</v>
      </c>
      <c r="H20" s="16">
        <v>1.8465190600000001</v>
      </c>
      <c r="I20" s="14" t="s">
        <v>139</v>
      </c>
      <c r="J20" s="16" t="s">
        <v>139</v>
      </c>
      <c r="K20" s="14">
        <v>0</v>
      </c>
      <c r="L20" s="16">
        <v>0</v>
      </c>
      <c r="M20" s="14">
        <v>0</v>
      </c>
      <c r="N20" s="16">
        <v>0</v>
      </c>
      <c r="O20" s="14">
        <v>0</v>
      </c>
      <c r="P20" s="16">
        <v>0</v>
      </c>
      <c r="Q20" s="14">
        <v>0</v>
      </c>
      <c r="R20" s="16">
        <v>0</v>
      </c>
    </row>
    <row r="21" spans="1:18" x14ac:dyDescent="0.25">
      <c r="A21" s="11" t="s">
        <v>153</v>
      </c>
      <c r="B21" s="17" t="s">
        <v>154</v>
      </c>
      <c r="C21" s="17" t="s">
        <v>154</v>
      </c>
      <c r="D21" s="18" t="s">
        <v>154</v>
      </c>
      <c r="E21" s="17" t="s">
        <v>154</v>
      </c>
      <c r="F21" s="18" t="s">
        <v>154</v>
      </c>
      <c r="G21" s="17" t="s">
        <v>154</v>
      </c>
      <c r="H21" s="18" t="s">
        <v>154</v>
      </c>
      <c r="I21" s="17" t="s">
        <v>154</v>
      </c>
      <c r="J21" s="18" t="s">
        <v>154</v>
      </c>
      <c r="K21" s="17" t="s">
        <v>154</v>
      </c>
      <c r="L21" s="18" t="s">
        <v>154</v>
      </c>
      <c r="M21" s="17" t="s">
        <v>154</v>
      </c>
      <c r="N21" s="18" t="s">
        <v>154</v>
      </c>
      <c r="O21" s="17" t="s">
        <v>154</v>
      </c>
      <c r="P21" s="18" t="s">
        <v>154</v>
      </c>
      <c r="Q21" s="17" t="s">
        <v>154</v>
      </c>
      <c r="R21" s="18" t="s">
        <v>154</v>
      </c>
    </row>
    <row r="22" spans="1:18" x14ac:dyDescent="0.25">
      <c r="A22" s="11" t="s">
        <v>155</v>
      </c>
      <c r="B22" s="13">
        <v>6598</v>
      </c>
      <c r="C22" s="14">
        <f>(5565/B22*100)</f>
        <v>84.343740527432558</v>
      </c>
      <c r="D22" s="15">
        <v>1033</v>
      </c>
      <c r="E22" s="14">
        <v>40.161889080000002</v>
      </c>
      <c r="F22" s="16">
        <v>1.2600364100000001</v>
      </c>
      <c r="G22" s="14">
        <v>59.838110919999998</v>
      </c>
      <c r="H22" s="16">
        <v>1.2600364100000001</v>
      </c>
      <c r="I22" s="14" t="s">
        <v>139</v>
      </c>
      <c r="J22" s="16" t="s">
        <v>139</v>
      </c>
      <c r="K22" s="14">
        <v>0</v>
      </c>
      <c r="L22" s="16">
        <v>0</v>
      </c>
      <c r="M22" s="14">
        <v>0</v>
      </c>
      <c r="N22" s="16">
        <v>0</v>
      </c>
      <c r="O22" s="14">
        <v>0</v>
      </c>
      <c r="P22" s="16">
        <v>0</v>
      </c>
      <c r="Q22" s="14">
        <v>0</v>
      </c>
      <c r="R22" s="16">
        <v>0</v>
      </c>
    </row>
    <row r="23" spans="1:18" x14ac:dyDescent="0.25">
      <c r="A23" s="11" t="s">
        <v>156</v>
      </c>
      <c r="B23" s="13">
        <v>11583</v>
      </c>
      <c r="C23" s="14">
        <f>(9605/B23*100)</f>
        <v>82.923249589916253</v>
      </c>
      <c r="D23" s="15">
        <v>1978</v>
      </c>
      <c r="E23" s="14">
        <v>35.994064870000003</v>
      </c>
      <c r="F23" s="16">
        <v>1.54677793</v>
      </c>
      <c r="G23" s="14">
        <v>64.005935129999997</v>
      </c>
      <c r="H23" s="16">
        <v>1.54677793</v>
      </c>
      <c r="I23" s="14" t="s">
        <v>139</v>
      </c>
      <c r="J23" s="16" t="s">
        <v>139</v>
      </c>
      <c r="K23" s="14">
        <v>0</v>
      </c>
      <c r="L23" s="16">
        <v>0</v>
      </c>
      <c r="M23" s="14">
        <v>0</v>
      </c>
      <c r="N23" s="16">
        <v>0</v>
      </c>
      <c r="O23" s="14">
        <v>0</v>
      </c>
      <c r="P23" s="16">
        <v>0</v>
      </c>
      <c r="Q23" s="14">
        <v>0</v>
      </c>
      <c r="R23" s="16">
        <v>0</v>
      </c>
    </row>
    <row r="24" spans="1:18" x14ac:dyDescent="0.25">
      <c r="A24" s="11" t="s">
        <v>157</v>
      </c>
      <c r="B24" s="13">
        <v>6647</v>
      </c>
      <c r="C24" s="14">
        <f>(5489/B24*100)</f>
        <v>82.578606890326469</v>
      </c>
      <c r="D24" s="15">
        <v>1158</v>
      </c>
      <c r="E24" s="14">
        <v>27.355608270000001</v>
      </c>
      <c r="F24" s="16">
        <v>1.3693948300000001</v>
      </c>
      <c r="G24" s="14">
        <v>72.644391729999995</v>
      </c>
      <c r="H24" s="16">
        <v>1.3693948300000001</v>
      </c>
      <c r="I24" s="14" t="s">
        <v>139</v>
      </c>
      <c r="J24" s="16" t="s">
        <v>139</v>
      </c>
      <c r="K24" s="14">
        <v>0</v>
      </c>
      <c r="L24" s="16">
        <v>0</v>
      </c>
      <c r="M24" s="14">
        <v>0</v>
      </c>
      <c r="N24" s="16">
        <v>0</v>
      </c>
      <c r="O24" s="14">
        <v>0</v>
      </c>
      <c r="P24" s="16">
        <v>0</v>
      </c>
      <c r="Q24" s="14">
        <v>0</v>
      </c>
      <c r="R24" s="16">
        <v>0</v>
      </c>
    </row>
    <row r="25" spans="1:18" x14ac:dyDescent="0.25">
      <c r="A25" s="11" t="s">
        <v>158</v>
      </c>
      <c r="B25" s="13">
        <v>5581</v>
      </c>
      <c r="C25" s="14">
        <f>(4616/B25*100)</f>
        <v>82.709191901092993</v>
      </c>
      <c r="D25" s="15">
        <v>965</v>
      </c>
      <c r="E25" s="14">
        <v>20.82155552</v>
      </c>
      <c r="F25" s="16">
        <v>1.13432409</v>
      </c>
      <c r="G25" s="14">
        <v>79.178444479999996</v>
      </c>
      <c r="H25" s="16">
        <v>1.13432409</v>
      </c>
      <c r="I25" s="14" t="s">
        <v>139</v>
      </c>
      <c r="J25" s="16" t="s">
        <v>139</v>
      </c>
      <c r="K25" s="14">
        <v>0</v>
      </c>
      <c r="L25" s="16">
        <v>0</v>
      </c>
      <c r="M25" s="14">
        <v>0</v>
      </c>
      <c r="N25" s="16">
        <v>0</v>
      </c>
      <c r="O25" s="14">
        <v>0</v>
      </c>
      <c r="P25" s="16">
        <v>0</v>
      </c>
      <c r="Q25" s="14">
        <v>0</v>
      </c>
      <c r="R25" s="16">
        <v>0</v>
      </c>
    </row>
    <row r="26" spans="1:18" x14ac:dyDescent="0.25">
      <c r="A26" s="11" t="s">
        <v>159</v>
      </c>
      <c r="B26" s="13">
        <v>4869</v>
      </c>
      <c r="C26" s="14">
        <f>(4009/B26*100)</f>
        <v>82.337235571986028</v>
      </c>
      <c r="D26" s="15">
        <v>860</v>
      </c>
      <c r="E26" s="14">
        <v>34.622466299999999</v>
      </c>
      <c r="F26" s="16">
        <v>1.7842303100000001</v>
      </c>
      <c r="G26" s="14">
        <v>65.377533700000001</v>
      </c>
      <c r="H26" s="16">
        <v>1.7842303100000001</v>
      </c>
      <c r="I26" s="14" t="s">
        <v>139</v>
      </c>
      <c r="J26" s="16" t="s">
        <v>139</v>
      </c>
      <c r="K26" s="14">
        <v>0</v>
      </c>
      <c r="L26" s="16">
        <v>0</v>
      </c>
      <c r="M26" s="14">
        <v>0</v>
      </c>
      <c r="N26" s="16">
        <v>0</v>
      </c>
      <c r="O26" s="14">
        <v>0</v>
      </c>
      <c r="P26" s="16">
        <v>0</v>
      </c>
      <c r="Q26" s="14">
        <v>0</v>
      </c>
      <c r="R26" s="16">
        <v>0</v>
      </c>
    </row>
    <row r="27" spans="1:18" x14ac:dyDescent="0.25">
      <c r="A27" s="11" t="s">
        <v>160</v>
      </c>
      <c r="B27" s="13">
        <v>5299</v>
      </c>
      <c r="C27" s="14">
        <f>(4381/B27*100)</f>
        <v>82.675976599358364</v>
      </c>
      <c r="D27" s="15">
        <v>918</v>
      </c>
      <c r="E27" s="14">
        <v>31.157769420000001</v>
      </c>
      <c r="F27" s="16">
        <v>1.4398570399999999</v>
      </c>
      <c r="G27" s="14">
        <v>68.842230580000006</v>
      </c>
      <c r="H27" s="16">
        <v>1.4398570399999999</v>
      </c>
      <c r="I27" s="14" t="s">
        <v>139</v>
      </c>
      <c r="J27" s="16" t="s">
        <v>139</v>
      </c>
      <c r="K27" s="14">
        <v>0</v>
      </c>
      <c r="L27" s="16">
        <v>0</v>
      </c>
      <c r="M27" s="14">
        <v>0</v>
      </c>
      <c r="N27" s="16">
        <v>0</v>
      </c>
      <c r="O27" s="14">
        <v>0</v>
      </c>
      <c r="P27" s="16">
        <v>0</v>
      </c>
      <c r="Q27" s="14">
        <v>0</v>
      </c>
      <c r="R27" s="16">
        <v>0</v>
      </c>
    </row>
    <row r="28" spans="1:18" x14ac:dyDescent="0.25">
      <c r="A28" s="11" t="s">
        <v>161</v>
      </c>
      <c r="B28" s="13">
        <v>7568</v>
      </c>
      <c r="C28" s="14">
        <f>(6328/B28*100)</f>
        <v>83.61522198731501</v>
      </c>
      <c r="D28" s="15">
        <v>1240</v>
      </c>
      <c r="E28" s="14">
        <v>34.550537679999998</v>
      </c>
      <c r="F28" s="16">
        <v>1.60770222</v>
      </c>
      <c r="G28" s="14">
        <v>65.449462319999995</v>
      </c>
      <c r="H28" s="16">
        <v>1.60770222</v>
      </c>
      <c r="I28" s="14" t="s">
        <v>139</v>
      </c>
      <c r="J28" s="16" t="s">
        <v>139</v>
      </c>
      <c r="K28" s="14">
        <v>0</v>
      </c>
      <c r="L28" s="16">
        <v>0</v>
      </c>
      <c r="M28" s="14">
        <v>0</v>
      </c>
      <c r="N28" s="16">
        <v>0</v>
      </c>
      <c r="O28" s="14">
        <v>0</v>
      </c>
      <c r="P28" s="16">
        <v>0</v>
      </c>
      <c r="Q28" s="14">
        <v>0</v>
      </c>
      <c r="R28" s="16">
        <v>0</v>
      </c>
    </row>
    <row r="29" spans="1:18" x14ac:dyDescent="0.25">
      <c r="A29" s="11" t="s">
        <v>162</v>
      </c>
      <c r="B29" s="13">
        <v>5385</v>
      </c>
      <c r="C29" s="14">
        <f>(4470/B29*100)</f>
        <v>83.008356545961007</v>
      </c>
      <c r="D29" s="15">
        <v>915</v>
      </c>
      <c r="E29" s="14">
        <v>30.540319879999998</v>
      </c>
      <c r="F29" s="16">
        <v>1.5039258900000001</v>
      </c>
      <c r="G29" s="14">
        <v>69.459680120000002</v>
      </c>
      <c r="H29" s="16">
        <v>1.5039258900000001</v>
      </c>
      <c r="I29" s="14" t="s">
        <v>139</v>
      </c>
      <c r="J29" s="16" t="s">
        <v>139</v>
      </c>
      <c r="K29" s="14">
        <v>0</v>
      </c>
      <c r="L29" s="16">
        <v>0</v>
      </c>
      <c r="M29" s="14">
        <v>0</v>
      </c>
      <c r="N29" s="16">
        <v>0</v>
      </c>
      <c r="O29" s="14">
        <v>0</v>
      </c>
      <c r="P29" s="16">
        <v>0</v>
      </c>
      <c r="Q29" s="14">
        <v>0</v>
      </c>
      <c r="R29" s="16">
        <v>0</v>
      </c>
    </row>
    <row r="30" spans="1:18" x14ac:dyDescent="0.25">
      <c r="A30" s="11" t="s">
        <v>163</v>
      </c>
      <c r="B30" s="13">
        <v>4520</v>
      </c>
      <c r="C30" s="14">
        <f>(3747/B30*100)</f>
        <v>82.898230088495566</v>
      </c>
      <c r="D30" s="15">
        <v>773</v>
      </c>
      <c r="E30" s="14">
        <v>30.03811099</v>
      </c>
      <c r="F30" s="16">
        <v>1.48047869</v>
      </c>
      <c r="G30" s="14">
        <v>69.961889009999993</v>
      </c>
      <c r="H30" s="16">
        <v>1.48047869</v>
      </c>
      <c r="I30" s="14" t="s">
        <v>139</v>
      </c>
      <c r="J30" s="16" t="s">
        <v>139</v>
      </c>
      <c r="K30" s="14">
        <v>0</v>
      </c>
      <c r="L30" s="16">
        <v>0</v>
      </c>
      <c r="M30" s="14">
        <v>0</v>
      </c>
      <c r="N30" s="16">
        <v>0</v>
      </c>
      <c r="O30" s="14">
        <v>0</v>
      </c>
      <c r="P30" s="16">
        <v>0</v>
      </c>
      <c r="Q30" s="14">
        <v>0</v>
      </c>
      <c r="R30" s="16">
        <v>0</v>
      </c>
    </row>
    <row r="31" spans="1:18" x14ac:dyDescent="0.25">
      <c r="A31" s="11" t="s">
        <v>164</v>
      </c>
      <c r="B31" s="13">
        <v>5456</v>
      </c>
      <c r="C31" s="14">
        <f>(4535/B31*100)</f>
        <v>83.119501466275665</v>
      </c>
      <c r="D31" s="15">
        <v>921</v>
      </c>
      <c r="E31" s="14">
        <v>26.40852718</v>
      </c>
      <c r="F31" s="16">
        <v>1.35985413</v>
      </c>
      <c r="G31" s="14">
        <v>73.591472820000007</v>
      </c>
      <c r="H31" s="16">
        <v>1.35985413</v>
      </c>
      <c r="I31" s="14" t="s">
        <v>139</v>
      </c>
      <c r="J31" s="16" t="s">
        <v>139</v>
      </c>
      <c r="K31" s="14">
        <v>0</v>
      </c>
      <c r="L31" s="16">
        <v>0</v>
      </c>
      <c r="M31" s="14">
        <v>0</v>
      </c>
      <c r="N31" s="16">
        <v>0</v>
      </c>
      <c r="O31" s="14">
        <v>0</v>
      </c>
      <c r="P31" s="16">
        <v>0</v>
      </c>
      <c r="Q31" s="14">
        <v>0</v>
      </c>
      <c r="R31" s="16">
        <v>0</v>
      </c>
    </row>
    <row r="32" spans="1:18" x14ac:dyDescent="0.25">
      <c r="A32" s="11" t="s">
        <v>165</v>
      </c>
      <c r="B32" s="17" t="s">
        <v>154</v>
      </c>
      <c r="C32" s="17" t="s">
        <v>154</v>
      </c>
      <c r="D32" s="18" t="s">
        <v>154</v>
      </c>
      <c r="E32" s="17" t="s">
        <v>154</v>
      </c>
      <c r="F32" s="18" t="s">
        <v>154</v>
      </c>
      <c r="G32" s="17" t="s">
        <v>154</v>
      </c>
      <c r="H32" s="18" t="s">
        <v>154</v>
      </c>
      <c r="I32" s="17" t="s">
        <v>154</v>
      </c>
      <c r="J32" s="18" t="s">
        <v>154</v>
      </c>
      <c r="K32" s="17" t="s">
        <v>154</v>
      </c>
      <c r="L32" s="18" t="s">
        <v>154</v>
      </c>
      <c r="M32" s="17" t="s">
        <v>154</v>
      </c>
      <c r="N32" s="18" t="s">
        <v>154</v>
      </c>
      <c r="O32" s="17" t="s">
        <v>154</v>
      </c>
      <c r="P32" s="18" t="s">
        <v>154</v>
      </c>
      <c r="Q32" s="17" t="s">
        <v>154</v>
      </c>
      <c r="R32" s="18" t="s">
        <v>154</v>
      </c>
    </row>
    <row r="33" spans="1:18" x14ac:dyDescent="0.25">
      <c r="A33" s="11" t="s">
        <v>166</v>
      </c>
      <c r="B33" s="13">
        <v>7325</v>
      </c>
      <c r="C33" s="14">
        <f>(6101/B33*100)</f>
        <v>83.290102389078498</v>
      </c>
      <c r="D33" s="15">
        <v>1224</v>
      </c>
      <c r="E33" s="14">
        <v>33.272547680000002</v>
      </c>
      <c r="F33" s="16">
        <v>1.29963209</v>
      </c>
      <c r="G33" s="14">
        <v>66.727452319999998</v>
      </c>
      <c r="H33" s="16">
        <v>1.29963209</v>
      </c>
      <c r="I33" s="14" t="s">
        <v>139</v>
      </c>
      <c r="J33" s="16" t="s">
        <v>139</v>
      </c>
      <c r="K33" s="14">
        <v>0</v>
      </c>
      <c r="L33" s="16">
        <v>0</v>
      </c>
      <c r="M33" s="14">
        <v>0</v>
      </c>
      <c r="N33" s="16">
        <v>0</v>
      </c>
      <c r="O33" s="14">
        <v>0</v>
      </c>
      <c r="P33" s="16">
        <v>0</v>
      </c>
      <c r="Q33" s="14">
        <v>0</v>
      </c>
      <c r="R33" s="16">
        <v>0</v>
      </c>
    </row>
    <row r="34" spans="1:18" x14ac:dyDescent="0.25">
      <c r="A34" s="11" t="s">
        <v>167</v>
      </c>
      <c r="B34" s="13">
        <v>6350</v>
      </c>
      <c r="C34" s="14">
        <f>(5284/B34*100)</f>
        <v>83.212598425196845</v>
      </c>
      <c r="D34" s="15">
        <v>1066</v>
      </c>
      <c r="E34" s="14">
        <v>35.096266759999999</v>
      </c>
      <c r="F34" s="16">
        <v>1.46420354</v>
      </c>
      <c r="G34" s="14">
        <v>64.903733239999994</v>
      </c>
      <c r="H34" s="16">
        <v>1.46420354</v>
      </c>
      <c r="I34" s="14" t="s">
        <v>139</v>
      </c>
      <c r="J34" s="16" t="s">
        <v>139</v>
      </c>
      <c r="K34" s="14">
        <v>0</v>
      </c>
      <c r="L34" s="16">
        <v>0</v>
      </c>
      <c r="M34" s="14">
        <v>0</v>
      </c>
      <c r="N34" s="16">
        <v>0</v>
      </c>
      <c r="O34" s="14">
        <v>0</v>
      </c>
      <c r="P34" s="16">
        <v>0</v>
      </c>
      <c r="Q34" s="14">
        <v>0</v>
      </c>
      <c r="R34" s="16">
        <v>0</v>
      </c>
    </row>
    <row r="35" spans="1:18" x14ac:dyDescent="0.25">
      <c r="A35" s="11" t="s">
        <v>168</v>
      </c>
      <c r="B35" s="13">
        <v>6406</v>
      </c>
      <c r="C35" s="14">
        <f>(5299/B35*100)</f>
        <v>82.719325632219793</v>
      </c>
      <c r="D35" s="15">
        <v>1107</v>
      </c>
      <c r="E35" s="14">
        <v>35.976442429999999</v>
      </c>
      <c r="F35" s="16">
        <v>1.7030185799999999</v>
      </c>
      <c r="G35" s="14">
        <v>64.023557569999994</v>
      </c>
      <c r="H35" s="16">
        <v>1.7030185799999999</v>
      </c>
      <c r="I35" s="14" t="s">
        <v>139</v>
      </c>
      <c r="J35" s="16" t="s">
        <v>139</v>
      </c>
      <c r="K35" s="14">
        <v>0</v>
      </c>
      <c r="L35" s="16">
        <v>0</v>
      </c>
      <c r="M35" s="14">
        <v>0</v>
      </c>
      <c r="N35" s="16">
        <v>0</v>
      </c>
      <c r="O35" s="14">
        <v>0</v>
      </c>
      <c r="P35" s="16">
        <v>0</v>
      </c>
      <c r="Q35" s="14">
        <v>0</v>
      </c>
      <c r="R35" s="16">
        <v>0</v>
      </c>
    </row>
    <row r="36" spans="1:18" x14ac:dyDescent="0.25">
      <c r="A36" s="11" t="s">
        <v>169</v>
      </c>
      <c r="B36" s="13">
        <v>6736</v>
      </c>
      <c r="C36" s="14">
        <f>(5580/B36*100)</f>
        <v>82.838479809976249</v>
      </c>
      <c r="D36" s="15">
        <v>1156</v>
      </c>
      <c r="E36" s="14">
        <v>27.270752640000001</v>
      </c>
      <c r="F36" s="16">
        <v>1.5019282300000001</v>
      </c>
      <c r="G36" s="14">
        <v>72.729247360000002</v>
      </c>
      <c r="H36" s="16">
        <v>1.5019282300000001</v>
      </c>
      <c r="I36" s="14" t="s">
        <v>139</v>
      </c>
      <c r="J36" s="16" t="s">
        <v>139</v>
      </c>
      <c r="K36" s="14">
        <v>0</v>
      </c>
      <c r="L36" s="16">
        <v>0</v>
      </c>
      <c r="M36" s="14">
        <v>0</v>
      </c>
      <c r="N36" s="16">
        <v>0</v>
      </c>
      <c r="O36" s="14">
        <v>0</v>
      </c>
      <c r="P36" s="16">
        <v>0</v>
      </c>
      <c r="Q36" s="14">
        <v>0</v>
      </c>
      <c r="R36" s="16">
        <v>0</v>
      </c>
    </row>
    <row r="37" spans="1:18" x14ac:dyDescent="0.25">
      <c r="A37" s="11" t="s">
        <v>170</v>
      </c>
      <c r="B37" s="13">
        <v>5458</v>
      </c>
      <c r="C37" s="14">
        <f>(4558/B37*100)</f>
        <v>83.510443385855623</v>
      </c>
      <c r="D37" s="15">
        <v>900</v>
      </c>
      <c r="E37" s="14">
        <v>32.961188370000002</v>
      </c>
      <c r="F37" s="16">
        <v>1.5105329999999999</v>
      </c>
      <c r="G37" s="14">
        <v>67.038811629999998</v>
      </c>
      <c r="H37" s="16">
        <v>1.5105329999999999</v>
      </c>
      <c r="I37" s="14" t="s">
        <v>139</v>
      </c>
      <c r="J37" s="16" t="s">
        <v>139</v>
      </c>
      <c r="K37" s="14">
        <v>0</v>
      </c>
      <c r="L37" s="16">
        <v>0</v>
      </c>
      <c r="M37" s="14">
        <v>0</v>
      </c>
      <c r="N37" s="16">
        <v>0</v>
      </c>
      <c r="O37" s="14">
        <v>0</v>
      </c>
      <c r="P37" s="16">
        <v>0</v>
      </c>
      <c r="Q37" s="14">
        <v>0</v>
      </c>
      <c r="R37" s="16">
        <v>0</v>
      </c>
    </row>
    <row r="38" spans="1:18" x14ac:dyDescent="0.25">
      <c r="A38" s="11" t="s">
        <v>171</v>
      </c>
      <c r="B38" s="17" t="s">
        <v>154</v>
      </c>
      <c r="C38" s="17" t="s">
        <v>154</v>
      </c>
      <c r="D38" s="18" t="s">
        <v>154</v>
      </c>
      <c r="E38" s="17" t="s">
        <v>154</v>
      </c>
      <c r="F38" s="18" t="s">
        <v>154</v>
      </c>
      <c r="G38" s="17" t="s">
        <v>154</v>
      </c>
      <c r="H38" s="18" t="s">
        <v>154</v>
      </c>
      <c r="I38" s="17" t="s">
        <v>154</v>
      </c>
      <c r="J38" s="18" t="s">
        <v>154</v>
      </c>
      <c r="K38" s="17" t="s">
        <v>154</v>
      </c>
      <c r="L38" s="18" t="s">
        <v>154</v>
      </c>
      <c r="M38" s="17" t="s">
        <v>154</v>
      </c>
      <c r="N38" s="18" t="s">
        <v>154</v>
      </c>
      <c r="O38" s="17" t="s">
        <v>154</v>
      </c>
      <c r="P38" s="18" t="s">
        <v>154</v>
      </c>
      <c r="Q38" s="17" t="s">
        <v>154</v>
      </c>
      <c r="R38" s="18" t="s">
        <v>154</v>
      </c>
    </row>
    <row r="39" spans="1:18" x14ac:dyDescent="0.25">
      <c r="A39" s="11" t="s">
        <v>172</v>
      </c>
      <c r="B39" s="13">
        <v>5895</v>
      </c>
      <c r="C39" s="14">
        <f>(4870/B39*100)</f>
        <v>82.612383375742155</v>
      </c>
      <c r="D39" s="15">
        <v>1025</v>
      </c>
      <c r="E39" s="14">
        <v>32.491530599999997</v>
      </c>
      <c r="F39" s="16">
        <v>1.81476192</v>
      </c>
      <c r="G39" s="14">
        <v>67.508469399999996</v>
      </c>
      <c r="H39" s="16">
        <v>1.81476192</v>
      </c>
      <c r="I39" s="14" t="s">
        <v>139</v>
      </c>
      <c r="J39" s="16" t="s">
        <v>139</v>
      </c>
      <c r="K39" s="14">
        <v>0</v>
      </c>
      <c r="L39" s="16">
        <v>0</v>
      </c>
      <c r="M39" s="14">
        <v>0</v>
      </c>
      <c r="N39" s="16">
        <v>0</v>
      </c>
      <c r="O39" s="14">
        <v>0</v>
      </c>
      <c r="P39" s="16">
        <v>0</v>
      </c>
      <c r="Q39" s="14">
        <v>0</v>
      </c>
      <c r="R39" s="16">
        <v>0</v>
      </c>
    </row>
    <row r="40" spans="1:18" x14ac:dyDescent="0.25">
      <c r="A40" s="11" t="s">
        <v>173</v>
      </c>
      <c r="B40" s="13">
        <v>14157</v>
      </c>
      <c r="C40" s="14">
        <f>(11633/B40*100)</f>
        <v>82.17136398954581</v>
      </c>
      <c r="D40" s="15">
        <v>2524</v>
      </c>
      <c r="E40" s="14">
        <v>27.964397569999999</v>
      </c>
      <c r="F40" s="16">
        <v>1.51390589</v>
      </c>
      <c r="G40" s="14">
        <v>72.035602429999997</v>
      </c>
      <c r="H40" s="16">
        <v>1.51390589</v>
      </c>
      <c r="I40" s="14" t="s">
        <v>139</v>
      </c>
      <c r="J40" s="16" t="s">
        <v>139</v>
      </c>
      <c r="K40" s="14">
        <v>0</v>
      </c>
      <c r="L40" s="16">
        <v>0</v>
      </c>
      <c r="M40" s="14">
        <v>0</v>
      </c>
      <c r="N40" s="16">
        <v>0</v>
      </c>
      <c r="O40" s="14">
        <v>0</v>
      </c>
      <c r="P40" s="16">
        <v>0</v>
      </c>
      <c r="Q40" s="14">
        <v>0</v>
      </c>
      <c r="R40" s="16">
        <v>0</v>
      </c>
    </row>
    <row r="41" spans="1:18" x14ac:dyDescent="0.25">
      <c r="A41" s="11" t="s">
        <v>174</v>
      </c>
      <c r="B41" s="13">
        <v>5712</v>
      </c>
      <c r="C41" s="14">
        <f>(4759/B41*100)</f>
        <v>83.315826330532218</v>
      </c>
      <c r="D41" s="15">
        <v>953</v>
      </c>
      <c r="E41" s="14">
        <v>29.01608555</v>
      </c>
      <c r="F41" s="16">
        <v>1.7039346399999999</v>
      </c>
      <c r="G41" s="14">
        <v>70.98391445</v>
      </c>
      <c r="H41" s="16">
        <v>1.7039346399999999</v>
      </c>
      <c r="I41" s="14" t="s">
        <v>139</v>
      </c>
      <c r="J41" s="16" t="s">
        <v>139</v>
      </c>
      <c r="K41" s="14">
        <v>0</v>
      </c>
      <c r="L41" s="16">
        <v>0</v>
      </c>
      <c r="M41" s="14">
        <v>0</v>
      </c>
      <c r="N41" s="16">
        <v>0</v>
      </c>
      <c r="O41" s="14">
        <v>0</v>
      </c>
      <c r="P41" s="16">
        <v>0</v>
      </c>
      <c r="Q41" s="14">
        <v>0</v>
      </c>
      <c r="R41" s="16">
        <v>0</v>
      </c>
    </row>
    <row r="42" spans="1:18" x14ac:dyDescent="0.25">
      <c r="A42" s="11" t="s">
        <v>175</v>
      </c>
      <c r="B42" s="13">
        <f>IF(COUNT(B7:B41) &gt; 0, AVERAGE(B7:B41), "\u2014")</f>
        <v>7266.90625</v>
      </c>
      <c r="C42" s="14">
        <f>IF(COUNT(C7:C41) &gt; 0, AVERAGE(C7:C41), "—")</f>
        <v>82.987487641913049</v>
      </c>
      <c r="D42" s="15">
        <f>IF(COUNT(D7:D41) &gt; 0, AVERAGE(D7:D41), "—")</f>
        <v>1237.71875</v>
      </c>
      <c r="E42" s="14">
        <f>IF(COUNT(E7:E41) &gt; 0, AVERAGE(E7:E41), "—")</f>
        <v>31.529037470937496</v>
      </c>
      <c r="F42" s="16">
        <f>IF(COUNT(F7:F41) &gt; 0, SQRT(SUMSQ(F7:F41)/(COUNT(F7:F41)*COUNT(F7:F41)) ), "—")</f>
        <v>0.26521533589356333</v>
      </c>
      <c r="G42" s="14">
        <f>IF(COUNT(G7:G41) &gt; 0, AVERAGE(G7:G41), "—")</f>
        <v>68.470962529062518</v>
      </c>
      <c r="H42" s="16">
        <f>IF(COUNT(H7:H41) &gt; 0, SQRT(SUMSQ(H7:H41)/(COUNT(H7:H41)*COUNT(H7:H41)) ), "—")</f>
        <v>0.26521533589356333</v>
      </c>
      <c r="I42" s="14" t="str">
        <f>IF(COUNT(I7:I41) &gt; 0, AVERAGE(I7:I41), "—")</f>
        <v>—</v>
      </c>
      <c r="J42" s="16" t="str">
        <f>IF(COUNT(J7:J41) &gt; 0, SQRT(SUMSQ(J7:J41)/(COUNT(J7:J41)*COUNT(J7:J41)) ), "—")</f>
        <v>—</v>
      </c>
      <c r="K42" s="14">
        <f>IF(COUNT(K7:K41) &gt; 0, AVERAGE(K7:K41), "—")</f>
        <v>0</v>
      </c>
      <c r="L42" s="16">
        <f>IF(COUNT(L7:L41) &gt; 0, SQRT(SUMSQ(L7:L41)/(COUNT(L7:L41)*COUNT(L7:L41)) ), "—")</f>
        <v>0</v>
      </c>
      <c r="M42" s="14">
        <f>IF(COUNT(M7:M41) &gt; 0, AVERAGE(M7:M41), "—")</f>
        <v>0</v>
      </c>
      <c r="N42" s="16">
        <f>IF(COUNT(N7:N41) &gt; 0, SQRT(SUMSQ(N7:N41)/(COUNT(N7:N41)*COUNT(N7:N41)) ), "—")</f>
        <v>0</v>
      </c>
      <c r="O42" s="14">
        <f>IF(COUNT(O7:O41) &gt; 0, AVERAGE(O7:O41), "—")</f>
        <v>0</v>
      </c>
      <c r="P42" s="16">
        <f>IF(COUNT(P7:P41) &gt; 0, SQRT(SUMSQ(P7:P41)/(COUNT(P7:P41)*COUNT(P7:P41)) ), "—")</f>
        <v>0</v>
      </c>
      <c r="Q42" s="14">
        <f>IF(COUNT(Q7:Q41) &gt; 0, AVERAGE(Q7:Q41), "—")</f>
        <v>0</v>
      </c>
      <c r="R42" s="16">
        <f>IF(COUNT(R7:R41) &gt; 0, SQRT(SUMSQ(R7:R41)/(COUNT(R7:R41)*COUNT(R7:R41)) ), "—")</f>
        <v>0</v>
      </c>
    </row>
    <row r="43" spans="1:18" x14ac:dyDescent="0.25">
      <c r="A43" s="9" t="s">
        <v>176</v>
      </c>
      <c r="B43" s="10"/>
      <c r="C43" s="10"/>
      <c r="D43" s="11"/>
      <c r="E43" s="10"/>
      <c r="F43" s="11"/>
      <c r="G43" s="10"/>
      <c r="H43" s="11"/>
      <c r="I43" s="10"/>
      <c r="J43" s="11"/>
      <c r="K43" s="10"/>
      <c r="L43" s="11"/>
      <c r="M43" s="10"/>
      <c r="N43" s="11"/>
      <c r="O43" s="10"/>
      <c r="P43" s="11"/>
      <c r="Q43" s="10"/>
      <c r="R43" s="12"/>
    </row>
    <row r="44" spans="1:18" x14ac:dyDescent="0.25">
      <c r="A44" s="11" t="s">
        <v>177</v>
      </c>
      <c r="B44" s="17" t="s">
        <v>154</v>
      </c>
      <c r="C44" s="17" t="s">
        <v>154</v>
      </c>
      <c r="D44" s="18" t="s">
        <v>154</v>
      </c>
      <c r="E44" s="17" t="s">
        <v>154</v>
      </c>
      <c r="F44" s="18" t="s">
        <v>154</v>
      </c>
      <c r="G44" s="17" t="s">
        <v>154</v>
      </c>
      <c r="H44" s="18" t="s">
        <v>154</v>
      </c>
      <c r="I44" s="17" t="s">
        <v>154</v>
      </c>
      <c r="J44" s="18" t="s">
        <v>154</v>
      </c>
      <c r="K44" s="17" t="s">
        <v>154</v>
      </c>
      <c r="L44" s="18" t="s">
        <v>154</v>
      </c>
      <c r="M44" s="17" t="s">
        <v>154</v>
      </c>
      <c r="N44" s="18" t="s">
        <v>154</v>
      </c>
      <c r="O44" s="17" t="s">
        <v>154</v>
      </c>
      <c r="P44" s="18" t="s">
        <v>154</v>
      </c>
      <c r="Q44" s="17" t="s">
        <v>154</v>
      </c>
      <c r="R44" s="18" t="s">
        <v>154</v>
      </c>
    </row>
    <row r="45" spans="1:18" x14ac:dyDescent="0.25">
      <c r="A45" s="11" t="s">
        <v>178</v>
      </c>
      <c r="B45" s="17" t="s">
        <v>154</v>
      </c>
      <c r="C45" s="17" t="s">
        <v>154</v>
      </c>
      <c r="D45" s="18" t="s">
        <v>154</v>
      </c>
      <c r="E45" s="17" t="s">
        <v>154</v>
      </c>
      <c r="F45" s="18" t="s">
        <v>154</v>
      </c>
      <c r="G45" s="17" t="s">
        <v>154</v>
      </c>
      <c r="H45" s="18" t="s">
        <v>154</v>
      </c>
      <c r="I45" s="17" t="s">
        <v>154</v>
      </c>
      <c r="J45" s="18" t="s">
        <v>154</v>
      </c>
      <c r="K45" s="17" t="s">
        <v>154</v>
      </c>
      <c r="L45" s="18" t="s">
        <v>154</v>
      </c>
      <c r="M45" s="17" t="s">
        <v>154</v>
      </c>
      <c r="N45" s="18" t="s">
        <v>154</v>
      </c>
      <c r="O45" s="17" t="s">
        <v>154</v>
      </c>
      <c r="P45" s="18" t="s">
        <v>154</v>
      </c>
      <c r="Q45" s="17" t="s">
        <v>154</v>
      </c>
      <c r="R45" s="18" t="s">
        <v>154</v>
      </c>
    </row>
    <row r="46" spans="1:18" x14ac:dyDescent="0.25">
      <c r="A46" s="11" t="s">
        <v>179</v>
      </c>
      <c r="B46" s="13">
        <v>23141</v>
      </c>
      <c r="C46" s="14">
        <f>(19679/B46*100)</f>
        <v>85.039540210016852</v>
      </c>
      <c r="D46" s="15">
        <v>3462</v>
      </c>
      <c r="E46" s="14">
        <v>45.224113559999999</v>
      </c>
      <c r="F46" s="16">
        <v>1.16431295</v>
      </c>
      <c r="G46" s="14">
        <v>54.775886440000001</v>
      </c>
      <c r="H46" s="16">
        <v>1.16431295</v>
      </c>
      <c r="I46" s="14" t="s">
        <v>139</v>
      </c>
      <c r="J46" s="16" t="s">
        <v>139</v>
      </c>
      <c r="K46" s="14">
        <v>0</v>
      </c>
      <c r="L46" s="16">
        <v>0</v>
      </c>
      <c r="M46" s="14">
        <v>0</v>
      </c>
      <c r="N46" s="16">
        <v>0</v>
      </c>
      <c r="O46" s="14">
        <v>0</v>
      </c>
      <c r="P46" s="16">
        <v>0</v>
      </c>
      <c r="Q46" s="14">
        <v>0</v>
      </c>
      <c r="R46" s="16">
        <v>0</v>
      </c>
    </row>
    <row r="47" spans="1:18" x14ac:dyDescent="0.25">
      <c r="A47" s="11" t="s">
        <v>180</v>
      </c>
      <c r="B47" s="13">
        <v>5928</v>
      </c>
      <c r="C47" s="14">
        <f>(4925/B47*100)</f>
        <v>83.080296896086367</v>
      </c>
      <c r="D47" s="15">
        <v>1003</v>
      </c>
      <c r="E47" s="14">
        <v>39.225639659999999</v>
      </c>
      <c r="F47" s="16">
        <v>1.66563062</v>
      </c>
      <c r="G47" s="14">
        <v>60.774360340000001</v>
      </c>
      <c r="H47" s="16">
        <v>1.66563062</v>
      </c>
      <c r="I47" s="14" t="s">
        <v>139</v>
      </c>
      <c r="J47" s="16" t="s">
        <v>139</v>
      </c>
      <c r="K47" s="14">
        <v>0</v>
      </c>
      <c r="L47" s="16">
        <v>0</v>
      </c>
      <c r="M47" s="14">
        <v>0</v>
      </c>
      <c r="N47" s="16">
        <v>0</v>
      </c>
      <c r="O47" s="14">
        <v>0</v>
      </c>
      <c r="P47" s="16">
        <v>0</v>
      </c>
      <c r="Q47" s="14">
        <v>0</v>
      </c>
      <c r="R47" s="16">
        <v>0</v>
      </c>
    </row>
    <row r="48" spans="1:18" x14ac:dyDescent="0.25">
      <c r="A48" s="11" t="s">
        <v>181</v>
      </c>
      <c r="B48" s="13">
        <v>9841</v>
      </c>
      <c r="C48" s="14">
        <f>(8150/B48*100)</f>
        <v>82.8167869118992</v>
      </c>
      <c r="D48" s="15">
        <v>1691</v>
      </c>
      <c r="E48" s="14">
        <v>28.559203289999999</v>
      </c>
      <c r="F48" s="16">
        <v>1.55668582</v>
      </c>
      <c r="G48" s="14">
        <v>71.440796710000001</v>
      </c>
      <c r="H48" s="16">
        <v>1.55668582</v>
      </c>
      <c r="I48" s="14" t="s">
        <v>139</v>
      </c>
      <c r="J48" s="16" t="s">
        <v>139</v>
      </c>
      <c r="K48" s="14">
        <v>0</v>
      </c>
      <c r="L48" s="16">
        <v>0</v>
      </c>
      <c r="M48" s="14">
        <v>0</v>
      </c>
      <c r="N48" s="16">
        <v>0</v>
      </c>
      <c r="O48" s="14">
        <v>0</v>
      </c>
      <c r="P48" s="16">
        <v>0</v>
      </c>
      <c r="Q48" s="14">
        <v>0</v>
      </c>
      <c r="R48" s="16">
        <v>0</v>
      </c>
    </row>
    <row r="49" spans="1:18" x14ac:dyDescent="0.25">
      <c r="A49" s="11" t="s">
        <v>182</v>
      </c>
      <c r="B49" s="17" t="s">
        <v>154</v>
      </c>
      <c r="C49" s="17" t="s">
        <v>154</v>
      </c>
      <c r="D49" s="18" t="s">
        <v>154</v>
      </c>
      <c r="E49" s="17" t="s">
        <v>154</v>
      </c>
      <c r="F49" s="18" t="s">
        <v>154</v>
      </c>
      <c r="G49" s="17" t="s">
        <v>154</v>
      </c>
      <c r="H49" s="18" t="s">
        <v>154</v>
      </c>
      <c r="I49" s="17" t="s">
        <v>154</v>
      </c>
      <c r="J49" s="18" t="s">
        <v>154</v>
      </c>
      <c r="K49" s="17" t="s">
        <v>154</v>
      </c>
      <c r="L49" s="18" t="s">
        <v>154</v>
      </c>
      <c r="M49" s="17" t="s">
        <v>154</v>
      </c>
      <c r="N49" s="18" t="s">
        <v>154</v>
      </c>
      <c r="O49" s="17" t="s">
        <v>154</v>
      </c>
      <c r="P49" s="18" t="s">
        <v>154</v>
      </c>
      <c r="Q49" s="17" t="s">
        <v>154</v>
      </c>
      <c r="R49" s="18" t="s">
        <v>154</v>
      </c>
    </row>
    <row r="50" spans="1:18" x14ac:dyDescent="0.25">
      <c r="A50" s="11" t="s">
        <v>183</v>
      </c>
      <c r="B50" s="13">
        <v>11795</v>
      </c>
      <c r="C50" s="14">
        <f>(9800/B50*100)</f>
        <v>83.086053412462917</v>
      </c>
      <c r="D50" s="15">
        <v>1995</v>
      </c>
      <c r="E50" s="14">
        <v>35.351574409999998</v>
      </c>
      <c r="F50" s="16">
        <v>1.3753664800000001</v>
      </c>
      <c r="G50" s="14">
        <v>64.648425590000002</v>
      </c>
      <c r="H50" s="16">
        <v>1.3753664800000001</v>
      </c>
      <c r="I50" s="14" t="s">
        <v>139</v>
      </c>
      <c r="J50" s="16" t="s">
        <v>139</v>
      </c>
      <c r="K50" s="14">
        <v>0</v>
      </c>
      <c r="L50" s="16">
        <v>0</v>
      </c>
      <c r="M50" s="14">
        <v>0</v>
      </c>
      <c r="N50" s="16">
        <v>0</v>
      </c>
      <c r="O50" s="14">
        <v>0</v>
      </c>
      <c r="P50" s="16">
        <v>0</v>
      </c>
      <c r="Q50" s="14">
        <v>0</v>
      </c>
      <c r="R50" s="16">
        <v>0</v>
      </c>
    </row>
    <row r="51" spans="1:18" x14ac:dyDescent="0.25">
      <c r="A51" s="11" t="s">
        <v>184</v>
      </c>
      <c r="B51" s="13">
        <v>6866</v>
      </c>
      <c r="C51" s="14">
        <f>(5850/B51*100)</f>
        <v>85.202446839498975</v>
      </c>
      <c r="D51" s="15">
        <v>1016</v>
      </c>
      <c r="E51" s="14">
        <v>35.50369233</v>
      </c>
      <c r="F51" s="16">
        <v>1.50744228</v>
      </c>
      <c r="G51" s="14">
        <v>64.496307669999993</v>
      </c>
      <c r="H51" s="16">
        <v>1.50744228</v>
      </c>
      <c r="I51" s="14" t="s">
        <v>139</v>
      </c>
      <c r="J51" s="16" t="s">
        <v>139</v>
      </c>
      <c r="K51" s="14">
        <v>0</v>
      </c>
      <c r="L51" s="16">
        <v>0</v>
      </c>
      <c r="M51" s="14">
        <v>0</v>
      </c>
      <c r="N51" s="16">
        <v>0</v>
      </c>
      <c r="O51" s="14">
        <v>0</v>
      </c>
      <c r="P51" s="16">
        <v>0</v>
      </c>
      <c r="Q51" s="14">
        <v>0</v>
      </c>
      <c r="R51" s="16">
        <v>0</v>
      </c>
    </row>
    <row r="52" spans="1:18" x14ac:dyDescent="0.25">
      <c r="A52" s="11" t="s">
        <v>185</v>
      </c>
      <c r="B52" s="13">
        <v>5809</v>
      </c>
      <c r="C52" s="14">
        <f>(4801/B52*100)</f>
        <v>82.647615768634878</v>
      </c>
      <c r="D52" s="15">
        <v>1008</v>
      </c>
      <c r="E52" s="14">
        <v>32.942869629999997</v>
      </c>
      <c r="F52" s="16">
        <v>1.3698745299999999</v>
      </c>
      <c r="G52" s="14">
        <v>67.057130369999996</v>
      </c>
      <c r="H52" s="16">
        <v>1.3698745299999999</v>
      </c>
      <c r="I52" s="14" t="s">
        <v>139</v>
      </c>
      <c r="J52" s="16" t="s">
        <v>139</v>
      </c>
      <c r="K52" s="14">
        <v>0</v>
      </c>
      <c r="L52" s="16">
        <v>0</v>
      </c>
      <c r="M52" s="14">
        <v>0</v>
      </c>
      <c r="N52" s="16">
        <v>0</v>
      </c>
      <c r="O52" s="14">
        <v>0</v>
      </c>
      <c r="P52" s="16">
        <v>0</v>
      </c>
      <c r="Q52" s="14">
        <v>0</v>
      </c>
      <c r="R52" s="16">
        <v>0</v>
      </c>
    </row>
    <row r="53" spans="1:18" x14ac:dyDescent="0.25">
      <c r="A53" s="11" t="s">
        <v>186</v>
      </c>
      <c r="B53" s="13">
        <v>5571</v>
      </c>
      <c r="C53" s="14">
        <f>(4606/B53*100)</f>
        <v>82.678154729851016</v>
      </c>
      <c r="D53" s="15">
        <v>965</v>
      </c>
      <c r="E53" s="14">
        <v>39.934931249999998</v>
      </c>
      <c r="F53" s="16">
        <v>1.84795394</v>
      </c>
      <c r="G53" s="14">
        <v>60.065068750000002</v>
      </c>
      <c r="H53" s="16">
        <v>1.84795394</v>
      </c>
      <c r="I53" s="14" t="s">
        <v>139</v>
      </c>
      <c r="J53" s="16" t="s">
        <v>139</v>
      </c>
      <c r="K53" s="14">
        <v>0</v>
      </c>
      <c r="L53" s="16">
        <v>0</v>
      </c>
      <c r="M53" s="14">
        <v>0</v>
      </c>
      <c r="N53" s="16">
        <v>0</v>
      </c>
      <c r="O53" s="14">
        <v>0</v>
      </c>
      <c r="P53" s="16">
        <v>0</v>
      </c>
      <c r="Q53" s="14">
        <v>0</v>
      </c>
      <c r="R53" s="16">
        <v>0</v>
      </c>
    </row>
    <row r="54" spans="1:18" x14ac:dyDescent="0.25">
      <c r="A54" s="11" t="s">
        <v>187</v>
      </c>
      <c r="B54" s="17" t="s">
        <v>154</v>
      </c>
      <c r="C54" s="17" t="s">
        <v>154</v>
      </c>
      <c r="D54" s="18" t="s">
        <v>154</v>
      </c>
      <c r="E54" s="17" t="s">
        <v>154</v>
      </c>
      <c r="F54" s="18" t="s">
        <v>154</v>
      </c>
      <c r="G54" s="17" t="s">
        <v>154</v>
      </c>
      <c r="H54" s="18" t="s">
        <v>154</v>
      </c>
      <c r="I54" s="17" t="s">
        <v>154</v>
      </c>
      <c r="J54" s="18" t="s">
        <v>154</v>
      </c>
      <c r="K54" s="17" t="s">
        <v>154</v>
      </c>
      <c r="L54" s="18" t="s">
        <v>154</v>
      </c>
      <c r="M54" s="17" t="s">
        <v>154</v>
      </c>
      <c r="N54" s="18" t="s">
        <v>154</v>
      </c>
      <c r="O54" s="17" t="s">
        <v>154</v>
      </c>
      <c r="P54" s="18" t="s">
        <v>154</v>
      </c>
      <c r="Q54" s="17" t="s">
        <v>154</v>
      </c>
      <c r="R54" s="18" t="s">
        <v>154</v>
      </c>
    </row>
    <row r="55" spans="1:18" x14ac:dyDescent="0.25">
      <c r="A55" s="11" t="s">
        <v>188</v>
      </c>
      <c r="B55" s="17" t="s">
        <v>154</v>
      </c>
      <c r="C55" s="17" t="s">
        <v>154</v>
      </c>
      <c r="D55" s="18" t="s">
        <v>154</v>
      </c>
      <c r="E55" s="17" t="s">
        <v>154</v>
      </c>
      <c r="F55" s="18" t="s">
        <v>154</v>
      </c>
      <c r="G55" s="17" t="s">
        <v>154</v>
      </c>
      <c r="H55" s="18" t="s">
        <v>154</v>
      </c>
      <c r="I55" s="17" t="s">
        <v>154</v>
      </c>
      <c r="J55" s="18" t="s">
        <v>154</v>
      </c>
      <c r="K55" s="17" t="s">
        <v>154</v>
      </c>
      <c r="L55" s="18" t="s">
        <v>154</v>
      </c>
      <c r="M55" s="17" t="s">
        <v>154</v>
      </c>
      <c r="N55" s="18" t="s">
        <v>154</v>
      </c>
      <c r="O55" s="17" t="s">
        <v>154</v>
      </c>
      <c r="P55" s="18" t="s">
        <v>154</v>
      </c>
      <c r="Q55" s="17" t="s">
        <v>154</v>
      </c>
      <c r="R55" s="18" t="s">
        <v>154</v>
      </c>
    </row>
    <row r="56" spans="1:18" x14ac:dyDescent="0.25">
      <c r="A56" s="11" t="s">
        <v>189</v>
      </c>
      <c r="B56" s="13">
        <v>5359</v>
      </c>
      <c r="C56" s="14">
        <f>(4443/B56*100)</f>
        <v>82.907258816943468</v>
      </c>
      <c r="D56" s="15">
        <v>916</v>
      </c>
      <c r="E56" s="14">
        <v>31.135872519999999</v>
      </c>
      <c r="F56" s="16">
        <v>1.57568248</v>
      </c>
      <c r="G56" s="14">
        <v>68.864127479999993</v>
      </c>
      <c r="H56" s="16">
        <v>1.57568248</v>
      </c>
      <c r="I56" s="14" t="s">
        <v>139</v>
      </c>
      <c r="J56" s="16" t="s">
        <v>139</v>
      </c>
      <c r="K56" s="14">
        <v>0</v>
      </c>
      <c r="L56" s="16">
        <v>0</v>
      </c>
      <c r="M56" s="14">
        <v>0</v>
      </c>
      <c r="N56" s="16">
        <v>0</v>
      </c>
      <c r="O56" s="14">
        <v>0</v>
      </c>
      <c r="P56" s="16">
        <v>0</v>
      </c>
      <c r="Q56" s="14">
        <v>0</v>
      </c>
      <c r="R56" s="16">
        <v>0</v>
      </c>
    </row>
    <row r="57" spans="1:18" x14ac:dyDescent="0.25">
      <c r="A57" s="11" t="s">
        <v>190</v>
      </c>
      <c r="B57" s="17" t="s">
        <v>154</v>
      </c>
      <c r="C57" s="17" t="s">
        <v>154</v>
      </c>
      <c r="D57" s="18" t="s">
        <v>154</v>
      </c>
      <c r="E57" s="17" t="s">
        <v>154</v>
      </c>
      <c r="F57" s="18" t="s">
        <v>154</v>
      </c>
      <c r="G57" s="17" t="s">
        <v>154</v>
      </c>
      <c r="H57" s="18" t="s">
        <v>154</v>
      </c>
      <c r="I57" s="17" t="s">
        <v>154</v>
      </c>
      <c r="J57" s="18" t="s">
        <v>154</v>
      </c>
      <c r="K57" s="17" t="s">
        <v>154</v>
      </c>
      <c r="L57" s="18" t="s">
        <v>154</v>
      </c>
      <c r="M57" s="17" t="s">
        <v>154</v>
      </c>
      <c r="N57" s="18" t="s">
        <v>154</v>
      </c>
      <c r="O57" s="17" t="s">
        <v>154</v>
      </c>
      <c r="P57" s="18" t="s">
        <v>154</v>
      </c>
      <c r="Q57" s="17" t="s">
        <v>154</v>
      </c>
      <c r="R57" s="18" t="s">
        <v>154</v>
      </c>
    </row>
    <row r="58" spans="1:18" x14ac:dyDescent="0.25">
      <c r="A58" s="11" t="s">
        <v>191</v>
      </c>
      <c r="B58" s="17" t="s">
        <v>154</v>
      </c>
      <c r="C58" s="17" t="s">
        <v>154</v>
      </c>
      <c r="D58" s="18" t="s">
        <v>154</v>
      </c>
      <c r="E58" s="17" t="s">
        <v>154</v>
      </c>
      <c r="F58" s="18" t="s">
        <v>154</v>
      </c>
      <c r="G58" s="17" t="s">
        <v>154</v>
      </c>
      <c r="H58" s="18" t="s">
        <v>154</v>
      </c>
      <c r="I58" s="17" t="s">
        <v>154</v>
      </c>
      <c r="J58" s="18" t="s">
        <v>154</v>
      </c>
      <c r="K58" s="17" t="s">
        <v>154</v>
      </c>
      <c r="L58" s="18" t="s">
        <v>154</v>
      </c>
      <c r="M58" s="17" t="s">
        <v>154</v>
      </c>
      <c r="N58" s="18" t="s">
        <v>154</v>
      </c>
      <c r="O58" s="17" t="s">
        <v>154</v>
      </c>
      <c r="P58" s="18" t="s">
        <v>154</v>
      </c>
      <c r="Q58" s="17" t="s">
        <v>154</v>
      </c>
      <c r="R58" s="18" t="s">
        <v>154</v>
      </c>
    </row>
    <row r="59" spans="1:18" x14ac:dyDescent="0.25">
      <c r="A59" s="11" t="s">
        <v>192</v>
      </c>
      <c r="B59" s="17" t="s">
        <v>154</v>
      </c>
      <c r="C59" s="17" t="s">
        <v>154</v>
      </c>
      <c r="D59" s="18" t="s">
        <v>154</v>
      </c>
      <c r="E59" s="17" t="s">
        <v>154</v>
      </c>
      <c r="F59" s="18" t="s">
        <v>154</v>
      </c>
      <c r="G59" s="17" t="s">
        <v>154</v>
      </c>
      <c r="H59" s="18" t="s">
        <v>154</v>
      </c>
      <c r="I59" s="17" t="s">
        <v>154</v>
      </c>
      <c r="J59" s="18" t="s">
        <v>154</v>
      </c>
      <c r="K59" s="17" t="s">
        <v>154</v>
      </c>
      <c r="L59" s="18" t="s">
        <v>154</v>
      </c>
      <c r="M59" s="17" t="s">
        <v>154</v>
      </c>
      <c r="N59" s="18" t="s">
        <v>154</v>
      </c>
      <c r="O59" s="17" t="s">
        <v>154</v>
      </c>
      <c r="P59" s="18" t="s">
        <v>154</v>
      </c>
      <c r="Q59" s="17" t="s">
        <v>154</v>
      </c>
      <c r="R59" s="18" t="s">
        <v>154</v>
      </c>
    </row>
    <row r="60" spans="1:18" x14ac:dyDescent="0.25">
      <c r="A60" s="11" t="s">
        <v>193</v>
      </c>
      <c r="B60" s="17" t="s">
        <v>154</v>
      </c>
      <c r="C60" s="17" t="s">
        <v>154</v>
      </c>
      <c r="D60" s="18" t="s">
        <v>154</v>
      </c>
      <c r="E60" s="17" t="s">
        <v>154</v>
      </c>
      <c r="F60" s="18" t="s">
        <v>154</v>
      </c>
      <c r="G60" s="17" t="s">
        <v>154</v>
      </c>
      <c r="H60" s="18" t="s">
        <v>154</v>
      </c>
      <c r="I60" s="17" t="s">
        <v>154</v>
      </c>
      <c r="J60" s="18" t="s">
        <v>154</v>
      </c>
      <c r="K60" s="17" t="s">
        <v>154</v>
      </c>
      <c r="L60" s="18" t="s">
        <v>154</v>
      </c>
      <c r="M60" s="17" t="s">
        <v>154</v>
      </c>
      <c r="N60" s="18" t="s">
        <v>154</v>
      </c>
      <c r="O60" s="17" t="s">
        <v>154</v>
      </c>
      <c r="P60" s="18" t="s">
        <v>154</v>
      </c>
      <c r="Q60" s="17" t="s">
        <v>154</v>
      </c>
      <c r="R60" s="18" t="s">
        <v>154</v>
      </c>
    </row>
    <row r="61" spans="1:18" x14ac:dyDescent="0.25">
      <c r="A61" s="11" t="s">
        <v>194</v>
      </c>
      <c r="B61" s="13">
        <v>6525</v>
      </c>
      <c r="C61" s="14">
        <f>(5386/B61*100)</f>
        <v>82.544061302681996</v>
      </c>
      <c r="D61" s="15">
        <v>1139</v>
      </c>
      <c r="E61" s="14">
        <v>37.619997499999997</v>
      </c>
      <c r="F61" s="16">
        <v>1.29675641</v>
      </c>
      <c r="G61" s="14">
        <v>62.380002500000003</v>
      </c>
      <c r="H61" s="16">
        <v>1.29675641</v>
      </c>
      <c r="I61" s="14" t="s">
        <v>139</v>
      </c>
      <c r="J61" s="16" t="s">
        <v>139</v>
      </c>
      <c r="K61" s="14">
        <v>0</v>
      </c>
      <c r="L61" s="16">
        <v>0</v>
      </c>
      <c r="M61" s="14">
        <v>0</v>
      </c>
      <c r="N61" s="16">
        <v>0</v>
      </c>
      <c r="O61" s="14">
        <v>0</v>
      </c>
      <c r="P61" s="16">
        <v>0</v>
      </c>
      <c r="Q61" s="14">
        <v>0</v>
      </c>
      <c r="R61" s="16">
        <v>0</v>
      </c>
    </row>
    <row r="62" spans="1:18" x14ac:dyDescent="0.25">
      <c r="A62" s="11" t="s">
        <v>195</v>
      </c>
      <c r="B62" s="13">
        <v>4476</v>
      </c>
      <c r="C62" s="14">
        <f>(3695/B62*100)</f>
        <v>82.551385165326181</v>
      </c>
      <c r="D62" s="15">
        <v>781</v>
      </c>
      <c r="E62" s="14">
        <v>31.78312322</v>
      </c>
      <c r="F62" s="16">
        <v>1.5803762400000001</v>
      </c>
      <c r="G62" s="14">
        <v>68.216876780000007</v>
      </c>
      <c r="H62" s="16">
        <v>1.5803762400000001</v>
      </c>
      <c r="I62" s="14" t="s">
        <v>139</v>
      </c>
      <c r="J62" s="16" t="s">
        <v>139</v>
      </c>
      <c r="K62" s="14">
        <v>0</v>
      </c>
      <c r="L62" s="16">
        <v>0</v>
      </c>
      <c r="M62" s="14">
        <v>0</v>
      </c>
      <c r="N62" s="16">
        <v>0</v>
      </c>
      <c r="O62" s="14">
        <v>0</v>
      </c>
      <c r="P62" s="16">
        <v>0</v>
      </c>
      <c r="Q62" s="14">
        <v>0</v>
      </c>
      <c r="R62" s="16">
        <v>0</v>
      </c>
    </row>
    <row r="63" spans="1:18" x14ac:dyDescent="0.25">
      <c r="A63" s="11" t="s">
        <v>196</v>
      </c>
      <c r="B63" s="17" t="s">
        <v>154</v>
      </c>
      <c r="C63" s="17" t="s">
        <v>154</v>
      </c>
      <c r="D63" s="18" t="s">
        <v>154</v>
      </c>
      <c r="E63" s="17" t="s">
        <v>154</v>
      </c>
      <c r="F63" s="18" t="s">
        <v>154</v>
      </c>
      <c r="G63" s="17" t="s">
        <v>154</v>
      </c>
      <c r="H63" s="18" t="s">
        <v>154</v>
      </c>
      <c r="I63" s="17" t="s">
        <v>154</v>
      </c>
      <c r="J63" s="18" t="s">
        <v>154</v>
      </c>
      <c r="K63" s="17" t="s">
        <v>154</v>
      </c>
      <c r="L63" s="18" t="s">
        <v>154</v>
      </c>
      <c r="M63" s="17" t="s">
        <v>154</v>
      </c>
      <c r="N63" s="18" t="s">
        <v>154</v>
      </c>
      <c r="O63" s="17" t="s">
        <v>154</v>
      </c>
      <c r="P63" s="18" t="s">
        <v>154</v>
      </c>
      <c r="Q63" s="17" t="s">
        <v>154</v>
      </c>
      <c r="R63" s="18" t="s">
        <v>154</v>
      </c>
    </row>
    <row r="64" spans="1:18" x14ac:dyDescent="0.25">
      <c r="A64" s="11" t="s">
        <v>197</v>
      </c>
      <c r="B64" s="17" t="s">
        <v>154</v>
      </c>
      <c r="C64" s="17" t="s">
        <v>154</v>
      </c>
      <c r="D64" s="18" t="s">
        <v>154</v>
      </c>
      <c r="E64" s="17" t="s">
        <v>154</v>
      </c>
      <c r="F64" s="18" t="s">
        <v>154</v>
      </c>
      <c r="G64" s="17" t="s">
        <v>154</v>
      </c>
      <c r="H64" s="18" t="s">
        <v>154</v>
      </c>
      <c r="I64" s="17" t="s">
        <v>154</v>
      </c>
      <c r="J64" s="18" t="s">
        <v>154</v>
      </c>
      <c r="K64" s="17" t="s">
        <v>154</v>
      </c>
      <c r="L64" s="18" t="s">
        <v>154</v>
      </c>
      <c r="M64" s="17" t="s">
        <v>154</v>
      </c>
      <c r="N64" s="18" t="s">
        <v>154</v>
      </c>
      <c r="O64" s="17" t="s">
        <v>154</v>
      </c>
      <c r="P64" s="18" t="s">
        <v>154</v>
      </c>
      <c r="Q64" s="17" t="s">
        <v>154</v>
      </c>
      <c r="R64" s="18" t="s">
        <v>154</v>
      </c>
    </row>
    <row r="65" spans="1:18" x14ac:dyDescent="0.25">
      <c r="A65" s="11" t="s">
        <v>198</v>
      </c>
      <c r="B65" s="17" t="s">
        <v>154</v>
      </c>
      <c r="C65" s="17" t="s">
        <v>154</v>
      </c>
      <c r="D65" s="18" t="s">
        <v>154</v>
      </c>
      <c r="E65" s="17" t="s">
        <v>154</v>
      </c>
      <c r="F65" s="18" t="s">
        <v>154</v>
      </c>
      <c r="G65" s="17" t="s">
        <v>154</v>
      </c>
      <c r="H65" s="18" t="s">
        <v>154</v>
      </c>
      <c r="I65" s="17" t="s">
        <v>154</v>
      </c>
      <c r="J65" s="18" t="s">
        <v>154</v>
      </c>
      <c r="K65" s="17" t="s">
        <v>154</v>
      </c>
      <c r="L65" s="18" t="s">
        <v>154</v>
      </c>
      <c r="M65" s="17" t="s">
        <v>154</v>
      </c>
      <c r="N65" s="18" t="s">
        <v>154</v>
      </c>
      <c r="O65" s="17" t="s">
        <v>154</v>
      </c>
      <c r="P65" s="18" t="s">
        <v>154</v>
      </c>
      <c r="Q65" s="17" t="s">
        <v>154</v>
      </c>
      <c r="R65" s="18" t="s">
        <v>154</v>
      </c>
    </row>
    <row r="66" spans="1:18" x14ac:dyDescent="0.25">
      <c r="A66" s="11" t="s">
        <v>199</v>
      </c>
      <c r="B66" s="13">
        <v>5665</v>
      </c>
      <c r="C66" s="14">
        <f>(4698/B66*100)</f>
        <v>82.930273609885262</v>
      </c>
      <c r="D66" s="15">
        <v>967</v>
      </c>
      <c r="E66" s="14">
        <v>40.00399608</v>
      </c>
      <c r="F66" s="16">
        <v>1.61161267</v>
      </c>
      <c r="G66" s="14">
        <v>59.99600392</v>
      </c>
      <c r="H66" s="16">
        <v>1.61161267</v>
      </c>
      <c r="I66" s="14" t="s">
        <v>139</v>
      </c>
      <c r="J66" s="16" t="s">
        <v>139</v>
      </c>
      <c r="K66" s="14">
        <v>0</v>
      </c>
      <c r="L66" s="16">
        <v>0</v>
      </c>
      <c r="M66" s="14">
        <v>0</v>
      </c>
      <c r="N66" s="16">
        <v>0</v>
      </c>
      <c r="O66" s="14">
        <v>0</v>
      </c>
      <c r="P66" s="16">
        <v>0</v>
      </c>
      <c r="Q66" s="14">
        <v>0</v>
      </c>
      <c r="R66" s="16">
        <v>0</v>
      </c>
    </row>
    <row r="67" spans="1:18" x14ac:dyDescent="0.25">
      <c r="A67" s="11" t="s">
        <v>200</v>
      </c>
      <c r="B67" s="13">
        <v>6971</v>
      </c>
      <c r="C67" s="14">
        <f>(5844/B67*100)</f>
        <v>83.833022521876345</v>
      </c>
      <c r="D67" s="15">
        <v>1127</v>
      </c>
      <c r="E67" s="14">
        <v>40.779272689999999</v>
      </c>
      <c r="F67" s="16">
        <v>1.64620265</v>
      </c>
      <c r="G67" s="14">
        <v>59.220727310000001</v>
      </c>
      <c r="H67" s="16">
        <v>1.64620265</v>
      </c>
      <c r="I67" s="14" t="s">
        <v>139</v>
      </c>
      <c r="J67" s="16" t="s">
        <v>139</v>
      </c>
      <c r="K67" s="14">
        <v>0</v>
      </c>
      <c r="L67" s="16">
        <v>0</v>
      </c>
      <c r="M67" s="14">
        <v>0</v>
      </c>
      <c r="N67" s="16">
        <v>0</v>
      </c>
      <c r="O67" s="14">
        <v>0</v>
      </c>
      <c r="P67" s="16">
        <v>0</v>
      </c>
      <c r="Q67" s="14">
        <v>0</v>
      </c>
      <c r="R67" s="16">
        <v>0</v>
      </c>
    </row>
    <row r="68" spans="1:18" x14ac:dyDescent="0.25">
      <c r="A68" s="11" t="s">
        <v>201</v>
      </c>
      <c r="B68" s="17" t="s">
        <v>154</v>
      </c>
      <c r="C68" s="17" t="s">
        <v>154</v>
      </c>
      <c r="D68" s="18" t="s">
        <v>154</v>
      </c>
      <c r="E68" s="17" t="s">
        <v>154</v>
      </c>
      <c r="F68" s="18" t="s">
        <v>154</v>
      </c>
      <c r="G68" s="17" t="s">
        <v>154</v>
      </c>
      <c r="H68" s="18" t="s">
        <v>154</v>
      </c>
      <c r="I68" s="17" t="s">
        <v>154</v>
      </c>
      <c r="J68" s="18" t="s">
        <v>154</v>
      </c>
      <c r="K68" s="17" t="s">
        <v>154</v>
      </c>
      <c r="L68" s="18" t="s">
        <v>154</v>
      </c>
      <c r="M68" s="17" t="s">
        <v>154</v>
      </c>
      <c r="N68" s="18" t="s">
        <v>154</v>
      </c>
      <c r="O68" s="17" t="s">
        <v>154</v>
      </c>
      <c r="P68" s="18" t="s">
        <v>154</v>
      </c>
      <c r="Q68" s="17" t="s">
        <v>154</v>
      </c>
      <c r="R68" s="18" t="s">
        <v>154</v>
      </c>
    </row>
    <row r="69" spans="1:18" x14ac:dyDescent="0.25">
      <c r="A69" s="11" t="s">
        <v>202</v>
      </c>
      <c r="B69" s="17" t="s">
        <v>154</v>
      </c>
      <c r="C69" s="17" t="s">
        <v>154</v>
      </c>
      <c r="D69" s="18" t="s">
        <v>154</v>
      </c>
      <c r="E69" s="17" t="s">
        <v>154</v>
      </c>
      <c r="F69" s="18" t="s">
        <v>154</v>
      </c>
      <c r="G69" s="17" t="s">
        <v>154</v>
      </c>
      <c r="H69" s="18" t="s">
        <v>154</v>
      </c>
      <c r="I69" s="17" t="s">
        <v>154</v>
      </c>
      <c r="J69" s="18" t="s">
        <v>154</v>
      </c>
      <c r="K69" s="17" t="s">
        <v>154</v>
      </c>
      <c r="L69" s="18" t="s">
        <v>154</v>
      </c>
      <c r="M69" s="17" t="s">
        <v>154</v>
      </c>
      <c r="N69" s="18" t="s">
        <v>154</v>
      </c>
      <c r="O69" s="17" t="s">
        <v>154</v>
      </c>
      <c r="P69" s="18" t="s">
        <v>154</v>
      </c>
      <c r="Q69" s="17" t="s">
        <v>154</v>
      </c>
      <c r="R69" s="18" t="s">
        <v>154</v>
      </c>
    </row>
    <row r="70" spans="1:18" x14ac:dyDescent="0.25">
      <c r="A70" s="11" t="s">
        <v>203</v>
      </c>
      <c r="B70" s="13">
        <v>6036</v>
      </c>
      <c r="C70" s="14">
        <f>(4999/B70*100)</f>
        <v>82.819748177601056</v>
      </c>
      <c r="D70" s="15">
        <v>1037</v>
      </c>
      <c r="E70" s="14">
        <v>27.564536090000001</v>
      </c>
      <c r="F70" s="16">
        <v>1.72646104</v>
      </c>
      <c r="G70" s="14">
        <v>72.435463909999996</v>
      </c>
      <c r="H70" s="16">
        <v>1.72646104</v>
      </c>
      <c r="I70" s="14" t="s">
        <v>139</v>
      </c>
      <c r="J70" s="16" t="s">
        <v>139</v>
      </c>
      <c r="K70" s="14">
        <v>0</v>
      </c>
      <c r="L70" s="16">
        <v>0</v>
      </c>
      <c r="M70" s="14">
        <v>0</v>
      </c>
      <c r="N70" s="16">
        <v>0</v>
      </c>
      <c r="O70" s="14">
        <v>0</v>
      </c>
      <c r="P70" s="16">
        <v>0</v>
      </c>
      <c r="Q70" s="14">
        <v>0</v>
      </c>
      <c r="R70" s="16">
        <v>0</v>
      </c>
    </row>
    <row r="71" spans="1:18" x14ac:dyDescent="0.25">
      <c r="A71" s="11" t="s">
        <v>204</v>
      </c>
      <c r="B71" s="17" t="s">
        <v>154</v>
      </c>
      <c r="C71" s="17" t="s">
        <v>154</v>
      </c>
      <c r="D71" s="18" t="s">
        <v>154</v>
      </c>
      <c r="E71" s="17" t="s">
        <v>154</v>
      </c>
      <c r="F71" s="18" t="s">
        <v>154</v>
      </c>
      <c r="G71" s="17" t="s">
        <v>154</v>
      </c>
      <c r="H71" s="18" t="s">
        <v>154</v>
      </c>
      <c r="I71" s="17" t="s">
        <v>154</v>
      </c>
      <c r="J71" s="18" t="s">
        <v>154</v>
      </c>
      <c r="K71" s="17" t="s">
        <v>154</v>
      </c>
      <c r="L71" s="18" t="s">
        <v>154</v>
      </c>
      <c r="M71" s="17" t="s">
        <v>154</v>
      </c>
      <c r="N71" s="18" t="s">
        <v>154</v>
      </c>
      <c r="O71" s="17" t="s">
        <v>154</v>
      </c>
      <c r="P71" s="18" t="s">
        <v>154</v>
      </c>
      <c r="Q71" s="17" t="s">
        <v>154</v>
      </c>
      <c r="R71" s="18" t="s">
        <v>154</v>
      </c>
    </row>
    <row r="72" spans="1:18" x14ac:dyDescent="0.25">
      <c r="A72" s="11" t="s">
        <v>205</v>
      </c>
      <c r="B72" s="13">
        <v>7708</v>
      </c>
      <c r="C72" s="14">
        <f>(6389/B72*100)</f>
        <v>82.887908666320712</v>
      </c>
      <c r="D72" s="15">
        <v>1319</v>
      </c>
      <c r="E72" s="14">
        <v>30.297753019999998</v>
      </c>
      <c r="F72" s="16">
        <v>1.34056811</v>
      </c>
      <c r="G72" s="14">
        <v>69.702246979999998</v>
      </c>
      <c r="H72" s="16">
        <v>1.34056811</v>
      </c>
      <c r="I72" s="14" t="s">
        <v>139</v>
      </c>
      <c r="J72" s="16" t="s">
        <v>139</v>
      </c>
      <c r="K72" s="14">
        <v>0</v>
      </c>
      <c r="L72" s="16">
        <v>0</v>
      </c>
      <c r="M72" s="14">
        <v>0</v>
      </c>
      <c r="N72" s="16">
        <v>0</v>
      </c>
      <c r="O72" s="14">
        <v>0</v>
      </c>
      <c r="P72" s="16">
        <v>0</v>
      </c>
      <c r="Q72" s="14">
        <v>0</v>
      </c>
      <c r="R72" s="16">
        <v>0</v>
      </c>
    </row>
    <row r="73" spans="1:18" x14ac:dyDescent="0.25">
      <c r="A73" s="11" t="s">
        <v>206</v>
      </c>
      <c r="B73" s="13">
        <v>8249</v>
      </c>
      <c r="C73" s="14">
        <f>(6879/B73*100)</f>
        <v>83.391926294096251</v>
      </c>
      <c r="D73" s="15">
        <v>1370</v>
      </c>
      <c r="E73" s="14">
        <v>50.281250040000003</v>
      </c>
      <c r="F73" s="16">
        <v>1.50802795</v>
      </c>
      <c r="G73" s="14">
        <v>49.718749959999997</v>
      </c>
      <c r="H73" s="16">
        <v>1.50802795</v>
      </c>
      <c r="I73" s="14" t="s">
        <v>139</v>
      </c>
      <c r="J73" s="16" t="s">
        <v>139</v>
      </c>
      <c r="K73" s="14">
        <v>0</v>
      </c>
      <c r="L73" s="16">
        <v>0</v>
      </c>
      <c r="M73" s="14">
        <v>0</v>
      </c>
      <c r="N73" s="16">
        <v>0</v>
      </c>
      <c r="O73" s="14">
        <v>0</v>
      </c>
      <c r="P73" s="16">
        <v>0</v>
      </c>
      <c r="Q73" s="14">
        <v>0</v>
      </c>
      <c r="R73" s="16">
        <v>0</v>
      </c>
    </row>
    <row r="74" spans="1:18" x14ac:dyDescent="0.25">
      <c r="A74" s="11" t="s">
        <v>207</v>
      </c>
      <c r="B74" s="17" t="s">
        <v>154</v>
      </c>
      <c r="C74" s="17" t="s">
        <v>154</v>
      </c>
      <c r="D74" s="18" t="s">
        <v>154</v>
      </c>
      <c r="E74" s="17" t="s">
        <v>154</v>
      </c>
      <c r="F74" s="18" t="s">
        <v>154</v>
      </c>
      <c r="G74" s="17" t="s">
        <v>154</v>
      </c>
      <c r="H74" s="18" t="s">
        <v>154</v>
      </c>
      <c r="I74" s="17" t="s">
        <v>154</v>
      </c>
      <c r="J74" s="18" t="s">
        <v>154</v>
      </c>
      <c r="K74" s="17" t="s">
        <v>154</v>
      </c>
      <c r="L74" s="18" t="s">
        <v>154</v>
      </c>
      <c r="M74" s="17" t="s">
        <v>154</v>
      </c>
      <c r="N74" s="18" t="s">
        <v>154</v>
      </c>
      <c r="O74" s="17" t="s">
        <v>154</v>
      </c>
      <c r="P74" s="18" t="s">
        <v>154</v>
      </c>
      <c r="Q74" s="17" t="s">
        <v>154</v>
      </c>
      <c r="R74" s="18" t="s">
        <v>154</v>
      </c>
    </row>
    <row r="75" spans="1:18" x14ac:dyDescent="0.25">
      <c r="A75" s="11" t="s">
        <v>208</v>
      </c>
      <c r="B75" s="13">
        <v>5375</v>
      </c>
      <c r="C75" s="14">
        <f>(4493/B75*100)</f>
        <v>83.590697674418607</v>
      </c>
      <c r="D75" s="15">
        <v>882</v>
      </c>
      <c r="E75" s="14">
        <v>48.963816479999998</v>
      </c>
      <c r="F75" s="16">
        <v>1.685209</v>
      </c>
      <c r="G75" s="14">
        <v>51.036183520000002</v>
      </c>
      <c r="H75" s="16">
        <v>1.685209</v>
      </c>
      <c r="I75" s="14" t="s">
        <v>139</v>
      </c>
      <c r="J75" s="16" t="s">
        <v>139</v>
      </c>
      <c r="K75" s="14">
        <v>0</v>
      </c>
      <c r="L75" s="16">
        <v>0</v>
      </c>
      <c r="M75" s="14">
        <v>0</v>
      </c>
      <c r="N75" s="16">
        <v>0</v>
      </c>
      <c r="O75" s="14">
        <v>0</v>
      </c>
      <c r="P75" s="16">
        <v>0</v>
      </c>
      <c r="Q75" s="14">
        <v>0</v>
      </c>
      <c r="R75" s="16">
        <v>0</v>
      </c>
    </row>
    <row r="76" spans="1:18" x14ac:dyDescent="0.25">
      <c r="A76" s="11" t="s">
        <v>209</v>
      </c>
      <c r="B76" s="13">
        <v>14167</v>
      </c>
      <c r="C76" s="14">
        <f>(11780/B76*100)</f>
        <v>83.150984682713343</v>
      </c>
      <c r="D76" s="15">
        <v>2387</v>
      </c>
      <c r="E76" s="14">
        <v>40.009031579999998</v>
      </c>
      <c r="F76" s="16">
        <v>1.4298735600000001</v>
      </c>
      <c r="G76" s="14">
        <v>59.990968420000002</v>
      </c>
      <c r="H76" s="16">
        <v>1.4298735600000001</v>
      </c>
      <c r="I76" s="14" t="s">
        <v>139</v>
      </c>
      <c r="J76" s="16" t="s">
        <v>139</v>
      </c>
      <c r="K76" s="14">
        <v>0</v>
      </c>
      <c r="L76" s="16">
        <v>0</v>
      </c>
      <c r="M76" s="14">
        <v>0</v>
      </c>
      <c r="N76" s="16">
        <v>0</v>
      </c>
      <c r="O76" s="14">
        <v>0</v>
      </c>
      <c r="P76" s="16">
        <v>0</v>
      </c>
      <c r="Q76" s="14">
        <v>0</v>
      </c>
      <c r="R76" s="16">
        <v>0</v>
      </c>
    </row>
    <row r="77" spans="1:18" x14ac:dyDescent="0.25">
      <c r="A77" s="11" t="s">
        <v>210</v>
      </c>
      <c r="B77" s="13">
        <v>6062</v>
      </c>
      <c r="C77" s="14">
        <f>(5004/B77*100)</f>
        <v>82.547014186737059</v>
      </c>
      <c r="D77" s="15">
        <v>1058</v>
      </c>
      <c r="E77" s="14">
        <v>30.145591620000001</v>
      </c>
      <c r="F77" s="16">
        <v>1.45556916</v>
      </c>
      <c r="G77" s="14">
        <v>69.854408379999995</v>
      </c>
      <c r="H77" s="16">
        <v>1.45556916</v>
      </c>
      <c r="I77" s="14" t="s">
        <v>139</v>
      </c>
      <c r="J77" s="16" t="s">
        <v>139</v>
      </c>
      <c r="K77" s="14">
        <v>0</v>
      </c>
      <c r="L77" s="16">
        <v>0</v>
      </c>
      <c r="M77" s="14">
        <v>0</v>
      </c>
      <c r="N77" s="16">
        <v>0</v>
      </c>
      <c r="O77" s="14">
        <v>0</v>
      </c>
      <c r="P77" s="16">
        <v>0</v>
      </c>
      <c r="Q77" s="14">
        <v>0</v>
      </c>
      <c r="R77" s="16">
        <v>0</v>
      </c>
    </row>
    <row r="78" spans="1:18" x14ac:dyDescent="0.25">
      <c r="A78" s="11" t="s">
        <v>211</v>
      </c>
      <c r="B78" s="17" t="s">
        <v>154</v>
      </c>
      <c r="C78" s="17" t="s">
        <v>154</v>
      </c>
      <c r="D78" s="18" t="s">
        <v>154</v>
      </c>
      <c r="E78" s="17" t="s">
        <v>154</v>
      </c>
      <c r="F78" s="18" t="s">
        <v>154</v>
      </c>
      <c r="G78" s="17" t="s">
        <v>154</v>
      </c>
      <c r="H78" s="18" t="s">
        <v>154</v>
      </c>
      <c r="I78" s="17" t="s">
        <v>154</v>
      </c>
      <c r="J78" s="18" t="s">
        <v>154</v>
      </c>
      <c r="K78" s="17" t="s">
        <v>154</v>
      </c>
      <c r="L78" s="18" t="s">
        <v>154</v>
      </c>
      <c r="M78" s="17" t="s">
        <v>154</v>
      </c>
      <c r="N78" s="18" t="s">
        <v>154</v>
      </c>
      <c r="O78" s="17" t="s">
        <v>154</v>
      </c>
      <c r="P78" s="18" t="s">
        <v>154</v>
      </c>
      <c r="Q78" s="17" t="s">
        <v>154</v>
      </c>
      <c r="R78" s="18" t="s">
        <v>154</v>
      </c>
    </row>
    <row r="79" spans="1:18" ht="24.95" customHeight="1" x14ac:dyDescent="0.25">
      <c r="A79" s="11" t="s">
        <v>212</v>
      </c>
      <c r="B79" s="17" t="s">
        <v>154</v>
      </c>
      <c r="C79" s="17" t="s">
        <v>154</v>
      </c>
      <c r="D79" s="18" t="s">
        <v>154</v>
      </c>
      <c r="E79" s="17" t="s">
        <v>154</v>
      </c>
      <c r="F79" s="18" t="s">
        <v>154</v>
      </c>
      <c r="G79" s="17" t="s">
        <v>154</v>
      </c>
      <c r="H79" s="18" t="s">
        <v>154</v>
      </c>
      <c r="I79" s="17" t="s">
        <v>154</v>
      </c>
      <c r="J79" s="18" t="s">
        <v>154</v>
      </c>
      <c r="K79" s="17" t="s">
        <v>154</v>
      </c>
      <c r="L79" s="18" t="s">
        <v>154</v>
      </c>
      <c r="M79" s="17" t="s">
        <v>154</v>
      </c>
      <c r="N79" s="18" t="s">
        <v>154</v>
      </c>
      <c r="O79" s="17" t="s">
        <v>154</v>
      </c>
      <c r="P79" s="18" t="s">
        <v>154</v>
      </c>
      <c r="Q79" s="17" t="s">
        <v>154</v>
      </c>
      <c r="R79" s="18" t="s">
        <v>154</v>
      </c>
    </row>
    <row r="80" spans="1:18" x14ac:dyDescent="0.25">
      <c r="A80" s="11" t="s">
        <v>213</v>
      </c>
      <c r="B80" s="17" t="s">
        <v>154</v>
      </c>
      <c r="C80" s="17" t="s">
        <v>154</v>
      </c>
      <c r="D80" s="18" t="s">
        <v>154</v>
      </c>
      <c r="E80" s="17" t="s">
        <v>154</v>
      </c>
      <c r="F80" s="18" t="s">
        <v>154</v>
      </c>
      <c r="G80" s="17" t="s">
        <v>154</v>
      </c>
      <c r="H80" s="18" t="s">
        <v>154</v>
      </c>
      <c r="I80" s="17" t="s">
        <v>154</v>
      </c>
      <c r="J80" s="18" t="s">
        <v>154</v>
      </c>
      <c r="K80" s="17" t="s">
        <v>154</v>
      </c>
      <c r="L80" s="18" t="s">
        <v>154</v>
      </c>
      <c r="M80" s="17" t="s">
        <v>154</v>
      </c>
      <c r="N80" s="18" t="s">
        <v>154</v>
      </c>
      <c r="O80" s="17" t="s">
        <v>154</v>
      </c>
      <c r="P80" s="18" t="s">
        <v>154</v>
      </c>
      <c r="Q80" s="17" t="s">
        <v>154</v>
      </c>
      <c r="R80" s="18" t="s">
        <v>154</v>
      </c>
    </row>
    <row r="81" spans="1:18" x14ac:dyDescent="0.25">
      <c r="A81" s="19" t="s">
        <v>214</v>
      </c>
      <c r="B81" s="13">
        <v>8861</v>
      </c>
      <c r="C81" s="14">
        <f>(7311/B81*100)</f>
        <v>82.507617650378066</v>
      </c>
      <c r="D81" s="15">
        <v>1550</v>
      </c>
      <c r="E81" s="14">
        <v>46.622587780000003</v>
      </c>
      <c r="F81" s="16">
        <v>1.55519367</v>
      </c>
      <c r="G81" s="14">
        <v>53.377412219999997</v>
      </c>
      <c r="H81" s="16">
        <v>1.55519367</v>
      </c>
      <c r="I81" s="14" t="s">
        <v>139</v>
      </c>
      <c r="J81" s="16" t="s">
        <v>139</v>
      </c>
      <c r="K81" s="14">
        <v>0</v>
      </c>
      <c r="L81" s="16">
        <v>0</v>
      </c>
      <c r="M81" s="14">
        <v>0</v>
      </c>
      <c r="N81" s="16">
        <v>0</v>
      </c>
      <c r="O81" s="14">
        <v>0</v>
      </c>
      <c r="P81" s="16">
        <v>0</v>
      </c>
      <c r="Q81" s="14">
        <v>0</v>
      </c>
      <c r="R81" s="16">
        <v>0</v>
      </c>
    </row>
    <row r="82" spans="1:18" x14ac:dyDescent="0.25">
      <c r="A82" s="20"/>
      <c r="B82" s="20" t="s">
        <v>215</v>
      </c>
      <c r="C82" s="20" t="s">
        <v>215</v>
      </c>
      <c r="D82" s="20" t="s">
        <v>215</v>
      </c>
      <c r="E82" s="20" t="s">
        <v>215</v>
      </c>
      <c r="F82" s="20" t="s">
        <v>215</v>
      </c>
      <c r="G82" s="20" t="s">
        <v>215</v>
      </c>
      <c r="H82" s="20" t="s">
        <v>215</v>
      </c>
      <c r="I82" s="20" t="s">
        <v>215</v>
      </c>
      <c r="J82" s="20" t="s">
        <v>215</v>
      </c>
      <c r="K82" s="20" t="s">
        <v>215</v>
      </c>
      <c r="L82" s="20" t="s">
        <v>215</v>
      </c>
      <c r="M82" s="20" t="s">
        <v>215</v>
      </c>
      <c r="N82" s="20" t="s">
        <v>215</v>
      </c>
      <c r="O82" s="20" t="s">
        <v>215</v>
      </c>
      <c r="P82" s="20" t="s">
        <v>215</v>
      </c>
      <c r="Q82" s="20" t="s">
        <v>215</v>
      </c>
      <c r="R82" s="20" t="s">
        <v>215</v>
      </c>
    </row>
    <row r="83" spans="1:18" x14ac:dyDescent="0.25">
      <c r="A83" s="3" t="s">
        <v>216</v>
      </c>
    </row>
    <row r="84" spans="1:18" x14ac:dyDescent="0.25">
      <c r="A84" s="22" t="s">
        <v>217</v>
      </c>
      <c r="B84" s="23"/>
      <c r="C84" s="23"/>
      <c r="D84" s="23"/>
      <c r="E84" s="23"/>
      <c r="F84" s="23"/>
      <c r="G84" s="23"/>
      <c r="H84" s="23"/>
      <c r="I84" s="23"/>
      <c r="J84" s="23"/>
      <c r="K84" s="23"/>
      <c r="L84" s="23"/>
      <c r="M84" s="23"/>
      <c r="N84" s="23"/>
      <c r="O84" s="23"/>
      <c r="P84" s="23"/>
      <c r="Q84" s="23"/>
      <c r="R84" s="23"/>
    </row>
    <row r="85" spans="1:18" x14ac:dyDescent="0.25">
      <c r="A85" s="22" t="s">
        <v>218</v>
      </c>
      <c r="B85" s="23"/>
      <c r="C85" s="23"/>
      <c r="D85" s="23"/>
      <c r="E85" s="23"/>
      <c r="F85" s="23"/>
      <c r="G85" s="23"/>
      <c r="H85" s="23"/>
      <c r="I85" s="23"/>
      <c r="J85" s="23"/>
      <c r="K85" s="23"/>
      <c r="L85" s="23"/>
      <c r="M85" s="23"/>
      <c r="N85" s="23"/>
      <c r="O85" s="23"/>
      <c r="P85" s="23"/>
      <c r="Q85" s="23"/>
      <c r="R85" s="23"/>
    </row>
    <row r="86" spans="1:18" ht="30" customHeight="1" x14ac:dyDescent="0.25">
      <c r="A86" s="22" t="s">
        <v>219</v>
      </c>
      <c r="B86" s="23"/>
      <c r="C86" s="23"/>
      <c r="D86" s="23"/>
      <c r="E86" s="23"/>
      <c r="F86" s="23"/>
      <c r="G86" s="23"/>
      <c r="H86" s="23"/>
      <c r="I86" s="23"/>
      <c r="J86" s="23"/>
      <c r="K86" s="23"/>
      <c r="L86" s="23"/>
      <c r="M86" s="23"/>
      <c r="N86" s="23"/>
      <c r="O86" s="23"/>
      <c r="P86" s="23"/>
      <c r="Q86" s="23"/>
      <c r="R86" s="23"/>
    </row>
    <row r="87" spans="1:18" ht="30" customHeight="1" x14ac:dyDescent="0.25">
      <c r="A87" s="22" t="s">
        <v>215</v>
      </c>
      <c r="B87" s="23"/>
      <c r="C87" s="23"/>
      <c r="D87" s="23"/>
      <c r="E87" s="23"/>
      <c r="F87" s="23"/>
      <c r="G87" s="23"/>
      <c r="H87" s="23"/>
      <c r="I87" s="23"/>
      <c r="J87" s="23"/>
      <c r="K87" s="23"/>
      <c r="L87" s="23"/>
      <c r="M87" s="23"/>
      <c r="N87" s="23"/>
      <c r="O87" s="23"/>
      <c r="P87" s="23"/>
      <c r="Q87" s="23"/>
      <c r="R87" s="23"/>
    </row>
    <row r="88" spans="1:18" ht="30" customHeight="1" x14ac:dyDescent="0.25">
      <c r="A88" s="22" t="s">
        <v>220</v>
      </c>
      <c r="B88" s="23"/>
      <c r="C88" s="23"/>
      <c r="D88" s="23"/>
      <c r="E88" s="23"/>
      <c r="F88" s="23"/>
      <c r="G88" s="23"/>
      <c r="H88" s="23"/>
      <c r="I88" s="23"/>
      <c r="J88" s="23"/>
      <c r="K88" s="23"/>
      <c r="L88" s="23"/>
      <c r="M88" s="23"/>
      <c r="N88" s="23"/>
      <c r="O88" s="23"/>
      <c r="P88" s="23"/>
      <c r="Q88" s="23"/>
      <c r="R88" s="23"/>
    </row>
    <row r="89" spans="1:18" ht="30" customHeight="1" x14ac:dyDescent="0.25">
      <c r="A89" s="22" t="s">
        <v>221</v>
      </c>
      <c r="B89" s="23"/>
      <c r="C89" s="23"/>
      <c r="D89" s="23"/>
      <c r="E89" s="23"/>
      <c r="F89" s="23"/>
      <c r="G89" s="23"/>
      <c r="H89" s="23"/>
      <c r="I89" s="23"/>
      <c r="J89" s="23"/>
      <c r="K89" s="23"/>
      <c r="L89" s="23"/>
      <c r="M89" s="23"/>
      <c r="N89" s="23"/>
      <c r="O89" s="23"/>
      <c r="P89" s="23"/>
      <c r="Q89" s="23"/>
      <c r="R89" s="23"/>
    </row>
    <row r="90" spans="1:18" ht="30" customHeight="1" x14ac:dyDescent="0.25">
      <c r="A90" s="22" t="s">
        <v>222</v>
      </c>
      <c r="B90" s="23"/>
      <c r="C90" s="23"/>
      <c r="D90" s="23"/>
      <c r="E90" s="23"/>
      <c r="F90" s="23"/>
      <c r="G90" s="23"/>
      <c r="H90" s="23"/>
      <c r="I90" s="23"/>
      <c r="J90" s="23"/>
      <c r="K90" s="23"/>
      <c r="L90" s="23"/>
      <c r="M90" s="23"/>
      <c r="N90" s="23"/>
      <c r="O90" s="23"/>
      <c r="P90" s="23"/>
      <c r="Q90" s="23"/>
      <c r="R90" s="23"/>
    </row>
    <row r="91" spans="1:18" ht="30" customHeight="1" x14ac:dyDescent="0.25">
      <c r="A91" s="22" t="s">
        <v>223</v>
      </c>
      <c r="B91" s="23"/>
      <c r="C91" s="23"/>
      <c r="D91" s="23"/>
      <c r="E91" s="23"/>
      <c r="F91" s="23"/>
      <c r="G91" s="23"/>
      <c r="H91" s="23"/>
      <c r="I91" s="23"/>
      <c r="J91" s="23"/>
      <c r="K91" s="23"/>
      <c r="L91" s="23"/>
      <c r="M91" s="23"/>
      <c r="N91" s="23"/>
      <c r="O91" s="23"/>
      <c r="P91" s="23"/>
      <c r="Q91" s="23"/>
      <c r="R91" s="23"/>
    </row>
    <row r="92" spans="1:18" ht="30" customHeight="1" x14ac:dyDescent="0.25">
      <c r="A92" s="22" t="s">
        <v>224</v>
      </c>
      <c r="B92" s="23"/>
      <c r="C92" s="23"/>
      <c r="D92" s="23"/>
      <c r="E92" s="23"/>
      <c r="F92" s="23"/>
      <c r="G92" s="23"/>
      <c r="H92" s="23"/>
      <c r="I92" s="23"/>
      <c r="J92" s="23"/>
      <c r="K92" s="23"/>
      <c r="L92" s="23"/>
      <c r="M92" s="23"/>
      <c r="N92" s="23"/>
      <c r="O92" s="23"/>
      <c r="P92" s="23"/>
      <c r="Q92" s="23"/>
      <c r="R92" s="23"/>
    </row>
    <row r="93" spans="1:18" ht="30" customHeight="1" x14ac:dyDescent="0.25">
      <c r="A93" s="22" t="s">
        <v>225</v>
      </c>
      <c r="B93" s="23"/>
      <c r="C93" s="23"/>
      <c r="D93" s="23"/>
      <c r="E93" s="23"/>
      <c r="F93" s="23"/>
      <c r="G93" s="23"/>
      <c r="H93" s="23"/>
      <c r="I93" s="23"/>
      <c r="J93" s="23"/>
      <c r="K93" s="23"/>
      <c r="L93" s="23"/>
      <c r="M93" s="23"/>
      <c r="N93" s="23"/>
      <c r="O93" s="23"/>
      <c r="P93" s="23"/>
      <c r="Q93" s="23"/>
      <c r="R93" s="23"/>
    </row>
    <row r="94" spans="1:18" ht="30" customHeight="1" x14ac:dyDescent="0.25">
      <c r="A94" s="22" t="s">
        <v>226</v>
      </c>
      <c r="B94" s="23"/>
      <c r="C94" s="23"/>
      <c r="D94" s="23"/>
      <c r="E94" s="23"/>
      <c r="F94" s="23"/>
      <c r="G94" s="23"/>
      <c r="H94" s="23"/>
      <c r="I94" s="23"/>
      <c r="J94" s="23"/>
      <c r="K94" s="23"/>
      <c r="L94" s="23"/>
      <c r="M94" s="23"/>
      <c r="N94" s="23"/>
      <c r="O94" s="23"/>
      <c r="P94" s="23"/>
      <c r="Q94" s="23"/>
      <c r="R94" s="23"/>
    </row>
    <row r="95" spans="1:18" ht="30" customHeight="1" x14ac:dyDescent="0.25">
      <c r="A95" s="22" t="s">
        <v>227</v>
      </c>
      <c r="B95" s="23"/>
      <c r="C95" s="23"/>
      <c r="D95" s="23"/>
      <c r="E95" s="23"/>
      <c r="F95" s="23"/>
      <c r="G95" s="23"/>
      <c r="H95" s="23"/>
      <c r="I95" s="23"/>
      <c r="J95" s="23"/>
      <c r="K95" s="23"/>
      <c r="L95" s="23"/>
      <c r="M95" s="23"/>
      <c r="N95" s="23"/>
      <c r="O95" s="23"/>
      <c r="P95" s="23"/>
      <c r="Q95" s="23"/>
      <c r="R95" s="23"/>
    </row>
    <row r="96" spans="1:18" ht="30" customHeight="1" x14ac:dyDescent="0.25">
      <c r="A96" s="22" t="s">
        <v>228</v>
      </c>
      <c r="B96" s="23"/>
      <c r="C96" s="23"/>
      <c r="D96" s="23"/>
      <c r="E96" s="23"/>
      <c r="F96" s="23"/>
      <c r="G96" s="23"/>
      <c r="H96" s="23"/>
      <c r="I96" s="23"/>
      <c r="J96" s="23"/>
      <c r="K96" s="23"/>
      <c r="L96" s="23"/>
      <c r="M96" s="23"/>
      <c r="N96" s="23"/>
      <c r="O96" s="23"/>
      <c r="P96" s="23"/>
      <c r="Q96" s="23"/>
      <c r="R96" s="23"/>
    </row>
  </sheetData>
  <mergeCells count="22">
    <mergeCell ref="O4:P4"/>
    <mergeCell ref="Q4:R4"/>
    <mergeCell ref="A1:R1"/>
    <mergeCell ref="A2:R2"/>
    <mergeCell ref="A84:R84"/>
    <mergeCell ref="E4:F4"/>
    <mergeCell ref="G4:H4"/>
    <mergeCell ref="I4:J4"/>
    <mergeCell ref="K4:L4"/>
    <mergeCell ref="M4:N4"/>
    <mergeCell ref="A85:R85"/>
    <mergeCell ref="A86:R86"/>
    <mergeCell ref="A87:R87"/>
    <mergeCell ref="A88:R88"/>
    <mergeCell ref="A89:R89"/>
    <mergeCell ref="A95:R95"/>
    <mergeCell ref="A96:R96"/>
    <mergeCell ref="A90:R90"/>
    <mergeCell ref="A91:R91"/>
    <mergeCell ref="A92:R92"/>
    <mergeCell ref="A93:R93"/>
    <mergeCell ref="A94:R94"/>
  </mergeCells>
  <pageMargins left="0.75" right="0.75" top="1" bottom="1" header="0.5" footer="0.5"/>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dimension ref="A1:R96"/>
  <sheetViews>
    <sheetView zoomScale="80" workbookViewId="0">
      <pane xSplit="4" topLeftCell="E1" activePane="topRight" state="frozen"/>
      <selection sqref="A1:R1"/>
      <selection pane="topRight" sqref="A1:R1"/>
    </sheetView>
  </sheetViews>
  <sheetFormatPr defaultColWidth="11.42578125" defaultRowHeight="15" x14ac:dyDescent="0.25"/>
  <cols>
    <col min="1" max="1" width="50" customWidth="1"/>
  </cols>
  <sheetData>
    <row r="1" spans="1:18" x14ac:dyDescent="0.25">
      <c r="A1" s="26" t="s">
        <v>122</v>
      </c>
      <c r="B1" s="23"/>
      <c r="C1" s="23"/>
      <c r="D1" s="23"/>
      <c r="E1" s="23"/>
      <c r="F1" s="23"/>
      <c r="G1" s="23"/>
      <c r="H1" s="23"/>
      <c r="I1" s="23"/>
      <c r="J1" s="23"/>
      <c r="K1" s="23"/>
      <c r="L1" s="23"/>
      <c r="M1" s="23"/>
      <c r="N1" s="23"/>
      <c r="O1" s="23"/>
      <c r="P1" s="23"/>
      <c r="Q1" s="23"/>
      <c r="R1" s="23"/>
    </row>
    <row r="2" spans="1:18" x14ac:dyDescent="0.25">
      <c r="A2" s="27" t="s">
        <v>252</v>
      </c>
      <c r="B2" s="23"/>
      <c r="C2" s="23"/>
      <c r="D2" s="23"/>
      <c r="E2" s="23"/>
      <c r="F2" s="23"/>
      <c r="G2" s="23"/>
      <c r="H2" s="23"/>
      <c r="I2" s="23"/>
      <c r="J2" s="23"/>
      <c r="K2" s="23"/>
      <c r="L2" s="23"/>
      <c r="M2" s="23"/>
      <c r="N2" s="23"/>
      <c r="O2" s="23"/>
      <c r="P2" s="23"/>
      <c r="Q2" s="23"/>
      <c r="R2" s="23"/>
    </row>
    <row r="4" spans="1:18" ht="30" customHeight="1" x14ac:dyDescent="0.25">
      <c r="A4" s="4"/>
      <c r="B4" s="5" t="s">
        <v>123</v>
      </c>
      <c r="C4" s="5" t="s">
        <v>124</v>
      </c>
      <c r="D4" s="6" t="s">
        <v>123</v>
      </c>
      <c r="E4" s="24" t="s">
        <v>125</v>
      </c>
      <c r="F4" s="25"/>
      <c r="G4" s="24" t="s">
        <v>126</v>
      </c>
      <c r="H4" s="25"/>
      <c r="I4" s="24" t="s">
        <v>127</v>
      </c>
      <c r="J4" s="25"/>
      <c r="K4" s="24" t="s">
        <v>128</v>
      </c>
      <c r="L4" s="25"/>
      <c r="M4" s="24" t="s">
        <v>129</v>
      </c>
      <c r="N4" s="25"/>
      <c r="O4" s="24" t="s">
        <v>130</v>
      </c>
      <c r="P4" s="25"/>
      <c r="Q4" s="24" t="s">
        <v>131</v>
      </c>
      <c r="R4" s="25"/>
    </row>
    <row r="5" spans="1:18" x14ac:dyDescent="0.25">
      <c r="A5" s="7"/>
      <c r="B5" s="8" t="s">
        <v>132</v>
      </c>
      <c r="C5" s="8" t="s">
        <v>133</v>
      </c>
      <c r="D5" s="7" t="s">
        <v>134</v>
      </c>
      <c r="E5" s="8" t="s">
        <v>135</v>
      </c>
      <c r="F5" s="7" t="s">
        <v>136</v>
      </c>
      <c r="G5" s="8" t="s">
        <v>135</v>
      </c>
      <c r="H5" s="7" t="s">
        <v>136</v>
      </c>
      <c r="I5" s="8" t="s">
        <v>135</v>
      </c>
      <c r="J5" s="7" t="s">
        <v>136</v>
      </c>
      <c r="K5" s="8" t="s">
        <v>135</v>
      </c>
      <c r="L5" s="7" t="s">
        <v>136</v>
      </c>
      <c r="M5" s="8" t="s">
        <v>135</v>
      </c>
      <c r="N5" s="7" t="s">
        <v>136</v>
      </c>
      <c r="O5" s="8" t="s">
        <v>135</v>
      </c>
      <c r="P5" s="7" t="s">
        <v>136</v>
      </c>
      <c r="Q5" s="8" t="s">
        <v>135</v>
      </c>
      <c r="R5" s="7" t="s">
        <v>136</v>
      </c>
    </row>
    <row r="6" spans="1:18" x14ac:dyDescent="0.25">
      <c r="A6" s="9" t="s">
        <v>137</v>
      </c>
      <c r="B6" s="10"/>
      <c r="C6" s="10"/>
      <c r="D6" s="11"/>
      <c r="E6" s="10"/>
      <c r="F6" s="11"/>
      <c r="G6" s="10"/>
      <c r="H6" s="11"/>
      <c r="I6" s="10"/>
      <c r="J6" s="11"/>
      <c r="K6" s="10"/>
      <c r="L6" s="11"/>
      <c r="M6" s="10"/>
      <c r="N6" s="11"/>
      <c r="O6" s="10"/>
      <c r="P6" s="11"/>
      <c r="Q6" s="10"/>
      <c r="R6" s="12"/>
    </row>
    <row r="7" spans="1:18" x14ac:dyDescent="0.25">
      <c r="A7" s="11" t="s">
        <v>138</v>
      </c>
      <c r="B7" s="13">
        <v>14530</v>
      </c>
      <c r="C7" s="14">
        <f>(12075/B7*100)</f>
        <v>83.10392291810048</v>
      </c>
      <c r="D7" s="15">
        <v>2455</v>
      </c>
      <c r="E7" s="14">
        <v>12.81625506</v>
      </c>
      <c r="F7" s="16">
        <v>0.87071823999999998</v>
      </c>
      <c r="G7" s="14">
        <v>87.183744939999997</v>
      </c>
      <c r="H7" s="16">
        <v>0.87071823999999998</v>
      </c>
      <c r="I7" s="14" t="s">
        <v>139</v>
      </c>
      <c r="J7" s="16" t="s">
        <v>139</v>
      </c>
      <c r="K7" s="14">
        <v>0</v>
      </c>
      <c r="L7" s="16">
        <v>0</v>
      </c>
      <c r="M7" s="14">
        <v>0</v>
      </c>
      <c r="N7" s="16">
        <v>0</v>
      </c>
      <c r="O7" s="14">
        <v>0</v>
      </c>
      <c r="P7" s="16">
        <v>0</v>
      </c>
      <c r="Q7" s="14">
        <v>0</v>
      </c>
      <c r="R7" s="16">
        <v>0</v>
      </c>
    </row>
    <row r="8" spans="1:18" x14ac:dyDescent="0.25">
      <c r="A8" s="11" t="s">
        <v>140</v>
      </c>
      <c r="B8" s="13">
        <v>7007</v>
      </c>
      <c r="C8" s="14">
        <f>(5792/B8*100)</f>
        <v>82.660196945911238</v>
      </c>
      <c r="D8" s="15">
        <v>1215</v>
      </c>
      <c r="E8" s="14">
        <v>18.570293920000001</v>
      </c>
      <c r="F8" s="16">
        <v>1.4510550099999999</v>
      </c>
      <c r="G8" s="14">
        <v>81.429706080000003</v>
      </c>
      <c r="H8" s="16">
        <v>1.4510550099999999</v>
      </c>
      <c r="I8" s="14" t="s">
        <v>139</v>
      </c>
      <c r="J8" s="16" t="s">
        <v>139</v>
      </c>
      <c r="K8" s="14">
        <v>0</v>
      </c>
      <c r="L8" s="16">
        <v>0</v>
      </c>
      <c r="M8" s="14">
        <v>0</v>
      </c>
      <c r="N8" s="16">
        <v>0</v>
      </c>
      <c r="O8" s="14">
        <v>0</v>
      </c>
      <c r="P8" s="16">
        <v>0</v>
      </c>
      <c r="Q8" s="14">
        <v>0</v>
      </c>
      <c r="R8" s="16">
        <v>0</v>
      </c>
    </row>
    <row r="9" spans="1:18" x14ac:dyDescent="0.25">
      <c r="A9" s="11" t="s">
        <v>141</v>
      </c>
      <c r="B9" s="13">
        <v>9651</v>
      </c>
      <c r="C9" s="14">
        <f>(8043/B9*100)</f>
        <v>83.338514143612059</v>
      </c>
      <c r="D9" s="15">
        <v>1608</v>
      </c>
      <c r="E9" s="14">
        <v>21.695256560000001</v>
      </c>
      <c r="F9" s="16">
        <v>1.1060731800000001</v>
      </c>
      <c r="G9" s="14">
        <v>78.304743439999996</v>
      </c>
      <c r="H9" s="16">
        <v>1.1060731800000001</v>
      </c>
      <c r="I9" s="14" t="s">
        <v>139</v>
      </c>
      <c r="J9" s="16" t="s">
        <v>139</v>
      </c>
      <c r="K9" s="14">
        <v>0</v>
      </c>
      <c r="L9" s="16">
        <v>0</v>
      </c>
      <c r="M9" s="14">
        <v>0</v>
      </c>
      <c r="N9" s="16">
        <v>0</v>
      </c>
      <c r="O9" s="14">
        <v>0</v>
      </c>
      <c r="P9" s="16">
        <v>0</v>
      </c>
      <c r="Q9" s="14">
        <v>0</v>
      </c>
      <c r="R9" s="16">
        <v>0</v>
      </c>
    </row>
    <row r="10" spans="1:18" x14ac:dyDescent="0.25">
      <c r="A10" s="11" t="s">
        <v>142</v>
      </c>
      <c r="B10" s="13">
        <v>20058</v>
      </c>
      <c r="C10" s="14">
        <f>(16595/B10*100)</f>
        <v>82.735068301924414</v>
      </c>
      <c r="D10" s="15">
        <v>3463</v>
      </c>
      <c r="E10" s="14">
        <v>12.980034379999999</v>
      </c>
      <c r="F10" s="16">
        <v>0.74261500000000003</v>
      </c>
      <c r="G10" s="14">
        <v>87.019965619999994</v>
      </c>
      <c r="H10" s="16">
        <v>0.74261500000000003</v>
      </c>
      <c r="I10" s="14" t="s">
        <v>139</v>
      </c>
      <c r="J10" s="16" t="s">
        <v>139</v>
      </c>
      <c r="K10" s="14">
        <v>0</v>
      </c>
      <c r="L10" s="16">
        <v>0</v>
      </c>
      <c r="M10" s="14">
        <v>0</v>
      </c>
      <c r="N10" s="16">
        <v>0</v>
      </c>
      <c r="O10" s="14">
        <v>0</v>
      </c>
      <c r="P10" s="16">
        <v>0</v>
      </c>
      <c r="Q10" s="14">
        <v>0</v>
      </c>
      <c r="R10" s="16">
        <v>0</v>
      </c>
    </row>
    <row r="11" spans="1:18" x14ac:dyDescent="0.25">
      <c r="A11" s="11" t="s">
        <v>143</v>
      </c>
      <c r="B11" s="13">
        <v>7053</v>
      </c>
      <c r="C11" s="14">
        <f>(5838/B11*100)</f>
        <v>82.773287962569114</v>
      </c>
      <c r="D11" s="15">
        <v>1215</v>
      </c>
      <c r="E11" s="14">
        <v>22.525880059999999</v>
      </c>
      <c r="F11" s="16">
        <v>1.5286353399999999</v>
      </c>
      <c r="G11" s="14">
        <v>77.474119939999994</v>
      </c>
      <c r="H11" s="16">
        <v>1.5286353399999999</v>
      </c>
      <c r="I11" s="14" t="s">
        <v>139</v>
      </c>
      <c r="J11" s="16" t="s">
        <v>139</v>
      </c>
      <c r="K11" s="14">
        <v>0</v>
      </c>
      <c r="L11" s="16">
        <v>0</v>
      </c>
      <c r="M11" s="14">
        <v>0</v>
      </c>
      <c r="N11" s="16">
        <v>0</v>
      </c>
      <c r="O11" s="14">
        <v>0</v>
      </c>
      <c r="P11" s="16">
        <v>0</v>
      </c>
      <c r="Q11" s="14">
        <v>0</v>
      </c>
      <c r="R11" s="16">
        <v>0</v>
      </c>
    </row>
    <row r="12" spans="1:18" x14ac:dyDescent="0.25">
      <c r="A12" s="11" t="s">
        <v>144</v>
      </c>
      <c r="B12" s="13">
        <v>6894</v>
      </c>
      <c r="C12" s="14">
        <f>(5718/B12*100)</f>
        <v>82.941688424717142</v>
      </c>
      <c r="D12" s="15">
        <v>1176</v>
      </c>
      <c r="E12" s="14">
        <v>22.148719740000001</v>
      </c>
      <c r="F12" s="16">
        <v>1.40004419</v>
      </c>
      <c r="G12" s="14">
        <v>77.851280259999996</v>
      </c>
      <c r="H12" s="16">
        <v>1.40004419</v>
      </c>
      <c r="I12" s="14" t="s">
        <v>139</v>
      </c>
      <c r="J12" s="16" t="s">
        <v>139</v>
      </c>
      <c r="K12" s="14">
        <v>0</v>
      </c>
      <c r="L12" s="16">
        <v>0</v>
      </c>
      <c r="M12" s="14">
        <v>0</v>
      </c>
      <c r="N12" s="16">
        <v>0</v>
      </c>
      <c r="O12" s="14">
        <v>0</v>
      </c>
      <c r="P12" s="16">
        <v>0</v>
      </c>
      <c r="Q12" s="14">
        <v>0</v>
      </c>
      <c r="R12" s="16">
        <v>0</v>
      </c>
    </row>
    <row r="13" spans="1:18" x14ac:dyDescent="0.25">
      <c r="A13" s="11" t="s">
        <v>145</v>
      </c>
      <c r="B13" s="13">
        <v>7161</v>
      </c>
      <c r="C13" s="14">
        <f>(5997/B13*100)</f>
        <v>83.745286971093421</v>
      </c>
      <c r="D13" s="15">
        <v>1164</v>
      </c>
      <c r="E13" s="14">
        <v>13.58603497</v>
      </c>
      <c r="F13" s="16">
        <v>1.46751381</v>
      </c>
      <c r="G13" s="14">
        <v>86.41396503</v>
      </c>
      <c r="H13" s="16">
        <v>1.46751381</v>
      </c>
      <c r="I13" s="14" t="s">
        <v>139</v>
      </c>
      <c r="J13" s="16" t="s">
        <v>139</v>
      </c>
      <c r="K13" s="14">
        <v>0</v>
      </c>
      <c r="L13" s="16">
        <v>0</v>
      </c>
      <c r="M13" s="14">
        <v>0</v>
      </c>
      <c r="N13" s="16">
        <v>0</v>
      </c>
      <c r="O13" s="14">
        <v>0</v>
      </c>
      <c r="P13" s="16">
        <v>0</v>
      </c>
      <c r="Q13" s="14">
        <v>0</v>
      </c>
      <c r="R13" s="16">
        <v>0</v>
      </c>
    </row>
    <row r="14" spans="1:18" x14ac:dyDescent="0.25">
      <c r="A14" s="11" t="s">
        <v>146</v>
      </c>
      <c r="B14" s="13">
        <v>5587</v>
      </c>
      <c r="C14" s="14">
        <f>(4630/B14*100)</f>
        <v>82.870950420619295</v>
      </c>
      <c r="D14" s="15">
        <v>957</v>
      </c>
      <c r="E14" s="14">
        <v>18.333599670000002</v>
      </c>
      <c r="F14" s="16">
        <v>1.47908119</v>
      </c>
      <c r="G14" s="14">
        <v>81.666400330000002</v>
      </c>
      <c r="H14" s="16">
        <v>1.47908119</v>
      </c>
      <c r="I14" s="14" t="s">
        <v>139</v>
      </c>
      <c r="J14" s="16" t="s">
        <v>139</v>
      </c>
      <c r="K14" s="14">
        <v>0</v>
      </c>
      <c r="L14" s="16">
        <v>0</v>
      </c>
      <c r="M14" s="14">
        <v>0</v>
      </c>
      <c r="N14" s="16">
        <v>0</v>
      </c>
      <c r="O14" s="14">
        <v>0</v>
      </c>
      <c r="P14" s="16">
        <v>0</v>
      </c>
      <c r="Q14" s="14">
        <v>0</v>
      </c>
      <c r="R14" s="16">
        <v>0</v>
      </c>
    </row>
    <row r="15" spans="1:18" x14ac:dyDescent="0.25">
      <c r="A15" s="11" t="s">
        <v>147</v>
      </c>
      <c r="B15" s="13">
        <v>5882</v>
      </c>
      <c r="C15" s="14">
        <f>(4904/B15*100)</f>
        <v>83.373002380142808</v>
      </c>
      <c r="D15" s="15">
        <v>978</v>
      </c>
      <c r="E15" s="14">
        <v>14.827476320000001</v>
      </c>
      <c r="F15" s="16">
        <v>1.3393936500000001</v>
      </c>
      <c r="G15" s="14">
        <v>85.172523679999998</v>
      </c>
      <c r="H15" s="16">
        <v>1.3393936500000001</v>
      </c>
      <c r="I15" s="14" t="s">
        <v>139</v>
      </c>
      <c r="J15" s="16" t="s">
        <v>139</v>
      </c>
      <c r="K15" s="14">
        <v>0</v>
      </c>
      <c r="L15" s="16">
        <v>0</v>
      </c>
      <c r="M15" s="14">
        <v>0</v>
      </c>
      <c r="N15" s="16">
        <v>0</v>
      </c>
      <c r="O15" s="14">
        <v>0</v>
      </c>
      <c r="P15" s="16">
        <v>0</v>
      </c>
      <c r="Q15" s="14">
        <v>0</v>
      </c>
      <c r="R15" s="16">
        <v>0</v>
      </c>
    </row>
    <row r="16" spans="1:18" x14ac:dyDescent="0.25">
      <c r="A16" s="11" t="s">
        <v>148</v>
      </c>
      <c r="B16" s="13">
        <v>6108</v>
      </c>
      <c r="C16" s="14">
        <f>(5050/B16*100)</f>
        <v>82.678454485920099</v>
      </c>
      <c r="D16" s="15">
        <v>1058</v>
      </c>
      <c r="E16" s="14">
        <v>19.556781000000001</v>
      </c>
      <c r="F16" s="16">
        <v>1.45609203</v>
      </c>
      <c r="G16" s="14">
        <v>80.443218999999999</v>
      </c>
      <c r="H16" s="16">
        <v>1.45609203</v>
      </c>
      <c r="I16" s="14" t="s">
        <v>139</v>
      </c>
      <c r="J16" s="16" t="s">
        <v>139</v>
      </c>
      <c r="K16" s="14">
        <v>0</v>
      </c>
      <c r="L16" s="16">
        <v>0</v>
      </c>
      <c r="M16" s="14">
        <v>0</v>
      </c>
      <c r="N16" s="16">
        <v>0</v>
      </c>
      <c r="O16" s="14">
        <v>0</v>
      </c>
      <c r="P16" s="16">
        <v>0</v>
      </c>
      <c r="Q16" s="14">
        <v>0</v>
      </c>
      <c r="R16" s="16">
        <v>0</v>
      </c>
    </row>
    <row r="17" spans="1:18" x14ac:dyDescent="0.25">
      <c r="A17" s="11" t="s">
        <v>149</v>
      </c>
      <c r="B17" s="13">
        <v>6504</v>
      </c>
      <c r="C17" s="14">
        <f>(5409/B17*100)</f>
        <v>83.164206642066418</v>
      </c>
      <c r="D17" s="15">
        <v>1095</v>
      </c>
      <c r="E17" s="14">
        <v>17.640399380000002</v>
      </c>
      <c r="F17" s="16">
        <v>1.2065297699999999</v>
      </c>
      <c r="G17" s="14">
        <v>82.359600619999995</v>
      </c>
      <c r="H17" s="16">
        <v>1.2065297699999999</v>
      </c>
      <c r="I17" s="14" t="s">
        <v>139</v>
      </c>
      <c r="J17" s="16" t="s">
        <v>139</v>
      </c>
      <c r="K17" s="14">
        <v>0</v>
      </c>
      <c r="L17" s="16">
        <v>0</v>
      </c>
      <c r="M17" s="14">
        <v>0</v>
      </c>
      <c r="N17" s="16">
        <v>0</v>
      </c>
      <c r="O17" s="14">
        <v>0</v>
      </c>
      <c r="P17" s="16">
        <v>0</v>
      </c>
      <c r="Q17" s="14">
        <v>0</v>
      </c>
      <c r="R17" s="16">
        <v>0</v>
      </c>
    </row>
    <row r="18" spans="1:18" x14ac:dyDescent="0.25">
      <c r="A18" s="11" t="s">
        <v>150</v>
      </c>
      <c r="B18" s="13">
        <v>5532</v>
      </c>
      <c r="C18" s="14">
        <f>(4565/B18*100)</f>
        <v>82.519884309472161</v>
      </c>
      <c r="D18" s="15">
        <v>967</v>
      </c>
      <c r="E18" s="14">
        <v>32.618290819999999</v>
      </c>
      <c r="F18" s="16">
        <v>1.6960234000000001</v>
      </c>
      <c r="G18" s="14">
        <v>67.381709180000001</v>
      </c>
      <c r="H18" s="16">
        <v>1.6960234000000001</v>
      </c>
      <c r="I18" s="14" t="s">
        <v>139</v>
      </c>
      <c r="J18" s="16" t="s">
        <v>139</v>
      </c>
      <c r="K18" s="14">
        <v>0</v>
      </c>
      <c r="L18" s="16">
        <v>0</v>
      </c>
      <c r="M18" s="14">
        <v>0</v>
      </c>
      <c r="N18" s="16">
        <v>0</v>
      </c>
      <c r="O18" s="14">
        <v>0</v>
      </c>
      <c r="P18" s="16">
        <v>0</v>
      </c>
      <c r="Q18" s="14">
        <v>0</v>
      </c>
      <c r="R18" s="16">
        <v>0</v>
      </c>
    </row>
    <row r="19" spans="1:18" x14ac:dyDescent="0.25">
      <c r="A19" s="11" t="s">
        <v>151</v>
      </c>
      <c r="B19" s="13">
        <v>5658</v>
      </c>
      <c r="C19" s="14">
        <f>(4699/B19*100)</f>
        <v>83.050547896783314</v>
      </c>
      <c r="D19" s="15">
        <v>959</v>
      </c>
      <c r="E19" s="14">
        <v>23.712216659999999</v>
      </c>
      <c r="F19" s="16">
        <v>1.56630443</v>
      </c>
      <c r="G19" s="14">
        <v>76.287783340000004</v>
      </c>
      <c r="H19" s="16">
        <v>1.56630443</v>
      </c>
      <c r="I19" s="14" t="s">
        <v>139</v>
      </c>
      <c r="J19" s="16" t="s">
        <v>139</v>
      </c>
      <c r="K19" s="14">
        <v>0</v>
      </c>
      <c r="L19" s="16">
        <v>0</v>
      </c>
      <c r="M19" s="14">
        <v>0</v>
      </c>
      <c r="N19" s="16">
        <v>0</v>
      </c>
      <c r="O19" s="14">
        <v>0</v>
      </c>
      <c r="P19" s="16">
        <v>0</v>
      </c>
      <c r="Q19" s="14">
        <v>0</v>
      </c>
      <c r="R19" s="16">
        <v>0</v>
      </c>
    </row>
    <row r="20" spans="1:18" x14ac:dyDescent="0.25">
      <c r="A20" s="11" t="s">
        <v>152</v>
      </c>
      <c r="B20" s="13">
        <v>3371</v>
      </c>
      <c r="C20" s="14">
        <f>(2790/B20*100)</f>
        <v>82.764758231978647</v>
      </c>
      <c r="D20" s="15">
        <v>581</v>
      </c>
      <c r="E20" s="14">
        <v>14.968470200000001</v>
      </c>
      <c r="F20" s="16">
        <v>1.3895402100000001</v>
      </c>
      <c r="G20" s="14">
        <v>85.031529800000001</v>
      </c>
      <c r="H20" s="16">
        <v>1.3895402100000001</v>
      </c>
      <c r="I20" s="14" t="s">
        <v>139</v>
      </c>
      <c r="J20" s="16" t="s">
        <v>139</v>
      </c>
      <c r="K20" s="14">
        <v>0</v>
      </c>
      <c r="L20" s="16">
        <v>0</v>
      </c>
      <c r="M20" s="14">
        <v>0</v>
      </c>
      <c r="N20" s="16">
        <v>0</v>
      </c>
      <c r="O20" s="14">
        <v>0</v>
      </c>
      <c r="P20" s="16">
        <v>0</v>
      </c>
      <c r="Q20" s="14">
        <v>0</v>
      </c>
      <c r="R20" s="16">
        <v>0</v>
      </c>
    </row>
    <row r="21" spans="1:18" x14ac:dyDescent="0.25">
      <c r="A21" s="11" t="s">
        <v>153</v>
      </c>
      <c r="B21" s="17" t="s">
        <v>154</v>
      </c>
      <c r="C21" s="17" t="s">
        <v>154</v>
      </c>
      <c r="D21" s="18" t="s">
        <v>154</v>
      </c>
      <c r="E21" s="17" t="s">
        <v>154</v>
      </c>
      <c r="F21" s="18" t="s">
        <v>154</v>
      </c>
      <c r="G21" s="17" t="s">
        <v>154</v>
      </c>
      <c r="H21" s="18" t="s">
        <v>154</v>
      </c>
      <c r="I21" s="17" t="s">
        <v>154</v>
      </c>
      <c r="J21" s="18" t="s">
        <v>154</v>
      </c>
      <c r="K21" s="17" t="s">
        <v>154</v>
      </c>
      <c r="L21" s="18" t="s">
        <v>154</v>
      </c>
      <c r="M21" s="17" t="s">
        <v>154</v>
      </c>
      <c r="N21" s="18" t="s">
        <v>154</v>
      </c>
      <c r="O21" s="17" t="s">
        <v>154</v>
      </c>
      <c r="P21" s="18" t="s">
        <v>154</v>
      </c>
      <c r="Q21" s="17" t="s">
        <v>154</v>
      </c>
      <c r="R21" s="18" t="s">
        <v>154</v>
      </c>
    </row>
    <row r="22" spans="1:18" x14ac:dyDescent="0.25">
      <c r="A22" s="11" t="s">
        <v>155</v>
      </c>
      <c r="B22" s="13">
        <v>6598</v>
      </c>
      <c r="C22" s="14">
        <f>(5565/B22*100)</f>
        <v>84.343740527432558</v>
      </c>
      <c r="D22" s="15">
        <v>1033</v>
      </c>
      <c r="E22" s="14">
        <v>27.143184189999999</v>
      </c>
      <c r="F22" s="16">
        <v>1.5709891300000001</v>
      </c>
      <c r="G22" s="14">
        <v>72.856815810000001</v>
      </c>
      <c r="H22" s="16">
        <v>1.5709891300000001</v>
      </c>
      <c r="I22" s="14" t="s">
        <v>139</v>
      </c>
      <c r="J22" s="16" t="s">
        <v>139</v>
      </c>
      <c r="K22" s="14">
        <v>0</v>
      </c>
      <c r="L22" s="16">
        <v>0</v>
      </c>
      <c r="M22" s="14">
        <v>0</v>
      </c>
      <c r="N22" s="16">
        <v>0</v>
      </c>
      <c r="O22" s="14">
        <v>0</v>
      </c>
      <c r="P22" s="16">
        <v>0</v>
      </c>
      <c r="Q22" s="14">
        <v>0</v>
      </c>
      <c r="R22" s="16">
        <v>0</v>
      </c>
    </row>
    <row r="23" spans="1:18" x14ac:dyDescent="0.25">
      <c r="A23" s="11" t="s">
        <v>156</v>
      </c>
      <c r="B23" s="13">
        <v>11583</v>
      </c>
      <c r="C23" s="14">
        <f>(9605/B23*100)</f>
        <v>82.923249589916253</v>
      </c>
      <c r="D23" s="15">
        <v>1978</v>
      </c>
      <c r="E23" s="14">
        <v>18.434183699999998</v>
      </c>
      <c r="F23" s="16">
        <v>1.1951996600000001</v>
      </c>
      <c r="G23" s="14">
        <v>81.565816299999994</v>
      </c>
      <c r="H23" s="16">
        <v>1.1951996600000001</v>
      </c>
      <c r="I23" s="14" t="s">
        <v>139</v>
      </c>
      <c r="J23" s="16" t="s">
        <v>139</v>
      </c>
      <c r="K23" s="14">
        <v>0</v>
      </c>
      <c r="L23" s="16">
        <v>0</v>
      </c>
      <c r="M23" s="14">
        <v>0</v>
      </c>
      <c r="N23" s="16">
        <v>0</v>
      </c>
      <c r="O23" s="14">
        <v>0</v>
      </c>
      <c r="P23" s="16">
        <v>0</v>
      </c>
      <c r="Q23" s="14">
        <v>0</v>
      </c>
      <c r="R23" s="16">
        <v>0</v>
      </c>
    </row>
    <row r="24" spans="1:18" x14ac:dyDescent="0.25">
      <c r="A24" s="11" t="s">
        <v>157</v>
      </c>
      <c r="B24" s="13">
        <v>6647</v>
      </c>
      <c r="C24" s="14">
        <f>(5489/B24*100)</f>
        <v>82.578606890326469</v>
      </c>
      <c r="D24" s="15">
        <v>1158</v>
      </c>
      <c r="E24" s="14">
        <v>15.489108939999999</v>
      </c>
      <c r="F24" s="16">
        <v>1.12279649</v>
      </c>
      <c r="G24" s="14">
        <v>84.510891060000006</v>
      </c>
      <c r="H24" s="16">
        <v>1.12279649</v>
      </c>
      <c r="I24" s="14" t="s">
        <v>139</v>
      </c>
      <c r="J24" s="16" t="s">
        <v>139</v>
      </c>
      <c r="K24" s="14">
        <v>0</v>
      </c>
      <c r="L24" s="16">
        <v>0</v>
      </c>
      <c r="M24" s="14">
        <v>0</v>
      </c>
      <c r="N24" s="16">
        <v>0</v>
      </c>
      <c r="O24" s="14">
        <v>0</v>
      </c>
      <c r="P24" s="16">
        <v>0</v>
      </c>
      <c r="Q24" s="14">
        <v>0</v>
      </c>
      <c r="R24" s="16">
        <v>0</v>
      </c>
    </row>
    <row r="25" spans="1:18" x14ac:dyDescent="0.25">
      <c r="A25" s="11" t="s">
        <v>158</v>
      </c>
      <c r="B25" s="13">
        <v>5581</v>
      </c>
      <c r="C25" s="14">
        <f>(4616/B25*100)</f>
        <v>82.709191901092993</v>
      </c>
      <c r="D25" s="15">
        <v>965</v>
      </c>
      <c r="E25" s="14">
        <v>16.09753151</v>
      </c>
      <c r="F25" s="16">
        <v>1.1035959200000001</v>
      </c>
      <c r="G25" s="14">
        <v>83.902468490000004</v>
      </c>
      <c r="H25" s="16">
        <v>1.1035959200000001</v>
      </c>
      <c r="I25" s="14" t="s">
        <v>139</v>
      </c>
      <c r="J25" s="16" t="s">
        <v>139</v>
      </c>
      <c r="K25" s="14">
        <v>0</v>
      </c>
      <c r="L25" s="16">
        <v>0</v>
      </c>
      <c r="M25" s="14">
        <v>0</v>
      </c>
      <c r="N25" s="16">
        <v>0</v>
      </c>
      <c r="O25" s="14">
        <v>0</v>
      </c>
      <c r="P25" s="16">
        <v>0</v>
      </c>
      <c r="Q25" s="14">
        <v>0</v>
      </c>
      <c r="R25" s="16">
        <v>0</v>
      </c>
    </row>
    <row r="26" spans="1:18" x14ac:dyDescent="0.25">
      <c r="A26" s="11" t="s">
        <v>159</v>
      </c>
      <c r="B26" s="13">
        <v>4869</v>
      </c>
      <c r="C26" s="14">
        <f>(4009/B26*100)</f>
        <v>82.337235571986028</v>
      </c>
      <c r="D26" s="15">
        <v>860</v>
      </c>
      <c r="E26" s="14">
        <v>24.319347390000001</v>
      </c>
      <c r="F26" s="16">
        <v>1.2195455500000001</v>
      </c>
      <c r="G26" s="14">
        <v>75.680652609999996</v>
      </c>
      <c r="H26" s="16">
        <v>1.2195455500000001</v>
      </c>
      <c r="I26" s="14" t="s">
        <v>139</v>
      </c>
      <c r="J26" s="16" t="s">
        <v>139</v>
      </c>
      <c r="K26" s="14">
        <v>0</v>
      </c>
      <c r="L26" s="16">
        <v>0</v>
      </c>
      <c r="M26" s="14">
        <v>0</v>
      </c>
      <c r="N26" s="16">
        <v>0</v>
      </c>
      <c r="O26" s="14">
        <v>0</v>
      </c>
      <c r="P26" s="16">
        <v>0</v>
      </c>
      <c r="Q26" s="14">
        <v>0</v>
      </c>
      <c r="R26" s="16">
        <v>0</v>
      </c>
    </row>
    <row r="27" spans="1:18" x14ac:dyDescent="0.25">
      <c r="A27" s="11" t="s">
        <v>160</v>
      </c>
      <c r="B27" s="13">
        <v>5299</v>
      </c>
      <c r="C27" s="14">
        <f>(4381/B27*100)</f>
        <v>82.675976599358364</v>
      </c>
      <c r="D27" s="15">
        <v>918</v>
      </c>
      <c r="E27" s="14">
        <v>21.95045575</v>
      </c>
      <c r="F27" s="16">
        <v>1.4188050699999999</v>
      </c>
      <c r="G27" s="14">
        <v>78.049544249999997</v>
      </c>
      <c r="H27" s="16">
        <v>1.4188050699999999</v>
      </c>
      <c r="I27" s="14" t="s">
        <v>139</v>
      </c>
      <c r="J27" s="16" t="s">
        <v>139</v>
      </c>
      <c r="K27" s="14">
        <v>0</v>
      </c>
      <c r="L27" s="16">
        <v>0</v>
      </c>
      <c r="M27" s="14">
        <v>0</v>
      </c>
      <c r="N27" s="16">
        <v>0</v>
      </c>
      <c r="O27" s="14">
        <v>0</v>
      </c>
      <c r="P27" s="16">
        <v>0</v>
      </c>
      <c r="Q27" s="14">
        <v>0</v>
      </c>
      <c r="R27" s="16">
        <v>0</v>
      </c>
    </row>
    <row r="28" spans="1:18" x14ac:dyDescent="0.25">
      <c r="A28" s="11" t="s">
        <v>161</v>
      </c>
      <c r="B28" s="13">
        <v>7568</v>
      </c>
      <c r="C28" s="14">
        <f>(6328/B28*100)</f>
        <v>83.61522198731501</v>
      </c>
      <c r="D28" s="15">
        <v>1240</v>
      </c>
      <c r="E28" s="14">
        <v>22.490381060000001</v>
      </c>
      <c r="F28" s="16">
        <v>1.5335444300000001</v>
      </c>
      <c r="G28" s="14">
        <v>77.509618939999996</v>
      </c>
      <c r="H28" s="16">
        <v>1.5335444300000001</v>
      </c>
      <c r="I28" s="14" t="s">
        <v>139</v>
      </c>
      <c r="J28" s="16" t="s">
        <v>139</v>
      </c>
      <c r="K28" s="14">
        <v>0</v>
      </c>
      <c r="L28" s="16">
        <v>0</v>
      </c>
      <c r="M28" s="14">
        <v>0</v>
      </c>
      <c r="N28" s="16">
        <v>0</v>
      </c>
      <c r="O28" s="14">
        <v>0</v>
      </c>
      <c r="P28" s="16">
        <v>0</v>
      </c>
      <c r="Q28" s="14">
        <v>0</v>
      </c>
      <c r="R28" s="16">
        <v>0</v>
      </c>
    </row>
    <row r="29" spans="1:18" x14ac:dyDescent="0.25">
      <c r="A29" s="11" t="s">
        <v>162</v>
      </c>
      <c r="B29" s="13">
        <v>5385</v>
      </c>
      <c r="C29" s="14">
        <f>(4470/B29*100)</f>
        <v>83.008356545961007</v>
      </c>
      <c r="D29" s="15">
        <v>915</v>
      </c>
      <c r="E29" s="14">
        <v>23.056084479999999</v>
      </c>
      <c r="F29" s="16">
        <v>1.47389313</v>
      </c>
      <c r="G29" s="14">
        <v>76.943915520000004</v>
      </c>
      <c r="H29" s="16">
        <v>1.47389313</v>
      </c>
      <c r="I29" s="14" t="s">
        <v>139</v>
      </c>
      <c r="J29" s="16" t="s">
        <v>139</v>
      </c>
      <c r="K29" s="14">
        <v>0</v>
      </c>
      <c r="L29" s="16">
        <v>0</v>
      </c>
      <c r="M29" s="14">
        <v>0</v>
      </c>
      <c r="N29" s="16">
        <v>0</v>
      </c>
      <c r="O29" s="14">
        <v>0</v>
      </c>
      <c r="P29" s="16">
        <v>0</v>
      </c>
      <c r="Q29" s="14">
        <v>0</v>
      </c>
      <c r="R29" s="16">
        <v>0</v>
      </c>
    </row>
    <row r="30" spans="1:18" x14ac:dyDescent="0.25">
      <c r="A30" s="11" t="s">
        <v>163</v>
      </c>
      <c r="B30" s="13">
        <v>4520</v>
      </c>
      <c r="C30" s="14">
        <f>(3747/B30*100)</f>
        <v>82.898230088495566</v>
      </c>
      <c r="D30" s="15">
        <v>773</v>
      </c>
      <c r="E30" s="14">
        <v>11.056663329999999</v>
      </c>
      <c r="F30" s="16">
        <v>1.0062768</v>
      </c>
      <c r="G30" s="14">
        <v>88.943336669999994</v>
      </c>
      <c r="H30" s="16">
        <v>1.0062768</v>
      </c>
      <c r="I30" s="14" t="s">
        <v>139</v>
      </c>
      <c r="J30" s="16" t="s">
        <v>139</v>
      </c>
      <c r="K30" s="14">
        <v>0</v>
      </c>
      <c r="L30" s="16">
        <v>0</v>
      </c>
      <c r="M30" s="14">
        <v>0</v>
      </c>
      <c r="N30" s="16">
        <v>0</v>
      </c>
      <c r="O30" s="14">
        <v>0</v>
      </c>
      <c r="P30" s="16">
        <v>0</v>
      </c>
      <c r="Q30" s="14">
        <v>0</v>
      </c>
      <c r="R30" s="16">
        <v>0</v>
      </c>
    </row>
    <row r="31" spans="1:18" x14ac:dyDescent="0.25">
      <c r="A31" s="11" t="s">
        <v>164</v>
      </c>
      <c r="B31" s="13">
        <v>5456</v>
      </c>
      <c r="C31" s="14">
        <f>(4535/B31*100)</f>
        <v>83.119501466275665</v>
      </c>
      <c r="D31" s="15">
        <v>921</v>
      </c>
      <c r="E31" s="14">
        <v>14.31771017</v>
      </c>
      <c r="F31" s="16">
        <v>0.93978024000000004</v>
      </c>
      <c r="G31" s="14">
        <v>85.682289830000002</v>
      </c>
      <c r="H31" s="16">
        <v>0.93978024000000004</v>
      </c>
      <c r="I31" s="14" t="s">
        <v>139</v>
      </c>
      <c r="J31" s="16" t="s">
        <v>139</v>
      </c>
      <c r="K31" s="14">
        <v>0</v>
      </c>
      <c r="L31" s="16">
        <v>0</v>
      </c>
      <c r="M31" s="14">
        <v>0</v>
      </c>
      <c r="N31" s="16">
        <v>0</v>
      </c>
      <c r="O31" s="14">
        <v>0</v>
      </c>
      <c r="P31" s="16">
        <v>0</v>
      </c>
      <c r="Q31" s="14">
        <v>0</v>
      </c>
      <c r="R31" s="16">
        <v>0</v>
      </c>
    </row>
    <row r="32" spans="1:18" x14ac:dyDescent="0.25">
      <c r="A32" s="11" t="s">
        <v>165</v>
      </c>
      <c r="B32" s="17" t="s">
        <v>154</v>
      </c>
      <c r="C32" s="17" t="s">
        <v>154</v>
      </c>
      <c r="D32" s="18" t="s">
        <v>154</v>
      </c>
      <c r="E32" s="17" t="s">
        <v>154</v>
      </c>
      <c r="F32" s="18" t="s">
        <v>154</v>
      </c>
      <c r="G32" s="17" t="s">
        <v>154</v>
      </c>
      <c r="H32" s="18" t="s">
        <v>154</v>
      </c>
      <c r="I32" s="17" t="s">
        <v>154</v>
      </c>
      <c r="J32" s="18" t="s">
        <v>154</v>
      </c>
      <c r="K32" s="17" t="s">
        <v>154</v>
      </c>
      <c r="L32" s="18" t="s">
        <v>154</v>
      </c>
      <c r="M32" s="17" t="s">
        <v>154</v>
      </c>
      <c r="N32" s="18" t="s">
        <v>154</v>
      </c>
      <c r="O32" s="17" t="s">
        <v>154</v>
      </c>
      <c r="P32" s="18" t="s">
        <v>154</v>
      </c>
      <c r="Q32" s="17" t="s">
        <v>154</v>
      </c>
      <c r="R32" s="18" t="s">
        <v>154</v>
      </c>
    </row>
    <row r="33" spans="1:18" x14ac:dyDescent="0.25">
      <c r="A33" s="11" t="s">
        <v>166</v>
      </c>
      <c r="B33" s="13">
        <v>7325</v>
      </c>
      <c r="C33" s="14">
        <f>(6101/B33*100)</f>
        <v>83.290102389078498</v>
      </c>
      <c r="D33" s="15">
        <v>1224</v>
      </c>
      <c r="E33" s="14">
        <v>19.150240920000002</v>
      </c>
      <c r="F33" s="16">
        <v>1.47419279</v>
      </c>
      <c r="G33" s="14">
        <v>80.849759079999998</v>
      </c>
      <c r="H33" s="16">
        <v>1.47419279</v>
      </c>
      <c r="I33" s="14" t="s">
        <v>139</v>
      </c>
      <c r="J33" s="16" t="s">
        <v>139</v>
      </c>
      <c r="K33" s="14">
        <v>0</v>
      </c>
      <c r="L33" s="16">
        <v>0</v>
      </c>
      <c r="M33" s="14">
        <v>0</v>
      </c>
      <c r="N33" s="16">
        <v>0</v>
      </c>
      <c r="O33" s="14">
        <v>0</v>
      </c>
      <c r="P33" s="16">
        <v>0</v>
      </c>
      <c r="Q33" s="14">
        <v>0</v>
      </c>
      <c r="R33" s="16">
        <v>0</v>
      </c>
    </row>
    <row r="34" spans="1:18" x14ac:dyDescent="0.25">
      <c r="A34" s="11" t="s">
        <v>167</v>
      </c>
      <c r="B34" s="13">
        <v>6350</v>
      </c>
      <c r="C34" s="14">
        <f>(5284/B34*100)</f>
        <v>83.212598425196845</v>
      </c>
      <c r="D34" s="15">
        <v>1066</v>
      </c>
      <c r="E34" s="14">
        <v>21.739427419999998</v>
      </c>
      <c r="F34" s="16">
        <v>1.2615452899999999</v>
      </c>
      <c r="G34" s="14">
        <v>78.260572580000002</v>
      </c>
      <c r="H34" s="16">
        <v>1.2615452899999999</v>
      </c>
      <c r="I34" s="14" t="s">
        <v>139</v>
      </c>
      <c r="J34" s="16" t="s">
        <v>139</v>
      </c>
      <c r="K34" s="14">
        <v>0</v>
      </c>
      <c r="L34" s="16">
        <v>0</v>
      </c>
      <c r="M34" s="14">
        <v>0</v>
      </c>
      <c r="N34" s="16">
        <v>0</v>
      </c>
      <c r="O34" s="14">
        <v>0</v>
      </c>
      <c r="P34" s="16">
        <v>0</v>
      </c>
      <c r="Q34" s="14">
        <v>0</v>
      </c>
      <c r="R34" s="16">
        <v>0</v>
      </c>
    </row>
    <row r="35" spans="1:18" x14ac:dyDescent="0.25">
      <c r="A35" s="11" t="s">
        <v>168</v>
      </c>
      <c r="B35" s="13">
        <v>6406</v>
      </c>
      <c r="C35" s="14">
        <f>(5299/B35*100)</f>
        <v>82.719325632219793</v>
      </c>
      <c r="D35" s="15">
        <v>1107</v>
      </c>
      <c r="E35" s="14">
        <v>17.322106229999999</v>
      </c>
      <c r="F35" s="16">
        <v>1.10491848</v>
      </c>
      <c r="G35" s="14">
        <v>82.677893769999997</v>
      </c>
      <c r="H35" s="16">
        <v>1.10491848</v>
      </c>
      <c r="I35" s="14" t="s">
        <v>139</v>
      </c>
      <c r="J35" s="16" t="s">
        <v>139</v>
      </c>
      <c r="K35" s="14">
        <v>0</v>
      </c>
      <c r="L35" s="16">
        <v>0</v>
      </c>
      <c r="M35" s="14">
        <v>0</v>
      </c>
      <c r="N35" s="16">
        <v>0</v>
      </c>
      <c r="O35" s="14">
        <v>0</v>
      </c>
      <c r="P35" s="16">
        <v>0</v>
      </c>
      <c r="Q35" s="14">
        <v>0</v>
      </c>
      <c r="R35" s="16">
        <v>0</v>
      </c>
    </row>
    <row r="36" spans="1:18" x14ac:dyDescent="0.25">
      <c r="A36" s="11" t="s">
        <v>169</v>
      </c>
      <c r="B36" s="13">
        <v>6736</v>
      </c>
      <c r="C36" s="14">
        <f>(5580/B36*100)</f>
        <v>82.838479809976249</v>
      </c>
      <c r="D36" s="15">
        <v>1156</v>
      </c>
      <c r="E36" s="14">
        <v>18.976279779999999</v>
      </c>
      <c r="F36" s="16">
        <v>1.3484867700000001</v>
      </c>
      <c r="G36" s="14">
        <v>81.023720220000001</v>
      </c>
      <c r="H36" s="16">
        <v>1.3484867700000001</v>
      </c>
      <c r="I36" s="14" t="s">
        <v>139</v>
      </c>
      <c r="J36" s="16" t="s">
        <v>139</v>
      </c>
      <c r="K36" s="14">
        <v>0</v>
      </c>
      <c r="L36" s="16">
        <v>0</v>
      </c>
      <c r="M36" s="14">
        <v>0</v>
      </c>
      <c r="N36" s="16">
        <v>0</v>
      </c>
      <c r="O36" s="14">
        <v>0</v>
      </c>
      <c r="P36" s="16">
        <v>0</v>
      </c>
      <c r="Q36" s="14">
        <v>0</v>
      </c>
      <c r="R36" s="16">
        <v>0</v>
      </c>
    </row>
    <row r="37" spans="1:18" x14ac:dyDescent="0.25">
      <c r="A37" s="11" t="s">
        <v>170</v>
      </c>
      <c r="B37" s="13">
        <v>5458</v>
      </c>
      <c r="C37" s="14">
        <f>(4558/B37*100)</f>
        <v>83.510443385855623</v>
      </c>
      <c r="D37" s="15">
        <v>900</v>
      </c>
      <c r="E37" s="14">
        <v>17.905200279999999</v>
      </c>
      <c r="F37" s="16">
        <v>1.3052653700000001</v>
      </c>
      <c r="G37" s="14">
        <v>82.094799719999997</v>
      </c>
      <c r="H37" s="16">
        <v>1.3052653700000001</v>
      </c>
      <c r="I37" s="14" t="s">
        <v>139</v>
      </c>
      <c r="J37" s="16" t="s">
        <v>139</v>
      </c>
      <c r="K37" s="14">
        <v>0</v>
      </c>
      <c r="L37" s="16">
        <v>0</v>
      </c>
      <c r="M37" s="14">
        <v>0</v>
      </c>
      <c r="N37" s="16">
        <v>0</v>
      </c>
      <c r="O37" s="14">
        <v>0</v>
      </c>
      <c r="P37" s="16">
        <v>0</v>
      </c>
      <c r="Q37" s="14">
        <v>0</v>
      </c>
      <c r="R37" s="16">
        <v>0</v>
      </c>
    </row>
    <row r="38" spans="1:18" x14ac:dyDescent="0.25">
      <c r="A38" s="11" t="s">
        <v>171</v>
      </c>
      <c r="B38" s="17" t="s">
        <v>154</v>
      </c>
      <c r="C38" s="17" t="s">
        <v>154</v>
      </c>
      <c r="D38" s="18" t="s">
        <v>154</v>
      </c>
      <c r="E38" s="17" t="s">
        <v>154</v>
      </c>
      <c r="F38" s="18" t="s">
        <v>154</v>
      </c>
      <c r="G38" s="17" t="s">
        <v>154</v>
      </c>
      <c r="H38" s="18" t="s">
        <v>154</v>
      </c>
      <c r="I38" s="17" t="s">
        <v>154</v>
      </c>
      <c r="J38" s="18" t="s">
        <v>154</v>
      </c>
      <c r="K38" s="17" t="s">
        <v>154</v>
      </c>
      <c r="L38" s="18" t="s">
        <v>154</v>
      </c>
      <c r="M38" s="17" t="s">
        <v>154</v>
      </c>
      <c r="N38" s="18" t="s">
        <v>154</v>
      </c>
      <c r="O38" s="17" t="s">
        <v>154</v>
      </c>
      <c r="P38" s="18" t="s">
        <v>154</v>
      </c>
      <c r="Q38" s="17" t="s">
        <v>154</v>
      </c>
      <c r="R38" s="18" t="s">
        <v>154</v>
      </c>
    </row>
    <row r="39" spans="1:18" x14ac:dyDescent="0.25">
      <c r="A39" s="11" t="s">
        <v>172</v>
      </c>
      <c r="B39" s="13">
        <v>5895</v>
      </c>
      <c r="C39" s="14">
        <f>(4870/B39*100)</f>
        <v>82.612383375742155</v>
      </c>
      <c r="D39" s="15">
        <v>1025</v>
      </c>
      <c r="E39" s="14">
        <v>26.6759907</v>
      </c>
      <c r="F39" s="16">
        <v>1.50726194</v>
      </c>
      <c r="G39" s="14">
        <v>73.3240093</v>
      </c>
      <c r="H39" s="16">
        <v>1.50726194</v>
      </c>
      <c r="I39" s="14" t="s">
        <v>139</v>
      </c>
      <c r="J39" s="16" t="s">
        <v>139</v>
      </c>
      <c r="K39" s="14">
        <v>0</v>
      </c>
      <c r="L39" s="16">
        <v>0</v>
      </c>
      <c r="M39" s="14">
        <v>0</v>
      </c>
      <c r="N39" s="16">
        <v>0</v>
      </c>
      <c r="O39" s="14">
        <v>0</v>
      </c>
      <c r="P39" s="16">
        <v>0</v>
      </c>
      <c r="Q39" s="14">
        <v>0</v>
      </c>
      <c r="R39" s="16">
        <v>0</v>
      </c>
    </row>
    <row r="40" spans="1:18" x14ac:dyDescent="0.25">
      <c r="A40" s="11" t="s">
        <v>173</v>
      </c>
      <c r="B40" s="13">
        <v>14157</v>
      </c>
      <c r="C40" s="14">
        <f>(11633/B40*100)</f>
        <v>82.17136398954581</v>
      </c>
      <c r="D40" s="15">
        <v>2524</v>
      </c>
      <c r="E40" s="14">
        <v>13.930222519999999</v>
      </c>
      <c r="F40" s="16">
        <v>1.07439665</v>
      </c>
      <c r="G40" s="14">
        <v>86.069777479999999</v>
      </c>
      <c r="H40" s="16">
        <v>1.07439665</v>
      </c>
      <c r="I40" s="14" t="s">
        <v>139</v>
      </c>
      <c r="J40" s="16" t="s">
        <v>139</v>
      </c>
      <c r="K40" s="14">
        <v>0</v>
      </c>
      <c r="L40" s="16">
        <v>0</v>
      </c>
      <c r="M40" s="14">
        <v>0</v>
      </c>
      <c r="N40" s="16">
        <v>0</v>
      </c>
      <c r="O40" s="14">
        <v>0</v>
      </c>
      <c r="P40" s="16">
        <v>0</v>
      </c>
      <c r="Q40" s="14">
        <v>0</v>
      </c>
      <c r="R40" s="16">
        <v>0</v>
      </c>
    </row>
    <row r="41" spans="1:18" x14ac:dyDescent="0.25">
      <c r="A41" s="11" t="s">
        <v>174</v>
      </c>
      <c r="B41" s="13">
        <v>5712</v>
      </c>
      <c r="C41" s="14">
        <f>(4759/B41*100)</f>
        <v>83.315826330532218</v>
      </c>
      <c r="D41" s="15">
        <v>953</v>
      </c>
      <c r="E41" s="14">
        <v>11.41791141</v>
      </c>
      <c r="F41" s="16">
        <v>0.92882949000000004</v>
      </c>
      <c r="G41" s="14">
        <v>88.582088589999998</v>
      </c>
      <c r="H41" s="16">
        <v>0.92882949000000004</v>
      </c>
      <c r="I41" s="14" t="s">
        <v>139</v>
      </c>
      <c r="J41" s="16" t="s">
        <v>139</v>
      </c>
      <c r="K41" s="14">
        <v>0</v>
      </c>
      <c r="L41" s="16">
        <v>0</v>
      </c>
      <c r="M41" s="14">
        <v>0</v>
      </c>
      <c r="N41" s="16">
        <v>0</v>
      </c>
      <c r="O41" s="14">
        <v>0</v>
      </c>
      <c r="P41" s="16">
        <v>0</v>
      </c>
      <c r="Q41" s="14">
        <v>0</v>
      </c>
      <c r="R41" s="16">
        <v>0</v>
      </c>
    </row>
    <row r="42" spans="1:18" x14ac:dyDescent="0.25">
      <c r="A42" s="11" t="s">
        <v>175</v>
      </c>
      <c r="B42" s="13">
        <f>IF(COUNT(B7:B41) &gt; 0, AVERAGE(B7:B41), "\u2014")</f>
        <v>7266.90625</v>
      </c>
      <c r="C42" s="14">
        <f>IF(COUNT(C7:C41) &gt; 0, AVERAGE(C7:C41), "—")</f>
        <v>82.987487641913049</v>
      </c>
      <c r="D42" s="15">
        <f>IF(COUNT(D7:D41) &gt; 0, AVERAGE(D7:D41), "—")</f>
        <v>1237.71875</v>
      </c>
      <c r="E42" s="14">
        <f>IF(COUNT(E7:E41) &gt; 0, AVERAGE(E7:E41), "—")</f>
        <v>18.982866828750002</v>
      </c>
      <c r="F42" s="16">
        <f>IF(COUNT(F7:F41) &gt; 0, SQRT(SUMSQ(F7:F41)/(COUNT(F7:F41)*COUNT(F7:F41)) ), "—")</f>
        <v>0.23175440839349284</v>
      </c>
      <c r="G42" s="14">
        <f>IF(COUNT(G7:G41) &gt; 0, AVERAGE(G7:G41), "—")</f>
        <v>81.017133171250009</v>
      </c>
      <c r="H42" s="16">
        <f>IF(COUNT(H7:H41) &gt; 0, SQRT(SUMSQ(H7:H41)/(COUNT(H7:H41)*COUNT(H7:H41)) ), "—")</f>
        <v>0.23175440839349284</v>
      </c>
      <c r="I42" s="14" t="str">
        <f>IF(COUNT(I7:I41) &gt; 0, AVERAGE(I7:I41), "—")</f>
        <v>—</v>
      </c>
      <c r="J42" s="16" t="str">
        <f>IF(COUNT(J7:J41) &gt; 0, SQRT(SUMSQ(J7:J41)/(COUNT(J7:J41)*COUNT(J7:J41)) ), "—")</f>
        <v>—</v>
      </c>
      <c r="K42" s="14">
        <f>IF(COUNT(K7:K41) &gt; 0, AVERAGE(K7:K41), "—")</f>
        <v>0</v>
      </c>
      <c r="L42" s="16">
        <f>IF(COUNT(L7:L41) &gt; 0, SQRT(SUMSQ(L7:L41)/(COUNT(L7:L41)*COUNT(L7:L41)) ), "—")</f>
        <v>0</v>
      </c>
      <c r="M42" s="14">
        <f>IF(COUNT(M7:M41) &gt; 0, AVERAGE(M7:M41), "—")</f>
        <v>0</v>
      </c>
      <c r="N42" s="16">
        <f>IF(COUNT(N7:N41) &gt; 0, SQRT(SUMSQ(N7:N41)/(COUNT(N7:N41)*COUNT(N7:N41)) ), "—")</f>
        <v>0</v>
      </c>
      <c r="O42" s="14">
        <f>IF(COUNT(O7:O41) &gt; 0, AVERAGE(O7:O41), "—")</f>
        <v>0</v>
      </c>
      <c r="P42" s="16">
        <f>IF(COUNT(P7:P41) &gt; 0, SQRT(SUMSQ(P7:P41)/(COUNT(P7:P41)*COUNT(P7:P41)) ), "—")</f>
        <v>0</v>
      </c>
      <c r="Q42" s="14">
        <f>IF(COUNT(Q7:Q41) &gt; 0, AVERAGE(Q7:Q41), "—")</f>
        <v>0</v>
      </c>
      <c r="R42" s="16">
        <f>IF(COUNT(R7:R41) &gt; 0, SQRT(SUMSQ(R7:R41)/(COUNT(R7:R41)*COUNT(R7:R41)) ), "—")</f>
        <v>0</v>
      </c>
    </row>
    <row r="43" spans="1:18" x14ac:dyDescent="0.25">
      <c r="A43" s="9" t="s">
        <v>176</v>
      </c>
      <c r="B43" s="10"/>
      <c r="C43" s="10"/>
      <c r="D43" s="11"/>
      <c r="E43" s="10"/>
      <c r="F43" s="11"/>
      <c r="G43" s="10"/>
      <c r="H43" s="11"/>
      <c r="I43" s="10"/>
      <c r="J43" s="11"/>
      <c r="K43" s="10"/>
      <c r="L43" s="11"/>
      <c r="M43" s="10"/>
      <c r="N43" s="11"/>
      <c r="O43" s="10"/>
      <c r="P43" s="11"/>
      <c r="Q43" s="10"/>
      <c r="R43" s="12"/>
    </row>
    <row r="44" spans="1:18" x14ac:dyDescent="0.25">
      <c r="A44" s="11" t="s">
        <v>177</v>
      </c>
      <c r="B44" s="17" t="s">
        <v>154</v>
      </c>
      <c r="C44" s="17" t="s">
        <v>154</v>
      </c>
      <c r="D44" s="18" t="s">
        <v>154</v>
      </c>
      <c r="E44" s="17" t="s">
        <v>154</v>
      </c>
      <c r="F44" s="18" t="s">
        <v>154</v>
      </c>
      <c r="G44" s="17" t="s">
        <v>154</v>
      </c>
      <c r="H44" s="18" t="s">
        <v>154</v>
      </c>
      <c r="I44" s="17" t="s">
        <v>154</v>
      </c>
      <c r="J44" s="18" t="s">
        <v>154</v>
      </c>
      <c r="K44" s="17" t="s">
        <v>154</v>
      </c>
      <c r="L44" s="18" t="s">
        <v>154</v>
      </c>
      <c r="M44" s="17" t="s">
        <v>154</v>
      </c>
      <c r="N44" s="18" t="s">
        <v>154</v>
      </c>
      <c r="O44" s="17" t="s">
        <v>154</v>
      </c>
      <c r="P44" s="18" t="s">
        <v>154</v>
      </c>
      <c r="Q44" s="17" t="s">
        <v>154</v>
      </c>
      <c r="R44" s="18" t="s">
        <v>154</v>
      </c>
    </row>
    <row r="45" spans="1:18" x14ac:dyDescent="0.25">
      <c r="A45" s="11" t="s">
        <v>178</v>
      </c>
      <c r="B45" s="17" t="s">
        <v>154</v>
      </c>
      <c r="C45" s="17" t="s">
        <v>154</v>
      </c>
      <c r="D45" s="18" t="s">
        <v>154</v>
      </c>
      <c r="E45" s="17" t="s">
        <v>154</v>
      </c>
      <c r="F45" s="18" t="s">
        <v>154</v>
      </c>
      <c r="G45" s="17" t="s">
        <v>154</v>
      </c>
      <c r="H45" s="18" t="s">
        <v>154</v>
      </c>
      <c r="I45" s="17" t="s">
        <v>154</v>
      </c>
      <c r="J45" s="18" t="s">
        <v>154</v>
      </c>
      <c r="K45" s="17" t="s">
        <v>154</v>
      </c>
      <c r="L45" s="18" t="s">
        <v>154</v>
      </c>
      <c r="M45" s="17" t="s">
        <v>154</v>
      </c>
      <c r="N45" s="18" t="s">
        <v>154</v>
      </c>
      <c r="O45" s="17" t="s">
        <v>154</v>
      </c>
      <c r="P45" s="18" t="s">
        <v>154</v>
      </c>
      <c r="Q45" s="17" t="s">
        <v>154</v>
      </c>
      <c r="R45" s="18" t="s">
        <v>154</v>
      </c>
    </row>
    <row r="46" spans="1:18" x14ac:dyDescent="0.25">
      <c r="A46" s="11" t="s">
        <v>179</v>
      </c>
      <c r="B46" s="13">
        <v>23141</v>
      </c>
      <c r="C46" s="14">
        <f>(19679/B46*100)</f>
        <v>85.039540210016852</v>
      </c>
      <c r="D46" s="15">
        <v>3462</v>
      </c>
      <c r="E46" s="14">
        <v>37.001210129999997</v>
      </c>
      <c r="F46" s="16">
        <v>1.0062829499999999</v>
      </c>
      <c r="G46" s="14">
        <v>62.998789870000003</v>
      </c>
      <c r="H46" s="16">
        <v>1.0062829499999999</v>
      </c>
      <c r="I46" s="14" t="s">
        <v>139</v>
      </c>
      <c r="J46" s="16" t="s">
        <v>139</v>
      </c>
      <c r="K46" s="14">
        <v>0</v>
      </c>
      <c r="L46" s="16">
        <v>0</v>
      </c>
      <c r="M46" s="14">
        <v>0</v>
      </c>
      <c r="N46" s="16">
        <v>0</v>
      </c>
      <c r="O46" s="14">
        <v>0</v>
      </c>
      <c r="P46" s="16">
        <v>0</v>
      </c>
      <c r="Q46" s="14">
        <v>0</v>
      </c>
      <c r="R46" s="16">
        <v>0</v>
      </c>
    </row>
    <row r="47" spans="1:18" x14ac:dyDescent="0.25">
      <c r="A47" s="11" t="s">
        <v>180</v>
      </c>
      <c r="B47" s="13">
        <v>5928</v>
      </c>
      <c r="C47" s="14">
        <f>(4925/B47*100)</f>
        <v>83.080296896086367</v>
      </c>
      <c r="D47" s="15">
        <v>1003</v>
      </c>
      <c r="E47" s="14">
        <v>29.011734480000001</v>
      </c>
      <c r="F47" s="16">
        <v>1.85767533</v>
      </c>
      <c r="G47" s="14">
        <v>70.988265519999999</v>
      </c>
      <c r="H47" s="16">
        <v>1.85767533</v>
      </c>
      <c r="I47" s="14" t="s">
        <v>139</v>
      </c>
      <c r="J47" s="16" t="s">
        <v>139</v>
      </c>
      <c r="K47" s="14">
        <v>0</v>
      </c>
      <c r="L47" s="16">
        <v>0</v>
      </c>
      <c r="M47" s="14">
        <v>0</v>
      </c>
      <c r="N47" s="16">
        <v>0</v>
      </c>
      <c r="O47" s="14">
        <v>0</v>
      </c>
      <c r="P47" s="16">
        <v>0</v>
      </c>
      <c r="Q47" s="14">
        <v>0</v>
      </c>
      <c r="R47" s="16">
        <v>0</v>
      </c>
    </row>
    <row r="48" spans="1:18" x14ac:dyDescent="0.25">
      <c r="A48" s="11" t="s">
        <v>181</v>
      </c>
      <c r="B48" s="13">
        <v>9841</v>
      </c>
      <c r="C48" s="14">
        <f>(8150/B48*100)</f>
        <v>82.8167869118992</v>
      </c>
      <c r="D48" s="15">
        <v>1691</v>
      </c>
      <c r="E48" s="14">
        <v>22.467752669999999</v>
      </c>
      <c r="F48" s="16">
        <v>1.5194390200000001</v>
      </c>
      <c r="G48" s="14">
        <v>77.532247330000004</v>
      </c>
      <c r="H48" s="16">
        <v>1.5194390200000001</v>
      </c>
      <c r="I48" s="14" t="s">
        <v>139</v>
      </c>
      <c r="J48" s="16" t="s">
        <v>139</v>
      </c>
      <c r="K48" s="14">
        <v>0</v>
      </c>
      <c r="L48" s="16">
        <v>0</v>
      </c>
      <c r="M48" s="14">
        <v>0</v>
      </c>
      <c r="N48" s="16">
        <v>0</v>
      </c>
      <c r="O48" s="14">
        <v>0</v>
      </c>
      <c r="P48" s="16">
        <v>0</v>
      </c>
      <c r="Q48" s="14">
        <v>0</v>
      </c>
      <c r="R48" s="16">
        <v>0</v>
      </c>
    </row>
    <row r="49" spans="1:18" x14ac:dyDescent="0.25">
      <c r="A49" s="11" t="s">
        <v>182</v>
      </c>
      <c r="B49" s="17" t="s">
        <v>154</v>
      </c>
      <c r="C49" s="17" t="s">
        <v>154</v>
      </c>
      <c r="D49" s="18" t="s">
        <v>154</v>
      </c>
      <c r="E49" s="17" t="s">
        <v>154</v>
      </c>
      <c r="F49" s="18" t="s">
        <v>154</v>
      </c>
      <c r="G49" s="17" t="s">
        <v>154</v>
      </c>
      <c r="H49" s="18" t="s">
        <v>154</v>
      </c>
      <c r="I49" s="17" t="s">
        <v>154</v>
      </c>
      <c r="J49" s="18" t="s">
        <v>154</v>
      </c>
      <c r="K49" s="17" t="s">
        <v>154</v>
      </c>
      <c r="L49" s="18" t="s">
        <v>154</v>
      </c>
      <c r="M49" s="17" t="s">
        <v>154</v>
      </c>
      <c r="N49" s="18" t="s">
        <v>154</v>
      </c>
      <c r="O49" s="17" t="s">
        <v>154</v>
      </c>
      <c r="P49" s="18" t="s">
        <v>154</v>
      </c>
      <c r="Q49" s="17" t="s">
        <v>154</v>
      </c>
      <c r="R49" s="18" t="s">
        <v>154</v>
      </c>
    </row>
    <row r="50" spans="1:18" x14ac:dyDescent="0.25">
      <c r="A50" s="11" t="s">
        <v>183</v>
      </c>
      <c r="B50" s="13">
        <v>11795</v>
      </c>
      <c r="C50" s="14">
        <f>(9800/B50*100)</f>
        <v>83.086053412462917</v>
      </c>
      <c r="D50" s="15">
        <v>1995</v>
      </c>
      <c r="E50" s="14">
        <v>27.687320639999999</v>
      </c>
      <c r="F50" s="16">
        <v>1.24340747</v>
      </c>
      <c r="G50" s="14">
        <v>72.312679360000004</v>
      </c>
      <c r="H50" s="16">
        <v>1.24340747</v>
      </c>
      <c r="I50" s="14" t="s">
        <v>139</v>
      </c>
      <c r="J50" s="16" t="s">
        <v>139</v>
      </c>
      <c r="K50" s="14">
        <v>0</v>
      </c>
      <c r="L50" s="16">
        <v>0</v>
      </c>
      <c r="M50" s="14">
        <v>0</v>
      </c>
      <c r="N50" s="16">
        <v>0</v>
      </c>
      <c r="O50" s="14">
        <v>0</v>
      </c>
      <c r="P50" s="16">
        <v>0</v>
      </c>
      <c r="Q50" s="14">
        <v>0</v>
      </c>
      <c r="R50" s="16">
        <v>0</v>
      </c>
    </row>
    <row r="51" spans="1:18" x14ac:dyDescent="0.25">
      <c r="A51" s="11" t="s">
        <v>184</v>
      </c>
      <c r="B51" s="13">
        <v>6866</v>
      </c>
      <c r="C51" s="14">
        <f>(5850/B51*100)</f>
        <v>85.202446839498975</v>
      </c>
      <c r="D51" s="15">
        <v>1016</v>
      </c>
      <c r="E51" s="14">
        <v>23.222263120000001</v>
      </c>
      <c r="F51" s="16">
        <v>1.55354809</v>
      </c>
      <c r="G51" s="14">
        <v>76.777736880000006</v>
      </c>
      <c r="H51" s="16">
        <v>1.55354809</v>
      </c>
      <c r="I51" s="14" t="s">
        <v>139</v>
      </c>
      <c r="J51" s="16" t="s">
        <v>139</v>
      </c>
      <c r="K51" s="14">
        <v>0</v>
      </c>
      <c r="L51" s="16">
        <v>0</v>
      </c>
      <c r="M51" s="14">
        <v>0</v>
      </c>
      <c r="N51" s="16">
        <v>0</v>
      </c>
      <c r="O51" s="14">
        <v>0</v>
      </c>
      <c r="P51" s="16">
        <v>0</v>
      </c>
      <c r="Q51" s="14">
        <v>0</v>
      </c>
      <c r="R51" s="16">
        <v>0</v>
      </c>
    </row>
    <row r="52" spans="1:18" x14ac:dyDescent="0.25">
      <c r="A52" s="11" t="s">
        <v>185</v>
      </c>
      <c r="B52" s="13">
        <v>5809</v>
      </c>
      <c r="C52" s="14">
        <f>(4801/B52*100)</f>
        <v>82.647615768634878</v>
      </c>
      <c r="D52" s="15">
        <v>1008</v>
      </c>
      <c r="E52" s="14">
        <v>25.881692189999999</v>
      </c>
      <c r="F52" s="16">
        <v>1.3361101099999999</v>
      </c>
      <c r="G52" s="14">
        <v>74.118307810000005</v>
      </c>
      <c r="H52" s="16">
        <v>1.3361101099999999</v>
      </c>
      <c r="I52" s="14" t="s">
        <v>139</v>
      </c>
      <c r="J52" s="16" t="s">
        <v>139</v>
      </c>
      <c r="K52" s="14">
        <v>0</v>
      </c>
      <c r="L52" s="16">
        <v>0</v>
      </c>
      <c r="M52" s="14">
        <v>0</v>
      </c>
      <c r="N52" s="16">
        <v>0</v>
      </c>
      <c r="O52" s="14">
        <v>0</v>
      </c>
      <c r="P52" s="16">
        <v>0</v>
      </c>
      <c r="Q52" s="14">
        <v>0</v>
      </c>
      <c r="R52" s="16">
        <v>0</v>
      </c>
    </row>
    <row r="53" spans="1:18" x14ac:dyDescent="0.25">
      <c r="A53" s="11" t="s">
        <v>186</v>
      </c>
      <c r="B53" s="13">
        <v>5571</v>
      </c>
      <c r="C53" s="14">
        <f>(4606/B53*100)</f>
        <v>82.678154729851016</v>
      </c>
      <c r="D53" s="15">
        <v>965</v>
      </c>
      <c r="E53" s="14">
        <v>28.599454680000001</v>
      </c>
      <c r="F53" s="16">
        <v>1.6070124699999999</v>
      </c>
      <c r="G53" s="14">
        <v>71.400545320000006</v>
      </c>
      <c r="H53" s="16">
        <v>1.6070124699999999</v>
      </c>
      <c r="I53" s="14" t="s">
        <v>139</v>
      </c>
      <c r="J53" s="16" t="s">
        <v>139</v>
      </c>
      <c r="K53" s="14">
        <v>0</v>
      </c>
      <c r="L53" s="16">
        <v>0</v>
      </c>
      <c r="M53" s="14">
        <v>0</v>
      </c>
      <c r="N53" s="16">
        <v>0</v>
      </c>
      <c r="O53" s="14">
        <v>0</v>
      </c>
      <c r="P53" s="16">
        <v>0</v>
      </c>
      <c r="Q53" s="14">
        <v>0</v>
      </c>
      <c r="R53" s="16">
        <v>0</v>
      </c>
    </row>
    <row r="54" spans="1:18" x14ac:dyDescent="0.25">
      <c r="A54" s="11" t="s">
        <v>187</v>
      </c>
      <c r="B54" s="17" t="s">
        <v>154</v>
      </c>
      <c r="C54" s="17" t="s">
        <v>154</v>
      </c>
      <c r="D54" s="18" t="s">
        <v>154</v>
      </c>
      <c r="E54" s="17" t="s">
        <v>154</v>
      </c>
      <c r="F54" s="18" t="s">
        <v>154</v>
      </c>
      <c r="G54" s="17" t="s">
        <v>154</v>
      </c>
      <c r="H54" s="18" t="s">
        <v>154</v>
      </c>
      <c r="I54" s="17" t="s">
        <v>154</v>
      </c>
      <c r="J54" s="18" t="s">
        <v>154</v>
      </c>
      <c r="K54" s="17" t="s">
        <v>154</v>
      </c>
      <c r="L54" s="18" t="s">
        <v>154</v>
      </c>
      <c r="M54" s="17" t="s">
        <v>154</v>
      </c>
      <c r="N54" s="18" t="s">
        <v>154</v>
      </c>
      <c r="O54" s="17" t="s">
        <v>154</v>
      </c>
      <c r="P54" s="18" t="s">
        <v>154</v>
      </c>
      <c r="Q54" s="17" t="s">
        <v>154</v>
      </c>
      <c r="R54" s="18" t="s">
        <v>154</v>
      </c>
    </row>
    <row r="55" spans="1:18" x14ac:dyDescent="0.25">
      <c r="A55" s="11" t="s">
        <v>188</v>
      </c>
      <c r="B55" s="17" t="s">
        <v>154</v>
      </c>
      <c r="C55" s="17" t="s">
        <v>154</v>
      </c>
      <c r="D55" s="18" t="s">
        <v>154</v>
      </c>
      <c r="E55" s="17" t="s">
        <v>154</v>
      </c>
      <c r="F55" s="18" t="s">
        <v>154</v>
      </c>
      <c r="G55" s="17" t="s">
        <v>154</v>
      </c>
      <c r="H55" s="18" t="s">
        <v>154</v>
      </c>
      <c r="I55" s="17" t="s">
        <v>154</v>
      </c>
      <c r="J55" s="18" t="s">
        <v>154</v>
      </c>
      <c r="K55" s="17" t="s">
        <v>154</v>
      </c>
      <c r="L55" s="18" t="s">
        <v>154</v>
      </c>
      <c r="M55" s="17" t="s">
        <v>154</v>
      </c>
      <c r="N55" s="18" t="s">
        <v>154</v>
      </c>
      <c r="O55" s="17" t="s">
        <v>154</v>
      </c>
      <c r="P55" s="18" t="s">
        <v>154</v>
      </c>
      <c r="Q55" s="17" t="s">
        <v>154</v>
      </c>
      <c r="R55" s="18" t="s">
        <v>154</v>
      </c>
    </row>
    <row r="56" spans="1:18" x14ac:dyDescent="0.25">
      <c r="A56" s="11" t="s">
        <v>189</v>
      </c>
      <c r="B56" s="13">
        <v>5359</v>
      </c>
      <c r="C56" s="14">
        <f>(4443/B56*100)</f>
        <v>82.907258816943468</v>
      </c>
      <c r="D56" s="15">
        <v>916</v>
      </c>
      <c r="E56" s="14">
        <v>16.859618940000001</v>
      </c>
      <c r="F56" s="16">
        <v>1.28850804</v>
      </c>
      <c r="G56" s="14">
        <v>83.140381059999996</v>
      </c>
      <c r="H56" s="16">
        <v>1.28850804</v>
      </c>
      <c r="I56" s="14" t="s">
        <v>139</v>
      </c>
      <c r="J56" s="16" t="s">
        <v>139</v>
      </c>
      <c r="K56" s="14">
        <v>0</v>
      </c>
      <c r="L56" s="16">
        <v>0</v>
      </c>
      <c r="M56" s="14">
        <v>0</v>
      </c>
      <c r="N56" s="16">
        <v>0</v>
      </c>
      <c r="O56" s="14">
        <v>0</v>
      </c>
      <c r="P56" s="16">
        <v>0</v>
      </c>
      <c r="Q56" s="14">
        <v>0</v>
      </c>
      <c r="R56" s="16">
        <v>0</v>
      </c>
    </row>
    <row r="57" spans="1:18" x14ac:dyDescent="0.25">
      <c r="A57" s="11" t="s">
        <v>190</v>
      </c>
      <c r="B57" s="17" t="s">
        <v>154</v>
      </c>
      <c r="C57" s="17" t="s">
        <v>154</v>
      </c>
      <c r="D57" s="18" t="s">
        <v>154</v>
      </c>
      <c r="E57" s="17" t="s">
        <v>154</v>
      </c>
      <c r="F57" s="18" t="s">
        <v>154</v>
      </c>
      <c r="G57" s="17" t="s">
        <v>154</v>
      </c>
      <c r="H57" s="18" t="s">
        <v>154</v>
      </c>
      <c r="I57" s="17" t="s">
        <v>154</v>
      </c>
      <c r="J57" s="18" t="s">
        <v>154</v>
      </c>
      <c r="K57" s="17" t="s">
        <v>154</v>
      </c>
      <c r="L57" s="18" t="s">
        <v>154</v>
      </c>
      <c r="M57" s="17" t="s">
        <v>154</v>
      </c>
      <c r="N57" s="18" t="s">
        <v>154</v>
      </c>
      <c r="O57" s="17" t="s">
        <v>154</v>
      </c>
      <c r="P57" s="18" t="s">
        <v>154</v>
      </c>
      <c r="Q57" s="17" t="s">
        <v>154</v>
      </c>
      <c r="R57" s="18" t="s">
        <v>154</v>
      </c>
    </row>
    <row r="58" spans="1:18" x14ac:dyDescent="0.25">
      <c r="A58" s="11" t="s">
        <v>191</v>
      </c>
      <c r="B58" s="17" t="s">
        <v>154</v>
      </c>
      <c r="C58" s="17" t="s">
        <v>154</v>
      </c>
      <c r="D58" s="18" t="s">
        <v>154</v>
      </c>
      <c r="E58" s="17" t="s">
        <v>154</v>
      </c>
      <c r="F58" s="18" t="s">
        <v>154</v>
      </c>
      <c r="G58" s="17" t="s">
        <v>154</v>
      </c>
      <c r="H58" s="18" t="s">
        <v>154</v>
      </c>
      <c r="I58" s="17" t="s">
        <v>154</v>
      </c>
      <c r="J58" s="18" t="s">
        <v>154</v>
      </c>
      <c r="K58" s="17" t="s">
        <v>154</v>
      </c>
      <c r="L58" s="18" t="s">
        <v>154</v>
      </c>
      <c r="M58" s="17" t="s">
        <v>154</v>
      </c>
      <c r="N58" s="18" t="s">
        <v>154</v>
      </c>
      <c r="O58" s="17" t="s">
        <v>154</v>
      </c>
      <c r="P58" s="18" t="s">
        <v>154</v>
      </c>
      <c r="Q58" s="17" t="s">
        <v>154</v>
      </c>
      <c r="R58" s="18" t="s">
        <v>154</v>
      </c>
    </row>
    <row r="59" spans="1:18" x14ac:dyDescent="0.25">
      <c r="A59" s="11" t="s">
        <v>192</v>
      </c>
      <c r="B59" s="17" t="s">
        <v>154</v>
      </c>
      <c r="C59" s="17" t="s">
        <v>154</v>
      </c>
      <c r="D59" s="18" t="s">
        <v>154</v>
      </c>
      <c r="E59" s="17" t="s">
        <v>154</v>
      </c>
      <c r="F59" s="18" t="s">
        <v>154</v>
      </c>
      <c r="G59" s="17" t="s">
        <v>154</v>
      </c>
      <c r="H59" s="18" t="s">
        <v>154</v>
      </c>
      <c r="I59" s="17" t="s">
        <v>154</v>
      </c>
      <c r="J59" s="18" t="s">
        <v>154</v>
      </c>
      <c r="K59" s="17" t="s">
        <v>154</v>
      </c>
      <c r="L59" s="18" t="s">
        <v>154</v>
      </c>
      <c r="M59" s="17" t="s">
        <v>154</v>
      </c>
      <c r="N59" s="18" t="s">
        <v>154</v>
      </c>
      <c r="O59" s="17" t="s">
        <v>154</v>
      </c>
      <c r="P59" s="18" t="s">
        <v>154</v>
      </c>
      <c r="Q59" s="17" t="s">
        <v>154</v>
      </c>
      <c r="R59" s="18" t="s">
        <v>154</v>
      </c>
    </row>
    <row r="60" spans="1:18" x14ac:dyDescent="0.25">
      <c r="A60" s="11" t="s">
        <v>193</v>
      </c>
      <c r="B60" s="17" t="s">
        <v>154</v>
      </c>
      <c r="C60" s="17" t="s">
        <v>154</v>
      </c>
      <c r="D60" s="18" t="s">
        <v>154</v>
      </c>
      <c r="E60" s="17" t="s">
        <v>154</v>
      </c>
      <c r="F60" s="18" t="s">
        <v>154</v>
      </c>
      <c r="G60" s="17" t="s">
        <v>154</v>
      </c>
      <c r="H60" s="18" t="s">
        <v>154</v>
      </c>
      <c r="I60" s="17" t="s">
        <v>154</v>
      </c>
      <c r="J60" s="18" t="s">
        <v>154</v>
      </c>
      <c r="K60" s="17" t="s">
        <v>154</v>
      </c>
      <c r="L60" s="18" t="s">
        <v>154</v>
      </c>
      <c r="M60" s="17" t="s">
        <v>154</v>
      </c>
      <c r="N60" s="18" t="s">
        <v>154</v>
      </c>
      <c r="O60" s="17" t="s">
        <v>154</v>
      </c>
      <c r="P60" s="18" t="s">
        <v>154</v>
      </c>
      <c r="Q60" s="17" t="s">
        <v>154</v>
      </c>
      <c r="R60" s="18" t="s">
        <v>154</v>
      </c>
    </row>
    <row r="61" spans="1:18" x14ac:dyDescent="0.25">
      <c r="A61" s="11" t="s">
        <v>194</v>
      </c>
      <c r="B61" s="13">
        <v>6525</v>
      </c>
      <c r="C61" s="14">
        <f>(5386/B61*100)</f>
        <v>82.544061302681996</v>
      </c>
      <c r="D61" s="15">
        <v>1139</v>
      </c>
      <c r="E61" s="14">
        <v>26.133245240000001</v>
      </c>
      <c r="F61" s="16">
        <v>1.5255329200000001</v>
      </c>
      <c r="G61" s="14">
        <v>73.866754760000006</v>
      </c>
      <c r="H61" s="16">
        <v>1.5255329200000001</v>
      </c>
      <c r="I61" s="14" t="s">
        <v>139</v>
      </c>
      <c r="J61" s="16" t="s">
        <v>139</v>
      </c>
      <c r="K61" s="14">
        <v>0</v>
      </c>
      <c r="L61" s="16">
        <v>0</v>
      </c>
      <c r="M61" s="14">
        <v>0</v>
      </c>
      <c r="N61" s="16">
        <v>0</v>
      </c>
      <c r="O61" s="14">
        <v>0</v>
      </c>
      <c r="P61" s="16">
        <v>0</v>
      </c>
      <c r="Q61" s="14">
        <v>0</v>
      </c>
      <c r="R61" s="16">
        <v>0</v>
      </c>
    </row>
    <row r="62" spans="1:18" x14ac:dyDescent="0.25">
      <c r="A62" s="11" t="s">
        <v>195</v>
      </c>
      <c r="B62" s="13">
        <v>4476</v>
      </c>
      <c r="C62" s="14">
        <f>(3695/B62*100)</f>
        <v>82.551385165326181</v>
      </c>
      <c r="D62" s="15">
        <v>781</v>
      </c>
      <c r="E62" s="14">
        <v>17.94423024</v>
      </c>
      <c r="F62" s="16">
        <v>1.36347814</v>
      </c>
      <c r="G62" s="14">
        <v>82.055769760000004</v>
      </c>
      <c r="H62" s="16">
        <v>1.36347814</v>
      </c>
      <c r="I62" s="14" t="s">
        <v>139</v>
      </c>
      <c r="J62" s="16" t="s">
        <v>139</v>
      </c>
      <c r="K62" s="14">
        <v>0</v>
      </c>
      <c r="L62" s="16">
        <v>0</v>
      </c>
      <c r="M62" s="14">
        <v>0</v>
      </c>
      <c r="N62" s="16">
        <v>0</v>
      </c>
      <c r="O62" s="14">
        <v>0</v>
      </c>
      <c r="P62" s="16">
        <v>0</v>
      </c>
      <c r="Q62" s="14">
        <v>0</v>
      </c>
      <c r="R62" s="16">
        <v>0</v>
      </c>
    </row>
    <row r="63" spans="1:18" x14ac:dyDescent="0.25">
      <c r="A63" s="11" t="s">
        <v>196</v>
      </c>
      <c r="B63" s="17" t="s">
        <v>154</v>
      </c>
      <c r="C63" s="17" t="s">
        <v>154</v>
      </c>
      <c r="D63" s="18" t="s">
        <v>154</v>
      </c>
      <c r="E63" s="17" t="s">
        <v>154</v>
      </c>
      <c r="F63" s="18" t="s">
        <v>154</v>
      </c>
      <c r="G63" s="17" t="s">
        <v>154</v>
      </c>
      <c r="H63" s="18" t="s">
        <v>154</v>
      </c>
      <c r="I63" s="17" t="s">
        <v>154</v>
      </c>
      <c r="J63" s="18" t="s">
        <v>154</v>
      </c>
      <c r="K63" s="17" t="s">
        <v>154</v>
      </c>
      <c r="L63" s="18" t="s">
        <v>154</v>
      </c>
      <c r="M63" s="17" t="s">
        <v>154</v>
      </c>
      <c r="N63" s="18" t="s">
        <v>154</v>
      </c>
      <c r="O63" s="17" t="s">
        <v>154</v>
      </c>
      <c r="P63" s="18" t="s">
        <v>154</v>
      </c>
      <c r="Q63" s="17" t="s">
        <v>154</v>
      </c>
      <c r="R63" s="18" t="s">
        <v>154</v>
      </c>
    </row>
    <row r="64" spans="1:18" x14ac:dyDescent="0.25">
      <c r="A64" s="11" t="s">
        <v>197</v>
      </c>
      <c r="B64" s="17" t="s">
        <v>154</v>
      </c>
      <c r="C64" s="17" t="s">
        <v>154</v>
      </c>
      <c r="D64" s="18" t="s">
        <v>154</v>
      </c>
      <c r="E64" s="17" t="s">
        <v>154</v>
      </c>
      <c r="F64" s="18" t="s">
        <v>154</v>
      </c>
      <c r="G64" s="17" t="s">
        <v>154</v>
      </c>
      <c r="H64" s="18" t="s">
        <v>154</v>
      </c>
      <c r="I64" s="17" t="s">
        <v>154</v>
      </c>
      <c r="J64" s="18" t="s">
        <v>154</v>
      </c>
      <c r="K64" s="17" t="s">
        <v>154</v>
      </c>
      <c r="L64" s="18" t="s">
        <v>154</v>
      </c>
      <c r="M64" s="17" t="s">
        <v>154</v>
      </c>
      <c r="N64" s="18" t="s">
        <v>154</v>
      </c>
      <c r="O64" s="17" t="s">
        <v>154</v>
      </c>
      <c r="P64" s="18" t="s">
        <v>154</v>
      </c>
      <c r="Q64" s="17" t="s">
        <v>154</v>
      </c>
      <c r="R64" s="18" t="s">
        <v>154</v>
      </c>
    </row>
    <row r="65" spans="1:18" x14ac:dyDescent="0.25">
      <c r="A65" s="11" t="s">
        <v>198</v>
      </c>
      <c r="B65" s="17" t="s">
        <v>154</v>
      </c>
      <c r="C65" s="17" t="s">
        <v>154</v>
      </c>
      <c r="D65" s="18" t="s">
        <v>154</v>
      </c>
      <c r="E65" s="17" t="s">
        <v>154</v>
      </c>
      <c r="F65" s="18" t="s">
        <v>154</v>
      </c>
      <c r="G65" s="17" t="s">
        <v>154</v>
      </c>
      <c r="H65" s="18" t="s">
        <v>154</v>
      </c>
      <c r="I65" s="17" t="s">
        <v>154</v>
      </c>
      <c r="J65" s="18" t="s">
        <v>154</v>
      </c>
      <c r="K65" s="17" t="s">
        <v>154</v>
      </c>
      <c r="L65" s="18" t="s">
        <v>154</v>
      </c>
      <c r="M65" s="17" t="s">
        <v>154</v>
      </c>
      <c r="N65" s="18" t="s">
        <v>154</v>
      </c>
      <c r="O65" s="17" t="s">
        <v>154</v>
      </c>
      <c r="P65" s="18" t="s">
        <v>154</v>
      </c>
      <c r="Q65" s="17" t="s">
        <v>154</v>
      </c>
      <c r="R65" s="18" t="s">
        <v>154</v>
      </c>
    </row>
    <row r="66" spans="1:18" x14ac:dyDescent="0.25">
      <c r="A66" s="11" t="s">
        <v>199</v>
      </c>
      <c r="B66" s="13">
        <v>5665</v>
      </c>
      <c r="C66" s="14">
        <f>(4698/B66*100)</f>
        <v>82.930273609885262</v>
      </c>
      <c r="D66" s="15">
        <v>967</v>
      </c>
      <c r="E66" s="14">
        <v>33.033697480000001</v>
      </c>
      <c r="F66" s="16">
        <v>1.48737524</v>
      </c>
      <c r="G66" s="14">
        <v>66.966302519999999</v>
      </c>
      <c r="H66" s="16">
        <v>1.48737524</v>
      </c>
      <c r="I66" s="14" t="s">
        <v>139</v>
      </c>
      <c r="J66" s="16" t="s">
        <v>139</v>
      </c>
      <c r="K66" s="14">
        <v>0</v>
      </c>
      <c r="L66" s="16">
        <v>0</v>
      </c>
      <c r="M66" s="14">
        <v>0</v>
      </c>
      <c r="N66" s="16">
        <v>0</v>
      </c>
      <c r="O66" s="14">
        <v>0</v>
      </c>
      <c r="P66" s="16">
        <v>0</v>
      </c>
      <c r="Q66" s="14">
        <v>0</v>
      </c>
      <c r="R66" s="16">
        <v>0</v>
      </c>
    </row>
    <row r="67" spans="1:18" x14ac:dyDescent="0.25">
      <c r="A67" s="11" t="s">
        <v>200</v>
      </c>
      <c r="B67" s="13">
        <v>6971</v>
      </c>
      <c r="C67" s="14">
        <f>(5844/B67*100)</f>
        <v>83.833022521876345</v>
      </c>
      <c r="D67" s="15">
        <v>1127</v>
      </c>
      <c r="E67" s="14">
        <v>29.860681679999999</v>
      </c>
      <c r="F67" s="16">
        <v>1.44008487</v>
      </c>
      <c r="G67" s="14">
        <v>70.139318320000001</v>
      </c>
      <c r="H67" s="16">
        <v>1.44008487</v>
      </c>
      <c r="I67" s="14" t="s">
        <v>139</v>
      </c>
      <c r="J67" s="16" t="s">
        <v>139</v>
      </c>
      <c r="K67" s="14">
        <v>0</v>
      </c>
      <c r="L67" s="16">
        <v>0</v>
      </c>
      <c r="M67" s="14">
        <v>0</v>
      </c>
      <c r="N67" s="16">
        <v>0</v>
      </c>
      <c r="O67" s="14">
        <v>0</v>
      </c>
      <c r="P67" s="16">
        <v>0</v>
      </c>
      <c r="Q67" s="14">
        <v>0</v>
      </c>
      <c r="R67" s="16">
        <v>0</v>
      </c>
    </row>
    <row r="68" spans="1:18" x14ac:dyDescent="0.25">
      <c r="A68" s="11" t="s">
        <v>201</v>
      </c>
      <c r="B68" s="17" t="s">
        <v>154</v>
      </c>
      <c r="C68" s="17" t="s">
        <v>154</v>
      </c>
      <c r="D68" s="18" t="s">
        <v>154</v>
      </c>
      <c r="E68" s="17" t="s">
        <v>154</v>
      </c>
      <c r="F68" s="18" t="s">
        <v>154</v>
      </c>
      <c r="G68" s="17" t="s">
        <v>154</v>
      </c>
      <c r="H68" s="18" t="s">
        <v>154</v>
      </c>
      <c r="I68" s="17" t="s">
        <v>154</v>
      </c>
      <c r="J68" s="18" t="s">
        <v>154</v>
      </c>
      <c r="K68" s="17" t="s">
        <v>154</v>
      </c>
      <c r="L68" s="18" t="s">
        <v>154</v>
      </c>
      <c r="M68" s="17" t="s">
        <v>154</v>
      </c>
      <c r="N68" s="18" t="s">
        <v>154</v>
      </c>
      <c r="O68" s="17" t="s">
        <v>154</v>
      </c>
      <c r="P68" s="18" t="s">
        <v>154</v>
      </c>
      <c r="Q68" s="17" t="s">
        <v>154</v>
      </c>
      <c r="R68" s="18" t="s">
        <v>154</v>
      </c>
    </row>
    <row r="69" spans="1:18" x14ac:dyDescent="0.25">
      <c r="A69" s="11" t="s">
        <v>202</v>
      </c>
      <c r="B69" s="17" t="s">
        <v>154</v>
      </c>
      <c r="C69" s="17" t="s">
        <v>154</v>
      </c>
      <c r="D69" s="18" t="s">
        <v>154</v>
      </c>
      <c r="E69" s="17" t="s">
        <v>154</v>
      </c>
      <c r="F69" s="18" t="s">
        <v>154</v>
      </c>
      <c r="G69" s="17" t="s">
        <v>154</v>
      </c>
      <c r="H69" s="18" t="s">
        <v>154</v>
      </c>
      <c r="I69" s="17" t="s">
        <v>154</v>
      </c>
      <c r="J69" s="18" t="s">
        <v>154</v>
      </c>
      <c r="K69" s="17" t="s">
        <v>154</v>
      </c>
      <c r="L69" s="18" t="s">
        <v>154</v>
      </c>
      <c r="M69" s="17" t="s">
        <v>154</v>
      </c>
      <c r="N69" s="18" t="s">
        <v>154</v>
      </c>
      <c r="O69" s="17" t="s">
        <v>154</v>
      </c>
      <c r="P69" s="18" t="s">
        <v>154</v>
      </c>
      <c r="Q69" s="17" t="s">
        <v>154</v>
      </c>
      <c r="R69" s="18" t="s">
        <v>154</v>
      </c>
    </row>
    <row r="70" spans="1:18" x14ac:dyDescent="0.25">
      <c r="A70" s="11" t="s">
        <v>203</v>
      </c>
      <c r="B70" s="13">
        <v>6036</v>
      </c>
      <c r="C70" s="14">
        <f>(4999/B70*100)</f>
        <v>82.819748177601056</v>
      </c>
      <c r="D70" s="15">
        <v>1037</v>
      </c>
      <c r="E70" s="14">
        <v>22.560298079999999</v>
      </c>
      <c r="F70" s="16">
        <v>1.3105641299999999</v>
      </c>
      <c r="G70" s="14">
        <v>77.439701920000005</v>
      </c>
      <c r="H70" s="16">
        <v>1.3105641299999999</v>
      </c>
      <c r="I70" s="14" t="s">
        <v>139</v>
      </c>
      <c r="J70" s="16" t="s">
        <v>139</v>
      </c>
      <c r="K70" s="14">
        <v>0</v>
      </c>
      <c r="L70" s="16">
        <v>0</v>
      </c>
      <c r="M70" s="14">
        <v>0</v>
      </c>
      <c r="N70" s="16">
        <v>0</v>
      </c>
      <c r="O70" s="14">
        <v>0</v>
      </c>
      <c r="P70" s="16">
        <v>0</v>
      </c>
      <c r="Q70" s="14">
        <v>0</v>
      </c>
      <c r="R70" s="16">
        <v>0</v>
      </c>
    </row>
    <row r="71" spans="1:18" x14ac:dyDescent="0.25">
      <c r="A71" s="11" t="s">
        <v>204</v>
      </c>
      <c r="B71" s="17" t="s">
        <v>154</v>
      </c>
      <c r="C71" s="17" t="s">
        <v>154</v>
      </c>
      <c r="D71" s="18" t="s">
        <v>154</v>
      </c>
      <c r="E71" s="17" t="s">
        <v>154</v>
      </c>
      <c r="F71" s="18" t="s">
        <v>154</v>
      </c>
      <c r="G71" s="17" t="s">
        <v>154</v>
      </c>
      <c r="H71" s="18" t="s">
        <v>154</v>
      </c>
      <c r="I71" s="17" t="s">
        <v>154</v>
      </c>
      <c r="J71" s="18" t="s">
        <v>154</v>
      </c>
      <c r="K71" s="17" t="s">
        <v>154</v>
      </c>
      <c r="L71" s="18" t="s">
        <v>154</v>
      </c>
      <c r="M71" s="17" t="s">
        <v>154</v>
      </c>
      <c r="N71" s="18" t="s">
        <v>154</v>
      </c>
      <c r="O71" s="17" t="s">
        <v>154</v>
      </c>
      <c r="P71" s="18" t="s">
        <v>154</v>
      </c>
      <c r="Q71" s="17" t="s">
        <v>154</v>
      </c>
      <c r="R71" s="18" t="s">
        <v>154</v>
      </c>
    </row>
    <row r="72" spans="1:18" x14ac:dyDescent="0.25">
      <c r="A72" s="11" t="s">
        <v>205</v>
      </c>
      <c r="B72" s="13">
        <v>7708</v>
      </c>
      <c r="C72" s="14">
        <f>(6389/B72*100)</f>
        <v>82.887908666320712</v>
      </c>
      <c r="D72" s="15">
        <v>1319</v>
      </c>
      <c r="E72" s="14">
        <v>20.699782450000001</v>
      </c>
      <c r="F72" s="16">
        <v>1.2125037299999999</v>
      </c>
      <c r="G72" s="14">
        <v>79.300217549999999</v>
      </c>
      <c r="H72" s="16">
        <v>1.2125037299999999</v>
      </c>
      <c r="I72" s="14" t="s">
        <v>139</v>
      </c>
      <c r="J72" s="16" t="s">
        <v>139</v>
      </c>
      <c r="K72" s="14">
        <v>0</v>
      </c>
      <c r="L72" s="16">
        <v>0</v>
      </c>
      <c r="M72" s="14">
        <v>0</v>
      </c>
      <c r="N72" s="16">
        <v>0</v>
      </c>
      <c r="O72" s="14">
        <v>0</v>
      </c>
      <c r="P72" s="16">
        <v>0</v>
      </c>
      <c r="Q72" s="14">
        <v>0</v>
      </c>
      <c r="R72" s="16">
        <v>0</v>
      </c>
    </row>
    <row r="73" spans="1:18" x14ac:dyDescent="0.25">
      <c r="A73" s="11" t="s">
        <v>206</v>
      </c>
      <c r="B73" s="13">
        <v>8249</v>
      </c>
      <c r="C73" s="14">
        <f>(6879/B73*100)</f>
        <v>83.391926294096251</v>
      </c>
      <c r="D73" s="15">
        <v>1370</v>
      </c>
      <c r="E73" s="14">
        <v>21.10875029</v>
      </c>
      <c r="F73" s="16">
        <v>1.50160264</v>
      </c>
      <c r="G73" s="14">
        <v>78.891249709999997</v>
      </c>
      <c r="H73" s="16">
        <v>1.50160264</v>
      </c>
      <c r="I73" s="14" t="s">
        <v>139</v>
      </c>
      <c r="J73" s="16" t="s">
        <v>139</v>
      </c>
      <c r="K73" s="14">
        <v>0</v>
      </c>
      <c r="L73" s="16">
        <v>0</v>
      </c>
      <c r="M73" s="14">
        <v>0</v>
      </c>
      <c r="N73" s="16">
        <v>0</v>
      </c>
      <c r="O73" s="14">
        <v>0</v>
      </c>
      <c r="P73" s="16">
        <v>0</v>
      </c>
      <c r="Q73" s="14">
        <v>0</v>
      </c>
      <c r="R73" s="16">
        <v>0</v>
      </c>
    </row>
    <row r="74" spans="1:18" x14ac:dyDescent="0.25">
      <c r="A74" s="11" t="s">
        <v>207</v>
      </c>
      <c r="B74" s="17" t="s">
        <v>154</v>
      </c>
      <c r="C74" s="17" t="s">
        <v>154</v>
      </c>
      <c r="D74" s="18" t="s">
        <v>154</v>
      </c>
      <c r="E74" s="17" t="s">
        <v>154</v>
      </c>
      <c r="F74" s="18" t="s">
        <v>154</v>
      </c>
      <c r="G74" s="17" t="s">
        <v>154</v>
      </c>
      <c r="H74" s="18" t="s">
        <v>154</v>
      </c>
      <c r="I74" s="17" t="s">
        <v>154</v>
      </c>
      <c r="J74" s="18" t="s">
        <v>154</v>
      </c>
      <c r="K74" s="17" t="s">
        <v>154</v>
      </c>
      <c r="L74" s="18" t="s">
        <v>154</v>
      </c>
      <c r="M74" s="17" t="s">
        <v>154</v>
      </c>
      <c r="N74" s="18" t="s">
        <v>154</v>
      </c>
      <c r="O74" s="17" t="s">
        <v>154</v>
      </c>
      <c r="P74" s="18" t="s">
        <v>154</v>
      </c>
      <c r="Q74" s="17" t="s">
        <v>154</v>
      </c>
      <c r="R74" s="18" t="s">
        <v>154</v>
      </c>
    </row>
    <row r="75" spans="1:18" x14ac:dyDescent="0.25">
      <c r="A75" s="11" t="s">
        <v>208</v>
      </c>
      <c r="B75" s="13">
        <v>5375</v>
      </c>
      <c r="C75" s="14">
        <f>(4493/B75*100)</f>
        <v>83.590697674418607</v>
      </c>
      <c r="D75" s="15">
        <v>882</v>
      </c>
      <c r="E75" s="14">
        <v>37.561331180000003</v>
      </c>
      <c r="F75" s="16">
        <v>1.6507010799999999</v>
      </c>
      <c r="G75" s="14">
        <v>62.438668819999997</v>
      </c>
      <c r="H75" s="16">
        <v>1.6507010799999999</v>
      </c>
      <c r="I75" s="14" t="s">
        <v>139</v>
      </c>
      <c r="J75" s="16" t="s">
        <v>139</v>
      </c>
      <c r="K75" s="14">
        <v>0</v>
      </c>
      <c r="L75" s="16">
        <v>0</v>
      </c>
      <c r="M75" s="14">
        <v>0</v>
      </c>
      <c r="N75" s="16">
        <v>0</v>
      </c>
      <c r="O75" s="14">
        <v>0</v>
      </c>
      <c r="P75" s="16">
        <v>0</v>
      </c>
      <c r="Q75" s="14">
        <v>0</v>
      </c>
      <c r="R75" s="16">
        <v>0</v>
      </c>
    </row>
    <row r="76" spans="1:18" x14ac:dyDescent="0.25">
      <c r="A76" s="11" t="s">
        <v>209</v>
      </c>
      <c r="B76" s="13">
        <v>14167</v>
      </c>
      <c r="C76" s="14">
        <f>(11780/B76*100)</f>
        <v>83.150984682713343</v>
      </c>
      <c r="D76" s="15">
        <v>2387</v>
      </c>
      <c r="E76" s="14">
        <v>24.984837979999998</v>
      </c>
      <c r="F76" s="16">
        <v>1.1649075099999999</v>
      </c>
      <c r="G76" s="14">
        <v>75.015162020000005</v>
      </c>
      <c r="H76" s="16">
        <v>1.1649075099999999</v>
      </c>
      <c r="I76" s="14" t="s">
        <v>139</v>
      </c>
      <c r="J76" s="16" t="s">
        <v>139</v>
      </c>
      <c r="K76" s="14">
        <v>0</v>
      </c>
      <c r="L76" s="16">
        <v>0</v>
      </c>
      <c r="M76" s="14">
        <v>0</v>
      </c>
      <c r="N76" s="16">
        <v>0</v>
      </c>
      <c r="O76" s="14">
        <v>0</v>
      </c>
      <c r="P76" s="16">
        <v>0</v>
      </c>
      <c r="Q76" s="14">
        <v>0</v>
      </c>
      <c r="R76" s="16">
        <v>0</v>
      </c>
    </row>
    <row r="77" spans="1:18" x14ac:dyDescent="0.25">
      <c r="A77" s="11" t="s">
        <v>210</v>
      </c>
      <c r="B77" s="13">
        <v>6062</v>
      </c>
      <c r="C77" s="14">
        <f>(5004/B77*100)</f>
        <v>82.547014186737059</v>
      </c>
      <c r="D77" s="15">
        <v>1058</v>
      </c>
      <c r="E77" s="14">
        <v>25.20355769</v>
      </c>
      <c r="F77" s="16">
        <v>1.3024888699999999</v>
      </c>
      <c r="G77" s="14">
        <v>74.796442310000003</v>
      </c>
      <c r="H77" s="16">
        <v>1.3024888699999999</v>
      </c>
      <c r="I77" s="14" t="s">
        <v>139</v>
      </c>
      <c r="J77" s="16" t="s">
        <v>139</v>
      </c>
      <c r="K77" s="14">
        <v>0</v>
      </c>
      <c r="L77" s="16">
        <v>0</v>
      </c>
      <c r="M77" s="14">
        <v>0</v>
      </c>
      <c r="N77" s="16">
        <v>0</v>
      </c>
      <c r="O77" s="14">
        <v>0</v>
      </c>
      <c r="P77" s="16">
        <v>0</v>
      </c>
      <c r="Q77" s="14">
        <v>0</v>
      </c>
      <c r="R77" s="16">
        <v>0</v>
      </c>
    </row>
    <row r="78" spans="1:18" x14ac:dyDescent="0.25">
      <c r="A78" s="11" t="s">
        <v>211</v>
      </c>
      <c r="B78" s="17" t="s">
        <v>154</v>
      </c>
      <c r="C78" s="17" t="s">
        <v>154</v>
      </c>
      <c r="D78" s="18" t="s">
        <v>154</v>
      </c>
      <c r="E78" s="17" t="s">
        <v>154</v>
      </c>
      <c r="F78" s="18" t="s">
        <v>154</v>
      </c>
      <c r="G78" s="17" t="s">
        <v>154</v>
      </c>
      <c r="H78" s="18" t="s">
        <v>154</v>
      </c>
      <c r="I78" s="17" t="s">
        <v>154</v>
      </c>
      <c r="J78" s="18" t="s">
        <v>154</v>
      </c>
      <c r="K78" s="17" t="s">
        <v>154</v>
      </c>
      <c r="L78" s="18" t="s">
        <v>154</v>
      </c>
      <c r="M78" s="17" t="s">
        <v>154</v>
      </c>
      <c r="N78" s="18" t="s">
        <v>154</v>
      </c>
      <c r="O78" s="17" t="s">
        <v>154</v>
      </c>
      <c r="P78" s="18" t="s">
        <v>154</v>
      </c>
      <c r="Q78" s="17" t="s">
        <v>154</v>
      </c>
      <c r="R78" s="18" t="s">
        <v>154</v>
      </c>
    </row>
    <row r="79" spans="1:18" ht="24.95" customHeight="1" x14ac:dyDescent="0.25">
      <c r="A79" s="11" t="s">
        <v>212</v>
      </c>
      <c r="B79" s="17" t="s">
        <v>154</v>
      </c>
      <c r="C79" s="17" t="s">
        <v>154</v>
      </c>
      <c r="D79" s="18" t="s">
        <v>154</v>
      </c>
      <c r="E79" s="17" t="s">
        <v>154</v>
      </c>
      <c r="F79" s="18" t="s">
        <v>154</v>
      </c>
      <c r="G79" s="17" t="s">
        <v>154</v>
      </c>
      <c r="H79" s="18" t="s">
        <v>154</v>
      </c>
      <c r="I79" s="17" t="s">
        <v>154</v>
      </c>
      <c r="J79" s="18" t="s">
        <v>154</v>
      </c>
      <c r="K79" s="17" t="s">
        <v>154</v>
      </c>
      <c r="L79" s="18" t="s">
        <v>154</v>
      </c>
      <c r="M79" s="17" t="s">
        <v>154</v>
      </c>
      <c r="N79" s="18" t="s">
        <v>154</v>
      </c>
      <c r="O79" s="17" t="s">
        <v>154</v>
      </c>
      <c r="P79" s="18" t="s">
        <v>154</v>
      </c>
      <c r="Q79" s="17" t="s">
        <v>154</v>
      </c>
      <c r="R79" s="18" t="s">
        <v>154</v>
      </c>
    </row>
    <row r="80" spans="1:18" x14ac:dyDescent="0.25">
      <c r="A80" s="11" t="s">
        <v>213</v>
      </c>
      <c r="B80" s="17" t="s">
        <v>154</v>
      </c>
      <c r="C80" s="17" t="s">
        <v>154</v>
      </c>
      <c r="D80" s="18" t="s">
        <v>154</v>
      </c>
      <c r="E80" s="17" t="s">
        <v>154</v>
      </c>
      <c r="F80" s="18" t="s">
        <v>154</v>
      </c>
      <c r="G80" s="17" t="s">
        <v>154</v>
      </c>
      <c r="H80" s="18" t="s">
        <v>154</v>
      </c>
      <c r="I80" s="17" t="s">
        <v>154</v>
      </c>
      <c r="J80" s="18" t="s">
        <v>154</v>
      </c>
      <c r="K80" s="17" t="s">
        <v>154</v>
      </c>
      <c r="L80" s="18" t="s">
        <v>154</v>
      </c>
      <c r="M80" s="17" t="s">
        <v>154</v>
      </c>
      <c r="N80" s="18" t="s">
        <v>154</v>
      </c>
      <c r="O80" s="17" t="s">
        <v>154</v>
      </c>
      <c r="P80" s="18" t="s">
        <v>154</v>
      </c>
      <c r="Q80" s="17" t="s">
        <v>154</v>
      </c>
      <c r="R80" s="18" t="s">
        <v>154</v>
      </c>
    </row>
    <row r="81" spans="1:18" x14ac:dyDescent="0.25">
      <c r="A81" s="19" t="s">
        <v>214</v>
      </c>
      <c r="B81" s="13">
        <v>8861</v>
      </c>
      <c r="C81" s="14">
        <f>(7311/B81*100)</f>
        <v>82.507617650378066</v>
      </c>
      <c r="D81" s="15">
        <v>1550</v>
      </c>
      <c r="E81" s="14">
        <v>23.90074315</v>
      </c>
      <c r="F81" s="16">
        <v>1.4125045000000001</v>
      </c>
      <c r="G81" s="14">
        <v>76.099256850000003</v>
      </c>
      <c r="H81" s="16">
        <v>1.4125045000000001</v>
      </c>
      <c r="I81" s="14" t="s">
        <v>139</v>
      </c>
      <c r="J81" s="16" t="s">
        <v>139</v>
      </c>
      <c r="K81" s="14">
        <v>0</v>
      </c>
      <c r="L81" s="16">
        <v>0</v>
      </c>
      <c r="M81" s="14">
        <v>0</v>
      </c>
      <c r="N81" s="16">
        <v>0</v>
      </c>
      <c r="O81" s="14">
        <v>0</v>
      </c>
      <c r="P81" s="16">
        <v>0</v>
      </c>
      <c r="Q81" s="14">
        <v>0</v>
      </c>
      <c r="R81" s="16">
        <v>0</v>
      </c>
    </row>
    <row r="82" spans="1:18" x14ac:dyDescent="0.25">
      <c r="A82" s="20"/>
      <c r="B82" s="20" t="s">
        <v>215</v>
      </c>
      <c r="C82" s="20" t="s">
        <v>215</v>
      </c>
      <c r="D82" s="20" t="s">
        <v>215</v>
      </c>
      <c r="E82" s="20" t="s">
        <v>215</v>
      </c>
      <c r="F82" s="20" t="s">
        <v>215</v>
      </c>
      <c r="G82" s="20" t="s">
        <v>215</v>
      </c>
      <c r="H82" s="20" t="s">
        <v>215</v>
      </c>
      <c r="I82" s="20" t="s">
        <v>215</v>
      </c>
      <c r="J82" s="20" t="s">
        <v>215</v>
      </c>
      <c r="K82" s="20" t="s">
        <v>215</v>
      </c>
      <c r="L82" s="20" t="s">
        <v>215</v>
      </c>
      <c r="M82" s="20" t="s">
        <v>215</v>
      </c>
      <c r="N82" s="20" t="s">
        <v>215</v>
      </c>
      <c r="O82" s="20" t="s">
        <v>215</v>
      </c>
      <c r="P82" s="20" t="s">
        <v>215</v>
      </c>
      <c r="Q82" s="20" t="s">
        <v>215</v>
      </c>
      <c r="R82" s="20" t="s">
        <v>215</v>
      </c>
    </row>
    <row r="83" spans="1:18" x14ac:dyDescent="0.25">
      <c r="A83" s="3" t="s">
        <v>216</v>
      </c>
    </row>
    <row r="84" spans="1:18" x14ac:dyDescent="0.25">
      <c r="A84" s="22" t="s">
        <v>217</v>
      </c>
      <c r="B84" s="23"/>
      <c r="C84" s="23"/>
      <c r="D84" s="23"/>
      <c r="E84" s="23"/>
      <c r="F84" s="23"/>
      <c r="G84" s="23"/>
      <c r="H84" s="23"/>
      <c r="I84" s="23"/>
      <c r="J84" s="23"/>
      <c r="K84" s="23"/>
      <c r="L84" s="23"/>
      <c r="M84" s="23"/>
      <c r="N84" s="23"/>
      <c r="O84" s="23"/>
      <c r="P84" s="23"/>
      <c r="Q84" s="23"/>
      <c r="R84" s="23"/>
    </row>
    <row r="85" spans="1:18" x14ac:dyDescent="0.25">
      <c r="A85" s="22" t="s">
        <v>218</v>
      </c>
      <c r="B85" s="23"/>
      <c r="C85" s="23"/>
      <c r="D85" s="23"/>
      <c r="E85" s="23"/>
      <c r="F85" s="23"/>
      <c r="G85" s="23"/>
      <c r="H85" s="23"/>
      <c r="I85" s="23"/>
      <c r="J85" s="23"/>
      <c r="K85" s="23"/>
      <c r="L85" s="23"/>
      <c r="M85" s="23"/>
      <c r="N85" s="23"/>
      <c r="O85" s="23"/>
      <c r="P85" s="23"/>
      <c r="Q85" s="23"/>
      <c r="R85" s="23"/>
    </row>
    <row r="86" spans="1:18" ht="30" customHeight="1" x14ac:dyDescent="0.25">
      <c r="A86" s="22" t="s">
        <v>219</v>
      </c>
      <c r="B86" s="23"/>
      <c r="C86" s="23"/>
      <c r="D86" s="23"/>
      <c r="E86" s="23"/>
      <c r="F86" s="23"/>
      <c r="G86" s="23"/>
      <c r="H86" s="23"/>
      <c r="I86" s="23"/>
      <c r="J86" s="23"/>
      <c r="K86" s="23"/>
      <c r="L86" s="23"/>
      <c r="M86" s="23"/>
      <c r="N86" s="23"/>
      <c r="O86" s="23"/>
      <c r="P86" s="23"/>
      <c r="Q86" s="23"/>
      <c r="R86" s="23"/>
    </row>
    <row r="87" spans="1:18" ht="30" customHeight="1" x14ac:dyDescent="0.25">
      <c r="A87" s="22" t="s">
        <v>215</v>
      </c>
      <c r="B87" s="23"/>
      <c r="C87" s="23"/>
      <c r="D87" s="23"/>
      <c r="E87" s="23"/>
      <c r="F87" s="23"/>
      <c r="G87" s="23"/>
      <c r="H87" s="23"/>
      <c r="I87" s="23"/>
      <c r="J87" s="23"/>
      <c r="K87" s="23"/>
      <c r="L87" s="23"/>
      <c r="M87" s="23"/>
      <c r="N87" s="23"/>
      <c r="O87" s="23"/>
      <c r="P87" s="23"/>
      <c r="Q87" s="23"/>
      <c r="R87" s="23"/>
    </row>
    <row r="88" spans="1:18" ht="30" customHeight="1" x14ac:dyDescent="0.25">
      <c r="A88" s="22" t="s">
        <v>220</v>
      </c>
      <c r="B88" s="23"/>
      <c r="C88" s="23"/>
      <c r="D88" s="23"/>
      <c r="E88" s="23"/>
      <c r="F88" s="23"/>
      <c r="G88" s="23"/>
      <c r="H88" s="23"/>
      <c r="I88" s="23"/>
      <c r="J88" s="23"/>
      <c r="K88" s="23"/>
      <c r="L88" s="23"/>
      <c r="M88" s="23"/>
      <c r="N88" s="23"/>
      <c r="O88" s="23"/>
      <c r="P88" s="23"/>
      <c r="Q88" s="23"/>
      <c r="R88" s="23"/>
    </row>
    <row r="89" spans="1:18" ht="30" customHeight="1" x14ac:dyDescent="0.25">
      <c r="A89" s="22" t="s">
        <v>221</v>
      </c>
      <c r="B89" s="23"/>
      <c r="C89" s="23"/>
      <c r="D89" s="23"/>
      <c r="E89" s="23"/>
      <c r="F89" s="23"/>
      <c r="G89" s="23"/>
      <c r="H89" s="23"/>
      <c r="I89" s="23"/>
      <c r="J89" s="23"/>
      <c r="K89" s="23"/>
      <c r="L89" s="23"/>
      <c r="M89" s="23"/>
      <c r="N89" s="23"/>
      <c r="O89" s="23"/>
      <c r="P89" s="23"/>
      <c r="Q89" s="23"/>
      <c r="R89" s="23"/>
    </row>
    <row r="90" spans="1:18" ht="30" customHeight="1" x14ac:dyDescent="0.25">
      <c r="A90" s="22" t="s">
        <v>222</v>
      </c>
      <c r="B90" s="23"/>
      <c r="C90" s="23"/>
      <c r="D90" s="23"/>
      <c r="E90" s="23"/>
      <c r="F90" s="23"/>
      <c r="G90" s="23"/>
      <c r="H90" s="23"/>
      <c r="I90" s="23"/>
      <c r="J90" s="23"/>
      <c r="K90" s="23"/>
      <c r="L90" s="23"/>
      <c r="M90" s="23"/>
      <c r="N90" s="23"/>
      <c r="O90" s="23"/>
      <c r="P90" s="23"/>
      <c r="Q90" s="23"/>
      <c r="R90" s="23"/>
    </row>
    <row r="91" spans="1:18" ht="30" customHeight="1" x14ac:dyDescent="0.25">
      <c r="A91" s="22" t="s">
        <v>223</v>
      </c>
      <c r="B91" s="23"/>
      <c r="C91" s="23"/>
      <c r="D91" s="23"/>
      <c r="E91" s="23"/>
      <c r="F91" s="23"/>
      <c r="G91" s="23"/>
      <c r="H91" s="23"/>
      <c r="I91" s="23"/>
      <c r="J91" s="23"/>
      <c r="K91" s="23"/>
      <c r="L91" s="23"/>
      <c r="M91" s="23"/>
      <c r="N91" s="23"/>
      <c r="O91" s="23"/>
      <c r="P91" s="23"/>
      <c r="Q91" s="23"/>
      <c r="R91" s="23"/>
    </row>
    <row r="92" spans="1:18" ht="30" customHeight="1" x14ac:dyDescent="0.25">
      <c r="A92" s="22" t="s">
        <v>224</v>
      </c>
      <c r="B92" s="23"/>
      <c r="C92" s="23"/>
      <c r="D92" s="23"/>
      <c r="E92" s="23"/>
      <c r="F92" s="23"/>
      <c r="G92" s="23"/>
      <c r="H92" s="23"/>
      <c r="I92" s="23"/>
      <c r="J92" s="23"/>
      <c r="K92" s="23"/>
      <c r="L92" s="23"/>
      <c r="M92" s="23"/>
      <c r="N92" s="23"/>
      <c r="O92" s="23"/>
      <c r="P92" s="23"/>
      <c r="Q92" s="23"/>
      <c r="R92" s="23"/>
    </row>
    <row r="93" spans="1:18" ht="30" customHeight="1" x14ac:dyDescent="0.25">
      <c r="A93" s="22" t="s">
        <v>225</v>
      </c>
      <c r="B93" s="23"/>
      <c r="C93" s="23"/>
      <c r="D93" s="23"/>
      <c r="E93" s="23"/>
      <c r="F93" s="23"/>
      <c r="G93" s="23"/>
      <c r="H93" s="23"/>
      <c r="I93" s="23"/>
      <c r="J93" s="23"/>
      <c r="K93" s="23"/>
      <c r="L93" s="23"/>
      <c r="M93" s="23"/>
      <c r="N93" s="23"/>
      <c r="O93" s="23"/>
      <c r="P93" s="23"/>
      <c r="Q93" s="23"/>
      <c r="R93" s="23"/>
    </row>
    <row r="94" spans="1:18" ht="30" customHeight="1" x14ac:dyDescent="0.25">
      <c r="A94" s="22" t="s">
        <v>226</v>
      </c>
      <c r="B94" s="23"/>
      <c r="C94" s="23"/>
      <c r="D94" s="23"/>
      <c r="E94" s="23"/>
      <c r="F94" s="23"/>
      <c r="G94" s="23"/>
      <c r="H94" s="23"/>
      <c r="I94" s="23"/>
      <c r="J94" s="23"/>
      <c r="K94" s="23"/>
      <c r="L94" s="23"/>
      <c r="M94" s="23"/>
      <c r="N94" s="23"/>
      <c r="O94" s="23"/>
      <c r="P94" s="23"/>
      <c r="Q94" s="23"/>
      <c r="R94" s="23"/>
    </row>
    <row r="95" spans="1:18" ht="30" customHeight="1" x14ac:dyDescent="0.25">
      <c r="A95" s="22" t="s">
        <v>227</v>
      </c>
      <c r="B95" s="23"/>
      <c r="C95" s="23"/>
      <c r="D95" s="23"/>
      <c r="E95" s="23"/>
      <c r="F95" s="23"/>
      <c r="G95" s="23"/>
      <c r="H95" s="23"/>
      <c r="I95" s="23"/>
      <c r="J95" s="23"/>
      <c r="K95" s="23"/>
      <c r="L95" s="23"/>
      <c r="M95" s="23"/>
      <c r="N95" s="23"/>
      <c r="O95" s="23"/>
      <c r="P95" s="23"/>
      <c r="Q95" s="23"/>
      <c r="R95" s="23"/>
    </row>
    <row r="96" spans="1:18" ht="30" customHeight="1" x14ac:dyDescent="0.25">
      <c r="A96" s="22" t="s">
        <v>228</v>
      </c>
      <c r="B96" s="23"/>
      <c r="C96" s="23"/>
      <c r="D96" s="23"/>
      <c r="E96" s="23"/>
      <c r="F96" s="23"/>
      <c r="G96" s="23"/>
      <c r="H96" s="23"/>
      <c r="I96" s="23"/>
      <c r="J96" s="23"/>
      <c r="K96" s="23"/>
      <c r="L96" s="23"/>
      <c r="M96" s="23"/>
      <c r="N96" s="23"/>
      <c r="O96" s="23"/>
      <c r="P96" s="23"/>
      <c r="Q96" s="23"/>
      <c r="R96" s="23"/>
    </row>
  </sheetData>
  <mergeCells count="22">
    <mergeCell ref="O4:P4"/>
    <mergeCell ref="Q4:R4"/>
    <mergeCell ref="A1:R1"/>
    <mergeCell ref="A2:R2"/>
    <mergeCell ref="A84:R84"/>
    <mergeCell ref="E4:F4"/>
    <mergeCell ref="G4:H4"/>
    <mergeCell ref="I4:J4"/>
    <mergeCell ref="K4:L4"/>
    <mergeCell ref="M4:N4"/>
    <mergeCell ref="A85:R85"/>
    <mergeCell ref="A86:R86"/>
    <mergeCell ref="A87:R87"/>
    <mergeCell ref="A88:R88"/>
    <mergeCell ref="A89:R89"/>
    <mergeCell ref="A95:R95"/>
    <mergeCell ref="A96:R96"/>
    <mergeCell ref="A90:R90"/>
    <mergeCell ref="A91:R91"/>
    <mergeCell ref="A92:R92"/>
    <mergeCell ref="A93:R93"/>
    <mergeCell ref="A94:R94"/>
  </mergeCells>
  <pageMargins left="0.75" right="0.75" top="1" bottom="1" header="0.5" footer="0.5"/>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
  <dimension ref="A1:V96"/>
  <sheetViews>
    <sheetView zoomScale="80" workbookViewId="0">
      <pane xSplit="4" topLeftCell="E1" activePane="topRight" state="frozen"/>
      <selection sqref="A1:R1"/>
      <selection pane="topRight" sqref="A1:V1"/>
    </sheetView>
  </sheetViews>
  <sheetFormatPr defaultColWidth="11.42578125" defaultRowHeight="15" x14ac:dyDescent="0.25"/>
  <cols>
    <col min="1" max="1" width="50" customWidth="1"/>
  </cols>
  <sheetData>
    <row r="1" spans="1:22" x14ac:dyDescent="0.25">
      <c r="A1" s="26" t="s">
        <v>122</v>
      </c>
      <c r="B1" s="23"/>
      <c r="C1" s="23"/>
      <c r="D1" s="23"/>
      <c r="E1" s="23"/>
      <c r="F1" s="23"/>
      <c r="G1" s="23"/>
      <c r="H1" s="23"/>
      <c r="I1" s="23"/>
      <c r="J1" s="23"/>
      <c r="K1" s="23"/>
      <c r="L1" s="23"/>
      <c r="M1" s="23"/>
      <c r="N1" s="23"/>
      <c r="O1" s="23"/>
      <c r="P1" s="23"/>
      <c r="Q1" s="23"/>
      <c r="R1" s="23"/>
      <c r="S1" s="23"/>
      <c r="T1" s="23"/>
      <c r="U1" s="23"/>
      <c r="V1" s="23"/>
    </row>
    <row r="2" spans="1:22" x14ac:dyDescent="0.25">
      <c r="A2" s="27" t="s">
        <v>253</v>
      </c>
      <c r="B2" s="23"/>
      <c r="C2" s="23"/>
      <c r="D2" s="23"/>
      <c r="E2" s="23"/>
      <c r="F2" s="23"/>
      <c r="G2" s="23"/>
      <c r="H2" s="23"/>
      <c r="I2" s="23"/>
      <c r="J2" s="23"/>
      <c r="K2" s="23"/>
      <c r="L2" s="23"/>
      <c r="M2" s="23"/>
      <c r="N2" s="23"/>
      <c r="O2" s="23"/>
      <c r="P2" s="23"/>
      <c r="Q2" s="23"/>
      <c r="R2" s="23"/>
      <c r="S2" s="23"/>
      <c r="T2" s="23"/>
      <c r="U2" s="23"/>
      <c r="V2" s="23"/>
    </row>
    <row r="4" spans="1:22" ht="30" customHeight="1" x14ac:dyDescent="0.25">
      <c r="A4" s="4"/>
      <c r="B4" s="5" t="s">
        <v>123</v>
      </c>
      <c r="C4" s="5" t="s">
        <v>124</v>
      </c>
      <c r="D4" s="6" t="s">
        <v>123</v>
      </c>
      <c r="E4" s="24" t="s">
        <v>229</v>
      </c>
      <c r="F4" s="25"/>
      <c r="G4" s="24" t="s">
        <v>230</v>
      </c>
      <c r="H4" s="25"/>
      <c r="I4" s="24" t="s">
        <v>231</v>
      </c>
      <c r="J4" s="25"/>
      <c r="K4" s="24" t="s">
        <v>232</v>
      </c>
      <c r="L4" s="25"/>
      <c r="M4" s="24" t="s">
        <v>127</v>
      </c>
      <c r="N4" s="25"/>
      <c r="O4" s="24" t="s">
        <v>128</v>
      </c>
      <c r="P4" s="25"/>
      <c r="Q4" s="24" t="s">
        <v>129</v>
      </c>
      <c r="R4" s="25"/>
      <c r="S4" s="24" t="s">
        <v>130</v>
      </c>
      <c r="T4" s="25"/>
      <c r="U4" s="24" t="s">
        <v>131</v>
      </c>
      <c r="V4" s="25"/>
    </row>
    <row r="5" spans="1:22" x14ac:dyDescent="0.25">
      <c r="A5" s="7"/>
      <c r="B5" s="8" t="s">
        <v>132</v>
      </c>
      <c r="C5" s="8" t="s">
        <v>133</v>
      </c>
      <c r="D5" s="7" t="s">
        <v>134</v>
      </c>
      <c r="E5" s="8" t="s">
        <v>135</v>
      </c>
      <c r="F5" s="7" t="s">
        <v>136</v>
      </c>
      <c r="G5" s="8" t="s">
        <v>135</v>
      </c>
      <c r="H5" s="7" t="s">
        <v>136</v>
      </c>
      <c r="I5" s="8" t="s">
        <v>135</v>
      </c>
      <c r="J5" s="7" t="s">
        <v>136</v>
      </c>
      <c r="K5" s="8" t="s">
        <v>135</v>
      </c>
      <c r="L5" s="7" t="s">
        <v>136</v>
      </c>
      <c r="M5" s="8" t="s">
        <v>135</v>
      </c>
      <c r="N5" s="7" t="s">
        <v>136</v>
      </c>
      <c r="O5" s="8" t="s">
        <v>135</v>
      </c>
      <c r="P5" s="7" t="s">
        <v>136</v>
      </c>
      <c r="Q5" s="8" t="s">
        <v>135</v>
      </c>
      <c r="R5" s="7" t="s">
        <v>136</v>
      </c>
      <c r="S5" s="8" t="s">
        <v>135</v>
      </c>
      <c r="T5" s="7" t="s">
        <v>136</v>
      </c>
      <c r="U5" s="8" t="s">
        <v>135</v>
      </c>
      <c r="V5" s="7" t="s">
        <v>136</v>
      </c>
    </row>
    <row r="6" spans="1:22" x14ac:dyDescent="0.25">
      <c r="A6" s="9" t="s">
        <v>137</v>
      </c>
      <c r="B6" s="10"/>
      <c r="C6" s="10"/>
      <c r="D6" s="11"/>
      <c r="E6" s="10"/>
      <c r="F6" s="11"/>
      <c r="G6" s="10"/>
      <c r="H6" s="11"/>
      <c r="I6" s="10"/>
      <c r="J6" s="11"/>
      <c r="K6" s="10"/>
      <c r="L6" s="11"/>
      <c r="M6" s="10"/>
      <c r="N6" s="11"/>
      <c r="O6" s="10"/>
      <c r="P6" s="11"/>
      <c r="Q6" s="10"/>
      <c r="R6" s="11"/>
      <c r="S6" s="10"/>
      <c r="T6" s="11"/>
      <c r="U6" s="10"/>
      <c r="V6" s="12"/>
    </row>
    <row r="7" spans="1:22" x14ac:dyDescent="0.25">
      <c r="A7" s="11" t="s">
        <v>138</v>
      </c>
      <c r="B7" s="13">
        <v>14530</v>
      </c>
      <c r="C7" s="14">
        <f>(12087/B7*100)</f>
        <v>83.186510667584315</v>
      </c>
      <c r="D7" s="15">
        <v>2443</v>
      </c>
      <c r="E7" s="14">
        <v>4.5150751800000002</v>
      </c>
      <c r="F7" s="16">
        <v>0.40867828</v>
      </c>
      <c r="G7" s="14">
        <v>14.907601319999999</v>
      </c>
      <c r="H7" s="16">
        <v>0.83862992999999997</v>
      </c>
      <c r="I7" s="14">
        <v>28.755602119999999</v>
      </c>
      <c r="J7" s="16">
        <v>1.0277574700000001</v>
      </c>
      <c r="K7" s="14">
        <v>51.82172138</v>
      </c>
      <c r="L7" s="16">
        <v>1.08092549</v>
      </c>
      <c r="M7" s="14" t="s">
        <v>139</v>
      </c>
      <c r="N7" s="16" t="s">
        <v>139</v>
      </c>
      <c r="O7" s="14">
        <v>0</v>
      </c>
      <c r="P7" s="16">
        <v>0</v>
      </c>
      <c r="Q7" s="14">
        <v>0</v>
      </c>
      <c r="R7" s="16">
        <v>0</v>
      </c>
      <c r="S7" s="14">
        <v>0</v>
      </c>
      <c r="T7" s="16">
        <v>0</v>
      </c>
      <c r="U7" s="14">
        <v>0</v>
      </c>
      <c r="V7" s="16">
        <v>0</v>
      </c>
    </row>
    <row r="8" spans="1:22" x14ac:dyDescent="0.25">
      <c r="A8" s="11" t="s">
        <v>140</v>
      </c>
      <c r="B8" s="13">
        <v>7007</v>
      </c>
      <c r="C8" s="14">
        <f>(5795/B8*100)</f>
        <v>82.703011274439845</v>
      </c>
      <c r="D8" s="15">
        <v>1212</v>
      </c>
      <c r="E8" s="14">
        <v>6.4342556999999996</v>
      </c>
      <c r="F8" s="16">
        <v>0.86436314000000003</v>
      </c>
      <c r="G8" s="14">
        <v>18.2480875</v>
      </c>
      <c r="H8" s="16">
        <v>1.0411126500000001</v>
      </c>
      <c r="I8" s="14">
        <v>25.537597510000001</v>
      </c>
      <c r="J8" s="16">
        <v>1.23389364</v>
      </c>
      <c r="K8" s="14">
        <v>49.780059299999998</v>
      </c>
      <c r="L8" s="16">
        <v>1.6096301500000001</v>
      </c>
      <c r="M8" s="14" t="s">
        <v>139</v>
      </c>
      <c r="N8" s="16" t="s">
        <v>139</v>
      </c>
      <c r="O8" s="14">
        <v>0</v>
      </c>
      <c r="P8" s="16">
        <v>0</v>
      </c>
      <c r="Q8" s="14">
        <v>0</v>
      </c>
      <c r="R8" s="16">
        <v>0</v>
      </c>
      <c r="S8" s="14">
        <v>0</v>
      </c>
      <c r="T8" s="16">
        <v>0</v>
      </c>
      <c r="U8" s="14">
        <v>0</v>
      </c>
      <c r="V8" s="16">
        <v>0</v>
      </c>
    </row>
    <row r="9" spans="1:22" x14ac:dyDescent="0.25">
      <c r="A9" s="11" t="s">
        <v>141</v>
      </c>
      <c r="B9" s="13">
        <v>9651</v>
      </c>
      <c r="C9" s="14">
        <f>(8049/B9*100)</f>
        <v>83.400683866956797</v>
      </c>
      <c r="D9" s="15">
        <v>1602</v>
      </c>
      <c r="E9" s="14">
        <v>6.3936634999999997</v>
      </c>
      <c r="F9" s="16">
        <v>0.59563352999999997</v>
      </c>
      <c r="G9" s="14">
        <v>19.42219339</v>
      </c>
      <c r="H9" s="16">
        <v>0.98828698999999998</v>
      </c>
      <c r="I9" s="14">
        <v>23.753751149999999</v>
      </c>
      <c r="J9" s="16">
        <v>0.90525299000000004</v>
      </c>
      <c r="K9" s="14">
        <v>50.430391960000001</v>
      </c>
      <c r="L9" s="16">
        <v>1.28659356</v>
      </c>
      <c r="M9" s="14" t="s">
        <v>139</v>
      </c>
      <c r="N9" s="16" t="s">
        <v>139</v>
      </c>
      <c r="O9" s="14">
        <v>0</v>
      </c>
      <c r="P9" s="16">
        <v>0</v>
      </c>
      <c r="Q9" s="14">
        <v>0</v>
      </c>
      <c r="R9" s="16">
        <v>0</v>
      </c>
      <c r="S9" s="14">
        <v>0</v>
      </c>
      <c r="T9" s="16">
        <v>0</v>
      </c>
      <c r="U9" s="14">
        <v>0</v>
      </c>
      <c r="V9" s="16">
        <v>0</v>
      </c>
    </row>
    <row r="10" spans="1:22" x14ac:dyDescent="0.25">
      <c r="A10" s="11" t="s">
        <v>142</v>
      </c>
      <c r="B10" s="13">
        <v>20058</v>
      </c>
      <c r="C10" s="14">
        <f>(16604/B10*100)</f>
        <v>82.779938179280094</v>
      </c>
      <c r="D10" s="15">
        <v>3454</v>
      </c>
      <c r="E10" s="14">
        <v>4.3694355299999996</v>
      </c>
      <c r="F10" s="16">
        <v>0.51351981000000002</v>
      </c>
      <c r="G10" s="14">
        <v>15.23661439</v>
      </c>
      <c r="H10" s="16">
        <v>0.80196551999999999</v>
      </c>
      <c r="I10" s="14">
        <v>26.570440009999999</v>
      </c>
      <c r="J10" s="16">
        <v>0.96491104999999999</v>
      </c>
      <c r="K10" s="14">
        <v>53.823510069999998</v>
      </c>
      <c r="L10" s="16">
        <v>1.15364752</v>
      </c>
      <c r="M10" s="14" t="s">
        <v>139</v>
      </c>
      <c r="N10" s="16" t="s">
        <v>139</v>
      </c>
      <c r="O10" s="14">
        <v>0</v>
      </c>
      <c r="P10" s="16">
        <v>0</v>
      </c>
      <c r="Q10" s="14">
        <v>0</v>
      </c>
      <c r="R10" s="16">
        <v>0</v>
      </c>
      <c r="S10" s="14">
        <v>0</v>
      </c>
      <c r="T10" s="16">
        <v>0</v>
      </c>
      <c r="U10" s="14">
        <v>0</v>
      </c>
      <c r="V10" s="16">
        <v>0</v>
      </c>
    </row>
    <row r="11" spans="1:22" x14ac:dyDescent="0.25">
      <c r="A11" s="11" t="s">
        <v>143</v>
      </c>
      <c r="B11" s="13">
        <v>7053</v>
      </c>
      <c r="C11" s="14">
        <f>(5856/B11*100)</f>
        <v>83.028498511271792</v>
      </c>
      <c r="D11" s="15">
        <v>1197</v>
      </c>
      <c r="E11" s="14">
        <v>7.2327890500000001</v>
      </c>
      <c r="F11" s="16">
        <v>0.99218627000000004</v>
      </c>
      <c r="G11" s="14">
        <v>23.834994779999999</v>
      </c>
      <c r="H11" s="16">
        <v>1.4943787500000001</v>
      </c>
      <c r="I11" s="14">
        <v>28.44360163</v>
      </c>
      <c r="J11" s="16">
        <v>1.4410820099999999</v>
      </c>
      <c r="K11" s="14">
        <v>40.48861454</v>
      </c>
      <c r="L11" s="16">
        <v>1.75881781</v>
      </c>
      <c r="M11" s="14" t="s">
        <v>139</v>
      </c>
      <c r="N11" s="16" t="s">
        <v>139</v>
      </c>
      <c r="O11" s="14">
        <v>0</v>
      </c>
      <c r="P11" s="16">
        <v>0</v>
      </c>
      <c r="Q11" s="14">
        <v>0</v>
      </c>
      <c r="R11" s="16">
        <v>0</v>
      </c>
      <c r="S11" s="14">
        <v>0</v>
      </c>
      <c r="T11" s="16">
        <v>0</v>
      </c>
      <c r="U11" s="14">
        <v>0</v>
      </c>
      <c r="V11" s="16">
        <v>0</v>
      </c>
    </row>
    <row r="12" spans="1:22" x14ac:dyDescent="0.25">
      <c r="A12" s="11" t="s">
        <v>144</v>
      </c>
      <c r="B12" s="13">
        <v>6894</v>
      </c>
      <c r="C12" s="14">
        <f>(5725/B12*100)</f>
        <v>83.043225993617639</v>
      </c>
      <c r="D12" s="15">
        <v>1169</v>
      </c>
      <c r="E12" s="14">
        <v>5.6955379099999996</v>
      </c>
      <c r="F12" s="16">
        <v>0.83226856999999999</v>
      </c>
      <c r="G12" s="14">
        <v>16.168446060000001</v>
      </c>
      <c r="H12" s="16">
        <v>1.42772459</v>
      </c>
      <c r="I12" s="14">
        <v>27.145360740000001</v>
      </c>
      <c r="J12" s="16">
        <v>1.3997767999999999</v>
      </c>
      <c r="K12" s="14">
        <v>50.990655279999999</v>
      </c>
      <c r="L12" s="16">
        <v>1.67997358</v>
      </c>
      <c r="M12" s="14" t="s">
        <v>139</v>
      </c>
      <c r="N12" s="16" t="s">
        <v>139</v>
      </c>
      <c r="O12" s="14">
        <v>0</v>
      </c>
      <c r="P12" s="16">
        <v>0</v>
      </c>
      <c r="Q12" s="14">
        <v>0</v>
      </c>
      <c r="R12" s="16">
        <v>0</v>
      </c>
      <c r="S12" s="14">
        <v>0</v>
      </c>
      <c r="T12" s="16">
        <v>0</v>
      </c>
      <c r="U12" s="14">
        <v>0</v>
      </c>
      <c r="V12" s="16">
        <v>0</v>
      </c>
    </row>
    <row r="13" spans="1:22" x14ac:dyDescent="0.25">
      <c r="A13" s="11" t="s">
        <v>145</v>
      </c>
      <c r="B13" s="13">
        <v>7161</v>
      </c>
      <c r="C13" s="14">
        <f>(6001/B13*100)</f>
        <v>83.801145091467674</v>
      </c>
      <c r="D13" s="15">
        <v>1160</v>
      </c>
      <c r="E13" s="14">
        <v>4.0681525799999996</v>
      </c>
      <c r="F13" s="16">
        <v>0.68773879999999998</v>
      </c>
      <c r="G13" s="14">
        <v>15.872081700000001</v>
      </c>
      <c r="H13" s="16">
        <v>1.4337715099999999</v>
      </c>
      <c r="I13" s="14">
        <v>27.995152520000001</v>
      </c>
      <c r="J13" s="16">
        <v>1.7946699500000001</v>
      </c>
      <c r="K13" s="14">
        <v>52.064613209999997</v>
      </c>
      <c r="L13" s="16">
        <v>1.63155289</v>
      </c>
      <c r="M13" s="14" t="s">
        <v>139</v>
      </c>
      <c r="N13" s="16" t="s">
        <v>139</v>
      </c>
      <c r="O13" s="14">
        <v>0</v>
      </c>
      <c r="P13" s="16">
        <v>0</v>
      </c>
      <c r="Q13" s="14">
        <v>0</v>
      </c>
      <c r="R13" s="16">
        <v>0</v>
      </c>
      <c r="S13" s="14">
        <v>0</v>
      </c>
      <c r="T13" s="16">
        <v>0</v>
      </c>
      <c r="U13" s="14">
        <v>0</v>
      </c>
      <c r="V13" s="16">
        <v>0</v>
      </c>
    </row>
    <row r="14" spans="1:22" x14ac:dyDescent="0.25">
      <c r="A14" s="11" t="s">
        <v>146</v>
      </c>
      <c r="B14" s="13">
        <v>5587</v>
      </c>
      <c r="C14" s="14">
        <f>(4630/B14*100)</f>
        <v>82.870950420619295</v>
      </c>
      <c r="D14" s="15">
        <v>957</v>
      </c>
      <c r="E14" s="14">
        <v>2.9461299699999999</v>
      </c>
      <c r="F14" s="16">
        <v>0.61328753999999996</v>
      </c>
      <c r="G14" s="14">
        <v>12.10633382</v>
      </c>
      <c r="H14" s="16">
        <v>1.10403349</v>
      </c>
      <c r="I14" s="14">
        <v>25.269966220000001</v>
      </c>
      <c r="J14" s="16">
        <v>1.4338087900000001</v>
      </c>
      <c r="K14" s="14">
        <v>59.677569990000002</v>
      </c>
      <c r="L14" s="16">
        <v>1.6423402300000001</v>
      </c>
      <c r="M14" s="14" t="s">
        <v>139</v>
      </c>
      <c r="N14" s="16" t="s">
        <v>139</v>
      </c>
      <c r="O14" s="14">
        <v>0</v>
      </c>
      <c r="P14" s="16">
        <v>0</v>
      </c>
      <c r="Q14" s="14">
        <v>0</v>
      </c>
      <c r="R14" s="16">
        <v>0</v>
      </c>
      <c r="S14" s="14">
        <v>0</v>
      </c>
      <c r="T14" s="16">
        <v>0</v>
      </c>
      <c r="U14" s="14">
        <v>0</v>
      </c>
      <c r="V14" s="16">
        <v>0</v>
      </c>
    </row>
    <row r="15" spans="1:22" x14ac:dyDescent="0.25">
      <c r="A15" s="11" t="s">
        <v>147</v>
      </c>
      <c r="B15" s="13">
        <v>5882</v>
      </c>
      <c r="C15" s="14">
        <f>(4904/B15*100)</f>
        <v>83.373002380142808</v>
      </c>
      <c r="D15" s="15">
        <v>978</v>
      </c>
      <c r="E15" s="14">
        <v>2.7536150799999999</v>
      </c>
      <c r="F15" s="16">
        <v>0.56288941999999997</v>
      </c>
      <c r="G15" s="14">
        <v>16.94294609</v>
      </c>
      <c r="H15" s="16">
        <v>1.1993640000000001</v>
      </c>
      <c r="I15" s="14">
        <v>26.602126810000001</v>
      </c>
      <c r="J15" s="16">
        <v>1.3548528500000001</v>
      </c>
      <c r="K15" s="14">
        <v>53.701312020000003</v>
      </c>
      <c r="L15" s="16">
        <v>1.6914475200000001</v>
      </c>
      <c r="M15" s="14" t="s">
        <v>139</v>
      </c>
      <c r="N15" s="16" t="s">
        <v>139</v>
      </c>
      <c r="O15" s="14">
        <v>0</v>
      </c>
      <c r="P15" s="16">
        <v>0</v>
      </c>
      <c r="Q15" s="14">
        <v>0</v>
      </c>
      <c r="R15" s="16">
        <v>0</v>
      </c>
      <c r="S15" s="14">
        <v>0</v>
      </c>
      <c r="T15" s="16">
        <v>0</v>
      </c>
      <c r="U15" s="14">
        <v>0</v>
      </c>
      <c r="V15" s="16">
        <v>0</v>
      </c>
    </row>
    <row r="16" spans="1:22" x14ac:dyDescent="0.25">
      <c r="A16" s="11" t="s">
        <v>148</v>
      </c>
      <c r="B16" s="13">
        <v>6108</v>
      </c>
      <c r="C16" s="14">
        <f>(5056/B16*100)</f>
        <v>82.776686313032087</v>
      </c>
      <c r="D16" s="15">
        <v>1052</v>
      </c>
      <c r="E16" s="14">
        <v>8.64371796</v>
      </c>
      <c r="F16" s="16">
        <v>0.91116892999999999</v>
      </c>
      <c r="G16" s="14">
        <v>18.797466799999999</v>
      </c>
      <c r="H16" s="16">
        <v>1.1120817599999999</v>
      </c>
      <c r="I16" s="14">
        <v>24.847184370000001</v>
      </c>
      <c r="J16" s="16">
        <v>1.25837098</v>
      </c>
      <c r="K16" s="14">
        <v>47.71163087</v>
      </c>
      <c r="L16" s="16">
        <v>1.4951172100000001</v>
      </c>
      <c r="M16" s="14" t="s">
        <v>139</v>
      </c>
      <c r="N16" s="16" t="s">
        <v>139</v>
      </c>
      <c r="O16" s="14">
        <v>0</v>
      </c>
      <c r="P16" s="16">
        <v>0</v>
      </c>
      <c r="Q16" s="14">
        <v>0</v>
      </c>
      <c r="R16" s="16">
        <v>0</v>
      </c>
      <c r="S16" s="14">
        <v>0</v>
      </c>
      <c r="T16" s="16">
        <v>0</v>
      </c>
      <c r="U16" s="14">
        <v>0</v>
      </c>
      <c r="V16" s="16">
        <v>0</v>
      </c>
    </row>
    <row r="17" spans="1:22" x14ac:dyDescent="0.25">
      <c r="A17" s="11" t="s">
        <v>149</v>
      </c>
      <c r="B17" s="13">
        <v>6504</v>
      </c>
      <c r="C17" s="14">
        <f>(5411/B17*100)</f>
        <v>83.194956949569502</v>
      </c>
      <c r="D17" s="15">
        <v>1093</v>
      </c>
      <c r="E17" s="14">
        <v>4.7376709400000001</v>
      </c>
      <c r="F17" s="16">
        <v>0.62700982000000005</v>
      </c>
      <c r="G17" s="14">
        <v>15.25504748</v>
      </c>
      <c r="H17" s="16">
        <v>0.93466079000000002</v>
      </c>
      <c r="I17" s="14">
        <v>25.22329358</v>
      </c>
      <c r="J17" s="16">
        <v>1.4024881600000001</v>
      </c>
      <c r="K17" s="14">
        <v>54.783988000000001</v>
      </c>
      <c r="L17" s="16">
        <v>1.6100742299999999</v>
      </c>
      <c r="M17" s="14" t="s">
        <v>139</v>
      </c>
      <c r="N17" s="16" t="s">
        <v>139</v>
      </c>
      <c r="O17" s="14">
        <v>0</v>
      </c>
      <c r="P17" s="16">
        <v>0</v>
      </c>
      <c r="Q17" s="14">
        <v>0</v>
      </c>
      <c r="R17" s="16">
        <v>0</v>
      </c>
      <c r="S17" s="14">
        <v>0</v>
      </c>
      <c r="T17" s="16">
        <v>0</v>
      </c>
      <c r="U17" s="14">
        <v>0</v>
      </c>
      <c r="V17" s="16">
        <v>0</v>
      </c>
    </row>
    <row r="18" spans="1:22" x14ac:dyDescent="0.25">
      <c r="A18" s="11" t="s">
        <v>150</v>
      </c>
      <c r="B18" s="13">
        <v>5532</v>
      </c>
      <c r="C18" s="14">
        <f>(4567/B18*100)</f>
        <v>82.556037599421543</v>
      </c>
      <c r="D18" s="15">
        <v>965</v>
      </c>
      <c r="E18" s="14">
        <v>7.3103230100000003</v>
      </c>
      <c r="F18" s="16">
        <v>0.92878965999999996</v>
      </c>
      <c r="G18" s="14">
        <v>24.78518292</v>
      </c>
      <c r="H18" s="16">
        <v>1.48510068</v>
      </c>
      <c r="I18" s="14">
        <v>31.11733985</v>
      </c>
      <c r="J18" s="16">
        <v>1.54490211</v>
      </c>
      <c r="K18" s="14">
        <v>36.787154219999998</v>
      </c>
      <c r="L18" s="16">
        <v>1.76014749</v>
      </c>
      <c r="M18" s="14" t="s">
        <v>139</v>
      </c>
      <c r="N18" s="16" t="s">
        <v>139</v>
      </c>
      <c r="O18" s="14">
        <v>0</v>
      </c>
      <c r="P18" s="16">
        <v>0</v>
      </c>
      <c r="Q18" s="14">
        <v>0</v>
      </c>
      <c r="R18" s="16">
        <v>0</v>
      </c>
      <c r="S18" s="14">
        <v>0</v>
      </c>
      <c r="T18" s="16">
        <v>0</v>
      </c>
      <c r="U18" s="14">
        <v>0</v>
      </c>
      <c r="V18" s="16">
        <v>0</v>
      </c>
    </row>
    <row r="19" spans="1:22" x14ac:dyDescent="0.25">
      <c r="A19" s="11" t="s">
        <v>151</v>
      </c>
      <c r="B19" s="13">
        <v>5658</v>
      </c>
      <c r="C19" s="14">
        <f>(4706/B19*100)</f>
        <v>83.17426652527395</v>
      </c>
      <c r="D19" s="15">
        <v>952</v>
      </c>
      <c r="E19" s="14">
        <v>7.3269392800000004</v>
      </c>
      <c r="F19" s="16">
        <v>1.0518742299999999</v>
      </c>
      <c r="G19" s="14">
        <v>22.12575472</v>
      </c>
      <c r="H19" s="16">
        <v>1.3023051999999999</v>
      </c>
      <c r="I19" s="14">
        <v>28.459242790000001</v>
      </c>
      <c r="J19" s="16">
        <v>1.59597064</v>
      </c>
      <c r="K19" s="14">
        <v>42.088063210000001</v>
      </c>
      <c r="L19" s="16">
        <v>1.86939868</v>
      </c>
      <c r="M19" s="14" t="s">
        <v>139</v>
      </c>
      <c r="N19" s="16" t="s">
        <v>139</v>
      </c>
      <c r="O19" s="14">
        <v>0</v>
      </c>
      <c r="P19" s="16">
        <v>0</v>
      </c>
      <c r="Q19" s="14">
        <v>0</v>
      </c>
      <c r="R19" s="16">
        <v>0</v>
      </c>
      <c r="S19" s="14">
        <v>0</v>
      </c>
      <c r="T19" s="16">
        <v>0</v>
      </c>
      <c r="U19" s="14">
        <v>0</v>
      </c>
      <c r="V19" s="16">
        <v>0</v>
      </c>
    </row>
    <row r="20" spans="1:22" x14ac:dyDescent="0.25">
      <c r="A20" s="11" t="s">
        <v>152</v>
      </c>
      <c r="B20" s="13">
        <v>3371</v>
      </c>
      <c r="C20" s="14">
        <f>(2793/B20*100)</f>
        <v>82.853752595668936</v>
      </c>
      <c r="D20" s="15">
        <v>578</v>
      </c>
      <c r="E20" s="14">
        <v>5.6945607499999999</v>
      </c>
      <c r="F20" s="16">
        <v>1.1000269</v>
      </c>
      <c r="G20" s="14">
        <v>14.75560099</v>
      </c>
      <c r="H20" s="16">
        <v>1.6619517100000001</v>
      </c>
      <c r="I20" s="14">
        <v>24.27101519</v>
      </c>
      <c r="J20" s="16">
        <v>1.98173482</v>
      </c>
      <c r="K20" s="14">
        <v>55.278823080000002</v>
      </c>
      <c r="L20" s="16">
        <v>2.2535710299999998</v>
      </c>
      <c r="M20" s="14" t="s">
        <v>139</v>
      </c>
      <c r="N20" s="16" t="s">
        <v>139</v>
      </c>
      <c r="O20" s="14">
        <v>0</v>
      </c>
      <c r="P20" s="16">
        <v>0</v>
      </c>
      <c r="Q20" s="14">
        <v>0</v>
      </c>
      <c r="R20" s="16">
        <v>0</v>
      </c>
      <c r="S20" s="14">
        <v>0</v>
      </c>
      <c r="T20" s="16">
        <v>0</v>
      </c>
      <c r="U20" s="14">
        <v>0</v>
      </c>
      <c r="V20" s="16">
        <v>0</v>
      </c>
    </row>
    <row r="21" spans="1:22" x14ac:dyDescent="0.25">
      <c r="A21" s="11" t="s">
        <v>153</v>
      </c>
      <c r="B21" s="17" t="s">
        <v>154</v>
      </c>
      <c r="C21" s="17" t="s">
        <v>154</v>
      </c>
      <c r="D21" s="18" t="s">
        <v>154</v>
      </c>
      <c r="E21" s="17" t="s">
        <v>154</v>
      </c>
      <c r="F21" s="18" t="s">
        <v>154</v>
      </c>
      <c r="G21" s="17" t="s">
        <v>154</v>
      </c>
      <c r="H21" s="18" t="s">
        <v>154</v>
      </c>
      <c r="I21" s="17" t="s">
        <v>154</v>
      </c>
      <c r="J21" s="18" t="s">
        <v>154</v>
      </c>
      <c r="K21" s="17" t="s">
        <v>154</v>
      </c>
      <c r="L21" s="18" t="s">
        <v>154</v>
      </c>
      <c r="M21" s="17" t="s">
        <v>154</v>
      </c>
      <c r="N21" s="18" t="s">
        <v>154</v>
      </c>
      <c r="O21" s="17" t="s">
        <v>154</v>
      </c>
      <c r="P21" s="18" t="s">
        <v>154</v>
      </c>
      <c r="Q21" s="17" t="s">
        <v>154</v>
      </c>
      <c r="R21" s="18" t="s">
        <v>154</v>
      </c>
      <c r="S21" s="17" t="s">
        <v>154</v>
      </c>
      <c r="T21" s="18" t="s">
        <v>154</v>
      </c>
      <c r="U21" s="17" t="s">
        <v>154</v>
      </c>
      <c r="V21" s="18" t="s">
        <v>154</v>
      </c>
    </row>
    <row r="22" spans="1:22" x14ac:dyDescent="0.25">
      <c r="A22" s="11" t="s">
        <v>155</v>
      </c>
      <c r="B22" s="13">
        <v>6598</v>
      </c>
      <c r="C22" s="14">
        <f>(5572/B22*100)</f>
        <v>84.449833282812975</v>
      </c>
      <c r="D22" s="15">
        <v>1026</v>
      </c>
      <c r="E22" s="14">
        <v>8.9301847700000003</v>
      </c>
      <c r="F22" s="16">
        <v>0.96754974999999999</v>
      </c>
      <c r="G22" s="14">
        <v>22.736065979999999</v>
      </c>
      <c r="H22" s="16">
        <v>1.4270924599999999</v>
      </c>
      <c r="I22" s="14">
        <v>27.80066553</v>
      </c>
      <c r="J22" s="16">
        <v>1.66535951</v>
      </c>
      <c r="K22" s="14">
        <v>40.53308372</v>
      </c>
      <c r="L22" s="16">
        <v>1.82467351</v>
      </c>
      <c r="M22" s="14" t="s">
        <v>139</v>
      </c>
      <c r="N22" s="16" t="s">
        <v>139</v>
      </c>
      <c r="O22" s="14">
        <v>0</v>
      </c>
      <c r="P22" s="16">
        <v>0</v>
      </c>
      <c r="Q22" s="14">
        <v>0</v>
      </c>
      <c r="R22" s="16">
        <v>0</v>
      </c>
      <c r="S22" s="14">
        <v>0</v>
      </c>
      <c r="T22" s="16">
        <v>0</v>
      </c>
      <c r="U22" s="14">
        <v>0</v>
      </c>
      <c r="V22" s="16">
        <v>0</v>
      </c>
    </row>
    <row r="23" spans="1:22" x14ac:dyDescent="0.25">
      <c r="A23" s="11" t="s">
        <v>156</v>
      </c>
      <c r="B23" s="13">
        <v>11583</v>
      </c>
      <c r="C23" s="14">
        <f>(9607/B23*100)</f>
        <v>82.94051627384961</v>
      </c>
      <c r="D23" s="15">
        <v>1976</v>
      </c>
      <c r="E23" s="14">
        <v>8.4788303299999992</v>
      </c>
      <c r="F23" s="16">
        <v>0.93180476000000001</v>
      </c>
      <c r="G23" s="14">
        <v>21.198482160000001</v>
      </c>
      <c r="H23" s="16">
        <v>1.2167886299999999</v>
      </c>
      <c r="I23" s="14">
        <v>27.23598535</v>
      </c>
      <c r="J23" s="16">
        <v>1.21907641</v>
      </c>
      <c r="K23" s="14">
        <v>43.086702170000002</v>
      </c>
      <c r="L23" s="16">
        <v>1.39857057</v>
      </c>
      <c r="M23" s="14" t="s">
        <v>139</v>
      </c>
      <c r="N23" s="16" t="s">
        <v>139</v>
      </c>
      <c r="O23" s="14">
        <v>0</v>
      </c>
      <c r="P23" s="16">
        <v>0</v>
      </c>
      <c r="Q23" s="14">
        <v>0</v>
      </c>
      <c r="R23" s="16">
        <v>0</v>
      </c>
      <c r="S23" s="14">
        <v>0</v>
      </c>
      <c r="T23" s="16">
        <v>0</v>
      </c>
      <c r="U23" s="14">
        <v>0</v>
      </c>
      <c r="V23" s="16">
        <v>0</v>
      </c>
    </row>
    <row r="24" spans="1:22" x14ac:dyDescent="0.25">
      <c r="A24" s="11" t="s">
        <v>157</v>
      </c>
      <c r="B24" s="13">
        <v>6647</v>
      </c>
      <c r="C24" s="14">
        <f>(5489/B24*100)</f>
        <v>82.578606890326469</v>
      </c>
      <c r="D24" s="15">
        <v>1158</v>
      </c>
      <c r="E24" s="14">
        <v>2.3369396899999999</v>
      </c>
      <c r="F24" s="16">
        <v>0.44877229000000002</v>
      </c>
      <c r="G24" s="14">
        <v>9.7622897500000008</v>
      </c>
      <c r="H24" s="16">
        <v>0.93188930999999997</v>
      </c>
      <c r="I24" s="14">
        <v>24.774892879999999</v>
      </c>
      <c r="J24" s="16">
        <v>1.4226362699999999</v>
      </c>
      <c r="K24" s="14">
        <v>63.125877670000001</v>
      </c>
      <c r="L24" s="16">
        <v>1.5980210800000001</v>
      </c>
      <c r="M24" s="14" t="s">
        <v>139</v>
      </c>
      <c r="N24" s="16" t="s">
        <v>139</v>
      </c>
      <c r="O24" s="14">
        <v>0</v>
      </c>
      <c r="P24" s="16">
        <v>0</v>
      </c>
      <c r="Q24" s="14">
        <v>0</v>
      </c>
      <c r="R24" s="16">
        <v>0</v>
      </c>
      <c r="S24" s="14">
        <v>0</v>
      </c>
      <c r="T24" s="16">
        <v>0</v>
      </c>
      <c r="U24" s="14">
        <v>0</v>
      </c>
      <c r="V24" s="16">
        <v>0</v>
      </c>
    </row>
    <row r="25" spans="1:22" x14ac:dyDescent="0.25">
      <c r="A25" s="11" t="s">
        <v>158</v>
      </c>
      <c r="B25" s="13">
        <v>5581</v>
      </c>
      <c r="C25" s="14">
        <f>(4617/B25*100)</f>
        <v>82.727109836946795</v>
      </c>
      <c r="D25" s="15">
        <v>964</v>
      </c>
      <c r="E25" s="14">
        <v>4.0952584700000001</v>
      </c>
      <c r="F25" s="16">
        <v>0.67768010000000001</v>
      </c>
      <c r="G25" s="14">
        <v>12.00624796</v>
      </c>
      <c r="H25" s="16">
        <v>1.00871216</v>
      </c>
      <c r="I25" s="14">
        <v>27.524846790000002</v>
      </c>
      <c r="J25" s="16">
        <v>1.4916991500000001</v>
      </c>
      <c r="K25" s="14">
        <v>56.373646780000001</v>
      </c>
      <c r="L25" s="16">
        <v>1.6051436299999999</v>
      </c>
      <c r="M25" s="14" t="s">
        <v>139</v>
      </c>
      <c r="N25" s="16" t="s">
        <v>139</v>
      </c>
      <c r="O25" s="14">
        <v>0</v>
      </c>
      <c r="P25" s="16">
        <v>0</v>
      </c>
      <c r="Q25" s="14">
        <v>0</v>
      </c>
      <c r="R25" s="16">
        <v>0</v>
      </c>
      <c r="S25" s="14">
        <v>0</v>
      </c>
      <c r="T25" s="16">
        <v>0</v>
      </c>
      <c r="U25" s="14">
        <v>0</v>
      </c>
      <c r="V25" s="16">
        <v>0</v>
      </c>
    </row>
    <row r="26" spans="1:22" x14ac:dyDescent="0.25">
      <c r="A26" s="11" t="s">
        <v>159</v>
      </c>
      <c r="B26" s="13">
        <v>4869</v>
      </c>
      <c r="C26" s="14">
        <f>(4010/B26*100)</f>
        <v>82.357773670158139</v>
      </c>
      <c r="D26" s="15">
        <v>859</v>
      </c>
      <c r="E26" s="14">
        <v>7.1947799100000003</v>
      </c>
      <c r="F26" s="16">
        <v>0.90745034999999996</v>
      </c>
      <c r="G26" s="14">
        <v>19.597146169999998</v>
      </c>
      <c r="H26" s="16">
        <v>1.4829184</v>
      </c>
      <c r="I26" s="14">
        <v>28.096836110000002</v>
      </c>
      <c r="J26" s="16">
        <v>1.70062878</v>
      </c>
      <c r="K26" s="14">
        <v>45.111237809999999</v>
      </c>
      <c r="L26" s="16">
        <v>1.86302564</v>
      </c>
      <c r="M26" s="14" t="s">
        <v>139</v>
      </c>
      <c r="N26" s="16" t="s">
        <v>139</v>
      </c>
      <c r="O26" s="14">
        <v>0</v>
      </c>
      <c r="P26" s="16">
        <v>0</v>
      </c>
      <c r="Q26" s="14">
        <v>0</v>
      </c>
      <c r="R26" s="16">
        <v>0</v>
      </c>
      <c r="S26" s="14">
        <v>0</v>
      </c>
      <c r="T26" s="16">
        <v>0</v>
      </c>
      <c r="U26" s="14">
        <v>0</v>
      </c>
      <c r="V26" s="16">
        <v>0</v>
      </c>
    </row>
    <row r="27" spans="1:22" x14ac:dyDescent="0.25">
      <c r="A27" s="11" t="s">
        <v>160</v>
      </c>
      <c r="B27" s="13">
        <v>5299</v>
      </c>
      <c r="C27" s="14">
        <f>(4387/B27*100)</f>
        <v>82.789205510473678</v>
      </c>
      <c r="D27" s="15">
        <v>912</v>
      </c>
      <c r="E27" s="14">
        <v>7.4008820100000001</v>
      </c>
      <c r="F27" s="16">
        <v>0.86651427000000003</v>
      </c>
      <c r="G27" s="14">
        <v>20.938521659999999</v>
      </c>
      <c r="H27" s="16">
        <v>1.4115001899999999</v>
      </c>
      <c r="I27" s="14">
        <v>27.169913380000001</v>
      </c>
      <c r="J27" s="16">
        <v>1.68250553</v>
      </c>
      <c r="K27" s="14">
        <v>44.49068295</v>
      </c>
      <c r="L27" s="16">
        <v>1.82583447</v>
      </c>
      <c r="M27" s="14" t="s">
        <v>139</v>
      </c>
      <c r="N27" s="16" t="s">
        <v>139</v>
      </c>
      <c r="O27" s="14">
        <v>0</v>
      </c>
      <c r="P27" s="16">
        <v>0</v>
      </c>
      <c r="Q27" s="14">
        <v>0</v>
      </c>
      <c r="R27" s="16">
        <v>0</v>
      </c>
      <c r="S27" s="14">
        <v>0</v>
      </c>
      <c r="T27" s="16">
        <v>0</v>
      </c>
      <c r="U27" s="14">
        <v>0</v>
      </c>
      <c r="V27" s="16">
        <v>0</v>
      </c>
    </row>
    <row r="28" spans="1:22" x14ac:dyDescent="0.25">
      <c r="A28" s="11" t="s">
        <v>161</v>
      </c>
      <c r="B28" s="13">
        <v>7568</v>
      </c>
      <c r="C28" s="14">
        <f>(6360/B28*100)</f>
        <v>84.038054968287526</v>
      </c>
      <c r="D28" s="15">
        <v>1208</v>
      </c>
      <c r="E28" s="14">
        <v>11.425594670000001</v>
      </c>
      <c r="F28" s="16">
        <v>1.1198829800000001</v>
      </c>
      <c r="G28" s="14">
        <v>25.365490000000001</v>
      </c>
      <c r="H28" s="16">
        <v>1.3905592499999999</v>
      </c>
      <c r="I28" s="14">
        <v>27.18916166</v>
      </c>
      <c r="J28" s="16">
        <v>1.5763191299999999</v>
      </c>
      <c r="K28" s="14">
        <v>36.01975367</v>
      </c>
      <c r="L28" s="16">
        <v>1.48714671</v>
      </c>
      <c r="M28" s="14" t="s">
        <v>139</v>
      </c>
      <c r="N28" s="16" t="s">
        <v>139</v>
      </c>
      <c r="O28" s="14">
        <v>0</v>
      </c>
      <c r="P28" s="16">
        <v>0</v>
      </c>
      <c r="Q28" s="14">
        <v>0</v>
      </c>
      <c r="R28" s="16">
        <v>0</v>
      </c>
      <c r="S28" s="14">
        <v>0</v>
      </c>
      <c r="T28" s="16">
        <v>0</v>
      </c>
      <c r="U28" s="14">
        <v>0</v>
      </c>
      <c r="V28" s="16">
        <v>0</v>
      </c>
    </row>
    <row r="29" spans="1:22" x14ac:dyDescent="0.25">
      <c r="A29" s="11" t="s">
        <v>162</v>
      </c>
      <c r="B29" s="13">
        <v>5385</v>
      </c>
      <c r="C29" s="14">
        <f>(4470/B29*100)</f>
        <v>83.008356545961007</v>
      </c>
      <c r="D29" s="15">
        <v>915</v>
      </c>
      <c r="E29" s="14">
        <v>3.3791438199999999</v>
      </c>
      <c r="F29" s="16">
        <v>0.66082465000000001</v>
      </c>
      <c r="G29" s="14">
        <v>16.336436840000001</v>
      </c>
      <c r="H29" s="16">
        <v>1.3828808699999999</v>
      </c>
      <c r="I29" s="14">
        <v>26.023901460000001</v>
      </c>
      <c r="J29" s="16">
        <v>1.4663451000000001</v>
      </c>
      <c r="K29" s="14">
        <v>54.260517880000002</v>
      </c>
      <c r="L29" s="16">
        <v>1.6535134199999999</v>
      </c>
      <c r="M29" s="14" t="s">
        <v>139</v>
      </c>
      <c r="N29" s="16" t="s">
        <v>139</v>
      </c>
      <c r="O29" s="14">
        <v>0</v>
      </c>
      <c r="P29" s="16">
        <v>0</v>
      </c>
      <c r="Q29" s="14">
        <v>0</v>
      </c>
      <c r="R29" s="16">
        <v>0</v>
      </c>
      <c r="S29" s="14">
        <v>0</v>
      </c>
      <c r="T29" s="16">
        <v>0</v>
      </c>
      <c r="U29" s="14">
        <v>0</v>
      </c>
      <c r="V29" s="16">
        <v>0</v>
      </c>
    </row>
    <row r="30" spans="1:22" x14ac:dyDescent="0.25">
      <c r="A30" s="11" t="s">
        <v>163</v>
      </c>
      <c r="B30" s="13">
        <v>4520</v>
      </c>
      <c r="C30" s="14">
        <f>(3750/B30*100)</f>
        <v>82.964601769911511</v>
      </c>
      <c r="D30" s="15">
        <v>770</v>
      </c>
      <c r="E30" s="14">
        <v>3.3733265399999999</v>
      </c>
      <c r="F30" s="16">
        <v>0.60369236000000004</v>
      </c>
      <c r="G30" s="14">
        <v>16.522022280000002</v>
      </c>
      <c r="H30" s="16">
        <v>1.2462729299999999</v>
      </c>
      <c r="I30" s="14">
        <v>25.96075141</v>
      </c>
      <c r="J30" s="16">
        <v>1.4778679400000001</v>
      </c>
      <c r="K30" s="14">
        <v>54.143899769999997</v>
      </c>
      <c r="L30" s="16">
        <v>1.7756409900000001</v>
      </c>
      <c r="M30" s="14" t="s">
        <v>139</v>
      </c>
      <c r="N30" s="16" t="s">
        <v>139</v>
      </c>
      <c r="O30" s="14">
        <v>0</v>
      </c>
      <c r="P30" s="16">
        <v>0</v>
      </c>
      <c r="Q30" s="14">
        <v>0</v>
      </c>
      <c r="R30" s="16">
        <v>0</v>
      </c>
      <c r="S30" s="14">
        <v>0</v>
      </c>
      <c r="T30" s="16">
        <v>0</v>
      </c>
      <c r="U30" s="14">
        <v>0</v>
      </c>
      <c r="V30" s="16">
        <v>0</v>
      </c>
    </row>
    <row r="31" spans="1:22" x14ac:dyDescent="0.25">
      <c r="A31" s="11" t="s">
        <v>164</v>
      </c>
      <c r="B31" s="13">
        <v>5456</v>
      </c>
      <c r="C31" s="14">
        <f>(4538/B31*100)</f>
        <v>83.174486803519059</v>
      </c>
      <c r="D31" s="15">
        <v>918</v>
      </c>
      <c r="E31" s="14">
        <v>2.6039860699999999</v>
      </c>
      <c r="F31" s="16">
        <v>0.52037447000000003</v>
      </c>
      <c r="G31" s="14">
        <v>13.784766319999999</v>
      </c>
      <c r="H31" s="16">
        <v>1.1563296199999999</v>
      </c>
      <c r="I31" s="14">
        <v>23.228382310000001</v>
      </c>
      <c r="J31" s="16">
        <v>1.34192621</v>
      </c>
      <c r="K31" s="14">
        <v>60.382865289999998</v>
      </c>
      <c r="L31" s="16">
        <v>1.4835094799999999</v>
      </c>
      <c r="M31" s="14" t="s">
        <v>139</v>
      </c>
      <c r="N31" s="16" t="s">
        <v>139</v>
      </c>
      <c r="O31" s="14">
        <v>0</v>
      </c>
      <c r="P31" s="16">
        <v>0</v>
      </c>
      <c r="Q31" s="14">
        <v>0</v>
      </c>
      <c r="R31" s="16">
        <v>0</v>
      </c>
      <c r="S31" s="14">
        <v>0</v>
      </c>
      <c r="T31" s="16">
        <v>0</v>
      </c>
      <c r="U31" s="14">
        <v>0</v>
      </c>
      <c r="V31" s="16">
        <v>0</v>
      </c>
    </row>
    <row r="32" spans="1:22" x14ac:dyDescent="0.25">
      <c r="A32" s="11" t="s">
        <v>165</v>
      </c>
      <c r="B32" s="17" t="s">
        <v>154</v>
      </c>
      <c r="C32" s="17" t="s">
        <v>154</v>
      </c>
      <c r="D32" s="18" t="s">
        <v>154</v>
      </c>
      <c r="E32" s="17" t="s">
        <v>154</v>
      </c>
      <c r="F32" s="18" t="s">
        <v>154</v>
      </c>
      <c r="G32" s="17" t="s">
        <v>154</v>
      </c>
      <c r="H32" s="18" t="s">
        <v>154</v>
      </c>
      <c r="I32" s="17" t="s">
        <v>154</v>
      </c>
      <c r="J32" s="18" t="s">
        <v>154</v>
      </c>
      <c r="K32" s="17" t="s">
        <v>154</v>
      </c>
      <c r="L32" s="18" t="s">
        <v>154</v>
      </c>
      <c r="M32" s="17" t="s">
        <v>154</v>
      </c>
      <c r="N32" s="18" t="s">
        <v>154</v>
      </c>
      <c r="O32" s="17" t="s">
        <v>154</v>
      </c>
      <c r="P32" s="18" t="s">
        <v>154</v>
      </c>
      <c r="Q32" s="17" t="s">
        <v>154</v>
      </c>
      <c r="R32" s="18" t="s">
        <v>154</v>
      </c>
      <c r="S32" s="17" t="s">
        <v>154</v>
      </c>
      <c r="T32" s="18" t="s">
        <v>154</v>
      </c>
      <c r="U32" s="17" t="s">
        <v>154</v>
      </c>
      <c r="V32" s="18" t="s">
        <v>154</v>
      </c>
    </row>
    <row r="33" spans="1:22" x14ac:dyDescent="0.25">
      <c r="A33" s="11" t="s">
        <v>166</v>
      </c>
      <c r="B33" s="13">
        <v>7325</v>
      </c>
      <c r="C33" s="14">
        <f>(6113/B33*100)</f>
        <v>83.453924914675767</v>
      </c>
      <c r="D33" s="15">
        <v>1212</v>
      </c>
      <c r="E33" s="14">
        <v>7.0675187099999999</v>
      </c>
      <c r="F33" s="16">
        <v>0.98468358</v>
      </c>
      <c r="G33" s="14">
        <v>21.540313919999999</v>
      </c>
      <c r="H33" s="16">
        <v>1.33555044</v>
      </c>
      <c r="I33" s="14">
        <v>28.200437869999998</v>
      </c>
      <c r="J33" s="16">
        <v>1.52521902</v>
      </c>
      <c r="K33" s="14">
        <v>43.191729500000001</v>
      </c>
      <c r="L33" s="16">
        <v>1.5849826600000001</v>
      </c>
      <c r="M33" s="14" t="s">
        <v>139</v>
      </c>
      <c r="N33" s="16" t="s">
        <v>139</v>
      </c>
      <c r="O33" s="14">
        <v>0</v>
      </c>
      <c r="P33" s="16">
        <v>0</v>
      </c>
      <c r="Q33" s="14">
        <v>0</v>
      </c>
      <c r="R33" s="16">
        <v>0</v>
      </c>
      <c r="S33" s="14">
        <v>0</v>
      </c>
      <c r="T33" s="16">
        <v>0</v>
      </c>
      <c r="U33" s="14">
        <v>0</v>
      </c>
      <c r="V33" s="16">
        <v>0</v>
      </c>
    </row>
    <row r="34" spans="1:22" x14ac:dyDescent="0.25">
      <c r="A34" s="11" t="s">
        <v>167</v>
      </c>
      <c r="B34" s="13">
        <v>6350</v>
      </c>
      <c r="C34" s="14">
        <f>(5294/B34*100)</f>
        <v>83.370078740157481</v>
      </c>
      <c r="D34" s="15">
        <v>1056</v>
      </c>
      <c r="E34" s="14">
        <v>8.6967114399999996</v>
      </c>
      <c r="F34" s="16">
        <v>1.0063165999999999</v>
      </c>
      <c r="G34" s="14">
        <v>20.649794629999999</v>
      </c>
      <c r="H34" s="16">
        <v>1.3797033700000001</v>
      </c>
      <c r="I34" s="14">
        <v>26.395207070000001</v>
      </c>
      <c r="J34" s="16">
        <v>1.3017512499999999</v>
      </c>
      <c r="K34" s="14">
        <v>44.258286849999998</v>
      </c>
      <c r="L34" s="16">
        <v>1.63801569</v>
      </c>
      <c r="M34" s="14" t="s">
        <v>139</v>
      </c>
      <c r="N34" s="16" t="s">
        <v>139</v>
      </c>
      <c r="O34" s="14">
        <v>0</v>
      </c>
      <c r="P34" s="16">
        <v>0</v>
      </c>
      <c r="Q34" s="14">
        <v>0</v>
      </c>
      <c r="R34" s="16">
        <v>0</v>
      </c>
      <c r="S34" s="14">
        <v>0</v>
      </c>
      <c r="T34" s="16">
        <v>0</v>
      </c>
      <c r="U34" s="14">
        <v>0</v>
      </c>
      <c r="V34" s="16">
        <v>0</v>
      </c>
    </row>
    <row r="35" spans="1:22" x14ac:dyDescent="0.25">
      <c r="A35" s="11" t="s">
        <v>168</v>
      </c>
      <c r="B35" s="13">
        <v>6406</v>
      </c>
      <c r="C35" s="14">
        <f>(5302/B35*100)</f>
        <v>82.766156728067443</v>
      </c>
      <c r="D35" s="15">
        <v>1104</v>
      </c>
      <c r="E35" s="14">
        <v>4.1800876899999997</v>
      </c>
      <c r="F35" s="16">
        <v>0.81423252000000002</v>
      </c>
      <c r="G35" s="14">
        <v>17.162852010000002</v>
      </c>
      <c r="H35" s="16">
        <v>1.42793364</v>
      </c>
      <c r="I35" s="14">
        <v>29.782375739999999</v>
      </c>
      <c r="J35" s="16">
        <v>1.7804458999999999</v>
      </c>
      <c r="K35" s="14">
        <v>48.874684559999999</v>
      </c>
      <c r="L35" s="16">
        <v>1.92467034</v>
      </c>
      <c r="M35" s="14" t="s">
        <v>139</v>
      </c>
      <c r="N35" s="16" t="s">
        <v>139</v>
      </c>
      <c r="O35" s="14">
        <v>0</v>
      </c>
      <c r="P35" s="16">
        <v>0</v>
      </c>
      <c r="Q35" s="14">
        <v>0</v>
      </c>
      <c r="R35" s="16">
        <v>0</v>
      </c>
      <c r="S35" s="14">
        <v>0</v>
      </c>
      <c r="T35" s="16">
        <v>0</v>
      </c>
      <c r="U35" s="14">
        <v>0</v>
      </c>
      <c r="V35" s="16">
        <v>0</v>
      </c>
    </row>
    <row r="36" spans="1:22" x14ac:dyDescent="0.25">
      <c r="A36" s="11" t="s">
        <v>169</v>
      </c>
      <c r="B36" s="13">
        <v>6736</v>
      </c>
      <c r="C36" s="14">
        <f>(5585/B36*100)</f>
        <v>82.912707838479818</v>
      </c>
      <c r="D36" s="15">
        <v>1151</v>
      </c>
      <c r="E36" s="14">
        <v>4.4682641099999998</v>
      </c>
      <c r="F36" s="16">
        <v>0.57037888999999997</v>
      </c>
      <c r="G36" s="14">
        <v>23.188669520000001</v>
      </c>
      <c r="H36" s="16">
        <v>1.4602735099999999</v>
      </c>
      <c r="I36" s="14">
        <v>29.802404639999999</v>
      </c>
      <c r="J36" s="16">
        <v>1.4257047700000001</v>
      </c>
      <c r="K36" s="14">
        <v>42.540661729999997</v>
      </c>
      <c r="L36" s="16">
        <v>1.41648163</v>
      </c>
      <c r="M36" s="14" t="s">
        <v>139</v>
      </c>
      <c r="N36" s="16" t="s">
        <v>139</v>
      </c>
      <c r="O36" s="14">
        <v>0</v>
      </c>
      <c r="P36" s="16">
        <v>0</v>
      </c>
      <c r="Q36" s="14">
        <v>0</v>
      </c>
      <c r="R36" s="16">
        <v>0</v>
      </c>
      <c r="S36" s="14">
        <v>0</v>
      </c>
      <c r="T36" s="16">
        <v>0</v>
      </c>
      <c r="U36" s="14">
        <v>0</v>
      </c>
      <c r="V36" s="16">
        <v>0</v>
      </c>
    </row>
    <row r="37" spans="1:22" x14ac:dyDescent="0.25">
      <c r="A37" s="11" t="s">
        <v>170</v>
      </c>
      <c r="B37" s="13">
        <v>5458</v>
      </c>
      <c r="C37" s="14">
        <f>(4562/B37*100)</f>
        <v>83.583730304140715</v>
      </c>
      <c r="D37" s="15">
        <v>896</v>
      </c>
      <c r="E37" s="14">
        <v>4.4605472300000004</v>
      </c>
      <c r="F37" s="16">
        <v>0.66721191999999996</v>
      </c>
      <c r="G37" s="14">
        <v>15.53473898</v>
      </c>
      <c r="H37" s="16">
        <v>1.2780227900000001</v>
      </c>
      <c r="I37" s="14">
        <v>26.31273186</v>
      </c>
      <c r="J37" s="16">
        <v>1.4374014100000001</v>
      </c>
      <c r="K37" s="14">
        <v>53.691981929999997</v>
      </c>
      <c r="L37" s="16">
        <v>1.88768337</v>
      </c>
      <c r="M37" s="14" t="s">
        <v>139</v>
      </c>
      <c r="N37" s="16" t="s">
        <v>139</v>
      </c>
      <c r="O37" s="14">
        <v>0</v>
      </c>
      <c r="P37" s="16">
        <v>0</v>
      </c>
      <c r="Q37" s="14">
        <v>0</v>
      </c>
      <c r="R37" s="16">
        <v>0</v>
      </c>
      <c r="S37" s="14">
        <v>0</v>
      </c>
      <c r="T37" s="16">
        <v>0</v>
      </c>
      <c r="U37" s="14">
        <v>0</v>
      </c>
      <c r="V37" s="16">
        <v>0</v>
      </c>
    </row>
    <row r="38" spans="1:22" x14ac:dyDescent="0.25">
      <c r="A38" s="11" t="s">
        <v>171</v>
      </c>
      <c r="B38" s="17" t="s">
        <v>154</v>
      </c>
      <c r="C38" s="17" t="s">
        <v>154</v>
      </c>
      <c r="D38" s="18" t="s">
        <v>154</v>
      </c>
      <c r="E38" s="17" t="s">
        <v>154</v>
      </c>
      <c r="F38" s="18" t="s">
        <v>154</v>
      </c>
      <c r="G38" s="17" t="s">
        <v>154</v>
      </c>
      <c r="H38" s="18" t="s">
        <v>154</v>
      </c>
      <c r="I38" s="17" t="s">
        <v>154</v>
      </c>
      <c r="J38" s="18" t="s">
        <v>154</v>
      </c>
      <c r="K38" s="17" t="s">
        <v>154</v>
      </c>
      <c r="L38" s="18" t="s">
        <v>154</v>
      </c>
      <c r="M38" s="17" t="s">
        <v>154</v>
      </c>
      <c r="N38" s="18" t="s">
        <v>154</v>
      </c>
      <c r="O38" s="17" t="s">
        <v>154</v>
      </c>
      <c r="P38" s="18" t="s">
        <v>154</v>
      </c>
      <c r="Q38" s="17" t="s">
        <v>154</v>
      </c>
      <c r="R38" s="18" t="s">
        <v>154</v>
      </c>
      <c r="S38" s="17" t="s">
        <v>154</v>
      </c>
      <c r="T38" s="18" t="s">
        <v>154</v>
      </c>
      <c r="U38" s="17" t="s">
        <v>154</v>
      </c>
      <c r="V38" s="18" t="s">
        <v>154</v>
      </c>
    </row>
    <row r="39" spans="1:22" x14ac:dyDescent="0.25">
      <c r="A39" s="11" t="s">
        <v>172</v>
      </c>
      <c r="B39" s="13">
        <v>5895</v>
      </c>
      <c r="C39" s="14">
        <f>(4871/B39*100)</f>
        <v>82.629346904156066</v>
      </c>
      <c r="D39" s="15">
        <v>1024</v>
      </c>
      <c r="E39" s="14">
        <v>11.097976170000001</v>
      </c>
      <c r="F39" s="16">
        <v>1.27834552</v>
      </c>
      <c r="G39" s="14">
        <v>30.011078699999999</v>
      </c>
      <c r="H39" s="16">
        <v>1.7707079400000001</v>
      </c>
      <c r="I39" s="14">
        <v>31.355490230000001</v>
      </c>
      <c r="J39" s="16">
        <v>1.7188515799999999</v>
      </c>
      <c r="K39" s="14">
        <v>27.535454900000001</v>
      </c>
      <c r="L39" s="16">
        <v>1.5532794999999999</v>
      </c>
      <c r="M39" s="14" t="s">
        <v>139</v>
      </c>
      <c r="N39" s="16" t="s">
        <v>139</v>
      </c>
      <c r="O39" s="14">
        <v>0</v>
      </c>
      <c r="P39" s="16">
        <v>0</v>
      </c>
      <c r="Q39" s="14">
        <v>0</v>
      </c>
      <c r="R39" s="16">
        <v>0</v>
      </c>
      <c r="S39" s="14">
        <v>0</v>
      </c>
      <c r="T39" s="16">
        <v>0</v>
      </c>
      <c r="U39" s="14">
        <v>0</v>
      </c>
      <c r="V39" s="16">
        <v>0</v>
      </c>
    </row>
    <row r="40" spans="1:22" x14ac:dyDescent="0.25">
      <c r="A40" s="11" t="s">
        <v>173</v>
      </c>
      <c r="B40" s="13">
        <v>14157</v>
      </c>
      <c r="C40" s="14">
        <f>(11638/B40*100)</f>
        <v>82.206682206682203</v>
      </c>
      <c r="D40" s="15">
        <v>2519</v>
      </c>
      <c r="E40" s="14">
        <v>5.2287915299999996</v>
      </c>
      <c r="F40" s="16">
        <v>0.72367751000000002</v>
      </c>
      <c r="G40" s="14">
        <v>18.720664589999998</v>
      </c>
      <c r="H40" s="16">
        <v>1.4490102499999999</v>
      </c>
      <c r="I40" s="14">
        <v>25.992877650000001</v>
      </c>
      <c r="J40" s="16">
        <v>1.2687965400000001</v>
      </c>
      <c r="K40" s="14">
        <v>50.057666220000002</v>
      </c>
      <c r="L40" s="16">
        <v>1.56632891</v>
      </c>
      <c r="M40" s="14" t="s">
        <v>139</v>
      </c>
      <c r="N40" s="16" t="s">
        <v>139</v>
      </c>
      <c r="O40" s="14">
        <v>0</v>
      </c>
      <c r="P40" s="16">
        <v>0</v>
      </c>
      <c r="Q40" s="14">
        <v>0</v>
      </c>
      <c r="R40" s="16">
        <v>0</v>
      </c>
      <c r="S40" s="14">
        <v>0</v>
      </c>
      <c r="T40" s="16">
        <v>0</v>
      </c>
      <c r="U40" s="14">
        <v>0</v>
      </c>
      <c r="V40" s="16">
        <v>0</v>
      </c>
    </row>
    <row r="41" spans="1:22" x14ac:dyDescent="0.25">
      <c r="A41" s="11" t="s">
        <v>174</v>
      </c>
      <c r="B41" s="13">
        <v>5712</v>
      </c>
      <c r="C41" s="14">
        <f>(4761/B41*100)</f>
        <v>83.350840336134453</v>
      </c>
      <c r="D41" s="15">
        <v>951</v>
      </c>
      <c r="E41" s="14">
        <v>5.0480239999999998</v>
      </c>
      <c r="F41" s="16">
        <v>0.80205203999999997</v>
      </c>
      <c r="G41" s="14">
        <v>19.840819360000001</v>
      </c>
      <c r="H41" s="16">
        <v>1.4257480499999999</v>
      </c>
      <c r="I41" s="14">
        <v>25.07781799</v>
      </c>
      <c r="J41" s="16">
        <v>1.2497848300000001</v>
      </c>
      <c r="K41" s="14">
        <v>50.033338659999998</v>
      </c>
      <c r="L41" s="16">
        <v>1.7983356100000001</v>
      </c>
      <c r="M41" s="14" t="s">
        <v>139</v>
      </c>
      <c r="N41" s="16" t="s">
        <v>139</v>
      </c>
      <c r="O41" s="14">
        <v>0</v>
      </c>
      <c r="P41" s="16">
        <v>0</v>
      </c>
      <c r="Q41" s="14">
        <v>0</v>
      </c>
      <c r="R41" s="16">
        <v>0</v>
      </c>
      <c r="S41" s="14">
        <v>0</v>
      </c>
      <c r="T41" s="16">
        <v>0</v>
      </c>
      <c r="U41" s="14">
        <v>0</v>
      </c>
      <c r="V41" s="16">
        <v>0</v>
      </c>
    </row>
    <row r="42" spans="1:22" x14ac:dyDescent="0.25">
      <c r="A42" s="11" t="s">
        <v>175</v>
      </c>
      <c r="B42" s="13">
        <f>IF(COUNT(B7:B41) &gt; 0, AVERAGE(B7:B41), "\u2014")</f>
        <v>7266.90625</v>
      </c>
      <c r="C42" s="14">
        <f>IF(COUNT(C7:C41) &gt; 0, AVERAGE(C7:C41), "—")</f>
        <v>83.063896246658985</v>
      </c>
      <c r="D42" s="15">
        <f>IF(COUNT(D7:D41) &gt; 0, AVERAGE(D7:D41), "—")</f>
        <v>1232.21875</v>
      </c>
      <c r="E42" s="14">
        <f>IF(COUNT(E7:E41) &gt; 0, AVERAGE(E7:E41), "—")</f>
        <v>5.8621473000000002</v>
      </c>
      <c r="F42" s="16">
        <f>IF(COUNT(F7:F41) &gt; 0, SQRT(SUMSQ(F7:F41)/(COUNT(F7:F41)*COUNT(F7:F41)) ), "—")</f>
        <v>0.1444296051156955</v>
      </c>
      <c r="G42" s="14">
        <f>IF(COUNT(G7:G41) &gt; 0, AVERAGE(G7:G41), "—")</f>
        <v>18.542336024687497</v>
      </c>
      <c r="H42" s="16">
        <f>IF(COUNT(H7:H41) &gt; 0, SQRT(SUMSQ(H7:H41)/(COUNT(H7:H41)*COUNT(H7:H41)) ), "—")</f>
        <v>0.23018379485156915</v>
      </c>
      <c r="I42" s="14">
        <f>IF(COUNT(I7:I41) &gt; 0, AVERAGE(I7:I41), "—")</f>
        <v>26.934886075625002</v>
      </c>
      <c r="J42" s="16">
        <f>IF(COUNT(J7:J41) &gt; 0, SQRT(SUMSQ(J7:J41)/(COUNT(J7:J41)*COUNT(J7:J41)) ), "—")</f>
        <v>0.25799051442130427</v>
      </c>
      <c r="K42" s="14">
        <f>IF(COUNT(K7:K41) &gt; 0, AVERAGE(K7:K41), "—")</f>
        <v>48.660630599687515</v>
      </c>
      <c r="L42" s="16">
        <f>IF(COUNT(L7:L41) &gt; 0, SQRT(SUMSQ(L7:L41)/(COUNT(L7:L41)*COUNT(L7:L41)) ), "—")</f>
        <v>0.29226619733064813</v>
      </c>
      <c r="M42" s="14" t="str">
        <f>IF(COUNT(M7:M41) &gt; 0, AVERAGE(M7:M41), "—")</f>
        <v>—</v>
      </c>
      <c r="N42" s="16" t="str">
        <f>IF(COUNT(N7:N41) &gt; 0, SQRT(SUMSQ(N7:N41)/(COUNT(N7:N41)*COUNT(N7:N41)) ), "—")</f>
        <v>—</v>
      </c>
      <c r="O42" s="14">
        <f>IF(COUNT(O7:O41) &gt; 0, AVERAGE(O7:O41), "—")</f>
        <v>0</v>
      </c>
      <c r="P42" s="16">
        <f>IF(COUNT(P7:P41) &gt; 0, SQRT(SUMSQ(P7:P41)/(COUNT(P7:P41)*COUNT(P7:P41)) ), "—")</f>
        <v>0</v>
      </c>
      <c r="Q42" s="14">
        <f>IF(COUNT(Q7:Q41) &gt; 0, AVERAGE(Q7:Q41), "—")</f>
        <v>0</v>
      </c>
      <c r="R42" s="16">
        <f>IF(COUNT(R7:R41) &gt; 0, SQRT(SUMSQ(R7:R41)/(COUNT(R7:R41)*COUNT(R7:R41)) ), "—")</f>
        <v>0</v>
      </c>
      <c r="S42" s="14">
        <f>IF(COUNT(S7:S41) &gt; 0, AVERAGE(S7:S41), "—")</f>
        <v>0</v>
      </c>
      <c r="T42" s="16">
        <f>IF(COUNT(T7:T41) &gt; 0, SQRT(SUMSQ(T7:T41)/(COUNT(T7:T41)*COUNT(T7:T41)) ), "—")</f>
        <v>0</v>
      </c>
      <c r="U42" s="14">
        <f>IF(COUNT(U7:U41) &gt; 0, AVERAGE(U7:U41), "—")</f>
        <v>0</v>
      </c>
      <c r="V42" s="16">
        <f>IF(COUNT(V7:V41) &gt; 0, SQRT(SUMSQ(V7:V41)/(COUNT(V7:V41)*COUNT(V7:V41)) ), "—")</f>
        <v>0</v>
      </c>
    </row>
    <row r="43" spans="1:22" x14ac:dyDescent="0.25">
      <c r="A43" s="9" t="s">
        <v>176</v>
      </c>
      <c r="B43" s="10"/>
      <c r="C43" s="10"/>
      <c r="D43" s="11"/>
      <c r="E43" s="10"/>
      <c r="F43" s="11"/>
      <c r="G43" s="10"/>
      <c r="H43" s="11"/>
      <c r="I43" s="10"/>
      <c r="J43" s="11"/>
      <c r="K43" s="10"/>
      <c r="L43" s="11"/>
      <c r="M43" s="10"/>
      <c r="N43" s="11"/>
      <c r="O43" s="10"/>
      <c r="P43" s="11"/>
      <c r="Q43" s="10"/>
      <c r="R43" s="11"/>
      <c r="S43" s="10"/>
      <c r="T43" s="11"/>
      <c r="U43" s="10"/>
      <c r="V43" s="12"/>
    </row>
    <row r="44" spans="1:22" x14ac:dyDescent="0.25">
      <c r="A44" s="11" t="s">
        <v>177</v>
      </c>
      <c r="B44" s="17" t="s">
        <v>154</v>
      </c>
      <c r="C44" s="17" t="s">
        <v>154</v>
      </c>
      <c r="D44" s="18" t="s">
        <v>154</v>
      </c>
      <c r="E44" s="17" t="s">
        <v>154</v>
      </c>
      <c r="F44" s="18" t="s">
        <v>154</v>
      </c>
      <c r="G44" s="17" t="s">
        <v>154</v>
      </c>
      <c r="H44" s="18" t="s">
        <v>154</v>
      </c>
      <c r="I44" s="17" t="s">
        <v>154</v>
      </c>
      <c r="J44" s="18" t="s">
        <v>154</v>
      </c>
      <c r="K44" s="17" t="s">
        <v>154</v>
      </c>
      <c r="L44" s="18" t="s">
        <v>154</v>
      </c>
      <c r="M44" s="17" t="s">
        <v>154</v>
      </c>
      <c r="N44" s="18" t="s">
        <v>154</v>
      </c>
      <c r="O44" s="17" t="s">
        <v>154</v>
      </c>
      <c r="P44" s="18" t="s">
        <v>154</v>
      </c>
      <c r="Q44" s="17" t="s">
        <v>154</v>
      </c>
      <c r="R44" s="18" t="s">
        <v>154</v>
      </c>
      <c r="S44" s="17" t="s">
        <v>154</v>
      </c>
      <c r="T44" s="18" t="s">
        <v>154</v>
      </c>
      <c r="U44" s="17" t="s">
        <v>154</v>
      </c>
      <c r="V44" s="18" t="s">
        <v>154</v>
      </c>
    </row>
    <row r="45" spans="1:22" x14ac:dyDescent="0.25">
      <c r="A45" s="11" t="s">
        <v>178</v>
      </c>
      <c r="B45" s="17" t="s">
        <v>154</v>
      </c>
      <c r="C45" s="17" t="s">
        <v>154</v>
      </c>
      <c r="D45" s="18" t="s">
        <v>154</v>
      </c>
      <c r="E45" s="17" t="s">
        <v>154</v>
      </c>
      <c r="F45" s="18" t="s">
        <v>154</v>
      </c>
      <c r="G45" s="17" t="s">
        <v>154</v>
      </c>
      <c r="H45" s="18" t="s">
        <v>154</v>
      </c>
      <c r="I45" s="17" t="s">
        <v>154</v>
      </c>
      <c r="J45" s="18" t="s">
        <v>154</v>
      </c>
      <c r="K45" s="17" t="s">
        <v>154</v>
      </c>
      <c r="L45" s="18" t="s">
        <v>154</v>
      </c>
      <c r="M45" s="17" t="s">
        <v>154</v>
      </c>
      <c r="N45" s="18" t="s">
        <v>154</v>
      </c>
      <c r="O45" s="17" t="s">
        <v>154</v>
      </c>
      <c r="P45" s="18" t="s">
        <v>154</v>
      </c>
      <c r="Q45" s="17" t="s">
        <v>154</v>
      </c>
      <c r="R45" s="18" t="s">
        <v>154</v>
      </c>
      <c r="S45" s="17" t="s">
        <v>154</v>
      </c>
      <c r="T45" s="18" t="s">
        <v>154</v>
      </c>
      <c r="U45" s="17" t="s">
        <v>154</v>
      </c>
      <c r="V45" s="18" t="s">
        <v>154</v>
      </c>
    </row>
    <row r="46" spans="1:22" x14ac:dyDescent="0.25">
      <c r="A46" s="11" t="s">
        <v>179</v>
      </c>
      <c r="B46" s="13">
        <v>23141</v>
      </c>
      <c r="C46" s="14">
        <f>(19884/B46*100)</f>
        <v>85.925413767771488</v>
      </c>
      <c r="D46" s="15">
        <v>3257</v>
      </c>
      <c r="E46" s="14">
        <v>14.38048788</v>
      </c>
      <c r="F46" s="16">
        <v>0.83854406000000004</v>
      </c>
      <c r="G46" s="14">
        <v>33.534864480000003</v>
      </c>
      <c r="H46" s="16">
        <v>1.1418864</v>
      </c>
      <c r="I46" s="14">
        <v>26.978229639999999</v>
      </c>
      <c r="J46" s="16">
        <v>1.0194011000000001</v>
      </c>
      <c r="K46" s="14">
        <v>25.106418000000001</v>
      </c>
      <c r="L46" s="16">
        <v>1.04457339</v>
      </c>
      <c r="M46" s="14" t="s">
        <v>139</v>
      </c>
      <c r="N46" s="16" t="s">
        <v>139</v>
      </c>
      <c r="O46" s="14">
        <v>0</v>
      </c>
      <c r="P46" s="16">
        <v>0</v>
      </c>
      <c r="Q46" s="14">
        <v>0</v>
      </c>
      <c r="R46" s="16">
        <v>0</v>
      </c>
      <c r="S46" s="14">
        <v>0</v>
      </c>
      <c r="T46" s="16">
        <v>0</v>
      </c>
      <c r="U46" s="14">
        <v>0</v>
      </c>
      <c r="V46" s="16">
        <v>0</v>
      </c>
    </row>
    <row r="47" spans="1:22" x14ac:dyDescent="0.25">
      <c r="A47" s="11" t="s">
        <v>180</v>
      </c>
      <c r="B47" s="13">
        <v>5928</v>
      </c>
      <c r="C47" s="14">
        <f>(4936/B47*100)</f>
        <v>83.265856950067473</v>
      </c>
      <c r="D47" s="15">
        <v>992</v>
      </c>
      <c r="E47" s="14">
        <v>10.51649918</v>
      </c>
      <c r="F47" s="16">
        <v>1.0610487500000001</v>
      </c>
      <c r="G47" s="14">
        <v>27.246418869999999</v>
      </c>
      <c r="H47" s="16">
        <v>1.76320382</v>
      </c>
      <c r="I47" s="14">
        <v>28.742578000000002</v>
      </c>
      <c r="J47" s="16">
        <v>1.42608405</v>
      </c>
      <c r="K47" s="14">
        <v>33.494503950000002</v>
      </c>
      <c r="L47" s="16">
        <v>1.69714268</v>
      </c>
      <c r="M47" s="14" t="s">
        <v>139</v>
      </c>
      <c r="N47" s="16" t="s">
        <v>139</v>
      </c>
      <c r="O47" s="14">
        <v>0</v>
      </c>
      <c r="P47" s="16">
        <v>0</v>
      </c>
      <c r="Q47" s="14">
        <v>0</v>
      </c>
      <c r="R47" s="16">
        <v>0</v>
      </c>
      <c r="S47" s="14">
        <v>0</v>
      </c>
      <c r="T47" s="16">
        <v>0</v>
      </c>
      <c r="U47" s="14">
        <v>0</v>
      </c>
      <c r="V47" s="16">
        <v>0</v>
      </c>
    </row>
    <row r="48" spans="1:22" x14ac:dyDescent="0.25">
      <c r="A48" s="11" t="s">
        <v>181</v>
      </c>
      <c r="B48" s="13">
        <v>9841</v>
      </c>
      <c r="C48" s="14">
        <f>(8151/B48*100)</f>
        <v>82.826948480845445</v>
      </c>
      <c r="D48" s="15">
        <v>1690</v>
      </c>
      <c r="E48" s="14">
        <v>5.6442995299999996</v>
      </c>
      <c r="F48" s="16">
        <v>0.67819156999999997</v>
      </c>
      <c r="G48" s="14">
        <v>17.2646391</v>
      </c>
      <c r="H48" s="16">
        <v>1.1094600699999999</v>
      </c>
      <c r="I48" s="14">
        <v>26.319544839999999</v>
      </c>
      <c r="J48" s="16">
        <v>1.69014468</v>
      </c>
      <c r="K48" s="14">
        <v>50.77151654</v>
      </c>
      <c r="L48" s="16">
        <v>1.77286539</v>
      </c>
      <c r="M48" s="14" t="s">
        <v>139</v>
      </c>
      <c r="N48" s="16" t="s">
        <v>139</v>
      </c>
      <c r="O48" s="14">
        <v>0</v>
      </c>
      <c r="P48" s="16">
        <v>0</v>
      </c>
      <c r="Q48" s="14">
        <v>0</v>
      </c>
      <c r="R48" s="16">
        <v>0</v>
      </c>
      <c r="S48" s="14">
        <v>0</v>
      </c>
      <c r="T48" s="16">
        <v>0</v>
      </c>
      <c r="U48" s="14">
        <v>0</v>
      </c>
      <c r="V48" s="16">
        <v>0</v>
      </c>
    </row>
    <row r="49" spans="1:22" x14ac:dyDescent="0.25">
      <c r="A49" s="11" t="s">
        <v>182</v>
      </c>
      <c r="B49" s="17" t="s">
        <v>154</v>
      </c>
      <c r="C49" s="17" t="s">
        <v>154</v>
      </c>
      <c r="D49" s="18" t="s">
        <v>154</v>
      </c>
      <c r="E49" s="17" t="s">
        <v>154</v>
      </c>
      <c r="F49" s="18" t="s">
        <v>154</v>
      </c>
      <c r="G49" s="17" t="s">
        <v>154</v>
      </c>
      <c r="H49" s="18" t="s">
        <v>154</v>
      </c>
      <c r="I49" s="17" t="s">
        <v>154</v>
      </c>
      <c r="J49" s="18" t="s">
        <v>154</v>
      </c>
      <c r="K49" s="17" t="s">
        <v>154</v>
      </c>
      <c r="L49" s="18" t="s">
        <v>154</v>
      </c>
      <c r="M49" s="17" t="s">
        <v>154</v>
      </c>
      <c r="N49" s="18" t="s">
        <v>154</v>
      </c>
      <c r="O49" s="17" t="s">
        <v>154</v>
      </c>
      <c r="P49" s="18" t="s">
        <v>154</v>
      </c>
      <c r="Q49" s="17" t="s">
        <v>154</v>
      </c>
      <c r="R49" s="18" t="s">
        <v>154</v>
      </c>
      <c r="S49" s="17" t="s">
        <v>154</v>
      </c>
      <c r="T49" s="18" t="s">
        <v>154</v>
      </c>
      <c r="U49" s="17" t="s">
        <v>154</v>
      </c>
      <c r="V49" s="18" t="s">
        <v>154</v>
      </c>
    </row>
    <row r="50" spans="1:22" x14ac:dyDescent="0.25">
      <c r="A50" s="11" t="s">
        <v>183</v>
      </c>
      <c r="B50" s="13">
        <v>11795</v>
      </c>
      <c r="C50" s="14">
        <f>(9826/B50*100)</f>
        <v>83.306485799067403</v>
      </c>
      <c r="D50" s="15">
        <v>1969</v>
      </c>
      <c r="E50" s="14">
        <v>11.08722188</v>
      </c>
      <c r="F50" s="16">
        <v>0.91531351999999999</v>
      </c>
      <c r="G50" s="14">
        <v>29.46950197</v>
      </c>
      <c r="H50" s="16">
        <v>1.28359033</v>
      </c>
      <c r="I50" s="14">
        <v>29.556815</v>
      </c>
      <c r="J50" s="16">
        <v>1.585359</v>
      </c>
      <c r="K50" s="14">
        <v>29.886461149999999</v>
      </c>
      <c r="L50" s="16">
        <v>1.39030002</v>
      </c>
      <c r="M50" s="14" t="s">
        <v>139</v>
      </c>
      <c r="N50" s="16" t="s">
        <v>139</v>
      </c>
      <c r="O50" s="14">
        <v>0</v>
      </c>
      <c r="P50" s="16">
        <v>0</v>
      </c>
      <c r="Q50" s="14">
        <v>0</v>
      </c>
      <c r="R50" s="16">
        <v>0</v>
      </c>
      <c r="S50" s="14">
        <v>0</v>
      </c>
      <c r="T50" s="16">
        <v>0</v>
      </c>
      <c r="U50" s="14">
        <v>0</v>
      </c>
      <c r="V50" s="16">
        <v>0</v>
      </c>
    </row>
    <row r="51" spans="1:22" x14ac:dyDescent="0.25">
      <c r="A51" s="11" t="s">
        <v>184</v>
      </c>
      <c r="B51" s="13">
        <v>6866</v>
      </c>
      <c r="C51" s="14">
        <f>(5858/B51*100)</f>
        <v>85.318963006117102</v>
      </c>
      <c r="D51" s="15">
        <v>1008</v>
      </c>
      <c r="E51" s="14">
        <v>9.1500682700000002</v>
      </c>
      <c r="F51" s="16">
        <v>0.96495109999999995</v>
      </c>
      <c r="G51" s="14">
        <v>29.118816729999999</v>
      </c>
      <c r="H51" s="16">
        <v>1.4086894999999999</v>
      </c>
      <c r="I51" s="14">
        <v>33.391045599999998</v>
      </c>
      <c r="J51" s="16">
        <v>1.45814917</v>
      </c>
      <c r="K51" s="14">
        <v>28.340069400000001</v>
      </c>
      <c r="L51" s="16">
        <v>1.7117267599999999</v>
      </c>
      <c r="M51" s="14" t="s">
        <v>139</v>
      </c>
      <c r="N51" s="16" t="s">
        <v>139</v>
      </c>
      <c r="O51" s="14">
        <v>0</v>
      </c>
      <c r="P51" s="16">
        <v>0</v>
      </c>
      <c r="Q51" s="14">
        <v>0</v>
      </c>
      <c r="R51" s="16">
        <v>0</v>
      </c>
      <c r="S51" s="14">
        <v>0</v>
      </c>
      <c r="T51" s="16">
        <v>0</v>
      </c>
      <c r="U51" s="14">
        <v>0</v>
      </c>
      <c r="V51" s="16">
        <v>0</v>
      </c>
    </row>
    <row r="52" spans="1:22" x14ac:dyDescent="0.25">
      <c r="A52" s="11" t="s">
        <v>185</v>
      </c>
      <c r="B52" s="13">
        <v>5809</v>
      </c>
      <c r="C52" s="14">
        <f>(4804/B52*100)</f>
        <v>82.699259769323461</v>
      </c>
      <c r="D52" s="15">
        <v>1005</v>
      </c>
      <c r="E52" s="14">
        <v>5.73396784</v>
      </c>
      <c r="F52" s="16">
        <v>0.83675982999999998</v>
      </c>
      <c r="G52" s="14">
        <v>25.626379379999999</v>
      </c>
      <c r="H52" s="16">
        <v>1.6155173599999999</v>
      </c>
      <c r="I52" s="14">
        <v>29.322358560000001</v>
      </c>
      <c r="J52" s="16">
        <v>1.5551805000000001</v>
      </c>
      <c r="K52" s="14">
        <v>39.317294220000001</v>
      </c>
      <c r="L52" s="16">
        <v>1.62408672</v>
      </c>
      <c r="M52" s="14" t="s">
        <v>139</v>
      </c>
      <c r="N52" s="16" t="s">
        <v>139</v>
      </c>
      <c r="O52" s="14">
        <v>0</v>
      </c>
      <c r="P52" s="16">
        <v>0</v>
      </c>
      <c r="Q52" s="14">
        <v>0</v>
      </c>
      <c r="R52" s="16">
        <v>0</v>
      </c>
      <c r="S52" s="14">
        <v>0</v>
      </c>
      <c r="T52" s="16">
        <v>0</v>
      </c>
      <c r="U52" s="14">
        <v>0</v>
      </c>
      <c r="V52" s="16">
        <v>0</v>
      </c>
    </row>
    <row r="53" spans="1:22" x14ac:dyDescent="0.25">
      <c r="A53" s="11" t="s">
        <v>186</v>
      </c>
      <c r="B53" s="13">
        <v>5571</v>
      </c>
      <c r="C53" s="14">
        <f>(4611/B53*100)</f>
        <v>82.767905223478735</v>
      </c>
      <c r="D53" s="15">
        <v>960</v>
      </c>
      <c r="E53" s="14">
        <v>9.4065355700000008</v>
      </c>
      <c r="F53" s="16">
        <v>0.93144251</v>
      </c>
      <c r="G53" s="14">
        <v>27.997995589999999</v>
      </c>
      <c r="H53" s="16">
        <v>1.4692300199999999</v>
      </c>
      <c r="I53" s="14">
        <v>28.191766820000002</v>
      </c>
      <c r="J53" s="16">
        <v>1.7219947499999999</v>
      </c>
      <c r="K53" s="14">
        <v>34.403702029999998</v>
      </c>
      <c r="L53" s="16">
        <v>1.79718344</v>
      </c>
      <c r="M53" s="14" t="s">
        <v>139</v>
      </c>
      <c r="N53" s="16" t="s">
        <v>139</v>
      </c>
      <c r="O53" s="14">
        <v>0</v>
      </c>
      <c r="P53" s="16">
        <v>0</v>
      </c>
      <c r="Q53" s="14">
        <v>0</v>
      </c>
      <c r="R53" s="16">
        <v>0</v>
      </c>
      <c r="S53" s="14">
        <v>0</v>
      </c>
      <c r="T53" s="16">
        <v>0</v>
      </c>
      <c r="U53" s="14">
        <v>0</v>
      </c>
      <c r="V53" s="16">
        <v>0</v>
      </c>
    </row>
    <row r="54" spans="1:22" x14ac:dyDescent="0.25">
      <c r="A54" s="11" t="s">
        <v>187</v>
      </c>
      <c r="B54" s="17" t="s">
        <v>154</v>
      </c>
      <c r="C54" s="17" t="s">
        <v>154</v>
      </c>
      <c r="D54" s="18" t="s">
        <v>154</v>
      </c>
      <c r="E54" s="17" t="s">
        <v>154</v>
      </c>
      <c r="F54" s="18" t="s">
        <v>154</v>
      </c>
      <c r="G54" s="17" t="s">
        <v>154</v>
      </c>
      <c r="H54" s="18" t="s">
        <v>154</v>
      </c>
      <c r="I54" s="17" t="s">
        <v>154</v>
      </c>
      <c r="J54" s="18" t="s">
        <v>154</v>
      </c>
      <c r="K54" s="17" t="s">
        <v>154</v>
      </c>
      <c r="L54" s="18" t="s">
        <v>154</v>
      </c>
      <c r="M54" s="17" t="s">
        <v>154</v>
      </c>
      <c r="N54" s="18" t="s">
        <v>154</v>
      </c>
      <c r="O54" s="17" t="s">
        <v>154</v>
      </c>
      <c r="P54" s="18" t="s">
        <v>154</v>
      </c>
      <c r="Q54" s="17" t="s">
        <v>154</v>
      </c>
      <c r="R54" s="18" t="s">
        <v>154</v>
      </c>
      <c r="S54" s="17" t="s">
        <v>154</v>
      </c>
      <c r="T54" s="18" t="s">
        <v>154</v>
      </c>
      <c r="U54" s="17" t="s">
        <v>154</v>
      </c>
      <c r="V54" s="18" t="s">
        <v>154</v>
      </c>
    </row>
    <row r="55" spans="1:22" x14ac:dyDescent="0.25">
      <c r="A55" s="11" t="s">
        <v>188</v>
      </c>
      <c r="B55" s="17" t="s">
        <v>154</v>
      </c>
      <c r="C55" s="17" t="s">
        <v>154</v>
      </c>
      <c r="D55" s="18" t="s">
        <v>154</v>
      </c>
      <c r="E55" s="17" t="s">
        <v>154</v>
      </c>
      <c r="F55" s="18" t="s">
        <v>154</v>
      </c>
      <c r="G55" s="17" t="s">
        <v>154</v>
      </c>
      <c r="H55" s="18" t="s">
        <v>154</v>
      </c>
      <c r="I55" s="17" t="s">
        <v>154</v>
      </c>
      <c r="J55" s="18" t="s">
        <v>154</v>
      </c>
      <c r="K55" s="17" t="s">
        <v>154</v>
      </c>
      <c r="L55" s="18" t="s">
        <v>154</v>
      </c>
      <c r="M55" s="17" t="s">
        <v>154</v>
      </c>
      <c r="N55" s="18" t="s">
        <v>154</v>
      </c>
      <c r="O55" s="17" t="s">
        <v>154</v>
      </c>
      <c r="P55" s="18" t="s">
        <v>154</v>
      </c>
      <c r="Q55" s="17" t="s">
        <v>154</v>
      </c>
      <c r="R55" s="18" t="s">
        <v>154</v>
      </c>
      <c r="S55" s="17" t="s">
        <v>154</v>
      </c>
      <c r="T55" s="18" t="s">
        <v>154</v>
      </c>
      <c r="U55" s="17" t="s">
        <v>154</v>
      </c>
      <c r="V55" s="18" t="s">
        <v>154</v>
      </c>
    </row>
    <row r="56" spans="1:22" x14ac:dyDescent="0.25">
      <c r="A56" s="11" t="s">
        <v>189</v>
      </c>
      <c r="B56" s="13">
        <v>5359</v>
      </c>
      <c r="C56" s="14">
        <f>(4445/B56*100)</f>
        <v>82.944579212539651</v>
      </c>
      <c r="D56" s="15">
        <v>914</v>
      </c>
      <c r="E56" s="14">
        <v>2.7770336499999999</v>
      </c>
      <c r="F56" s="16">
        <v>0.66218347</v>
      </c>
      <c r="G56" s="14">
        <v>12.873176300000001</v>
      </c>
      <c r="H56" s="16">
        <v>1.0760561799999999</v>
      </c>
      <c r="I56" s="14">
        <v>28.65509703</v>
      </c>
      <c r="J56" s="16">
        <v>1.52045681</v>
      </c>
      <c r="K56" s="14">
        <v>55.694693020000003</v>
      </c>
      <c r="L56" s="16">
        <v>1.8002408299999999</v>
      </c>
      <c r="M56" s="14" t="s">
        <v>139</v>
      </c>
      <c r="N56" s="16" t="s">
        <v>139</v>
      </c>
      <c r="O56" s="14">
        <v>0</v>
      </c>
      <c r="P56" s="16">
        <v>0</v>
      </c>
      <c r="Q56" s="14">
        <v>0</v>
      </c>
      <c r="R56" s="16">
        <v>0</v>
      </c>
      <c r="S56" s="14">
        <v>0</v>
      </c>
      <c r="T56" s="16">
        <v>0</v>
      </c>
      <c r="U56" s="14">
        <v>0</v>
      </c>
      <c r="V56" s="16">
        <v>0</v>
      </c>
    </row>
    <row r="57" spans="1:22" x14ac:dyDescent="0.25">
      <c r="A57" s="11" t="s">
        <v>190</v>
      </c>
      <c r="B57" s="17" t="s">
        <v>154</v>
      </c>
      <c r="C57" s="17" t="s">
        <v>154</v>
      </c>
      <c r="D57" s="18" t="s">
        <v>154</v>
      </c>
      <c r="E57" s="17" t="s">
        <v>154</v>
      </c>
      <c r="F57" s="18" t="s">
        <v>154</v>
      </c>
      <c r="G57" s="17" t="s">
        <v>154</v>
      </c>
      <c r="H57" s="18" t="s">
        <v>154</v>
      </c>
      <c r="I57" s="17" t="s">
        <v>154</v>
      </c>
      <c r="J57" s="18" t="s">
        <v>154</v>
      </c>
      <c r="K57" s="17" t="s">
        <v>154</v>
      </c>
      <c r="L57" s="18" t="s">
        <v>154</v>
      </c>
      <c r="M57" s="17" t="s">
        <v>154</v>
      </c>
      <c r="N57" s="18" t="s">
        <v>154</v>
      </c>
      <c r="O57" s="17" t="s">
        <v>154</v>
      </c>
      <c r="P57" s="18" t="s">
        <v>154</v>
      </c>
      <c r="Q57" s="17" t="s">
        <v>154</v>
      </c>
      <c r="R57" s="18" t="s">
        <v>154</v>
      </c>
      <c r="S57" s="17" t="s">
        <v>154</v>
      </c>
      <c r="T57" s="18" t="s">
        <v>154</v>
      </c>
      <c r="U57" s="17" t="s">
        <v>154</v>
      </c>
      <c r="V57" s="18" t="s">
        <v>154</v>
      </c>
    </row>
    <row r="58" spans="1:22" x14ac:dyDescent="0.25">
      <c r="A58" s="11" t="s">
        <v>191</v>
      </c>
      <c r="B58" s="17" t="s">
        <v>154</v>
      </c>
      <c r="C58" s="17" t="s">
        <v>154</v>
      </c>
      <c r="D58" s="18" t="s">
        <v>154</v>
      </c>
      <c r="E58" s="17" t="s">
        <v>154</v>
      </c>
      <c r="F58" s="18" t="s">
        <v>154</v>
      </c>
      <c r="G58" s="17" t="s">
        <v>154</v>
      </c>
      <c r="H58" s="18" t="s">
        <v>154</v>
      </c>
      <c r="I58" s="17" t="s">
        <v>154</v>
      </c>
      <c r="J58" s="18" t="s">
        <v>154</v>
      </c>
      <c r="K58" s="17" t="s">
        <v>154</v>
      </c>
      <c r="L58" s="18" t="s">
        <v>154</v>
      </c>
      <c r="M58" s="17" t="s">
        <v>154</v>
      </c>
      <c r="N58" s="18" t="s">
        <v>154</v>
      </c>
      <c r="O58" s="17" t="s">
        <v>154</v>
      </c>
      <c r="P58" s="18" t="s">
        <v>154</v>
      </c>
      <c r="Q58" s="17" t="s">
        <v>154</v>
      </c>
      <c r="R58" s="18" t="s">
        <v>154</v>
      </c>
      <c r="S58" s="17" t="s">
        <v>154</v>
      </c>
      <c r="T58" s="18" t="s">
        <v>154</v>
      </c>
      <c r="U58" s="17" t="s">
        <v>154</v>
      </c>
      <c r="V58" s="18" t="s">
        <v>154</v>
      </c>
    </row>
    <row r="59" spans="1:22" x14ac:dyDescent="0.25">
      <c r="A59" s="11" t="s">
        <v>192</v>
      </c>
      <c r="B59" s="17" t="s">
        <v>154</v>
      </c>
      <c r="C59" s="17" t="s">
        <v>154</v>
      </c>
      <c r="D59" s="18" t="s">
        <v>154</v>
      </c>
      <c r="E59" s="17" t="s">
        <v>154</v>
      </c>
      <c r="F59" s="18" t="s">
        <v>154</v>
      </c>
      <c r="G59" s="17" t="s">
        <v>154</v>
      </c>
      <c r="H59" s="18" t="s">
        <v>154</v>
      </c>
      <c r="I59" s="17" t="s">
        <v>154</v>
      </c>
      <c r="J59" s="18" t="s">
        <v>154</v>
      </c>
      <c r="K59" s="17" t="s">
        <v>154</v>
      </c>
      <c r="L59" s="18" t="s">
        <v>154</v>
      </c>
      <c r="M59" s="17" t="s">
        <v>154</v>
      </c>
      <c r="N59" s="18" t="s">
        <v>154</v>
      </c>
      <c r="O59" s="17" t="s">
        <v>154</v>
      </c>
      <c r="P59" s="18" t="s">
        <v>154</v>
      </c>
      <c r="Q59" s="17" t="s">
        <v>154</v>
      </c>
      <c r="R59" s="18" t="s">
        <v>154</v>
      </c>
      <c r="S59" s="17" t="s">
        <v>154</v>
      </c>
      <c r="T59" s="18" t="s">
        <v>154</v>
      </c>
      <c r="U59" s="17" t="s">
        <v>154</v>
      </c>
      <c r="V59" s="18" t="s">
        <v>154</v>
      </c>
    </row>
    <row r="60" spans="1:22" x14ac:dyDescent="0.25">
      <c r="A60" s="11" t="s">
        <v>193</v>
      </c>
      <c r="B60" s="17" t="s">
        <v>154</v>
      </c>
      <c r="C60" s="17" t="s">
        <v>154</v>
      </c>
      <c r="D60" s="18" t="s">
        <v>154</v>
      </c>
      <c r="E60" s="17" t="s">
        <v>154</v>
      </c>
      <c r="F60" s="18" t="s">
        <v>154</v>
      </c>
      <c r="G60" s="17" t="s">
        <v>154</v>
      </c>
      <c r="H60" s="18" t="s">
        <v>154</v>
      </c>
      <c r="I60" s="17" t="s">
        <v>154</v>
      </c>
      <c r="J60" s="18" t="s">
        <v>154</v>
      </c>
      <c r="K60" s="17" t="s">
        <v>154</v>
      </c>
      <c r="L60" s="18" t="s">
        <v>154</v>
      </c>
      <c r="M60" s="17" t="s">
        <v>154</v>
      </c>
      <c r="N60" s="18" t="s">
        <v>154</v>
      </c>
      <c r="O60" s="17" t="s">
        <v>154</v>
      </c>
      <c r="P60" s="18" t="s">
        <v>154</v>
      </c>
      <c r="Q60" s="17" t="s">
        <v>154</v>
      </c>
      <c r="R60" s="18" t="s">
        <v>154</v>
      </c>
      <c r="S60" s="17" t="s">
        <v>154</v>
      </c>
      <c r="T60" s="18" t="s">
        <v>154</v>
      </c>
      <c r="U60" s="17" t="s">
        <v>154</v>
      </c>
      <c r="V60" s="18" t="s">
        <v>154</v>
      </c>
    </row>
    <row r="61" spans="1:22" x14ac:dyDescent="0.25">
      <c r="A61" s="11" t="s">
        <v>194</v>
      </c>
      <c r="B61" s="13">
        <v>6525</v>
      </c>
      <c r="C61" s="14">
        <f>(5391/B61*100)</f>
        <v>82.620689655172413</v>
      </c>
      <c r="D61" s="15">
        <v>1134</v>
      </c>
      <c r="E61" s="14">
        <v>6.8368164699999996</v>
      </c>
      <c r="F61" s="16">
        <v>0.73330592999999999</v>
      </c>
      <c r="G61" s="14">
        <v>21.83433247</v>
      </c>
      <c r="H61" s="16">
        <v>1.5058744100000001</v>
      </c>
      <c r="I61" s="14">
        <v>32.090142470000004</v>
      </c>
      <c r="J61" s="16">
        <v>1.5446586899999999</v>
      </c>
      <c r="K61" s="14">
        <v>39.238708590000002</v>
      </c>
      <c r="L61" s="16">
        <v>1.6528617000000001</v>
      </c>
      <c r="M61" s="14" t="s">
        <v>139</v>
      </c>
      <c r="N61" s="16" t="s">
        <v>139</v>
      </c>
      <c r="O61" s="14">
        <v>0</v>
      </c>
      <c r="P61" s="16">
        <v>0</v>
      </c>
      <c r="Q61" s="14">
        <v>0</v>
      </c>
      <c r="R61" s="16">
        <v>0</v>
      </c>
      <c r="S61" s="14">
        <v>0</v>
      </c>
      <c r="T61" s="16">
        <v>0</v>
      </c>
      <c r="U61" s="14">
        <v>0</v>
      </c>
      <c r="V61" s="16">
        <v>0</v>
      </c>
    </row>
    <row r="62" spans="1:22" x14ac:dyDescent="0.25">
      <c r="A62" s="11" t="s">
        <v>195</v>
      </c>
      <c r="B62" s="13">
        <v>4476</v>
      </c>
      <c r="C62" s="14">
        <f>(3694/B62*100)</f>
        <v>82.529043789097415</v>
      </c>
      <c r="D62" s="15">
        <v>782</v>
      </c>
      <c r="E62" s="14">
        <v>3.3134754200000001</v>
      </c>
      <c r="F62" s="16">
        <v>0.68132013999999996</v>
      </c>
      <c r="G62" s="14">
        <v>11.045585190000001</v>
      </c>
      <c r="H62" s="16">
        <v>1.15562258</v>
      </c>
      <c r="I62" s="14">
        <v>24.43206571</v>
      </c>
      <c r="J62" s="16">
        <v>1.55774718</v>
      </c>
      <c r="K62" s="14">
        <v>61.208873680000004</v>
      </c>
      <c r="L62" s="16">
        <v>1.69046136</v>
      </c>
      <c r="M62" s="14" t="s">
        <v>139</v>
      </c>
      <c r="N62" s="16" t="s">
        <v>139</v>
      </c>
      <c r="O62" s="14">
        <v>0</v>
      </c>
      <c r="P62" s="16">
        <v>0</v>
      </c>
      <c r="Q62" s="14">
        <v>0</v>
      </c>
      <c r="R62" s="16">
        <v>0</v>
      </c>
      <c r="S62" s="14">
        <v>0</v>
      </c>
      <c r="T62" s="16">
        <v>0</v>
      </c>
      <c r="U62" s="14">
        <v>0</v>
      </c>
      <c r="V62" s="16">
        <v>0</v>
      </c>
    </row>
    <row r="63" spans="1:22" x14ac:dyDescent="0.25">
      <c r="A63" s="11" t="s">
        <v>196</v>
      </c>
      <c r="B63" s="17" t="s">
        <v>154</v>
      </c>
      <c r="C63" s="17" t="s">
        <v>154</v>
      </c>
      <c r="D63" s="18" t="s">
        <v>154</v>
      </c>
      <c r="E63" s="17" t="s">
        <v>154</v>
      </c>
      <c r="F63" s="18" t="s">
        <v>154</v>
      </c>
      <c r="G63" s="17" t="s">
        <v>154</v>
      </c>
      <c r="H63" s="18" t="s">
        <v>154</v>
      </c>
      <c r="I63" s="17" t="s">
        <v>154</v>
      </c>
      <c r="J63" s="18" t="s">
        <v>154</v>
      </c>
      <c r="K63" s="17" t="s">
        <v>154</v>
      </c>
      <c r="L63" s="18" t="s">
        <v>154</v>
      </c>
      <c r="M63" s="17" t="s">
        <v>154</v>
      </c>
      <c r="N63" s="18" t="s">
        <v>154</v>
      </c>
      <c r="O63" s="17" t="s">
        <v>154</v>
      </c>
      <c r="P63" s="18" t="s">
        <v>154</v>
      </c>
      <c r="Q63" s="17" t="s">
        <v>154</v>
      </c>
      <c r="R63" s="18" t="s">
        <v>154</v>
      </c>
      <c r="S63" s="17" t="s">
        <v>154</v>
      </c>
      <c r="T63" s="18" t="s">
        <v>154</v>
      </c>
      <c r="U63" s="17" t="s">
        <v>154</v>
      </c>
      <c r="V63" s="18" t="s">
        <v>154</v>
      </c>
    </row>
    <row r="64" spans="1:22" x14ac:dyDescent="0.25">
      <c r="A64" s="11" t="s">
        <v>197</v>
      </c>
      <c r="B64" s="17" t="s">
        <v>154</v>
      </c>
      <c r="C64" s="17" t="s">
        <v>154</v>
      </c>
      <c r="D64" s="18" t="s">
        <v>154</v>
      </c>
      <c r="E64" s="17" t="s">
        <v>154</v>
      </c>
      <c r="F64" s="18" t="s">
        <v>154</v>
      </c>
      <c r="G64" s="17" t="s">
        <v>154</v>
      </c>
      <c r="H64" s="18" t="s">
        <v>154</v>
      </c>
      <c r="I64" s="17" t="s">
        <v>154</v>
      </c>
      <c r="J64" s="18" t="s">
        <v>154</v>
      </c>
      <c r="K64" s="17" t="s">
        <v>154</v>
      </c>
      <c r="L64" s="18" t="s">
        <v>154</v>
      </c>
      <c r="M64" s="17" t="s">
        <v>154</v>
      </c>
      <c r="N64" s="18" t="s">
        <v>154</v>
      </c>
      <c r="O64" s="17" t="s">
        <v>154</v>
      </c>
      <c r="P64" s="18" t="s">
        <v>154</v>
      </c>
      <c r="Q64" s="17" t="s">
        <v>154</v>
      </c>
      <c r="R64" s="18" t="s">
        <v>154</v>
      </c>
      <c r="S64" s="17" t="s">
        <v>154</v>
      </c>
      <c r="T64" s="18" t="s">
        <v>154</v>
      </c>
      <c r="U64" s="17" t="s">
        <v>154</v>
      </c>
      <c r="V64" s="18" t="s">
        <v>154</v>
      </c>
    </row>
    <row r="65" spans="1:22" x14ac:dyDescent="0.25">
      <c r="A65" s="11" t="s">
        <v>198</v>
      </c>
      <c r="B65" s="17" t="s">
        <v>154</v>
      </c>
      <c r="C65" s="17" t="s">
        <v>154</v>
      </c>
      <c r="D65" s="18" t="s">
        <v>154</v>
      </c>
      <c r="E65" s="17" t="s">
        <v>154</v>
      </c>
      <c r="F65" s="18" t="s">
        <v>154</v>
      </c>
      <c r="G65" s="17" t="s">
        <v>154</v>
      </c>
      <c r="H65" s="18" t="s">
        <v>154</v>
      </c>
      <c r="I65" s="17" t="s">
        <v>154</v>
      </c>
      <c r="J65" s="18" t="s">
        <v>154</v>
      </c>
      <c r="K65" s="17" t="s">
        <v>154</v>
      </c>
      <c r="L65" s="18" t="s">
        <v>154</v>
      </c>
      <c r="M65" s="17" t="s">
        <v>154</v>
      </c>
      <c r="N65" s="18" t="s">
        <v>154</v>
      </c>
      <c r="O65" s="17" t="s">
        <v>154</v>
      </c>
      <c r="P65" s="18" t="s">
        <v>154</v>
      </c>
      <c r="Q65" s="17" t="s">
        <v>154</v>
      </c>
      <c r="R65" s="18" t="s">
        <v>154</v>
      </c>
      <c r="S65" s="17" t="s">
        <v>154</v>
      </c>
      <c r="T65" s="18" t="s">
        <v>154</v>
      </c>
      <c r="U65" s="17" t="s">
        <v>154</v>
      </c>
      <c r="V65" s="18" t="s">
        <v>154</v>
      </c>
    </row>
    <row r="66" spans="1:22" x14ac:dyDescent="0.25">
      <c r="A66" s="11" t="s">
        <v>199</v>
      </c>
      <c r="B66" s="13">
        <v>5665</v>
      </c>
      <c r="C66" s="14">
        <f>(4708/B66*100)</f>
        <v>83.106796116504853</v>
      </c>
      <c r="D66" s="15">
        <v>957</v>
      </c>
      <c r="E66" s="14">
        <v>10.71329325</v>
      </c>
      <c r="F66" s="16">
        <v>1.17256483</v>
      </c>
      <c r="G66" s="14">
        <v>32.852220109999998</v>
      </c>
      <c r="H66" s="16">
        <v>1.53332146</v>
      </c>
      <c r="I66" s="14">
        <v>29.446165820000001</v>
      </c>
      <c r="J66" s="16">
        <v>1.4519267300000001</v>
      </c>
      <c r="K66" s="14">
        <v>26.988320819999998</v>
      </c>
      <c r="L66" s="16">
        <v>1.4581284000000001</v>
      </c>
      <c r="M66" s="14" t="s">
        <v>139</v>
      </c>
      <c r="N66" s="16" t="s">
        <v>139</v>
      </c>
      <c r="O66" s="14">
        <v>0</v>
      </c>
      <c r="P66" s="16">
        <v>0</v>
      </c>
      <c r="Q66" s="14">
        <v>0</v>
      </c>
      <c r="R66" s="16">
        <v>0</v>
      </c>
      <c r="S66" s="14">
        <v>0</v>
      </c>
      <c r="T66" s="16">
        <v>0</v>
      </c>
      <c r="U66" s="14">
        <v>0</v>
      </c>
      <c r="V66" s="16">
        <v>0</v>
      </c>
    </row>
    <row r="67" spans="1:22" x14ac:dyDescent="0.25">
      <c r="A67" s="11" t="s">
        <v>200</v>
      </c>
      <c r="B67" s="13">
        <v>6971</v>
      </c>
      <c r="C67" s="14">
        <f>(5881/B67*100)</f>
        <v>84.363792856118209</v>
      </c>
      <c r="D67" s="15">
        <v>1090</v>
      </c>
      <c r="E67" s="14">
        <v>10.61895505</v>
      </c>
      <c r="F67" s="16">
        <v>0.98203737999999996</v>
      </c>
      <c r="G67" s="14">
        <v>27.076806040000001</v>
      </c>
      <c r="H67" s="16">
        <v>1.54228315</v>
      </c>
      <c r="I67" s="14">
        <v>28.37026629</v>
      </c>
      <c r="J67" s="16">
        <v>1.45547162</v>
      </c>
      <c r="K67" s="14">
        <v>33.93397263</v>
      </c>
      <c r="L67" s="16">
        <v>1.6400107900000001</v>
      </c>
      <c r="M67" s="14" t="s">
        <v>139</v>
      </c>
      <c r="N67" s="16" t="s">
        <v>139</v>
      </c>
      <c r="O67" s="14">
        <v>0</v>
      </c>
      <c r="P67" s="16">
        <v>0</v>
      </c>
      <c r="Q67" s="14">
        <v>0</v>
      </c>
      <c r="R67" s="16">
        <v>0</v>
      </c>
      <c r="S67" s="14">
        <v>0</v>
      </c>
      <c r="T67" s="16">
        <v>0</v>
      </c>
      <c r="U67" s="14">
        <v>0</v>
      </c>
      <c r="V67" s="16">
        <v>0</v>
      </c>
    </row>
    <row r="68" spans="1:22" x14ac:dyDescent="0.25">
      <c r="A68" s="11" t="s">
        <v>201</v>
      </c>
      <c r="B68" s="17" t="s">
        <v>154</v>
      </c>
      <c r="C68" s="17" t="s">
        <v>154</v>
      </c>
      <c r="D68" s="18" t="s">
        <v>154</v>
      </c>
      <c r="E68" s="17" t="s">
        <v>154</v>
      </c>
      <c r="F68" s="18" t="s">
        <v>154</v>
      </c>
      <c r="G68" s="17" t="s">
        <v>154</v>
      </c>
      <c r="H68" s="18" t="s">
        <v>154</v>
      </c>
      <c r="I68" s="17" t="s">
        <v>154</v>
      </c>
      <c r="J68" s="18" t="s">
        <v>154</v>
      </c>
      <c r="K68" s="17" t="s">
        <v>154</v>
      </c>
      <c r="L68" s="18" t="s">
        <v>154</v>
      </c>
      <c r="M68" s="17" t="s">
        <v>154</v>
      </c>
      <c r="N68" s="18" t="s">
        <v>154</v>
      </c>
      <c r="O68" s="17" t="s">
        <v>154</v>
      </c>
      <c r="P68" s="18" t="s">
        <v>154</v>
      </c>
      <c r="Q68" s="17" t="s">
        <v>154</v>
      </c>
      <c r="R68" s="18" t="s">
        <v>154</v>
      </c>
      <c r="S68" s="17" t="s">
        <v>154</v>
      </c>
      <c r="T68" s="18" t="s">
        <v>154</v>
      </c>
      <c r="U68" s="17" t="s">
        <v>154</v>
      </c>
      <c r="V68" s="18" t="s">
        <v>154</v>
      </c>
    </row>
    <row r="69" spans="1:22" x14ac:dyDescent="0.25">
      <c r="A69" s="11" t="s">
        <v>202</v>
      </c>
      <c r="B69" s="17" t="s">
        <v>154</v>
      </c>
      <c r="C69" s="17" t="s">
        <v>154</v>
      </c>
      <c r="D69" s="18" t="s">
        <v>154</v>
      </c>
      <c r="E69" s="17" t="s">
        <v>154</v>
      </c>
      <c r="F69" s="18" t="s">
        <v>154</v>
      </c>
      <c r="G69" s="17" t="s">
        <v>154</v>
      </c>
      <c r="H69" s="18" t="s">
        <v>154</v>
      </c>
      <c r="I69" s="17" t="s">
        <v>154</v>
      </c>
      <c r="J69" s="18" t="s">
        <v>154</v>
      </c>
      <c r="K69" s="17" t="s">
        <v>154</v>
      </c>
      <c r="L69" s="18" t="s">
        <v>154</v>
      </c>
      <c r="M69" s="17" t="s">
        <v>154</v>
      </c>
      <c r="N69" s="18" t="s">
        <v>154</v>
      </c>
      <c r="O69" s="17" t="s">
        <v>154</v>
      </c>
      <c r="P69" s="18" t="s">
        <v>154</v>
      </c>
      <c r="Q69" s="17" t="s">
        <v>154</v>
      </c>
      <c r="R69" s="18" t="s">
        <v>154</v>
      </c>
      <c r="S69" s="17" t="s">
        <v>154</v>
      </c>
      <c r="T69" s="18" t="s">
        <v>154</v>
      </c>
      <c r="U69" s="17" t="s">
        <v>154</v>
      </c>
      <c r="V69" s="18" t="s">
        <v>154</v>
      </c>
    </row>
    <row r="70" spans="1:22" x14ac:dyDescent="0.25">
      <c r="A70" s="11" t="s">
        <v>203</v>
      </c>
      <c r="B70" s="13">
        <v>6036</v>
      </c>
      <c r="C70" s="14">
        <f>(5013/B70*100)</f>
        <v>83.051689860834983</v>
      </c>
      <c r="D70" s="15">
        <v>1023</v>
      </c>
      <c r="E70" s="14">
        <v>6.4289242900000003</v>
      </c>
      <c r="F70" s="16">
        <v>0.86731250999999998</v>
      </c>
      <c r="G70" s="14">
        <v>20.880560450000001</v>
      </c>
      <c r="H70" s="16">
        <v>1.6092802100000001</v>
      </c>
      <c r="I70" s="14">
        <v>31.06379729</v>
      </c>
      <c r="J70" s="16">
        <v>1.8039531499999999</v>
      </c>
      <c r="K70" s="14">
        <v>41.626717980000002</v>
      </c>
      <c r="L70" s="16">
        <v>1.6884249200000001</v>
      </c>
      <c r="M70" s="14" t="s">
        <v>139</v>
      </c>
      <c r="N70" s="16" t="s">
        <v>139</v>
      </c>
      <c r="O70" s="14">
        <v>0</v>
      </c>
      <c r="P70" s="16">
        <v>0</v>
      </c>
      <c r="Q70" s="14">
        <v>0</v>
      </c>
      <c r="R70" s="16">
        <v>0</v>
      </c>
      <c r="S70" s="14">
        <v>0</v>
      </c>
      <c r="T70" s="16">
        <v>0</v>
      </c>
      <c r="U70" s="14">
        <v>0</v>
      </c>
      <c r="V70" s="16">
        <v>0</v>
      </c>
    </row>
    <row r="71" spans="1:22" x14ac:dyDescent="0.25">
      <c r="A71" s="11" t="s">
        <v>204</v>
      </c>
      <c r="B71" s="17" t="s">
        <v>154</v>
      </c>
      <c r="C71" s="17" t="s">
        <v>154</v>
      </c>
      <c r="D71" s="18" t="s">
        <v>154</v>
      </c>
      <c r="E71" s="17" t="s">
        <v>154</v>
      </c>
      <c r="F71" s="18" t="s">
        <v>154</v>
      </c>
      <c r="G71" s="17" t="s">
        <v>154</v>
      </c>
      <c r="H71" s="18" t="s">
        <v>154</v>
      </c>
      <c r="I71" s="17" t="s">
        <v>154</v>
      </c>
      <c r="J71" s="18" t="s">
        <v>154</v>
      </c>
      <c r="K71" s="17" t="s">
        <v>154</v>
      </c>
      <c r="L71" s="18" t="s">
        <v>154</v>
      </c>
      <c r="M71" s="17" t="s">
        <v>154</v>
      </c>
      <c r="N71" s="18" t="s">
        <v>154</v>
      </c>
      <c r="O71" s="17" t="s">
        <v>154</v>
      </c>
      <c r="P71" s="18" t="s">
        <v>154</v>
      </c>
      <c r="Q71" s="17" t="s">
        <v>154</v>
      </c>
      <c r="R71" s="18" t="s">
        <v>154</v>
      </c>
      <c r="S71" s="17" t="s">
        <v>154</v>
      </c>
      <c r="T71" s="18" t="s">
        <v>154</v>
      </c>
      <c r="U71" s="17" t="s">
        <v>154</v>
      </c>
      <c r="V71" s="18" t="s">
        <v>154</v>
      </c>
    </row>
    <row r="72" spans="1:22" x14ac:dyDescent="0.25">
      <c r="A72" s="11" t="s">
        <v>205</v>
      </c>
      <c r="B72" s="13">
        <v>7708</v>
      </c>
      <c r="C72" s="14">
        <f>(6390/B72*100)</f>
        <v>82.900882200311372</v>
      </c>
      <c r="D72" s="15">
        <v>1318</v>
      </c>
      <c r="E72" s="14">
        <v>3.6195531500000002</v>
      </c>
      <c r="F72" s="16">
        <v>0.50301872000000003</v>
      </c>
      <c r="G72" s="14">
        <v>13.48227797</v>
      </c>
      <c r="H72" s="16">
        <v>0.86033196000000001</v>
      </c>
      <c r="I72" s="14">
        <v>25.854492050000001</v>
      </c>
      <c r="J72" s="16">
        <v>1.5049355499999999</v>
      </c>
      <c r="K72" s="14">
        <v>57.043676830000003</v>
      </c>
      <c r="L72" s="16">
        <v>1.47172331</v>
      </c>
      <c r="M72" s="14" t="s">
        <v>139</v>
      </c>
      <c r="N72" s="16" t="s">
        <v>139</v>
      </c>
      <c r="O72" s="14">
        <v>0</v>
      </c>
      <c r="P72" s="16">
        <v>0</v>
      </c>
      <c r="Q72" s="14">
        <v>0</v>
      </c>
      <c r="R72" s="16">
        <v>0</v>
      </c>
      <c r="S72" s="14">
        <v>0</v>
      </c>
      <c r="T72" s="16">
        <v>0</v>
      </c>
      <c r="U72" s="14">
        <v>0</v>
      </c>
      <c r="V72" s="16">
        <v>0</v>
      </c>
    </row>
    <row r="73" spans="1:22" x14ac:dyDescent="0.25">
      <c r="A73" s="11" t="s">
        <v>206</v>
      </c>
      <c r="B73" s="13">
        <v>8249</v>
      </c>
      <c r="C73" s="14">
        <f>(6898/B73*100)</f>
        <v>83.622257243302229</v>
      </c>
      <c r="D73" s="15">
        <v>1351</v>
      </c>
      <c r="E73" s="14">
        <v>11.430754930000001</v>
      </c>
      <c r="F73" s="16">
        <v>1.11264976</v>
      </c>
      <c r="G73" s="14">
        <v>25.344435560000001</v>
      </c>
      <c r="H73" s="16">
        <v>1.47906856</v>
      </c>
      <c r="I73" s="14">
        <v>27.4737729</v>
      </c>
      <c r="J73" s="16">
        <v>1.3757203899999999</v>
      </c>
      <c r="K73" s="14">
        <v>35.75103661</v>
      </c>
      <c r="L73" s="16">
        <v>1.72784614</v>
      </c>
      <c r="M73" s="14" t="s">
        <v>139</v>
      </c>
      <c r="N73" s="16" t="s">
        <v>139</v>
      </c>
      <c r="O73" s="14">
        <v>0</v>
      </c>
      <c r="P73" s="16">
        <v>0</v>
      </c>
      <c r="Q73" s="14">
        <v>0</v>
      </c>
      <c r="R73" s="16">
        <v>0</v>
      </c>
      <c r="S73" s="14">
        <v>0</v>
      </c>
      <c r="T73" s="16">
        <v>0</v>
      </c>
      <c r="U73" s="14">
        <v>0</v>
      </c>
      <c r="V73" s="16">
        <v>0</v>
      </c>
    </row>
    <row r="74" spans="1:22" x14ac:dyDescent="0.25">
      <c r="A74" s="11" t="s">
        <v>207</v>
      </c>
      <c r="B74" s="17" t="s">
        <v>154</v>
      </c>
      <c r="C74" s="17" t="s">
        <v>154</v>
      </c>
      <c r="D74" s="18" t="s">
        <v>154</v>
      </c>
      <c r="E74" s="17" t="s">
        <v>154</v>
      </c>
      <c r="F74" s="18" t="s">
        <v>154</v>
      </c>
      <c r="G74" s="17" t="s">
        <v>154</v>
      </c>
      <c r="H74" s="18" t="s">
        <v>154</v>
      </c>
      <c r="I74" s="17" t="s">
        <v>154</v>
      </c>
      <c r="J74" s="18" t="s">
        <v>154</v>
      </c>
      <c r="K74" s="17" t="s">
        <v>154</v>
      </c>
      <c r="L74" s="18" t="s">
        <v>154</v>
      </c>
      <c r="M74" s="17" t="s">
        <v>154</v>
      </c>
      <c r="N74" s="18" t="s">
        <v>154</v>
      </c>
      <c r="O74" s="17" t="s">
        <v>154</v>
      </c>
      <c r="P74" s="18" t="s">
        <v>154</v>
      </c>
      <c r="Q74" s="17" t="s">
        <v>154</v>
      </c>
      <c r="R74" s="18" t="s">
        <v>154</v>
      </c>
      <c r="S74" s="17" t="s">
        <v>154</v>
      </c>
      <c r="T74" s="18" t="s">
        <v>154</v>
      </c>
      <c r="U74" s="17" t="s">
        <v>154</v>
      </c>
      <c r="V74" s="18" t="s">
        <v>154</v>
      </c>
    </row>
    <row r="75" spans="1:22" x14ac:dyDescent="0.25">
      <c r="A75" s="11" t="s">
        <v>208</v>
      </c>
      <c r="B75" s="13">
        <v>5375</v>
      </c>
      <c r="C75" s="14">
        <f>(4508/B75*100)</f>
        <v>83.869767441860461</v>
      </c>
      <c r="D75" s="15">
        <v>867</v>
      </c>
      <c r="E75" s="14">
        <v>18.052206829999999</v>
      </c>
      <c r="F75" s="16">
        <v>1.2250725099999999</v>
      </c>
      <c r="G75" s="14">
        <v>34.836371380000003</v>
      </c>
      <c r="H75" s="16">
        <v>1.7362197100000001</v>
      </c>
      <c r="I75" s="14">
        <v>28.086195650000001</v>
      </c>
      <c r="J75" s="16">
        <v>1.59580258</v>
      </c>
      <c r="K75" s="14">
        <v>19.025226140000001</v>
      </c>
      <c r="L75" s="16">
        <v>1.6460308299999999</v>
      </c>
      <c r="M75" s="14" t="s">
        <v>139</v>
      </c>
      <c r="N75" s="16" t="s">
        <v>139</v>
      </c>
      <c r="O75" s="14">
        <v>0</v>
      </c>
      <c r="P75" s="16">
        <v>0</v>
      </c>
      <c r="Q75" s="14">
        <v>0</v>
      </c>
      <c r="R75" s="16">
        <v>0</v>
      </c>
      <c r="S75" s="14">
        <v>0</v>
      </c>
      <c r="T75" s="16">
        <v>0</v>
      </c>
      <c r="U75" s="14">
        <v>0</v>
      </c>
      <c r="V75" s="16">
        <v>0</v>
      </c>
    </row>
    <row r="76" spans="1:22" x14ac:dyDescent="0.25">
      <c r="A76" s="11" t="s">
        <v>209</v>
      </c>
      <c r="B76" s="13">
        <v>14167</v>
      </c>
      <c r="C76" s="14">
        <f>(11785/B76*100)</f>
        <v>83.186277969930117</v>
      </c>
      <c r="D76" s="15">
        <v>2382</v>
      </c>
      <c r="E76" s="14">
        <v>14.06744862</v>
      </c>
      <c r="F76" s="16">
        <v>0.84709707000000001</v>
      </c>
      <c r="G76" s="14">
        <v>30.146440210000002</v>
      </c>
      <c r="H76" s="16">
        <v>1.09203261</v>
      </c>
      <c r="I76" s="14">
        <v>26.350920429999999</v>
      </c>
      <c r="J76" s="16">
        <v>1.1939304799999999</v>
      </c>
      <c r="K76" s="14">
        <v>29.435190739999999</v>
      </c>
      <c r="L76" s="16">
        <v>1.16254949</v>
      </c>
      <c r="M76" s="14" t="s">
        <v>139</v>
      </c>
      <c r="N76" s="16" t="s">
        <v>139</v>
      </c>
      <c r="O76" s="14">
        <v>0</v>
      </c>
      <c r="P76" s="16">
        <v>0</v>
      </c>
      <c r="Q76" s="14">
        <v>0</v>
      </c>
      <c r="R76" s="16">
        <v>0</v>
      </c>
      <c r="S76" s="14">
        <v>0</v>
      </c>
      <c r="T76" s="16">
        <v>0</v>
      </c>
      <c r="U76" s="14">
        <v>0</v>
      </c>
      <c r="V76" s="16">
        <v>0</v>
      </c>
    </row>
    <row r="77" spans="1:22" x14ac:dyDescent="0.25">
      <c r="A77" s="11" t="s">
        <v>210</v>
      </c>
      <c r="B77" s="13">
        <v>6062</v>
      </c>
      <c r="C77" s="14">
        <f>(5022/B77*100)</f>
        <v>82.843945892444737</v>
      </c>
      <c r="D77" s="15">
        <v>1040</v>
      </c>
      <c r="E77" s="14">
        <v>9.3093712800000006</v>
      </c>
      <c r="F77" s="16">
        <v>0.94177438999999996</v>
      </c>
      <c r="G77" s="14">
        <v>29.717199990000001</v>
      </c>
      <c r="H77" s="16">
        <v>1.5987173800000001</v>
      </c>
      <c r="I77" s="14">
        <v>23.792775649999999</v>
      </c>
      <c r="J77" s="16">
        <v>1.3784701500000001</v>
      </c>
      <c r="K77" s="14">
        <v>37.180653069999998</v>
      </c>
      <c r="L77" s="16">
        <v>1.8844021500000001</v>
      </c>
      <c r="M77" s="14" t="s">
        <v>139</v>
      </c>
      <c r="N77" s="16" t="s">
        <v>139</v>
      </c>
      <c r="O77" s="14">
        <v>0</v>
      </c>
      <c r="P77" s="16">
        <v>0</v>
      </c>
      <c r="Q77" s="14">
        <v>0</v>
      </c>
      <c r="R77" s="16">
        <v>0</v>
      </c>
      <c r="S77" s="14">
        <v>0</v>
      </c>
      <c r="T77" s="16">
        <v>0</v>
      </c>
      <c r="U77" s="14">
        <v>0</v>
      </c>
      <c r="V77" s="16">
        <v>0</v>
      </c>
    </row>
    <row r="78" spans="1:22" x14ac:dyDescent="0.25">
      <c r="A78" s="11" t="s">
        <v>211</v>
      </c>
      <c r="B78" s="17" t="s">
        <v>154</v>
      </c>
      <c r="C78" s="17" t="s">
        <v>154</v>
      </c>
      <c r="D78" s="18" t="s">
        <v>154</v>
      </c>
      <c r="E78" s="17" t="s">
        <v>154</v>
      </c>
      <c r="F78" s="18" t="s">
        <v>154</v>
      </c>
      <c r="G78" s="17" t="s">
        <v>154</v>
      </c>
      <c r="H78" s="18" t="s">
        <v>154</v>
      </c>
      <c r="I78" s="17" t="s">
        <v>154</v>
      </c>
      <c r="J78" s="18" t="s">
        <v>154</v>
      </c>
      <c r="K78" s="17" t="s">
        <v>154</v>
      </c>
      <c r="L78" s="18" t="s">
        <v>154</v>
      </c>
      <c r="M78" s="17" t="s">
        <v>154</v>
      </c>
      <c r="N78" s="18" t="s">
        <v>154</v>
      </c>
      <c r="O78" s="17" t="s">
        <v>154</v>
      </c>
      <c r="P78" s="18" t="s">
        <v>154</v>
      </c>
      <c r="Q78" s="17" t="s">
        <v>154</v>
      </c>
      <c r="R78" s="18" t="s">
        <v>154</v>
      </c>
      <c r="S78" s="17" t="s">
        <v>154</v>
      </c>
      <c r="T78" s="18" t="s">
        <v>154</v>
      </c>
      <c r="U78" s="17" t="s">
        <v>154</v>
      </c>
      <c r="V78" s="18" t="s">
        <v>154</v>
      </c>
    </row>
    <row r="79" spans="1:22" ht="24.95" customHeight="1" x14ac:dyDescent="0.25">
      <c r="A79" s="11" t="s">
        <v>212</v>
      </c>
      <c r="B79" s="17" t="s">
        <v>154</v>
      </c>
      <c r="C79" s="17" t="s">
        <v>154</v>
      </c>
      <c r="D79" s="18" t="s">
        <v>154</v>
      </c>
      <c r="E79" s="17" t="s">
        <v>154</v>
      </c>
      <c r="F79" s="18" t="s">
        <v>154</v>
      </c>
      <c r="G79" s="17" t="s">
        <v>154</v>
      </c>
      <c r="H79" s="18" t="s">
        <v>154</v>
      </c>
      <c r="I79" s="17" t="s">
        <v>154</v>
      </c>
      <c r="J79" s="18" t="s">
        <v>154</v>
      </c>
      <c r="K79" s="17" t="s">
        <v>154</v>
      </c>
      <c r="L79" s="18" t="s">
        <v>154</v>
      </c>
      <c r="M79" s="17" t="s">
        <v>154</v>
      </c>
      <c r="N79" s="18" t="s">
        <v>154</v>
      </c>
      <c r="O79" s="17" t="s">
        <v>154</v>
      </c>
      <c r="P79" s="18" t="s">
        <v>154</v>
      </c>
      <c r="Q79" s="17" t="s">
        <v>154</v>
      </c>
      <c r="R79" s="18" t="s">
        <v>154</v>
      </c>
      <c r="S79" s="17" t="s">
        <v>154</v>
      </c>
      <c r="T79" s="18" t="s">
        <v>154</v>
      </c>
      <c r="U79" s="17" t="s">
        <v>154</v>
      </c>
      <c r="V79" s="18" t="s">
        <v>154</v>
      </c>
    </row>
    <row r="80" spans="1:22" x14ac:dyDescent="0.25">
      <c r="A80" s="11" t="s">
        <v>213</v>
      </c>
      <c r="B80" s="17" t="s">
        <v>154</v>
      </c>
      <c r="C80" s="17" t="s">
        <v>154</v>
      </c>
      <c r="D80" s="18" t="s">
        <v>154</v>
      </c>
      <c r="E80" s="17" t="s">
        <v>154</v>
      </c>
      <c r="F80" s="18" t="s">
        <v>154</v>
      </c>
      <c r="G80" s="17" t="s">
        <v>154</v>
      </c>
      <c r="H80" s="18" t="s">
        <v>154</v>
      </c>
      <c r="I80" s="17" t="s">
        <v>154</v>
      </c>
      <c r="J80" s="18" t="s">
        <v>154</v>
      </c>
      <c r="K80" s="17" t="s">
        <v>154</v>
      </c>
      <c r="L80" s="18" t="s">
        <v>154</v>
      </c>
      <c r="M80" s="17" t="s">
        <v>154</v>
      </c>
      <c r="N80" s="18" t="s">
        <v>154</v>
      </c>
      <c r="O80" s="17" t="s">
        <v>154</v>
      </c>
      <c r="P80" s="18" t="s">
        <v>154</v>
      </c>
      <c r="Q80" s="17" t="s">
        <v>154</v>
      </c>
      <c r="R80" s="18" t="s">
        <v>154</v>
      </c>
      <c r="S80" s="17" t="s">
        <v>154</v>
      </c>
      <c r="T80" s="18" t="s">
        <v>154</v>
      </c>
      <c r="U80" s="17" t="s">
        <v>154</v>
      </c>
      <c r="V80" s="18" t="s">
        <v>154</v>
      </c>
    </row>
    <row r="81" spans="1:22" x14ac:dyDescent="0.25">
      <c r="A81" s="19" t="s">
        <v>214</v>
      </c>
      <c r="B81" s="13">
        <v>8861</v>
      </c>
      <c r="C81" s="14">
        <f>(7321/B81*100)</f>
        <v>82.62047173005304</v>
      </c>
      <c r="D81" s="15">
        <v>1540</v>
      </c>
      <c r="E81" s="14">
        <v>10.25493711</v>
      </c>
      <c r="F81" s="16">
        <v>1.0096257200000001</v>
      </c>
      <c r="G81" s="14">
        <v>25.12094802</v>
      </c>
      <c r="H81" s="16">
        <v>1.5338174499999999</v>
      </c>
      <c r="I81" s="14">
        <v>27.646345660000001</v>
      </c>
      <c r="J81" s="16">
        <v>1.63257199</v>
      </c>
      <c r="K81" s="14">
        <v>36.977769209999998</v>
      </c>
      <c r="L81" s="16">
        <v>1.7697375399999999</v>
      </c>
      <c r="M81" s="14" t="s">
        <v>139</v>
      </c>
      <c r="N81" s="16" t="s">
        <v>139</v>
      </c>
      <c r="O81" s="14">
        <v>0</v>
      </c>
      <c r="P81" s="16">
        <v>0</v>
      </c>
      <c r="Q81" s="14">
        <v>0</v>
      </c>
      <c r="R81" s="16">
        <v>0</v>
      </c>
      <c r="S81" s="14">
        <v>0</v>
      </c>
      <c r="T81" s="16">
        <v>0</v>
      </c>
      <c r="U81" s="14">
        <v>0</v>
      </c>
      <c r="V81" s="16">
        <v>0</v>
      </c>
    </row>
    <row r="82" spans="1:22" x14ac:dyDescent="0.25">
      <c r="A82" s="20"/>
      <c r="B82" s="20" t="s">
        <v>215</v>
      </c>
      <c r="C82" s="20" t="s">
        <v>215</v>
      </c>
      <c r="D82" s="20" t="s">
        <v>215</v>
      </c>
      <c r="E82" s="20" t="s">
        <v>215</v>
      </c>
      <c r="F82" s="20" t="s">
        <v>215</v>
      </c>
      <c r="G82" s="20" t="s">
        <v>215</v>
      </c>
      <c r="H82" s="20" t="s">
        <v>215</v>
      </c>
      <c r="I82" s="20" t="s">
        <v>215</v>
      </c>
      <c r="J82" s="20" t="s">
        <v>215</v>
      </c>
      <c r="K82" s="20" t="s">
        <v>215</v>
      </c>
      <c r="L82" s="20" t="s">
        <v>215</v>
      </c>
      <c r="M82" s="20" t="s">
        <v>215</v>
      </c>
      <c r="N82" s="20" t="s">
        <v>215</v>
      </c>
      <c r="O82" s="20" t="s">
        <v>215</v>
      </c>
      <c r="P82" s="20" t="s">
        <v>215</v>
      </c>
      <c r="Q82" s="20" t="s">
        <v>215</v>
      </c>
      <c r="R82" s="20" t="s">
        <v>215</v>
      </c>
      <c r="S82" s="20" t="s">
        <v>215</v>
      </c>
      <c r="T82" s="20" t="s">
        <v>215</v>
      </c>
      <c r="U82" s="20" t="s">
        <v>215</v>
      </c>
      <c r="V82" s="20" t="s">
        <v>215</v>
      </c>
    </row>
    <row r="83" spans="1:22" x14ac:dyDescent="0.25">
      <c r="A83" s="3" t="s">
        <v>216</v>
      </c>
    </row>
    <row r="84" spans="1:22" x14ac:dyDescent="0.25">
      <c r="A84" s="22" t="s">
        <v>217</v>
      </c>
      <c r="B84" s="23"/>
      <c r="C84" s="23"/>
      <c r="D84" s="23"/>
      <c r="E84" s="23"/>
      <c r="F84" s="23"/>
      <c r="G84" s="23"/>
      <c r="H84" s="23"/>
      <c r="I84" s="23"/>
      <c r="J84" s="23"/>
      <c r="K84" s="23"/>
      <c r="L84" s="23"/>
      <c r="M84" s="23"/>
      <c r="N84" s="23"/>
      <c r="O84" s="23"/>
      <c r="P84" s="23"/>
      <c r="Q84" s="23"/>
      <c r="R84" s="23"/>
      <c r="S84" s="23"/>
      <c r="T84" s="23"/>
      <c r="U84" s="23"/>
      <c r="V84" s="23"/>
    </row>
    <row r="85" spans="1:22" x14ac:dyDescent="0.25">
      <c r="A85" s="22" t="s">
        <v>218</v>
      </c>
      <c r="B85" s="23"/>
      <c r="C85" s="23"/>
      <c r="D85" s="23"/>
      <c r="E85" s="23"/>
      <c r="F85" s="23"/>
      <c r="G85" s="23"/>
      <c r="H85" s="23"/>
      <c r="I85" s="23"/>
      <c r="J85" s="23"/>
      <c r="K85" s="23"/>
      <c r="L85" s="23"/>
      <c r="M85" s="23"/>
      <c r="N85" s="23"/>
      <c r="O85" s="23"/>
      <c r="P85" s="23"/>
      <c r="Q85" s="23"/>
      <c r="R85" s="23"/>
      <c r="S85" s="23"/>
      <c r="T85" s="23"/>
      <c r="U85" s="23"/>
      <c r="V85" s="23"/>
    </row>
    <row r="86" spans="1:22" ht="30" customHeight="1" x14ac:dyDescent="0.25">
      <c r="A86" s="22" t="s">
        <v>219</v>
      </c>
      <c r="B86" s="23"/>
      <c r="C86" s="23"/>
      <c r="D86" s="23"/>
      <c r="E86" s="23"/>
      <c r="F86" s="23"/>
      <c r="G86" s="23"/>
      <c r="H86" s="23"/>
      <c r="I86" s="23"/>
      <c r="J86" s="23"/>
      <c r="K86" s="23"/>
      <c r="L86" s="23"/>
      <c r="M86" s="23"/>
      <c r="N86" s="23"/>
      <c r="O86" s="23"/>
      <c r="P86" s="23"/>
      <c r="Q86" s="23"/>
      <c r="R86" s="23"/>
      <c r="S86" s="23"/>
      <c r="T86" s="23"/>
      <c r="U86" s="23"/>
      <c r="V86" s="23"/>
    </row>
    <row r="87" spans="1:22" ht="30" customHeight="1" x14ac:dyDescent="0.25">
      <c r="A87" s="22" t="s">
        <v>215</v>
      </c>
      <c r="B87" s="23"/>
      <c r="C87" s="23"/>
      <c r="D87" s="23"/>
      <c r="E87" s="23"/>
      <c r="F87" s="23"/>
      <c r="G87" s="23"/>
      <c r="H87" s="23"/>
      <c r="I87" s="23"/>
      <c r="J87" s="23"/>
      <c r="K87" s="23"/>
      <c r="L87" s="23"/>
      <c r="M87" s="23"/>
      <c r="N87" s="23"/>
      <c r="O87" s="23"/>
      <c r="P87" s="23"/>
      <c r="Q87" s="23"/>
      <c r="R87" s="23"/>
      <c r="S87" s="23"/>
      <c r="T87" s="23"/>
      <c r="U87" s="23"/>
      <c r="V87" s="23"/>
    </row>
    <row r="88" spans="1:22" ht="30" customHeight="1" x14ac:dyDescent="0.25">
      <c r="A88" s="22" t="s">
        <v>220</v>
      </c>
      <c r="B88" s="23"/>
      <c r="C88" s="23"/>
      <c r="D88" s="23"/>
      <c r="E88" s="23"/>
      <c r="F88" s="23"/>
      <c r="G88" s="23"/>
      <c r="H88" s="23"/>
      <c r="I88" s="23"/>
      <c r="J88" s="23"/>
      <c r="K88" s="23"/>
      <c r="L88" s="23"/>
      <c r="M88" s="23"/>
      <c r="N88" s="23"/>
      <c r="O88" s="23"/>
      <c r="P88" s="23"/>
      <c r="Q88" s="23"/>
      <c r="R88" s="23"/>
      <c r="S88" s="23"/>
      <c r="T88" s="23"/>
      <c r="U88" s="23"/>
      <c r="V88" s="23"/>
    </row>
    <row r="89" spans="1:22" ht="30" customHeight="1" x14ac:dyDescent="0.25">
      <c r="A89" s="22" t="s">
        <v>221</v>
      </c>
      <c r="B89" s="23"/>
      <c r="C89" s="23"/>
      <c r="D89" s="23"/>
      <c r="E89" s="23"/>
      <c r="F89" s="23"/>
      <c r="G89" s="23"/>
      <c r="H89" s="23"/>
      <c r="I89" s="23"/>
      <c r="J89" s="23"/>
      <c r="K89" s="23"/>
      <c r="L89" s="23"/>
      <c r="M89" s="23"/>
      <c r="N89" s="23"/>
      <c r="O89" s="23"/>
      <c r="P89" s="23"/>
      <c r="Q89" s="23"/>
      <c r="R89" s="23"/>
      <c r="S89" s="23"/>
      <c r="T89" s="23"/>
      <c r="U89" s="23"/>
      <c r="V89" s="23"/>
    </row>
    <row r="90" spans="1:22" ht="30" customHeight="1" x14ac:dyDescent="0.25">
      <c r="A90" s="22" t="s">
        <v>222</v>
      </c>
      <c r="B90" s="23"/>
      <c r="C90" s="23"/>
      <c r="D90" s="23"/>
      <c r="E90" s="23"/>
      <c r="F90" s="23"/>
      <c r="G90" s="23"/>
      <c r="H90" s="23"/>
      <c r="I90" s="23"/>
      <c r="J90" s="23"/>
      <c r="K90" s="23"/>
      <c r="L90" s="23"/>
      <c r="M90" s="23"/>
      <c r="N90" s="23"/>
      <c r="O90" s="23"/>
      <c r="P90" s="23"/>
      <c r="Q90" s="23"/>
      <c r="R90" s="23"/>
      <c r="S90" s="23"/>
      <c r="T90" s="23"/>
      <c r="U90" s="23"/>
      <c r="V90" s="23"/>
    </row>
    <row r="91" spans="1:22" ht="30" customHeight="1" x14ac:dyDescent="0.25">
      <c r="A91" s="22" t="s">
        <v>223</v>
      </c>
      <c r="B91" s="23"/>
      <c r="C91" s="23"/>
      <c r="D91" s="23"/>
      <c r="E91" s="23"/>
      <c r="F91" s="23"/>
      <c r="G91" s="23"/>
      <c r="H91" s="23"/>
      <c r="I91" s="23"/>
      <c r="J91" s="23"/>
      <c r="K91" s="23"/>
      <c r="L91" s="23"/>
      <c r="M91" s="23"/>
      <c r="N91" s="23"/>
      <c r="O91" s="23"/>
      <c r="P91" s="23"/>
      <c r="Q91" s="23"/>
      <c r="R91" s="23"/>
      <c r="S91" s="23"/>
      <c r="T91" s="23"/>
      <c r="U91" s="23"/>
      <c r="V91" s="23"/>
    </row>
    <row r="92" spans="1:22" ht="30" customHeight="1" x14ac:dyDescent="0.25">
      <c r="A92" s="22" t="s">
        <v>224</v>
      </c>
      <c r="B92" s="23"/>
      <c r="C92" s="23"/>
      <c r="D92" s="23"/>
      <c r="E92" s="23"/>
      <c r="F92" s="23"/>
      <c r="G92" s="23"/>
      <c r="H92" s="23"/>
      <c r="I92" s="23"/>
      <c r="J92" s="23"/>
      <c r="K92" s="23"/>
      <c r="L92" s="23"/>
      <c r="M92" s="23"/>
      <c r="N92" s="23"/>
      <c r="O92" s="23"/>
      <c r="P92" s="23"/>
      <c r="Q92" s="23"/>
      <c r="R92" s="23"/>
      <c r="S92" s="23"/>
      <c r="T92" s="23"/>
      <c r="U92" s="23"/>
      <c r="V92" s="23"/>
    </row>
    <row r="93" spans="1:22" ht="30" customHeight="1" x14ac:dyDescent="0.25">
      <c r="A93" s="22" t="s">
        <v>225</v>
      </c>
      <c r="B93" s="23"/>
      <c r="C93" s="23"/>
      <c r="D93" s="23"/>
      <c r="E93" s="23"/>
      <c r="F93" s="23"/>
      <c r="G93" s="23"/>
      <c r="H93" s="23"/>
      <c r="I93" s="23"/>
      <c r="J93" s="23"/>
      <c r="K93" s="23"/>
      <c r="L93" s="23"/>
      <c r="M93" s="23"/>
      <c r="N93" s="23"/>
      <c r="O93" s="23"/>
      <c r="P93" s="23"/>
      <c r="Q93" s="23"/>
      <c r="R93" s="23"/>
      <c r="S93" s="23"/>
      <c r="T93" s="23"/>
      <c r="U93" s="23"/>
      <c r="V93" s="23"/>
    </row>
    <row r="94" spans="1:22" ht="30" customHeight="1" x14ac:dyDescent="0.25">
      <c r="A94" s="22" t="s">
        <v>226</v>
      </c>
      <c r="B94" s="23"/>
      <c r="C94" s="23"/>
      <c r="D94" s="23"/>
      <c r="E94" s="23"/>
      <c r="F94" s="23"/>
      <c r="G94" s="23"/>
      <c r="H94" s="23"/>
      <c r="I94" s="23"/>
      <c r="J94" s="23"/>
      <c r="K94" s="23"/>
      <c r="L94" s="23"/>
      <c r="M94" s="23"/>
      <c r="N94" s="23"/>
      <c r="O94" s="23"/>
      <c r="P94" s="23"/>
      <c r="Q94" s="23"/>
      <c r="R94" s="23"/>
      <c r="S94" s="23"/>
      <c r="T94" s="23"/>
      <c r="U94" s="23"/>
      <c r="V94" s="23"/>
    </row>
    <row r="95" spans="1:22" ht="30" customHeight="1" x14ac:dyDescent="0.25">
      <c r="A95" s="22" t="s">
        <v>227</v>
      </c>
      <c r="B95" s="23"/>
      <c r="C95" s="23"/>
      <c r="D95" s="23"/>
      <c r="E95" s="23"/>
      <c r="F95" s="23"/>
      <c r="G95" s="23"/>
      <c r="H95" s="23"/>
      <c r="I95" s="23"/>
      <c r="J95" s="23"/>
      <c r="K95" s="23"/>
      <c r="L95" s="23"/>
      <c r="M95" s="23"/>
      <c r="N95" s="23"/>
      <c r="O95" s="23"/>
      <c r="P95" s="23"/>
      <c r="Q95" s="23"/>
      <c r="R95" s="23"/>
      <c r="S95" s="23"/>
      <c r="T95" s="23"/>
      <c r="U95" s="23"/>
      <c r="V95" s="23"/>
    </row>
    <row r="96" spans="1:22" ht="30" customHeight="1" x14ac:dyDescent="0.25">
      <c r="A96" s="22" t="s">
        <v>228</v>
      </c>
      <c r="B96" s="23"/>
      <c r="C96" s="23"/>
      <c r="D96" s="23"/>
      <c r="E96" s="23"/>
      <c r="F96" s="23"/>
      <c r="G96" s="23"/>
      <c r="H96" s="23"/>
      <c r="I96" s="23"/>
      <c r="J96" s="23"/>
      <c r="K96" s="23"/>
      <c r="L96" s="23"/>
      <c r="M96" s="23"/>
      <c r="N96" s="23"/>
      <c r="O96" s="23"/>
      <c r="P96" s="23"/>
      <c r="Q96" s="23"/>
      <c r="R96" s="23"/>
      <c r="S96" s="23"/>
      <c r="T96" s="23"/>
      <c r="U96" s="23"/>
      <c r="V96" s="23"/>
    </row>
  </sheetData>
  <mergeCells count="24">
    <mergeCell ref="O4:P4"/>
    <mergeCell ref="Q4:R4"/>
    <mergeCell ref="S4:T4"/>
    <mergeCell ref="U4:V4"/>
    <mergeCell ref="A1:V1"/>
    <mergeCell ref="A2:V2"/>
    <mergeCell ref="E4:F4"/>
    <mergeCell ref="G4:H4"/>
    <mergeCell ref="I4:J4"/>
    <mergeCell ref="K4:L4"/>
    <mergeCell ref="M4:N4"/>
    <mergeCell ref="A84:V84"/>
    <mergeCell ref="A85:V85"/>
    <mergeCell ref="A86:V86"/>
    <mergeCell ref="A87:V87"/>
    <mergeCell ref="A88:V88"/>
    <mergeCell ref="A94:V94"/>
    <mergeCell ref="A95:V95"/>
    <mergeCell ref="A96:V96"/>
    <mergeCell ref="A89:V89"/>
    <mergeCell ref="A90:V90"/>
    <mergeCell ref="A91:V91"/>
    <mergeCell ref="A92:V92"/>
    <mergeCell ref="A93:V93"/>
  </mergeCells>
  <pageMargins left="0.75" right="0.75" top="1" bottom="1" header="0.5" footer="0.5"/>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
  <dimension ref="A1:R96"/>
  <sheetViews>
    <sheetView zoomScale="80" workbookViewId="0">
      <pane xSplit="4" topLeftCell="E1" activePane="topRight" state="frozen"/>
      <selection sqref="A1:R1"/>
      <selection pane="topRight" sqref="A1:R1"/>
    </sheetView>
  </sheetViews>
  <sheetFormatPr defaultColWidth="11.42578125" defaultRowHeight="15" x14ac:dyDescent="0.25"/>
  <cols>
    <col min="1" max="1" width="50" customWidth="1"/>
  </cols>
  <sheetData>
    <row r="1" spans="1:18" x14ac:dyDescent="0.25">
      <c r="A1" s="26" t="s">
        <v>122</v>
      </c>
      <c r="B1" s="23"/>
      <c r="C1" s="23"/>
      <c r="D1" s="23"/>
      <c r="E1" s="23"/>
      <c r="F1" s="23"/>
      <c r="G1" s="23"/>
      <c r="H1" s="23"/>
      <c r="I1" s="23"/>
      <c r="J1" s="23"/>
      <c r="K1" s="23"/>
      <c r="L1" s="23"/>
      <c r="M1" s="23"/>
      <c r="N1" s="23"/>
      <c r="O1" s="23"/>
      <c r="P1" s="23"/>
      <c r="Q1" s="23"/>
      <c r="R1" s="23"/>
    </row>
    <row r="2" spans="1:18" x14ac:dyDescent="0.25">
      <c r="A2" s="27" t="s">
        <v>254</v>
      </c>
      <c r="B2" s="23"/>
      <c r="C2" s="23"/>
      <c r="D2" s="23"/>
      <c r="E2" s="23"/>
      <c r="F2" s="23"/>
      <c r="G2" s="23"/>
      <c r="H2" s="23"/>
      <c r="I2" s="23"/>
      <c r="J2" s="23"/>
      <c r="K2" s="23"/>
      <c r="L2" s="23"/>
      <c r="M2" s="23"/>
      <c r="N2" s="23"/>
      <c r="O2" s="23"/>
      <c r="P2" s="23"/>
      <c r="Q2" s="23"/>
      <c r="R2" s="23"/>
    </row>
    <row r="4" spans="1:18" ht="30" customHeight="1" x14ac:dyDescent="0.25">
      <c r="A4" s="4"/>
      <c r="B4" s="5" t="s">
        <v>123</v>
      </c>
      <c r="C4" s="5" t="s">
        <v>124</v>
      </c>
      <c r="D4" s="6" t="s">
        <v>123</v>
      </c>
      <c r="E4" s="24" t="s">
        <v>125</v>
      </c>
      <c r="F4" s="25"/>
      <c r="G4" s="24" t="s">
        <v>126</v>
      </c>
      <c r="H4" s="25"/>
      <c r="I4" s="24" t="s">
        <v>127</v>
      </c>
      <c r="J4" s="25"/>
      <c r="K4" s="24" t="s">
        <v>128</v>
      </c>
      <c r="L4" s="25"/>
      <c r="M4" s="24" t="s">
        <v>129</v>
      </c>
      <c r="N4" s="25"/>
      <c r="O4" s="24" t="s">
        <v>130</v>
      </c>
      <c r="P4" s="25"/>
      <c r="Q4" s="24" t="s">
        <v>131</v>
      </c>
      <c r="R4" s="25"/>
    </row>
    <row r="5" spans="1:18" x14ac:dyDescent="0.25">
      <c r="A5" s="7"/>
      <c r="B5" s="8" t="s">
        <v>132</v>
      </c>
      <c r="C5" s="8" t="s">
        <v>133</v>
      </c>
      <c r="D5" s="7" t="s">
        <v>134</v>
      </c>
      <c r="E5" s="8" t="s">
        <v>135</v>
      </c>
      <c r="F5" s="7" t="s">
        <v>136</v>
      </c>
      <c r="G5" s="8" t="s">
        <v>135</v>
      </c>
      <c r="H5" s="7" t="s">
        <v>136</v>
      </c>
      <c r="I5" s="8" t="s">
        <v>135</v>
      </c>
      <c r="J5" s="7" t="s">
        <v>136</v>
      </c>
      <c r="K5" s="8" t="s">
        <v>135</v>
      </c>
      <c r="L5" s="7" t="s">
        <v>136</v>
      </c>
      <c r="M5" s="8" t="s">
        <v>135</v>
      </c>
      <c r="N5" s="7" t="s">
        <v>136</v>
      </c>
      <c r="O5" s="8" t="s">
        <v>135</v>
      </c>
      <c r="P5" s="7" t="s">
        <v>136</v>
      </c>
      <c r="Q5" s="8" t="s">
        <v>135</v>
      </c>
      <c r="R5" s="7" t="s">
        <v>136</v>
      </c>
    </row>
    <row r="6" spans="1:18" x14ac:dyDescent="0.25">
      <c r="A6" s="9" t="s">
        <v>137</v>
      </c>
      <c r="B6" s="10"/>
      <c r="C6" s="10"/>
      <c r="D6" s="11"/>
      <c r="E6" s="10"/>
      <c r="F6" s="11"/>
      <c r="G6" s="10"/>
      <c r="H6" s="11"/>
      <c r="I6" s="10"/>
      <c r="J6" s="11"/>
      <c r="K6" s="10"/>
      <c r="L6" s="11"/>
      <c r="M6" s="10"/>
      <c r="N6" s="11"/>
      <c r="O6" s="10"/>
      <c r="P6" s="11"/>
      <c r="Q6" s="10"/>
      <c r="R6" s="12"/>
    </row>
    <row r="7" spans="1:18" x14ac:dyDescent="0.25">
      <c r="A7" s="11" t="s">
        <v>138</v>
      </c>
      <c r="B7" s="13">
        <v>14530</v>
      </c>
      <c r="C7" s="14">
        <f>(12087/B7*100)</f>
        <v>83.186510667584315</v>
      </c>
      <c r="D7" s="15">
        <v>2443</v>
      </c>
      <c r="E7" s="14">
        <v>0</v>
      </c>
      <c r="F7" s="16">
        <v>0</v>
      </c>
      <c r="G7" s="14">
        <v>0</v>
      </c>
      <c r="H7" s="16">
        <v>0</v>
      </c>
      <c r="I7" s="14" t="s">
        <v>139</v>
      </c>
      <c r="J7" s="16" t="s">
        <v>139</v>
      </c>
      <c r="K7" s="14">
        <v>0</v>
      </c>
      <c r="L7" s="16">
        <v>0</v>
      </c>
      <c r="M7" s="14">
        <v>100</v>
      </c>
      <c r="N7" s="16">
        <v>0</v>
      </c>
      <c r="O7" s="14">
        <v>0</v>
      </c>
      <c r="P7" s="16">
        <v>0</v>
      </c>
      <c r="Q7" s="14">
        <v>0</v>
      </c>
      <c r="R7" s="16">
        <v>0</v>
      </c>
    </row>
    <row r="8" spans="1:18" x14ac:dyDescent="0.25">
      <c r="A8" s="11" t="s">
        <v>140</v>
      </c>
      <c r="B8" s="13">
        <v>7007</v>
      </c>
      <c r="C8" s="14">
        <f>(5795/B8*100)</f>
        <v>82.703011274439845</v>
      </c>
      <c r="D8" s="15">
        <v>1212</v>
      </c>
      <c r="E8" s="14">
        <v>0</v>
      </c>
      <c r="F8" s="16">
        <v>0</v>
      </c>
      <c r="G8" s="14">
        <v>0</v>
      </c>
      <c r="H8" s="16">
        <v>0</v>
      </c>
      <c r="I8" s="14" t="s">
        <v>139</v>
      </c>
      <c r="J8" s="16" t="s">
        <v>139</v>
      </c>
      <c r="K8" s="14">
        <v>0</v>
      </c>
      <c r="L8" s="16">
        <v>0</v>
      </c>
      <c r="M8" s="14">
        <v>100</v>
      </c>
      <c r="N8" s="16">
        <v>0</v>
      </c>
      <c r="O8" s="14">
        <v>0</v>
      </c>
      <c r="P8" s="16">
        <v>0</v>
      </c>
      <c r="Q8" s="14">
        <v>0</v>
      </c>
      <c r="R8" s="16">
        <v>0</v>
      </c>
    </row>
    <row r="9" spans="1:18" x14ac:dyDescent="0.25">
      <c r="A9" s="11" t="s">
        <v>141</v>
      </c>
      <c r="B9" s="13">
        <v>9651</v>
      </c>
      <c r="C9" s="14">
        <f>(8049/B9*100)</f>
        <v>83.400683866956797</v>
      </c>
      <c r="D9" s="15">
        <v>1602</v>
      </c>
      <c r="E9" s="14">
        <v>0</v>
      </c>
      <c r="F9" s="16">
        <v>0</v>
      </c>
      <c r="G9" s="14">
        <v>0</v>
      </c>
      <c r="H9" s="16">
        <v>0</v>
      </c>
      <c r="I9" s="14" t="s">
        <v>139</v>
      </c>
      <c r="J9" s="16" t="s">
        <v>139</v>
      </c>
      <c r="K9" s="14">
        <v>0</v>
      </c>
      <c r="L9" s="16">
        <v>0</v>
      </c>
      <c r="M9" s="14">
        <v>100</v>
      </c>
      <c r="N9" s="16">
        <v>0</v>
      </c>
      <c r="O9" s="14">
        <v>0</v>
      </c>
      <c r="P9" s="16">
        <v>0</v>
      </c>
      <c r="Q9" s="14">
        <v>0</v>
      </c>
      <c r="R9" s="16">
        <v>0</v>
      </c>
    </row>
    <row r="10" spans="1:18" x14ac:dyDescent="0.25">
      <c r="A10" s="11" t="s">
        <v>142</v>
      </c>
      <c r="B10" s="13">
        <v>20058</v>
      </c>
      <c r="C10" s="14">
        <f>(16604/B10*100)</f>
        <v>82.779938179280094</v>
      </c>
      <c r="D10" s="15">
        <v>3454</v>
      </c>
      <c r="E10" s="14">
        <v>0</v>
      </c>
      <c r="F10" s="16">
        <v>0</v>
      </c>
      <c r="G10" s="14">
        <v>0</v>
      </c>
      <c r="H10" s="16">
        <v>0</v>
      </c>
      <c r="I10" s="14" t="s">
        <v>139</v>
      </c>
      <c r="J10" s="16" t="s">
        <v>139</v>
      </c>
      <c r="K10" s="14">
        <v>0</v>
      </c>
      <c r="L10" s="16">
        <v>0</v>
      </c>
      <c r="M10" s="14">
        <v>100</v>
      </c>
      <c r="N10" s="16">
        <v>0</v>
      </c>
      <c r="O10" s="14">
        <v>0</v>
      </c>
      <c r="P10" s="16">
        <v>0</v>
      </c>
      <c r="Q10" s="14">
        <v>0</v>
      </c>
      <c r="R10" s="16">
        <v>0</v>
      </c>
    </row>
    <row r="11" spans="1:18" x14ac:dyDescent="0.25">
      <c r="A11" s="11" t="s">
        <v>143</v>
      </c>
      <c r="B11" s="13">
        <v>7053</v>
      </c>
      <c r="C11" s="14">
        <f>(5856/B11*100)</f>
        <v>83.028498511271792</v>
      </c>
      <c r="D11" s="15">
        <v>1197</v>
      </c>
      <c r="E11" s="14">
        <v>0</v>
      </c>
      <c r="F11" s="16">
        <v>0</v>
      </c>
      <c r="G11" s="14">
        <v>0</v>
      </c>
      <c r="H11" s="16">
        <v>0</v>
      </c>
      <c r="I11" s="14" t="s">
        <v>139</v>
      </c>
      <c r="J11" s="16" t="s">
        <v>139</v>
      </c>
      <c r="K11" s="14">
        <v>0</v>
      </c>
      <c r="L11" s="16">
        <v>0</v>
      </c>
      <c r="M11" s="14">
        <v>100</v>
      </c>
      <c r="N11" s="16">
        <v>0</v>
      </c>
      <c r="O11" s="14">
        <v>0</v>
      </c>
      <c r="P11" s="16">
        <v>0</v>
      </c>
      <c r="Q11" s="14">
        <v>0</v>
      </c>
      <c r="R11" s="16">
        <v>0</v>
      </c>
    </row>
    <row r="12" spans="1:18" x14ac:dyDescent="0.25">
      <c r="A12" s="11" t="s">
        <v>144</v>
      </c>
      <c r="B12" s="13">
        <v>6894</v>
      </c>
      <c r="C12" s="14">
        <f>(5725/B12*100)</f>
        <v>83.043225993617639</v>
      </c>
      <c r="D12" s="15">
        <v>1169</v>
      </c>
      <c r="E12" s="14">
        <v>0</v>
      </c>
      <c r="F12" s="16">
        <v>0</v>
      </c>
      <c r="G12" s="14">
        <v>0</v>
      </c>
      <c r="H12" s="16">
        <v>0</v>
      </c>
      <c r="I12" s="14" t="s">
        <v>139</v>
      </c>
      <c r="J12" s="16" t="s">
        <v>139</v>
      </c>
      <c r="K12" s="14">
        <v>0</v>
      </c>
      <c r="L12" s="16">
        <v>0</v>
      </c>
      <c r="M12" s="14">
        <v>100</v>
      </c>
      <c r="N12" s="16">
        <v>0</v>
      </c>
      <c r="O12" s="14">
        <v>0</v>
      </c>
      <c r="P12" s="16">
        <v>0</v>
      </c>
      <c r="Q12" s="14">
        <v>0</v>
      </c>
      <c r="R12" s="16">
        <v>0</v>
      </c>
    </row>
    <row r="13" spans="1:18" x14ac:dyDescent="0.25">
      <c r="A13" s="11" t="s">
        <v>145</v>
      </c>
      <c r="B13" s="13">
        <v>7161</v>
      </c>
      <c r="C13" s="14">
        <f>(6001/B13*100)</f>
        <v>83.801145091467674</v>
      </c>
      <c r="D13" s="15">
        <v>1160</v>
      </c>
      <c r="E13" s="14">
        <v>0</v>
      </c>
      <c r="F13" s="16">
        <v>0</v>
      </c>
      <c r="G13" s="14">
        <v>0</v>
      </c>
      <c r="H13" s="16">
        <v>0</v>
      </c>
      <c r="I13" s="14" t="s">
        <v>139</v>
      </c>
      <c r="J13" s="16" t="s">
        <v>139</v>
      </c>
      <c r="K13" s="14">
        <v>0</v>
      </c>
      <c r="L13" s="16">
        <v>0</v>
      </c>
      <c r="M13" s="14">
        <v>100</v>
      </c>
      <c r="N13" s="16">
        <v>0</v>
      </c>
      <c r="O13" s="14">
        <v>0</v>
      </c>
      <c r="P13" s="16">
        <v>0</v>
      </c>
      <c r="Q13" s="14">
        <v>0</v>
      </c>
      <c r="R13" s="16">
        <v>0</v>
      </c>
    </row>
    <row r="14" spans="1:18" x14ac:dyDescent="0.25">
      <c r="A14" s="11" t="s">
        <v>146</v>
      </c>
      <c r="B14" s="13">
        <v>5587</v>
      </c>
      <c r="C14" s="14">
        <f>(4630/B14*100)</f>
        <v>82.870950420619295</v>
      </c>
      <c r="D14" s="15">
        <v>957</v>
      </c>
      <c r="E14" s="14">
        <v>0</v>
      </c>
      <c r="F14" s="16">
        <v>0</v>
      </c>
      <c r="G14" s="14">
        <v>0</v>
      </c>
      <c r="H14" s="16">
        <v>0</v>
      </c>
      <c r="I14" s="14" t="s">
        <v>139</v>
      </c>
      <c r="J14" s="16" t="s">
        <v>139</v>
      </c>
      <c r="K14" s="14">
        <v>0</v>
      </c>
      <c r="L14" s="16">
        <v>0</v>
      </c>
      <c r="M14" s="14">
        <v>100</v>
      </c>
      <c r="N14" s="16">
        <v>0</v>
      </c>
      <c r="O14" s="14">
        <v>0</v>
      </c>
      <c r="P14" s="16">
        <v>0</v>
      </c>
      <c r="Q14" s="14">
        <v>0</v>
      </c>
      <c r="R14" s="16">
        <v>0</v>
      </c>
    </row>
    <row r="15" spans="1:18" x14ac:dyDescent="0.25">
      <c r="A15" s="11" t="s">
        <v>147</v>
      </c>
      <c r="B15" s="13">
        <v>5882</v>
      </c>
      <c r="C15" s="14">
        <f>(4904/B15*100)</f>
        <v>83.373002380142808</v>
      </c>
      <c r="D15" s="15">
        <v>978</v>
      </c>
      <c r="E15" s="14">
        <v>0</v>
      </c>
      <c r="F15" s="16">
        <v>0</v>
      </c>
      <c r="G15" s="14">
        <v>0</v>
      </c>
      <c r="H15" s="16">
        <v>0</v>
      </c>
      <c r="I15" s="14" t="s">
        <v>139</v>
      </c>
      <c r="J15" s="16" t="s">
        <v>139</v>
      </c>
      <c r="K15" s="14">
        <v>0</v>
      </c>
      <c r="L15" s="16">
        <v>0</v>
      </c>
      <c r="M15" s="14">
        <v>100</v>
      </c>
      <c r="N15" s="16">
        <v>0</v>
      </c>
      <c r="O15" s="14">
        <v>0</v>
      </c>
      <c r="P15" s="16">
        <v>0</v>
      </c>
      <c r="Q15" s="14">
        <v>0</v>
      </c>
      <c r="R15" s="16">
        <v>0</v>
      </c>
    </row>
    <row r="16" spans="1:18" x14ac:dyDescent="0.25">
      <c r="A16" s="11" t="s">
        <v>148</v>
      </c>
      <c r="B16" s="13">
        <v>6108</v>
      </c>
      <c r="C16" s="14">
        <f>(5056/B16*100)</f>
        <v>82.776686313032087</v>
      </c>
      <c r="D16" s="15">
        <v>1052</v>
      </c>
      <c r="E16" s="14">
        <v>0</v>
      </c>
      <c r="F16" s="16">
        <v>0</v>
      </c>
      <c r="G16" s="14">
        <v>0</v>
      </c>
      <c r="H16" s="16">
        <v>0</v>
      </c>
      <c r="I16" s="14" t="s">
        <v>139</v>
      </c>
      <c r="J16" s="16" t="s">
        <v>139</v>
      </c>
      <c r="K16" s="14">
        <v>0</v>
      </c>
      <c r="L16" s="16">
        <v>0</v>
      </c>
      <c r="M16" s="14">
        <v>100</v>
      </c>
      <c r="N16" s="16">
        <v>0</v>
      </c>
      <c r="O16" s="14">
        <v>0</v>
      </c>
      <c r="P16" s="16">
        <v>0</v>
      </c>
      <c r="Q16" s="14">
        <v>0</v>
      </c>
      <c r="R16" s="16">
        <v>0</v>
      </c>
    </row>
    <row r="17" spans="1:18" x14ac:dyDescent="0.25">
      <c r="A17" s="11" t="s">
        <v>149</v>
      </c>
      <c r="B17" s="13">
        <v>6504</v>
      </c>
      <c r="C17" s="14">
        <f>(5411/B17*100)</f>
        <v>83.194956949569502</v>
      </c>
      <c r="D17" s="15">
        <v>1093</v>
      </c>
      <c r="E17" s="14">
        <v>0</v>
      </c>
      <c r="F17" s="16">
        <v>0</v>
      </c>
      <c r="G17" s="14">
        <v>0</v>
      </c>
      <c r="H17" s="16">
        <v>0</v>
      </c>
      <c r="I17" s="14" t="s">
        <v>139</v>
      </c>
      <c r="J17" s="16" t="s">
        <v>139</v>
      </c>
      <c r="K17" s="14">
        <v>0</v>
      </c>
      <c r="L17" s="16">
        <v>0</v>
      </c>
      <c r="M17" s="14">
        <v>100</v>
      </c>
      <c r="N17" s="16">
        <v>0</v>
      </c>
      <c r="O17" s="14">
        <v>0</v>
      </c>
      <c r="P17" s="16">
        <v>0</v>
      </c>
      <c r="Q17" s="14">
        <v>0</v>
      </c>
      <c r="R17" s="16">
        <v>0</v>
      </c>
    </row>
    <row r="18" spans="1:18" x14ac:dyDescent="0.25">
      <c r="A18" s="11" t="s">
        <v>150</v>
      </c>
      <c r="B18" s="13">
        <v>5532</v>
      </c>
      <c r="C18" s="14">
        <f>(4567/B18*100)</f>
        <v>82.556037599421543</v>
      </c>
      <c r="D18" s="15">
        <v>965</v>
      </c>
      <c r="E18" s="14">
        <v>0</v>
      </c>
      <c r="F18" s="16">
        <v>0</v>
      </c>
      <c r="G18" s="14">
        <v>0</v>
      </c>
      <c r="H18" s="16">
        <v>0</v>
      </c>
      <c r="I18" s="14" t="s">
        <v>139</v>
      </c>
      <c r="J18" s="16" t="s">
        <v>139</v>
      </c>
      <c r="K18" s="14">
        <v>0</v>
      </c>
      <c r="L18" s="16">
        <v>0</v>
      </c>
      <c r="M18" s="14">
        <v>100</v>
      </c>
      <c r="N18" s="16">
        <v>0</v>
      </c>
      <c r="O18" s="14">
        <v>0</v>
      </c>
      <c r="P18" s="16">
        <v>0</v>
      </c>
      <c r="Q18" s="14">
        <v>0</v>
      </c>
      <c r="R18" s="16">
        <v>0</v>
      </c>
    </row>
    <row r="19" spans="1:18" x14ac:dyDescent="0.25">
      <c r="A19" s="11" t="s">
        <v>151</v>
      </c>
      <c r="B19" s="13">
        <v>5658</v>
      </c>
      <c r="C19" s="14">
        <f>(4706/B19*100)</f>
        <v>83.17426652527395</v>
      </c>
      <c r="D19" s="15">
        <v>952</v>
      </c>
      <c r="E19" s="14">
        <v>0</v>
      </c>
      <c r="F19" s="16">
        <v>0</v>
      </c>
      <c r="G19" s="14">
        <v>0</v>
      </c>
      <c r="H19" s="16">
        <v>0</v>
      </c>
      <c r="I19" s="14" t="s">
        <v>139</v>
      </c>
      <c r="J19" s="16" t="s">
        <v>139</v>
      </c>
      <c r="K19" s="14">
        <v>0</v>
      </c>
      <c r="L19" s="16">
        <v>0</v>
      </c>
      <c r="M19" s="14">
        <v>100</v>
      </c>
      <c r="N19" s="16">
        <v>0</v>
      </c>
      <c r="O19" s="14">
        <v>0</v>
      </c>
      <c r="P19" s="16">
        <v>0</v>
      </c>
      <c r="Q19" s="14">
        <v>0</v>
      </c>
      <c r="R19" s="16">
        <v>0</v>
      </c>
    </row>
    <row r="20" spans="1:18" x14ac:dyDescent="0.25">
      <c r="A20" s="11" t="s">
        <v>152</v>
      </c>
      <c r="B20" s="13">
        <v>3371</v>
      </c>
      <c r="C20" s="14">
        <f>(2793/B20*100)</f>
        <v>82.853752595668936</v>
      </c>
      <c r="D20" s="15">
        <v>578</v>
      </c>
      <c r="E20" s="14">
        <v>0</v>
      </c>
      <c r="F20" s="16">
        <v>0</v>
      </c>
      <c r="G20" s="14">
        <v>0</v>
      </c>
      <c r="H20" s="16">
        <v>0</v>
      </c>
      <c r="I20" s="14" t="s">
        <v>139</v>
      </c>
      <c r="J20" s="16" t="s">
        <v>139</v>
      </c>
      <c r="K20" s="14">
        <v>0</v>
      </c>
      <c r="L20" s="16">
        <v>0</v>
      </c>
      <c r="M20" s="14">
        <v>100</v>
      </c>
      <c r="N20" s="16">
        <v>0</v>
      </c>
      <c r="O20" s="14">
        <v>0</v>
      </c>
      <c r="P20" s="16">
        <v>0</v>
      </c>
      <c r="Q20" s="14">
        <v>0</v>
      </c>
      <c r="R20" s="16">
        <v>0</v>
      </c>
    </row>
    <row r="21" spans="1:18" x14ac:dyDescent="0.25">
      <c r="A21" s="11" t="s">
        <v>153</v>
      </c>
      <c r="B21" s="17" t="s">
        <v>154</v>
      </c>
      <c r="C21" s="17" t="s">
        <v>154</v>
      </c>
      <c r="D21" s="18" t="s">
        <v>154</v>
      </c>
      <c r="E21" s="17" t="s">
        <v>154</v>
      </c>
      <c r="F21" s="18" t="s">
        <v>154</v>
      </c>
      <c r="G21" s="17" t="s">
        <v>154</v>
      </c>
      <c r="H21" s="18" t="s">
        <v>154</v>
      </c>
      <c r="I21" s="17" t="s">
        <v>154</v>
      </c>
      <c r="J21" s="18" t="s">
        <v>154</v>
      </c>
      <c r="K21" s="17" t="s">
        <v>154</v>
      </c>
      <c r="L21" s="18" t="s">
        <v>154</v>
      </c>
      <c r="M21" s="17" t="s">
        <v>154</v>
      </c>
      <c r="N21" s="18" t="s">
        <v>154</v>
      </c>
      <c r="O21" s="17" t="s">
        <v>154</v>
      </c>
      <c r="P21" s="18" t="s">
        <v>154</v>
      </c>
      <c r="Q21" s="17" t="s">
        <v>154</v>
      </c>
      <c r="R21" s="18" t="s">
        <v>154</v>
      </c>
    </row>
    <row r="22" spans="1:18" x14ac:dyDescent="0.25">
      <c r="A22" s="11" t="s">
        <v>155</v>
      </c>
      <c r="B22" s="13">
        <v>6598</v>
      </c>
      <c r="C22" s="14">
        <f>(5572/B22*100)</f>
        <v>84.449833282812975</v>
      </c>
      <c r="D22" s="15">
        <v>1026</v>
      </c>
      <c r="E22" s="14">
        <v>0</v>
      </c>
      <c r="F22" s="16">
        <v>0</v>
      </c>
      <c r="G22" s="14">
        <v>0</v>
      </c>
      <c r="H22" s="16">
        <v>0</v>
      </c>
      <c r="I22" s="14" t="s">
        <v>139</v>
      </c>
      <c r="J22" s="16" t="s">
        <v>139</v>
      </c>
      <c r="K22" s="14">
        <v>0</v>
      </c>
      <c r="L22" s="16">
        <v>0</v>
      </c>
      <c r="M22" s="14">
        <v>100</v>
      </c>
      <c r="N22" s="16">
        <v>0</v>
      </c>
      <c r="O22" s="14">
        <v>0</v>
      </c>
      <c r="P22" s="16">
        <v>0</v>
      </c>
      <c r="Q22" s="14">
        <v>0</v>
      </c>
      <c r="R22" s="16">
        <v>0</v>
      </c>
    </row>
    <row r="23" spans="1:18" x14ac:dyDescent="0.25">
      <c r="A23" s="11" t="s">
        <v>156</v>
      </c>
      <c r="B23" s="13">
        <v>11583</v>
      </c>
      <c r="C23" s="14">
        <f>(9607/B23*100)</f>
        <v>82.94051627384961</v>
      </c>
      <c r="D23" s="15">
        <v>1976</v>
      </c>
      <c r="E23" s="14">
        <v>0</v>
      </c>
      <c r="F23" s="16">
        <v>0</v>
      </c>
      <c r="G23" s="14">
        <v>0</v>
      </c>
      <c r="H23" s="16">
        <v>0</v>
      </c>
      <c r="I23" s="14" t="s">
        <v>139</v>
      </c>
      <c r="J23" s="16" t="s">
        <v>139</v>
      </c>
      <c r="K23" s="14">
        <v>0</v>
      </c>
      <c r="L23" s="16">
        <v>0</v>
      </c>
      <c r="M23" s="14">
        <v>100</v>
      </c>
      <c r="N23" s="16">
        <v>0</v>
      </c>
      <c r="O23" s="14">
        <v>0</v>
      </c>
      <c r="P23" s="16">
        <v>0</v>
      </c>
      <c r="Q23" s="14">
        <v>0</v>
      </c>
      <c r="R23" s="16">
        <v>0</v>
      </c>
    </row>
    <row r="24" spans="1:18" x14ac:dyDescent="0.25">
      <c r="A24" s="11" t="s">
        <v>157</v>
      </c>
      <c r="B24" s="13">
        <v>6647</v>
      </c>
      <c r="C24" s="14">
        <f>(5489/B24*100)</f>
        <v>82.578606890326469</v>
      </c>
      <c r="D24" s="15">
        <v>1158</v>
      </c>
      <c r="E24" s="14">
        <v>0</v>
      </c>
      <c r="F24" s="16">
        <v>0</v>
      </c>
      <c r="G24" s="14">
        <v>0</v>
      </c>
      <c r="H24" s="16">
        <v>0</v>
      </c>
      <c r="I24" s="14" t="s">
        <v>139</v>
      </c>
      <c r="J24" s="16" t="s">
        <v>139</v>
      </c>
      <c r="K24" s="14">
        <v>0</v>
      </c>
      <c r="L24" s="16">
        <v>0</v>
      </c>
      <c r="M24" s="14">
        <v>100</v>
      </c>
      <c r="N24" s="16">
        <v>0</v>
      </c>
      <c r="O24" s="14">
        <v>0</v>
      </c>
      <c r="P24" s="16">
        <v>0</v>
      </c>
      <c r="Q24" s="14">
        <v>0</v>
      </c>
      <c r="R24" s="16">
        <v>0</v>
      </c>
    </row>
    <row r="25" spans="1:18" x14ac:dyDescent="0.25">
      <c r="A25" s="11" t="s">
        <v>158</v>
      </c>
      <c r="B25" s="13">
        <v>5581</v>
      </c>
      <c r="C25" s="14">
        <f>(4617/B25*100)</f>
        <v>82.727109836946795</v>
      </c>
      <c r="D25" s="15">
        <v>964</v>
      </c>
      <c r="E25" s="14">
        <v>0</v>
      </c>
      <c r="F25" s="16">
        <v>0</v>
      </c>
      <c r="G25" s="14">
        <v>0</v>
      </c>
      <c r="H25" s="16">
        <v>0</v>
      </c>
      <c r="I25" s="14" t="s">
        <v>139</v>
      </c>
      <c r="J25" s="16" t="s">
        <v>139</v>
      </c>
      <c r="K25" s="14">
        <v>0</v>
      </c>
      <c r="L25" s="16">
        <v>0</v>
      </c>
      <c r="M25" s="14">
        <v>100</v>
      </c>
      <c r="N25" s="16">
        <v>0</v>
      </c>
      <c r="O25" s="14">
        <v>0</v>
      </c>
      <c r="P25" s="16">
        <v>0</v>
      </c>
      <c r="Q25" s="14">
        <v>0</v>
      </c>
      <c r="R25" s="16">
        <v>0</v>
      </c>
    </row>
    <row r="26" spans="1:18" x14ac:dyDescent="0.25">
      <c r="A26" s="11" t="s">
        <v>159</v>
      </c>
      <c r="B26" s="13">
        <v>4869</v>
      </c>
      <c r="C26" s="14">
        <f>(4010/B26*100)</f>
        <v>82.357773670158139</v>
      </c>
      <c r="D26" s="15">
        <v>859</v>
      </c>
      <c r="E26" s="14">
        <v>0</v>
      </c>
      <c r="F26" s="16">
        <v>0</v>
      </c>
      <c r="G26" s="14">
        <v>0</v>
      </c>
      <c r="H26" s="16">
        <v>0</v>
      </c>
      <c r="I26" s="14" t="s">
        <v>139</v>
      </c>
      <c r="J26" s="16" t="s">
        <v>139</v>
      </c>
      <c r="K26" s="14">
        <v>0</v>
      </c>
      <c r="L26" s="16">
        <v>0</v>
      </c>
      <c r="M26" s="14">
        <v>100</v>
      </c>
      <c r="N26" s="16">
        <v>0</v>
      </c>
      <c r="O26" s="14">
        <v>0</v>
      </c>
      <c r="P26" s="16">
        <v>0</v>
      </c>
      <c r="Q26" s="14">
        <v>0</v>
      </c>
      <c r="R26" s="16">
        <v>0</v>
      </c>
    </row>
    <row r="27" spans="1:18" x14ac:dyDescent="0.25">
      <c r="A27" s="11" t="s">
        <v>160</v>
      </c>
      <c r="B27" s="13">
        <v>5299</v>
      </c>
      <c r="C27" s="14">
        <f>(4387/B27*100)</f>
        <v>82.789205510473678</v>
      </c>
      <c r="D27" s="15">
        <v>912</v>
      </c>
      <c r="E27" s="14">
        <v>0</v>
      </c>
      <c r="F27" s="16">
        <v>0</v>
      </c>
      <c r="G27" s="14">
        <v>0</v>
      </c>
      <c r="H27" s="16">
        <v>0</v>
      </c>
      <c r="I27" s="14" t="s">
        <v>139</v>
      </c>
      <c r="J27" s="16" t="s">
        <v>139</v>
      </c>
      <c r="K27" s="14">
        <v>0</v>
      </c>
      <c r="L27" s="16">
        <v>0</v>
      </c>
      <c r="M27" s="14">
        <v>100</v>
      </c>
      <c r="N27" s="16">
        <v>0</v>
      </c>
      <c r="O27" s="14">
        <v>0</v>
      </c>
      <c r="P27" s="16">
        <v>0</v>
      </c>
      <c r="Q27" s="14">
        <v>0</v>
      </c>
      <c r="R27" s="16">
        <v>0</v>
      </c>
    </row>
    <row r="28" spans="1:18" x14ac:dyDescent="0.25">
      <c r="A28" s="11" t="s">
        <v>161</v>
      </c>
      <c r="B28" s="13">
        <v>7568</v>
      </c>
      <c r="C28" s="14">
        <f>(6360/B28*100)</f>
        <v>84.038054968287526</v>
      </c>
      <c r="D28" s="15">
        <v>1208</v>
      </c>
      <c r="E28" s="14">
        <v>0</v>
      </c>
      <c r="F28" s="16">
        <v>0</v>
      </c>
      <c r="G28" s="14">
        <v>0</v>
      </c>
      <c r="H28" s="16">
        <v>0</v>
      </c>
      <c r="I28" s="14" t="s">
        <v>139</v>
      </c>
      <c r="J28" s="16" t="s">
        <v>139</v>
      </c>
      <c r="K28" s="14">
        <v>0</v>
      </c>
      <c r="L28" s="16">
        <v>0</v>
      </c>
      <c r="M28" s="14">
        <v>100</v>
      </c>
      <c r="N28" s="16">
        <v>0</v>
      </c>
      <c r="O28" s="14">
        <v>0</v>
      </c>
      <c r="P28" s="16">
        <v>0</v>
      </c>
      <c r="Q28" s="14">
        <v>0</v>
      </c>
      <c r="R28" s="16">
        <v>0</v>
      </c>
    </row>
    <row r="29" spans="1:18" x14ac:dyDescent="0.25">
      <c r="A29" s="11" t="s">
        <v>162</v>
      </c>
      <c r="B29" s="13">
        <v>5385</v>
      </c>
      <c r="C29" s="14">
        <f>(4470/B29*100)</f>
        <v>83.008356545961007</v>
      </c>
      <c r="D29" s="15">
        <v>915</v>
      </c>
      <c r="E29" s="14">
        <v>0</v>
      </c>
      <c r="F29" s="16">
        <v>0</v>
      </c>
      <c r="G29" s="14">
        <v>0</v>
      </c>
      <c r="H29" s="16">
        <v>0</v>
      </c>
      <c r="I29" s="14" t="s">
        <v>139</v>
      </c>
      <c r="J29" s="16" t="s">
        <v>139</v>
      </c>
      <c r="K29" s="14">
        <v>0</v>
      </c>
      <c r="L29" s="16">
        <v>0</v>
      </c>
      <c r="M29" s="14">
        <v>100</v>
      </c>
      <c r="N29" s="16">
        <v>0</v>
      </c>
      <c r="O29" s="14">
        <v>0</v>
      </c>
      <c r="P29" s="16">
        <v>0</v>
      </c>
      <c r="Q29" s="14">
        <v>0</v>
      </c>
      <c r="R29" s="16">
        <v>0</v>
      </c>
    </row>
    <row r="30" spans="1:18" x14ac:dyDescent="0.25">
      <c r="A30" s="11" t="s">
        <v>163</v>
      </c>
      <c r="B30" s="13">
        <v>4520</v>
      </c>
      <c r="C30" s="14">
        <f>(3750/B30*100)</f>
        <v>82.964601769911511</v>
      </c>
      <c r="D30" s="15">
        <v>770</v>
      </c>
      <c r="E30" s="14">
        <v>0</v>
      </c>
      <c r="F30" s="16">
        <v>0</v>
      </c>
      <c r="G30" s="14">
        <v>0</v>
      </c>
      <c r="H30" s="16">
        <v>0</v>
      </c>
      <c r="I30" s="14" t="s">
        <v>139</v>
      </c>
      <c r="J30" s="16" t="s">
        <v>139</v>
      </c>
      <c r="K30" s="14">
        <v>0</v>
      </c>
      <c r="L30" s="16">
        <v>0</v>
      </c>
      <c r="M30" s="14">
        <v>100</v>
      </c>
      <c r="N30" s="16">
        <v>0</v>
      </c>
      <c r="O30" s="14">
        <v>0</v>
      </c>
      <c r="P30" s="16">
        <v>0</v>
      </c>
      <c r="Q30" s="14">
        <v>0</v>
      </c>
      <c r="R30" s="16">
        <v>0</v>
      </c>
    </row>
    <row r="31" spans="1:18" x14ac:dyDescent="0.25">
      <c r="A31" s="11" t="s">
        <v>164</v>
      </c>
      <c r="B31" s="13">
        <v>5456</v>
      </c>
      <c r="C31" s="14">
        <f>(4538/B31*100)</f>
        <v>83.174486803519059</v>
      </c>
      <c r="D31" s="15">
        <v>918</v>
      </c>
      <c r="E31" s="14">
        <v>0</v>
      </c>
      <c r="F31" s="16">
        <v>0</v>
      </c>
      <c r="G31" s="14">
        <v>0</v>
      </c>
      <c r="H31" s="16">
        <v>0</v>
      </c>
      <c r="I31" s="14" t="s">
        <v>139</v>
      </c>
      <c r="J31" s="16" t="s">
        <v>139</v>
      </c>
      <c r="K31" s="14">
        <v>0</v>
      </c>
      <c r="L31" s="16">
        <v>0</v>
      </c>
      <c r="M31" s="14">
        <v>100</v>
      </c>
      <c r="N31" s="16">
        <v>0</v>
      </c>
      <c r="O31" s="14">
        <v>0</v>
      </c>
      <c r="P31" s="16">
        <v>0</v>
      </c>
      <c r="Q31" s="14">
        <v>0</v>
      </c>
      <c r="R31" s="16">
        <v>0</v>
      </c>
    </row>
    <row r="32" spans="1:18" x14ac:dyDescent="0.25">
      <c r="A32" s="11" t="s">
        <v>165</v>
      </c>
      <c r="B32" s="17" t="s">
        <v>154</v>
      </c>
      <c r="C32" s="17" t="s">
        <v>154</v>
      </c>
      <c r="D32" s="18" t="s">
        <v>154</v>
      </c>
      <c r="E32" s="17" t="s">
        <v>154</v>
      </c>
      <c r="F32" s="18" t="s">
        <v>154</v>
      </c>
      <c r="G32" s="17" t="s">
        <v>154</v>
      </c>
      <c r="H32" s="18" t="s">
        <v>154</v>
      </c>
      <c r="I32" s="17" t="s">
        <v>154</v>
      </c>
      <c r="J32" s="18" t="s">
        <v>154</v>
      </c>
      <c r="K32" s="17" t="s">
        <v>154</v>
      </c>
      <c r="L32" s="18" t="s">
        <v>154</v>
      </c>
      <c r="M32" s="17" t="s">
        <v>154</v>
      </c>
      <c r="N32" s="18" t="s">
        <v>154</v>
      </c>
      <c r="O32" s="17" t="s">
        <v>154</v>
      </c>
      <c r="P32" s="18" t="s">
        <v>154</v>
      </c>
      <c r="Q32" s="17" t="s">
        <v>154</v>
      </c>
      <c r="R32" s="18" t="s">
        <v>154</v>
      </c>
    </row>
    <row r="33" spans="1:18" x14ac:dyDescent="0.25">
      <c r="A33" s="11" t="s">
        <v>166</v>
      </c>
      <c r="B33" s="13">
        <v>7325</v>
      </c>
      <c r="C33" s="14">
        <f>(6113/B33*100)</f>
        <v>83.453924914675767</v>
      </c>
      <c r="D33" s="15">
        <v>1212</v>
      </c>
      <c r="E33" s="14">
        <v>0</v>
      </c>
      <c r="F33" s="16">
        <v>0</v>
      </c>
      <c r="G33" s="14">
        <v>0</v>
      </c>
      <c r="H33" s="16">
        <v>0</v>
      </c>
      <c r="I33" s="14" t="s">
        <v>139</v>
      </c>
      <c r="J33" s="16" t="s">
        <v>139</v>
      </c>
      <c r="K33" s="14">
        <v>0</v>
      </c>
      <c r="L33" s="16">
        <v>0</v>
      </c>
      <c r="M33" s="14">
        <v>100</v>
      </c>
      <c r="N33" s="16">
        <v>0</v>
      </c>
      <c r="O33" s="14">
        <v>0</v>
      </c>
      <c r="P33" s="16">
        <v>0</v>
      </c>
      <c r="Q33" s="14">
        <v>0</v>
      </c>
      <c r="R33" s="16">
        <v>0</v>
      </c>
    </row>
    <row r="34" spans="1:18" x14ac:dyDescent="0.25">
      <c r="A34" s="11" t="s">
        <v>167</v>
      </c>
      <c r="B34" s="13">
        <v>6350</v>
      </c>
      <c r="C34" s="14">
        <f>(5294/B34*100)</f>
        <v>83.370078740157481</v>
      </c>
      <c r="D34" s="15">
        <v>1056</v>
      </c>
      <c r="E34" s="14">
        <v>0</v>
      </c>
      <c r="F34" s="16">
        <v>0</v>
      </c>
      <c r="G34" s="14">
        <v>0</v>
      </c>
      <c r="H34" s="16">
        <v>0</v>
      </c>
      <c r="I34" s="14" t="s">
        <v>139</v>
      </c>
      <c r="J34" s="16" t="s">
        <v>139</v>
      </c>
      <c r="K34" s="14">
        <v>0</v>
      </c>
      <c r="L34" s="16">
        <v>0</v>
      </c>
      <c r="M34" s="14">
        <v>100</v>
      </c>
      <c r="N34" s="16">
        <v>0</v>
      </c>
      <c r="O34" s="14">
        <v>0</v>
      </c>
      <c r="P34" s="16">
        <v>0</v>
      </c>
      <c r="Q34" s="14">
        <v>0</v>
      </c>
      <c r="R34" s="16">
        <v>0</v>
      </c>
    </row>
    <row r="35" spans="1:18" x14ac:dyDescent="0.25">
      <c r="A35" s="11" t="s">
        <v>168</v>
      </c>
      <c r="B35" s="13">
        <v>6406</v>
      </c>
      <c r="C35" s="14">
        <f>(5302/B35*100)</f>
        <v>82.766156728067443</v>
      </c>
      <c r="D35" s="15">
        <v>1104</v>
      </c>
      <c r="E35" s="14">
        <v>0</v>
      </c>
      <c r="F35" s="16">
        <v>0</v>
      </c>
      <c r="G35" s="14">
        <v>0</v>
      </c>
      <c r="H35" s="16">
        <v>0</v>
      </c>
      <c r="I35" s="14" t="s">
        <v>139</v>
      </c>
      <c r="J35" s="16" t="s">
        <v>139</v>
      </c>
      <c r="K35" s="14">
        <v>0</v>
      </c>
      <c r="L35" s="16">
        <v>0</v>
      </c>
      <c r="M35" s="14">
        <v>100</v>
      </c>
      <c r="N35" s="16">
        <v>0</v>
      </c>
      <c r="O35" s="14">
        <v>0</v>
      </c>
      <c r="P35" s="16">
        <v>0</v>
      </c>
      <c r="Q35" s="14">
        <v>0</v>
      </c>
      <c r="R35" s="16">
        <v>0</v>
      </c>
    </row>
    <row r="36" spans="1:18" x14ac:dyDescent="0.25">
      <c r="A36" s="11" t="s">
        <v>169</v>
      </c>
      <c r="B36" s="13">
        <v>6736</v>
      </c>
      <c r="C36" s="14">
        <f>(5585/B36*100)</f>
        <v>82.912707838479818</v>
      </c>
      <c r="D36" s="15">
        <v>1151</v>
      </c>
      <c r="E36" s="14">
        <v>0</v>
      </c>
      <c r="F36" s="16">
        <v>0</v>
      </c>
      <c r="G36" s="14">
        <v>0</v>
      </c>
      <c r="H36" s="16">
        <v>0</v>
      </c>
      <c r="I36" s="14" t="s">
        <v>139</v>
      </c>
      <c r="J36" s="16" t="s">
        <v>139</v>
      </c>
      <c r="K36" s="14">
        <v>0</v>
      </c>
      <c r="L36" s="16">
        <v>0</v>
      </c>
      <c r="M36" s="14">
        <v>100</v>
      </c>
      <c r="N36" s="16">
        <v>0</v>
      </c>
      <c r="O36" s="14">
        <v>0</v>
      </c>
      <c r="P36" s="16">
        <v>0</v>
      </c>
      <c r="Q36" s="14">
        <v>0</v>
      </c>
      <c r="R36" s="16">
        <v>0</v>
      </c>
    </row>
    <row r="37" spans="1:18" x14ac:dyDescent="0.25">
      <c r="A37" s="11" t="s">
        <v>170</v>
      </c>
      <c r="B37" s="13">
        <v>5458</v>
      </c>
      <c r="C37" s="14">
        <f>(4562/B37*100)</f>
        <v>83.583730304140715</v>
      </c>
      <c r="D37" s="15">
        <v>896</v>
      </c>
      <c r="E37" s="14">
        <v>0</v>
      </c>
      <c r="F37" s="16">
        <v>0</v>
      </c>
      <c r="G37" s="14">
        <v>0</v>
      </c>
      <c r="H37" s="16">
        <v>0</v>
      </c>
      <c r="I37" s="14" t="s">
        <v>139</v>
      </c>
      <c r="J37" s="16" t="s">
        <v>139</v>
      </c>
      <c r="K37" s="14">
        <v>0</v>
      </c>
      <c r="L37" s="16">
        <v>0</v>
      </c>
      <c r="M37" s="14">
        <v>100</v>
      </c>
      <c r="N37" s="16">
        <v>0</v>
      </c>
      <c r="O37" s="14">
        <v>0</v>
      </c>
      <c r="P37" s="16">
        <v>0</v>
      </c>
      <c r="Q37" s="14">
        <v>0</v>
      </c>
      <c r="R37" s="16">
        <v>0</v>
      </c>
    </row>
    <row r="38" spans="1:18" x14ac:dyDescent="0.25">
      <c r="A38" s="11" t="s">
        <v>171</v>
      </c>
      <c r="B38" s="17" t="s">
        <v>154</v>
      </c>
      <c r="C38" s="17" t="s">
        <v>154</v>
      </c>
      <c r="D38" s="18" t="s">
        <v>154</v>
      </c>
      <c r="E38" s="17" t="s">
        <v>154</v>
      </c>
      <c r="F38" s="18" t="s">
        <v>154</v>
      </c>
      <c r="G38" s="17" t="s">
        <v>154</v>
      </c>
      <c r="H38" s="18" t="s">
        <v>154</v>
      </c>
      <c r="I38" s="17" t="s">
        <v>154</v>
      </c>
      <c r="J38" s="18" t="s">
        <v>154</v>
      </c>
      <c r="K38" s="17" t="s">
        <v>154</v>
      </c>
      <c r="L38" s="18" t="s">
        <v>154</v>
      </c>
      <c r="M38" s="17" t="s">
        <v>154</v>
      </c>
      <c r="N38" s="18" t="s">
        <v>154</v>
      </c>
      <c r="O38" s="17" t="s">
        <v>154</v>
      </c>
      <c r="P38" s="18" t="s">
        <v>154</v>
      </c>
      <c r="Q38" s="17" t="s">
        <v>154</v>
      </c>
      <c r="R38" s="18" t="s">
        <v>154</v>
      </c>
    </row>
    <row r="39" spans="1:18" x14ac:dyDescent="0.25">
      <c r="A39" s="11" t="s">
        <v>172</v>
      </c>
      <c r="B39" s="13">
        <v>5895</v>
      </c>
      <c r="C39" s="14">
        <f>(4871/B39*100)</f>
        <v>82.629346904156066</v>
      </c>
      <c r="D39" s="15">
        <v>1024</v>
      </c>
      <c r="E39" s="14">
        <v>0</v>
      </c>
      <c r="F39" s="16">
        <v>0</v>
      </c>
      <c r="G39" s="14">
        <v>0</v>
      </c>
      <c r="H39" s="16">
        <v>0</v>
      </c>
      <c r="I39" s="14" t="s">
        <v>139</v>
      </c>
      <c r="J39" s="16" t="s">
        <v>139</v>
      </c>
      <c r="K39" s="14">
        <v>0</v>
      </c>
      <c r="L39" s="16">
        <v>0</v>
      </c>
      <c r="M39" s="14">
        <v>100</v>
      </c>
      <c r="N39" s="16">
        <v>0</v>
      </c>
      <c r="O39" s="14">
        <v>0</v>
      </c>
      <c r="P39" s="16">
        <v>0</v>
      </c>
      <c r="Q39" s="14">
        <v>0</v>
      </c>
      <c r="R39" s="16">
        <v>0</v>
      </c>
    </row>
    <row r="40" spans="1:18" x14ac:dyDescent="0.25">
      <c r="A40" s="11" t="s">
        <v>173</v>
      </c>
      <c r="B40" s="13">
        <v>14157</v>
      </c>
      <c r="C40" s="14">
        <f>(11638/B40*100)</f>
        <v>82.206682206682203</v>
      </c>
      <c r="D40" s="15">
        <v>2519</v>
      </c>
      <c r="E40" s="14">
        <v>0</v>
      </c>
      <c r="F40" s="16">
        <v>0</v>
      </c>
      <c r="G40" s="14">
        <v>0</v>
      </c>
      <c r="H40" s="16">
        <v>0</v>
      </c>
      <c r="I40" s="14" t="s">
        <v>139</v>
      </c>
      <c r="J40" s="16" t="s">
        <v>139</v>
      </c>
      <c r="K40" s="14">
        <v>0</v>
      </c>
      <c r="L40" s="16">
        <v>0</v>
      </c>
      <c r="M40" s="14">
        <v>100</v>
      </c>
      <c r="N40" s="16">
        <v>0</v>
      </c>
      <c r="O40" s="14">
        <v>0</v>
      </c>
      <c r="P40" s="16">
        <v>0</v>
      </c>
      <c r="Q40" s="14">
        <v>0</v>
      </c>
      <c r="R40" s="16">
        <v>0</v>
      </c>
    </row>
    <row r="41" spans="1:18" x14ac:dyDescent="0.25">
      <c r="A41" s="11" t="s">
        <v>174</v>
      </c>
      <c r="B41" s="13">
        <v>5712</v>
      </c>
      <c r="C41" s="14">
        <f>(4761/B41*100)</f>
        <v>83.350840336134453</v>
      </c>
      <c r="D41" s="15">
        <v>951</v>
      </c>
      <c r="E41" s="14">
        <v>0</v>
      </c>
      <c r="F41" s="16">
        <v>0</v>
      </c>
      <c r="G41" s="14">
        <v>0</v>
      </c>
      <c r="H41" s="16">
        <v>0</v>
      </c>
      <c r="I41" s="14" t="s">
        <v>139</v>
      </c>
      <c r="J41" s="16" t="s">
        <v>139</v>
      </c>
      <c r="K41" s="14">
        <v>0</v>
      </c>
      <c r="L41" s="16">
        <v>0</v>
      </c>
      <c r="M41" s="14">
        <v>100</v>
      </c>
      <c r="N41" s="16">
        <v>0</v>
      </c>
      <c r="O41" s="14">
        <v>0</v>
      </c>
      <c r="P41" s="16">
        <v>0</v>
      </c>
      <c r="Q41" s="14">
        <v>0</v>
      </c>
      <c r="R41" s="16">
        <v>0</v>
      </c>
    </row>
    <row r="42" spans="1:18" x14ac:dyDescent="0.25">
      <c r="A42" s="11" t="s">
        <v>175</v>
      </c>
      <c r="B42" s="13">
        <f>IF(COUNT(B7:B41) &gt; 0, AVERAGE(B7:B41), "\u2014")</f>
        <v>7266.90625</v>
      </c>
      <c r="C42" s="14">
        <f>IF(COUNT(C7:C41) &gt; 0, AVERAGE(C7:C41), "—")</f>
        <v>83.063896246658985</v>
      </c>
      <c r="D42" s="15">
        <f>IF(COUNT(D7:D41) &gt; 0, AVERAGE(D7:D41), "—")</f>
        <v>1232.21875</v>
      </c>
      <c r="E42" s="14">
        <f>IF(COUNT(E7:E41) &gt; 0, AVERAGE(E7:E41), "—")</f>
        <v>0</v>
      </c>
      <c r="F42" s="16">
        <f>IF(COUNT(F7:F41) &gt; 0, SQRT(SUMSQ(F7:F41)/(COUNT(F7:F41)*COUNT(F7:F41)) ), "—")</f>
        <v>0</v>
      </c>
      <c r="G42" s="14">
        <f>IF(COUNT(G7:G41) &gt; 0, AVERAGE(G7:G41), "—")</f>
        <v>0</v>
      </c>
      <c r="H42" s="16">
        <f>IF(COUNT(H7:H41) &gt; 0, SQRT(SUMSQ(H7:H41)/(COUNT(H7:H41)*COUNT(H7:H41)) ), "—")</f>
        <v>0</v>
      </c>
      <c r="I42" s="14" t="str">
        <f>IF(COUNT(I7:I41) &gt; 0, AVERAGE(I7:I41), "—")</f>
        <v>—</v>
      </c>
      <c r="J42" s="16" t="str">
        <f>IF(COUNT(J7:J41) &gt; 0, SQRT(SUMSQ(J7:J41)/(COUNT(J7:J41)*COUNT(J7:J41)) ), "—")</f>
        <v>—</v>
      </c>
      <c r="K42" s="14">
        <f>IF(COUNT(K7:K41) &gt; 0, AVERAGE(K7:K41), "—")</f>
        <v>0</v>
      </c>
      <c r="L42" s="16">
        <f>IF(COUNT(L7:L41) &gt; 0, SQRT(SUMSQ(L7:L41)/(COUNT(L7:L41)*COUNT(L7:L41)) ), "—")</f>
        <v>0</v>
      </c>
      <c r="M42" s="14">
        <f>IF(COUNT(M7:M41) &gt; 0, AVERAGE(M7:M41), "—")</f>
        <v>100</v>
      </c>
      <c r="N42" s="16">
        <f>IF(COUNT(N7:N41) &gt; 0, SQRT(SUMSQ(N7:N41)/(COUNT(N7:N41)*COUNT(N7:N41)) ), "—")</f>
        <v>0</v>
      </c>
      <c r="O42" s="14">
        <f>IF(COUNT(O7:O41) &gt; 0, AVERAGE(O7:O41), "—")</f>
        <v>0</v>
      </c>
      <c r="P42" s="16">
        <f>IF(COUNT(P7:P41) &gt; 0, SQRT(SUMSQ(P7:P41)/(COUNT(P7:P41)*COUNT(P7:P41)) ), "—")</f>
        <v>0</v>
      </c>
      <c r="Q42" s="14">
        <f>IF(COUNT(Q7:Q41) &gt; 0, AVERAGE(Q7:Q41), "—")</f>
        <v>0</v>
      </c>
      <c r="R42" s="16">
        <f>IF(COUNT(R7:R41) &gt; 0, SQRT(SUMSQ(R7:R41)/(COUNT(R7:R41)*COUNT(R7:R41)) ), "—")</f>
        <v>0</v>
      </c>
    </row>
    <row r="43" spans="1:18" x14ac:dyDescent="0.25">
      <c r="A43" s="9" t="s">
        <v>176</v>
      </c>
      <c r="B43" s="10"/>
      <c r="C43" s="10"/>
      <c r="D43" s="11"/>
      <c r="E43" s="10"/>
      <c r="F43" s="11"/>
      <c r="G43" s="10"/>
      <c r="H43" s="11"/>
      <c r="I43" s="10"/>
      <c r="J43" s="11"/>
      <c r="K43" s="10"/>
      <c r="L43" s="11"/>
      <c r="M43" s="10"/>
      <c r="N43" s="11"/>
      <c r="O43" s="10"/>
      <c r="P43" s="11"/>
      <c r="Q43" s="10"/>
      <c r="R43" s="12"/>
    </row>
    <row r="44" spans="1:18" x14ac:dyDescent="0.25">
      <c r="A44" s="11" t="s">
        <v>177</v>
      </c>
      <c r="B44" s="17" t="s">
        <v>154</v>
      </c>
      <c r="C44" s="17" t="s">
        <v>154</v>
      </c>
      <c r="D44" s="18" t="s">
        <v>154</v>
      </c>
      <c r="E44" s="17" t="s">
        <v>154</v>
      </c>
      <c r="F44" s="18" t="s">
        <v>154</v>
      </c>
      <c r="G44" s="17" t="s">
        <v>154</v>
      </c>
      <c r="H44" s="18" t="s">
        <v>154</v>
      </c>
      <c r="I44" s="17" t="s">
        <v>154</v>
      </c>
      <c r="J44" s="18" t="s">
        <v>154</v>
      </c>
      <c r="K44" s="17" t="s">
        <v>154</v>
      </c>
      <c r="L44" s="18" t="s">
        <v>154</v>
      </c>
      <c r="M44" s="17" t="s">
        <v>154</v>
      </c>
      <c r="N44" s="18" t="s">
        <v>154</v>
      </c>
      <c r="O44" s="17" t="s">
        <v>154</v>
      </c>
      <c r="P44" s="18" t="s">
        <v>154</v>
      </c>
      <c r="Q44" s="17" t="s">
        <v>154</v>
      </c>
      <c r="R44" s="18" t="s">
        <v>154</v>
      </c>
    </row>
    <row r="45" spans="1:18" x14ac:dyDescent="0.25">
      <c r="A45" s="11" t="s">
        <v>178</v>
      </c>
      <c r="B45" s="17" t="s">
        <v>154</v>
      </c>
      <c r="C45" s="17" t="s">
        <v>154</v>
      </c>
      <c r="D45" s="18" t="s">
        <v>154</v>
      </c>
      <c r="E45" s="17" t="s">
        <v>154</v>
      </c>
      <c r="F45" s="18" t="s">
        <v>154</v>
      </c>
      <c r="G45" s="17" t="s">
        <v>154</v>
      </c>
      <c r="H45" s="18" t="s">
        <v>154</v>
      </c>
      <c r="I45" s="17" t="s">
        <v>154</v>
      </c>
      <c r="J45" s="18" t="s">
        <v>154</v>
      </c>
      <c r="K45" s="17" t="s">
        <v>154</v>
      </c>
      <c r="L45" s="18" t="s">
        <v>154</v>
      </c>
      <c r="M45" s="17" t="s">
        <v>154</v>
      </c>
      <c r="N45" s="18" t="s">
        <v>154</v>
      </c>
      <c r="O45" s="17" t="s">
        <v>154</v>
      </c>
      <c r="P45" s="18" t="s">
        <v>154</v>
      </c>
      <c r="Q45" s="17" t="s">
        <v>154</v>
      </c>
      <c r="R45" s="18" t="s">
        <v>154</v>
      </c>
    </row>
    <row r="46" spans="1:18" x14ac:dyDescent="0.25">
      <c r="A46" s="11" t="s">
        <v>179</v>
      </c>
      <c r="B46" s="13">
        <v>23141</v>
      </c>
      <c r="C46" s="14">
        <f>(19884/B46*100)</f>
        <v>85.925413767771488</v>
      </c>
      <c r="D46" s="15">
        <v>3257</v>
      </c>
      <c r="E46" s="14">
        <v>0</v>
      </c>
      <c r="F46" s="16">
        <v>0</v>
      </c>
      <c r="G46" s="14">
        <v>0</v>
      </c>
      <c r="H46" s="16">
        <v>0</v>
      </c>
      <c r="I46" s="14" t="s">
        <v>139</v>
      </c>
      <c r="J46" s="16" t="s">
        <v>139</v>
      </c>
      <c r="K46" s="14">
        <v>0</v>
      </c>
      <c r="L46" s="16">
        <v>0</v>
      </c>
      <c r="M46" s="14">
        <v>100</v>
      </c>
      <c r="N46" s="16">
        <v>0</v>
      </c>
      <c r="O46" s="14">
        <v>0</v>
      </c>
      <c r="P46" s="16">
        <v>0</v>
      </c>
      <c r="Q46" s="14">
        <v>0</v>
      </c>
      <c r="R46" s="16">
        <v>0</v>
      </c>
    </row>
    <row r="47" spans="1:18" x14ac:dyDescent="0.25">
      <c r="A47" s="11" t="s">
        <v>180</v>
      </c>
      <c r="B47" s="13">
        <v>5928</v>
      </c>
      <c r="C47" s="14">
        <f>(4936/B47*100)</f>
        <v>83.265856950067473</v>
      </c>
      <c r="D47" s="15">
        <v>992</v>
      </c>
      <c r="E47" s="14">
        <v>0</v>
      </c>
      <c r="F47" s="16">
        <v>0</v>
      </c>
      <c r="G47" s="14">
        <v>0</v>
      </c>
      <c r="H47" s="16">
        <v>0</v>
      </c>
      <c r="I47" s="14" t="s">
        <v>139</v>
      </c>
      <c r="J47" s="16" t="s">
        <v>139</v>
      </c>
      <c r="K47" s="14">
        <v>0</v>
      </c>
      <c r="L47" s="16">
        <v>0</v>
      </c>
      <c r="M47" s="14">
        <v>100</v>
      </c>
      <c r="N47" s="16">
        <v>0</v>
      </c>
      <c r="O47" s="14">
        <v>0</v>
      </c>
      <c r="P47" s="16">
        <v>0</v>
      </c>
      <c r="Q47" s="14">
        <v>0</v>
      </c>
      <c r="R47" s="16">
        <v>0</v>
      </c>
    </row>
    <row r="48" spans="1:18" x14ac:dyDescent="0.25">
      <c r="A48" s="11" t="s">
        <v>181</v>
      </c>
      <c r="B48" s="13">
        <v>9841</v>
      </c>
      <c r="C48" s="14">
        <f>(8151/B48*100)</f>
        <v>82.826948480845445</v>
      </c>
      <c r="D48" s="15">
        <v>1690</v>
      </c>
      <c r="E48" s="14">
        <v>0</v>
      </c>
      <c r="F48" s="16">
        <v>0</v>
      </c>
      <c r="G48" s="14">
        <v>0</v>
      </c>
      <c r="H48" s="16">
        <v>0</v>
      </c>
      <c r="I48" s="14" t="s">
        <v>139</v>
      </c>
      <c r="J48" s="16" t="s">
        <v>139</v>
      </c>
      <c r="K48" s="14">
        <v>0</v>
      </c>
      <c r="L48" s="16">
        <v>0</v>
      </c>
      <c r="M48" s="14">
        <v>100</v>
      </c>
      <c r="N48" s="16">
        <v>0</v>
      </c>
      <c r="O48" s="14">
        <v>0</v>
      </c>
      <c r="P48" s="16">
        <v>0</v>
      </c>
      <c r="Q48" s="14">
        <v>0</v>
      </c>
      <c r="R48" s="16">
        <v>0</v>
      </c>
    </row>
    <row r="49" spans="1:18" x14ac:dyDescent="0.25">
      <c r="A49" s="11" t="s">
        <v>182</v>
      </c>
      <c r="B49" s="17" t="s">
        <v>154</v>
      </c>
      <c r="C49" s="17" t="s">
        <v>154</v>
      </c>
      <c r="D49" s="18" t="s">
        <v>154</v>
      </c>
      <c r="E49" s="17" t="s">
        <v>154</v>
      </c>
      <c r="F49" s="18" t="s">
        <v>154</v>
      </c>
      <c r="G49" s="17" t="s">
        <v>154</v>
      </c>
      <c r="H49" s="18" t="s">
        <v>154</v>
      </c>
      <c r="I49" s="17" t="s">
        <v>154</v>
      </c>
      <c r="J49" s="18" t="s">
        <v>154</v>
      </c>
      <c r="K49" s="17" t="s">
        <v>154</v>
      </c>
      <c r="L49" s="18" t="s">
        <v>154</v>
      </c>
      <c r="M49" s="17" t="s">
        <v>154</v>
      </c>
      <c r="N49" s="18" t="s">
        <v>154</v>
      </c>
      <c r="O49" s="17" t="s">
        <v>154</v>
      </c>
      <c r="P49" s="18" t="s">
        <v>154</v>
      </c>
      <c r="Q49" s="17" t="s">
        <v>154</v>
      </c>
      <c r="R49" s="18" t="s">
        <v>154</v>
      </c>
    </row>
    <row r="50" spans="1:18" x14ac:dyDescent="0.25">
      <c r="A50" s="11" t="s">
        <v>183</v>
      </c>
      <c r="B50" s="13">
        <v>11795</v>
      </c>
      <c r="C50" s="14">
        <f>(9826/B50*100)</f>
        <v>83.306485799067403</v>
      </c>
      <c r="D50" s="15">
        <v>1969</v>
      </c>
      <c r="E50" s="14">
        <v>0</v>
      </c>
      <c r="F50" s="16">
        <v>0</v>
      </c>
      <c r="G50" s="14">
        <v>0</v>
      </c>
      <c r="H50" s="16">
        <v>0</v>
      </c>
      <c r="I50" s="14" t="s">
        <v>139</v>
      </c>
      <c r="J50" s="16" t="s">
        <v>139</v>
      </c>
      <c r="K50" s="14">
        <v>0</v>
      </c>
      <c r="L50" s="16">
        <v>0</v>
      </c>
      <c r="M50" s="14">
        <v>100</v>
      </c>
      <c r="N50" s="16">
        <v>0</v>
      </c>
      <c r="O50" s="14">
        <v>0</v>
      </c>
      <c r="P50" s="16">
        <v>0</v>
      </c>
      <c r="Q50" s="14">
        <v>0</v>
      </c>
      <c r="R50" s="16">
        <v>0</v>
      </c>
    </row>
    <row r="51" spans="1:18" x14ac:dyDescent="0.25">
      <c r="A51" s="11" t="s">
        <v>184</v>
      </c>
      <c r="B51" s="13">
        <v>6866</v>
      </c>
      <c r="C51" s="14">
        <f>(5858/B51*100)</f>
        <v>85.318963006117102</v>
      </c>
      <c r="D51" s="15">
        <v>1008</v>
      </c>
      <c r="E51" s="14">
        <v>0</v>
      </c>
      <c r="F51" s="16">
        <v>0</v>
      </c>
      <c r="G51" s="14">
        <v>0</v>
      </c>
      <c r="H51" s="16">
        <v>0</v>
      </c>
      <c r="I51" s="14" t="s">
        <v>139</v>
      </c>
      <c r="J51" s="16" t="s">
        <v>139</v>
      </c>
      <c r="K51" s="14">
        <v>0</v>
      </c>
      <c r="L51" s="16">
        <v>0</v>
      </c>
      <c r="M51" s="14">
        <v>100</v>
      </c>
      <c r="N51" s="16">
        <v>0</v>
      </c>
      <c r="O51" s="14">
        <v>0</v>
      </c>
      <c r="P51" s="16">
        <v>0</v>
      </c>
      <c r="Q51" s="14">
        <v>0</v>
      </c>
      <c r="R51" s="16">
        <v>0</v>
      </c>
    </row>
    <row r="52" spans="1:18" x14ac:dyDescent="0.25">
      <c r="A52" s="11" t="s">
        <v>185</v>
      </c>
      <c r="B52" s="13">
        <v>5809</v>
      </c>
      <c r="C52" s="14">
        <f>(4804/B52*100)</f>
        <v>82.699259769323461</v>
      </c>
      <c r="D52" s="15">
        <v>1005</v>
      </c>
      <c r="E52" s="14">
        <v>0</v>
      </c>
      <c r="F52" s="16">
        <v>0</v>
      </c>
      <c r="G52" s="14">
        <v>0</v>
      </c>
      <c r="H52" s="16">
        <v>0</v>
      </c>
      <c r="I52" s="14" t="s">
        <v>139</v>
      </c>
      <c r="J52" s="16" t="s">
        <v>139</v>
      </c>
      <c r="K52" s="14">
        <v>0</v>
      </c>
      <c r="L52" s="16">
        <v>0</v>
      </c>
      <c r="M52" s="14">
        <v>100</v>
      </c>
      <c r="N52" s="16">
        <v>0</v>
      </c>
      <c r="O52" s="14">
        <v>0</v>
      </c>
      <c r="P52" s="16">
        <v>0</v>
      </c>
      <c r="Q52" s="14">
        <v>0</v>
      </c>
      <c r="R52" s="16">
        <v>0</v>
      </c>
    </row>
    <row r="53" spans="1:18" x14ac:dyDescent="0.25">
      <c r="A53" s="11" t="s">
        <v>186</v>
      </c>
      <c r="B53" s="13">
        <v>5571</v>
      </c>
      <c r="C53" s="14">
        <f>(4611/B53*100)</f>
        <v>82.767905223478735</v>
      </c>
      <c r="D53" s="15">
        <v>960</v>
      </c>
      <c r="E53" s="14">
        <v>0</v>
      </c>
      <c r="F53" s="16">
        <v>0</v>
      </c>
      <c r="G53" s="14">
        <v>0</v>
      </c>
      <c r="H53" s="16">
        <v>0</v>
      </c>
      <c r="I53" s="14" t="s">
        <v>139</v>
      </c>
      <c r="J53" s="16" t="s">
        <v>139</v>
      </c>
      <c r="K53" s="14">
        <v>0</v>
      </c>
      <c r="L53" s="16">
        <v>0</v>
      </c>
      <c r="M53" s="14">
        <v>100</v>
      </c>
      <c r="N53" s="16">
        <v>0</v>
      </c>
      <c r="O53" s="14">
        <v>0</v>
      </c>
      <c r="P53" s="16">
        <v>0</v>
      </c>
      <c r="Q53" s="14">
        <v>0</v>
      </c>
      <c r="R53" s="16">
        <v>0</v>
      </c>
    </row>
    <row r="54" spans="1:18" x14ac:dyDescent="0.25">
      <c r="A54" s="11" t="s">
        <v>187</v>
      </c>
      <c r="B54" s="17" t="s">
        <v>154</v>
      </c>
      <c r="C54" s="17" t="s">
        <v>154</v>
      </c>
      <c r="D54" s="18" t="s">
        <v>154</v>
      </c>
      <c r="E54" s="17" t="s">
        <v>154</v>
      </c>
      <c r="F54" s="18" t="s">
        <v>154</v>
      </c>
      <c r="G54" s="17" t="s">
        <v>154</v>
      </c>
      <c r="H54" s="18" t="s">
        <v>154</v>
      </c>
      <c r="I54" s="17" t="s">
        <v>154</v>
      </c>
      <c r="J54" s="18" t="s">
        <v>154</v>
      </c>
      <c r="K54" s="17" t="s">
        <v>154</v>
      </c>
      <c r="L54" s="18" t="s">
        <v>154</v>
      </c>
      <c r="M54" s="17" t="s">
        <v>154</v>
      </c>
      <c r="N54" s="18" t="s">
        <v>154</v>
      </c>
      <c r="O54" s="17" t="s">
        <v>154</v>
      </c>
      <c r="P54" s="18" t="s">
        <v>154</v>
      </c>
      <c r="Q54" s="17" t="s">
        <v>154</v>
      </c>
      <c r="R54" s="18" t="s">
        <v>154</v>
      </c>
    </row>
    <row r="55" spans="1:18" x14ac:dyDescent="0.25">
      <c r="A55" s="11" t="s">
        <v>188</v>
      </c>
      <c r="B55" s="17" t="s">
        <v>154</v>
      </c>
      <c r="C55" s="17" t="s">
        <v>154</v>
      </c>
      <c r="D55" s="18" t="s">
        <v>154</v>
      </c>
      <c r="E55" s="17" t="s">
        <v>154</v>
      </c>
      <c r="F55" s="18" t="s">
        <v>154</v>
      </c>
      <c r="G55" s="17" t="s">
        <v>154</v>
      </c>
      <c r="H55" s="18" t="s">
        <v>154</v>
      </c>
      <c r="I55" s="17" t="s">
        <v>154</v>
      </c>
      <c r="J55" s="18" t="s">
        <v>154</v>
      </c>
      <c r="K55" s="17" t="s">
        <v>154</v>
      </c>
      <c r="L55" s="18" t="s">
        <v>154</v>
      </c>
      <c r="M55" s="17" t="s">
        <v>154</v>
      </c>
      <c r="N55" s="18" t="s">
        <v>154</v>
      </c>
      <c r="O55" s="17" t="s">
        <v>154</v>
      </c>
      <c r="P55" s="18" t="s">
        <v>154</v>
      </c>
      <c r="Q55" s="17" t="s">
        <v>154</v>
      </c>
      <c r="R55" s="18" t="s">
        <v>154</v>
      </c>
    </row>
    <row r="56" spans="1:18" x14ac:dyDescent="0.25">
      <c r="A56" s="11" t="s">
        <v>189</v>
      </c>
      <c r="B56" s="13">
        <v>5359</v>
      </c>
      <c r="C56" s="14">
        <f>(4445/B56*100)</f>
        <v>82.944579212539651</v>
      </c>
      <c r="D56" s="15">
        <v>914</v>
      </c>
      <c r="E56" s="14">
        <v>0</v>
      </c>
      <c r="F56" s="16">
        <v>0</v>
      </c>
      <c r="G56" s="14">
        <v>0</v>
      </c>
      <c r="H56" s="16">
        <v>0</v>
      </c>
      <c r="I56" s="14" t="s">
        <v>139</v>
      </c>
      <c r="J56" s="16" t="s">
        <v>139</v>
      </c>
      <c r="K56" s="14">
        <v>0</v>
      </c>
      <c r="L56" s="16">
        <v>0</v>
      </c>
      <c r="M56" s="14">
        <v>100</v>
      </c>
      <c r="N56" s="16">
        <v>0</v>
      </c>
      <c r="O56" s="14">
        <v>0</v>
      </c>
      <c r="P56" s="16">
        <v>0</v>
      </c>
      <c r="Q56" s="14">
        <v>0</v>
      </c>
      <c r="R56" s="16">
        <v>0</v>
      </c>
    </row>
    <row r="57" spans="1:18" x14ac:dyDescent="0.25">
      <c r="A57" s="11" t="s">
        <v>190</v>
      </c>
      <c r="B57" s="17" t="s">
        <v>154</v>
      </c>
      <c r="C57" s="17" t="s">
        <v>154</v>
      </c>
      <c r="D57" s="18" t="s">
        <v>154</v>
      </c>
      <c r="E57" s="17" t="s">
        <v>154</v>
      </c>
      <c r="F57" s="18" t="s">
        <v>154</v>
      </c>
      <c r="G57" s="17" t="s">
        <v>154</v>
      </c>
      <c r="H57" s="18" t="s">
        <v>154</v>
      </c>
      <c r="I57" s="17" t="s">
        <v>154</v>
      </c>
      <c r="J57" s="18" t="s">
        <v>154</v>
      </c>
      <c r="K57" s="17" t="s">
        <v>154</v>
      </c>
      <c r="L57" s="18" t="s">
        <v>154</v>
      </c>
      <c r="M57" s="17" t="s">
        <v>154</v>
      </c>
      <c r="N57" s="18" t="s">
        <v>154</v>
      </c>
      <c r="O57" s="17" t="s">
        <v>154</v>
      </c>
      <c r="P57" s="18" t="s">
        <v>154</v>
      </c>
      <c r="Q57" s="17" t="s">
        <v>154</v>
      </c>
      <c r="R57" s="18" t="s">
        <v>154</v>
      </c>
    </row>
    <row r="58" spans="1:18" x14ac:dyDescent="0.25">
      <c r="A58" s="11" t="s">
        <v>191</v>
      </c>
      <c r="B58" s="17" t="s">
        <v>154</v>
      </c>
      <c r="C58" s="17" t="s">
        <v>154</v>
      </c>
      <c r="D58" s="18" t="s">
        <v>154</v>
      </c>
      <c r="E58" s="17" t="s">
        <v>154</v>
      </c>
      <c r="F58" s="18" t="s">
        <v>154</v>
      </c>
      <c r="G58" s="17" t="s">
        <v>154</v>
      </c>
      <c r="H58" s="18" t="s">
        <v>154</v>
      </c>
      <c r="I58" s="17" t="s">
        <v>154</v>
      </c>
      <c r="J58" s="18" t="s">
        <v>154</v>
      </c>
      <c r="K58" s="17" t="s">
        <v>154</v>
      </c>
      <c r="L58" s="18" t="s">
        <v>154</v>
      </c>
      <c r="M58" s="17" t="s">
        <v>154</v>
      </c>
      <c r="N58" s="18" t="s">
        <v>154</v>
      </c>
      <c r="O58" s="17" t="s">
        <v>154</v>
      </c>
      <c r="P58" s="18" t="s">
        <v>154</v>
      </c>
      <c r="Q58" s="17" t="s">
        <v>154</v>
      </c>
      <c r="R58" s="18" t="s">
        <v>154</v>
      </c>
    </row>
    <row r="59" spans="1:18" x14ac:dyDescent="0.25">
      <c r="A59" s="11" t="s">
        <v>192</v>
      </c>
      <c r="B59" s="17" t="s">
        <v>154</v>
      </c>
      <c r="C59" s="17" t="s">
        <v>154</v>
      </c>
      <c r="D59" s="18" t="s">
        <v>154</v>
      </c>
      <c r="E59" s="17" t="s">
        <v>154</v>
      </c>
      <c r="F59" s="18" t="s">
        <v>154</v>
      </c>
      <c r="G59" s="17" t="s">
        <v>154</v>
      </c>
      <c r="H59" s="18" t="s">
        <v>154</v>
      </c>
      <c r="I59" s="17" t="s">
        <v>154</v>
      </c>
      <c r="J59" s="18" t="s">
        <v>154</v>
      </c>
      <c r="K59" s="17" t="s">
        <v>154</v>
      </c>
      <c r="L59" s="18" t="s">
        <v>154</v>
      </c>
      <c r="M59" s="17" t="s">
        <v>154</v>
      </c>
      <c r="N59" s="18" t="s">
        <v>154</v>
      </c>
      <c r="O59" s="17" t="s">
        <v>154</v>
      </c>
      <c r="P59" s="18" t="s">
        <v>154</v>
      </c>
      <c r="Q59" s="17" t="s">
        <v>154</v>
      </c>
      <c r="R59" s="18" t="s">
        <v>154</v>
      </c>
    </row>
    <row r="60" spans="1:18" x14ac:dyDescent="0.25">
      <c r="A60" s="11" t="s">
        <v>193</v>
      </c>
      <c r="B60" s="17" t="s">
        <v>154</v>
      </c>
      <c r="C60" s="17" t="s">
        <v>154</v>
      </c>
      <c r="D60" s="18" t="s">
        <v>154</v>
      </c>
      <c r="E60" s="17" t="s">
        <v>154</v>
      </c>
      <c r="F60" s="18" t="s">
        <v>154</v>
      </c>
      <c r="G60" s="17" t="s">
        <v>154</v>
      </c>
      <c r="H60" s="18" t="s">
        <v>154</v>
      </c>
      <c r="I60" s="17" t="s">
        <v>154</v>
      </c>
      <c r="J60" s="18" t="s">
        <v>154</v>
      </c>
      <c r="K60" s="17" t="s">
        <v>154</v>
      </c>
      <c r="L60" s="18" t="s">
        <v>154</v>
      </c>
      <c r="M60" s="17" t="s">
        <v>154</v>
      </c>
      <c r="N60" s="18" t="s">
        <v>154</v>
      </c>
      <c r="O60" s="17" t="s">
        <v>154</v>
      </c>
      <c r="P60" s="18" t="s">
        <v>154</v>
      </c>
      <c r="Q60" s="17" t="s">
        <v>154</v>
      </c>
      <c r="R60" s="18" t="s">
        <v>154</v>
      </c>
    </row>
    <row r="61" spans="1:18" x14ac:dyDescent="0.25">
      <c r="A61" s="11" t="s">
        <v>194</v>
      </c>
      <c r="B61" s="13">
        <v>6525</v>
      </c>
      <c r="C61" s="14">
        <f>(5391/B61*100)</f>
        <v>82.620689655172413</v>
      </c>
      <c r="D61" s="15">
        <v>1134</v>
      </c>
      <c r="E61" s="14">
        <v>0</v>
      </c>
      <c r="F61" s="16">
        <v>0</v>
      </c>
      <c r="G61" s="14">
        <v>0</v>
      </c>
      <c r="H61" s="16">
        <v>0</v>
      </c>
      <c r="I61" s="14" t="s">
        <v>139</v>
      </c>
      <c r="J61" s="16" t="s">
        <v>139</v>
      </c>
      <c r="K61" s="14">
        <v>0</v>
      </c>
      <c r="L61" s="16">
        <v>0</v>
      </c>
      <c r="M61" s="14">
        <v>100</v>
      </c>
      <c r="N61" s="16">
        <v>0</v>
      </c>
      <c r="O61" s="14">
        <v>0</v>
      </c>
      <c r="P61" s="16">
        <v>0</v>
      </c>
      <c r="Q61" s="14">
        <v>0</v>
      </c>
      <c r="R61" s="16">
        <v>0</v>
      </c>
    </row>
    <row r="62" spans="1:18" x14ac:dyDescent="0.25">
      <c r="A62" s="11" t="s">
        <v>195</v>
      </c>
      <c r="B62" s="13">
        <v>4476</v>
      </c>
      <c r="C62" s="14">
        <f>(3694/B62*100)</f>
        <v>82.529043789097415</v>
      </c>
      <c r="D62" s="15">
        <v>782</v>
      </c>
      <c r="E62" s="14">
        <v>0</v>
      </c>
      <c r="F62" s="16">
        <v>0</v>
      </c>
      <c r="G62" s="14">
        <v>0</v>
      </c>
      <c r="H62" s="16">
        <v>0</v>
      </c>
      <c r="I62" s="14" t="s">
        <v>139</v>
      </c>
      <c r="J62" s="16" t="s">
        <v>139</v>
      </c>
      <c r="K62" s="14">
        <v>0</v>
      </c>
      <c r="L62" s="16">
        <v>0</v>
      </c>
      <c r="M62" s="14">
        <v>100</v>
      </c>
      <c r="N62" s="16">
        <v>0</v>
      </c>
      <c r="O62" s="14">
        <v>0</v>
      </c>
      <c r="P62" s="16">
        <v>0</v>
      </c>
      <c r="Q62" s="14">
        <v>0</v>
      </c>
      <c r="R62" s="16">
        <v>0</v>
      </c>
    </row>
    <row r="63" spans="1:18" x14ac:dyDescent="0.25">
      <c r="A63" s="11" t="s">
        <v>196</v>
      </c>
      <c r="B63" s="17" t="s">
        <v>154</v>
      </c>
      <c r="C63" s="17" t="s">
        <v>154</v>
      </c>
      <c r="D63" s="18" t="s">
        <v>154</v>
      </c>
      <c r="E63" s="17" t="s">
        <v>154</v>
      </c>
      <c r="F63" s="18" t="s">
        <v>154</v>
      </c>
      <c r="G63" s="17" t="s">
        <v>154</v>
      </c>
      <c r="H63" s="18" t="s">
        <v>154</v>
      </c>
      <c r="I63" s="17" t="s">
        <v>154</v>
      </c>
      <c r="J63" s="18" t="s">
        <v>154</v>
      </c>
      <c r="K63" s="17" t="s">
        <v>154</v>
      </c>
      <c r="L63" s="18" t="s">
        <v>154</v>
      </c>
      <c r="M63" s="17" t="s">
        <v>154</v>
      </c>
      <c r="N63" s="18" t="s">
        <v>154</v>
      </c>
      <c r="O63" s="17" t="s">
        <v>154</v>
      </c>
      <c r="P63" s="18" t="s">
        <v>154</v>
      </c>
      <c r="Q63" s="17" t="s">
        <v>154</v>
      </c>
      <c r="R63" s="18" t="s">
        <v>154</v>
      </c>
    </row>
    <row r="64" spans="1:18" x14ac:dyDescent="0.25">
      <c r="A64" s="11" t="s">
        <v>197</v>
      </c>
      <c r="B64" s="17" t="s">
        <v>154</v>
      </c>
      <c r="C64" s="17" t="s">
        <v>154</v>
      </c>
      <c r="D64" s="18" t="s">
        <v>154</v>
      </c>
      <c r="E64" s="17" t="s">
        <v>154</v>
      </c>
      <c r="F64" s="18" t="s">
        <v>154</v>
      </c>
      <c r="G64" s="17" t="s">
        <v>154</v>
      </c>
      <c r="H64" s="18" t="s">
        <v>154</v>
      </c>
      <c r="I64" s="17" t="s">
        <v>154</v>
      </c>
      <c r="J64" s="18" t="s">
        <v>154</v>
      </c>
      <c r="K64" s="17" t="s">
        <v>154</v>
      </c>
      <c r="L64" s="18" t="s">
        <v>154</v>
      </c>
      <c r="M64" s="17" t="s">
        <v>154</v>
      </c>
      <c r="N64" s="18" t="s">
        <v>154</v>
      </c>
      <c r="O64" s="17" t="s">
        <v>154</v>
      </c>
      <c r="P64" s="18" t="s">
        <v>154</v>
      </c>
      <c r="Q64" s="17" t="s">
        <v>154</v>
      </c>
      <c r="R64" s="18" t="s">
        <v>154</v>
      </c>
    </row>
    <row r="65" spans="1:18" x14ac:dyDescent="0.25">
      <c r="A65" s="11" t="s">
        <v>198</v>
      </c>
      <c r="B65" s="17" t="s">
        <v>154</v>
      </c>
      <c r="C65" s="17" t="s">
        <v>154</v>
      </c>
      <c r="D65" s="18" t="s">
        <v>154</v>
      </c>
      <c r="E65" s="17" t="s">
        <v>154</v>
      </c>
      <c r="F65" s="18" t="s">
        <v>154</v>
      </c>
      <c r="G65" s="17" t="s">
        <v>154</v>
      </c>
      <c r="H65" s="18" t="s">
        <v>154</v>
      </c>
      <c r="I65" s="17" t="s">
        <v>154</v>
      </c>
      <c r="J65" s="18" t="s">
        <v>154</v>
      </c>
      <c r="K65" s="17" t="s">
        <v>154</v>
      </c>
      <c r="L65" s="18" t="s">
        <v>154</v>
      </c>
      <c r="M65" s="17" t="s">
        <v>154</v>
      </c>
      <c r="N65" s="18" t="s">
        <v>154</v>
      </c>
      <c r="O65" s="17" t="s">
        <v>154</v>
      </c>
      <c r="P65" s="18" t="s">
        <v>154</v>
      </c>
      <c r="Q65" s="17" t="s">
        <v>154</v>
      </c>
      <c r="R65" s="18" t="s">
        <v>154</v>
      </c>
    </row>
    <row r="66" spans="1:18" x14ac:dyDescent="0.25">
      <c r="A66" s="11" t="s">
        <v>199</v>
      </c>
      <c r="B66" s="13">
        <v>5665</v>
      </c>
      <c r="C66" s="14">
        <f>(4708/B66*100)</f>
        <v>83.106796116504853</v>
      </c>
      <c r="D66" s="15">
        <v>957</v>
      </c>
      <c r="E66" s="14">
        <v>0</v>
      </c>
      <c r="F66" s="16">
        <v>0</v>
      </c>
      <c r="G66" s="14">
        <v>0</v>
      </c>
      <c r="H66" s="16">
        <v>0</v>
      </c>
      <c r="I66" s="14" t="s">
        <v>139</v>
      </c>
      <c r="J66" s="16" t="s">
        <v>139</v>
      </c>
      <c r="K66" s="14">
        <v>0</v>
      </c>
      <c r="L66" s="16">
        <v>0</v>
      </c>
      <c r="M66" s="14">
        <v>100</v>
      </c>
      <c r="N66" s="16">
        <v>0</v>
      </c>
      <c r="O66" s="14">
        <v>0</v>
      </c>
      <c r="P66" s="16">
        <v>0</v>
      </c>
      <c r="Q66" s="14">
        <v>0</v>
      </c>
      <c r="R66" s="16">
        <v>0</v>
      </c>
    </row>
    <row r="67" spans="1:18" x14ac:dyDescent="0.25">
      <c r="A67" s="11" t="s">
        <v>200</v>
      </c>
      <c r="B67" s="13">
        <v>6971</v>
      </c>
      <c r="C67" s="14">
        <f>(5881/B67*100)</f>
        <v>84.363792856118209</v>
      </c>
      <c r="D67" s="15">
        <v>1090</v>
      </c>
      <c r="E67" s="14">
        <v>0</v>
      </c>
      <c r="F67" s="16">
        <v>0</v>
      </c>
      <c r="G67" s="14">
        <v>0</v>
      </c>
      <c r="H67" s="16">
        <v>0</v>
      </c>
      <c r="I67" s="14" t="s">
        <v>139</v>
      </c>
      <c r="J67" s="16" t="s">
        <v>139</v>
      </c>
      <c r="K67" s="14">
        <v>0</v>
      </c>
      <c r="L67" s="16">
        <v>0</v>
      </c>
      <c r="M67" s="14">
        <v>100</v>
      </c>
      <c r="N67" s="16">
        <v>0</v>
      </c>
      <c r="O67" s="14">
        <v>0</v>
      </c>
      <c r="P67" s="16">
        <v>0</v>
      </c>
      <c r="Q67" s="14">
        <v>0</v>
      </c>
      <c r="R67" s="16">
        <v>0</v>
      </c>
    </row>
    <row r="68" spans="1:18" x14ac:dyDescent="0.25">
      <c r="A68" s="11" t="s">
        <v>201</v>
      </c>
      <c r="B68" s="17" t="s">
        <v>154</v>
      </c>
      <c r="C68" s="17" t="s">
        <v>154</v>
      </c>
      <c r="D68" s="18" t="s">
        <v>154</v>
      </c>
      <c r="E68" s="17" t="s">
        <v>154</v>
      </c>
      <c r="F68" s="18" t="s">
        <v>154</v>
      </c>
      <c r="G68" s="17" t="s">
        <v>154</v>
      </c>
      <c r="H68" s="18" t="s">
        <v>154</v>
      </c>
      <c r="I68" s="17" t="s">
        <v>154</v>
      </c>
      <c r="J68" s="18" t="s">
        <v>154</v>
      </c>
      <c r="K68" s="17" t="s">
        <v>154</v>
      </c>
      <c r="L68" s="18" t="s">
        <v>154</v>
      </c>
      <c r="M68" s="17" t="s">
        <v>154</v>
      </c>
      <c r="N68" s="18" t="s">
        <v>154</v>
      </c>
      <c r="O68" s="17" t="s">
        <v>154</v>
      </c>
      <c r="P68" s="18" t="s">
        <v>154</v>
      </c>
      <c r="Q68" s="17" t="s">
        <v>154</v>
      </c>
      <c r="R68" s="18" t="s">
        <v>154</v>
      </c>
    </row>
    <row r="69" spans="1:18" x14ac:dyDescent="0.25">
      <c r="A69" s="11" t="s">
        <v>202</v>
      </c>
      <c r="B69" s="17" t="s">
        <v>154</v>
      </c>
      <c r="C69" s="17" t="s">
        <v>154</v>
      </c>
      <c r="D69" s="18" t="s">
        <v>154</v>
      </c>
      <c r="E69" s="17" t="s">
        <v>154</v>
      </c>
      <c r="F69" s="18" t="s">
        <v>154</v>
      </c>
      <c r="G69" s="17" t="s">
        <v>154</v>
      </c>
      <c r="H69" s="18" t="s">
        <v>154</v>
      </c>
      <c r="I69" s="17" t="s">
        <v>154</v>
      </c>
      <c r="J69" s="18" t="s">
        <v>154</v>
      </c>
      <c r="K69" s="17" t="s">
        <v>154</v>
      </c>
      <c r="L69" s="18" t="s">
        <v>154</v>
      </c>
      <c r="M69" s="17" t="s">
        <v>154</v>
      </c>
      <c r="N69" s="18" t="s">
        <v>154</v>
      </c>
      <c r="O69" s="17" t="s">
        <v>154</v>
      </c>
      <c r="P69" s="18" t="s">
        <v>154</v>
      </c>
      <c r="Q69" s="17" t="s">
        <v>154</v>
      </c>
      <c r="R69" s="18" t="s">
        <v>154</v>
      </c>
    </row>
    <row r="70" spans="1:18" x14ac:dyDescent="0.25">
      <c r="A70" s="11" t="s">
        <v>203</v>
      </c>
      <c r="B70" s="13">
        <v>6036</v>
      </c>
      <c r="C70" s="14">
        <f>(5013/B70*100)</f>
        <v>83.051689860834983</v>
      </c>
      <c r="D70" s="15">
        <v>1023</v>
      </c>
      <c r="E70" s="14">
        <v>0</v>
      </c>
      <c r="F70" s="16">
        <v>0</v>
      </c>
      <c r="G70" s="14">
        <v>0</v>
      </c>
      <c r="H70" s="16">
        <v>0</v>
      </c>
      <c r="I70" s="14" t="s">
        <v>139</v>
      </c>
      <c r="J70" s="16" t="s">
        <v>139</v>
      </c>
      <c r="K70" s="14">
        <v>0</v>
      </c>
      <c r="L70" s="16">
        <v>0</v>
      </c>
      <c r="M70" s="14">
        <v>100</v>
      </c>
      <c r="N70" s="16">
        <v>0</v>
      </c>
      <c r="O70" s="14">
        <v>0</v>
      </c>
      <c r="P70" s="16">
        <v>0</v>
      </c>
      <c r="Q70" s="14">
        <v>0</v>
      </c>
      <c r="R70" s="16">
        <v>0</v>
      </c>
    </row>
    <row r="71" spans="1:18" x14ac:dyDescent="0.25">
      <c r="A71" s="11" t="s">
        <v>204</v>
      </c>
      <c r="B71" s="17" t="s">
        <v>154</v>
      </c>
      <c r="C71" s="17" t="s">
        <v>154</v>
      </c>
      <c r="D71" s="18" t="s">
        <v>154</v>
      </c>
      <c r="E71" s="17" t="s">
        <v>154</v>
      </c>
      <c r="F71" s="18" t="s">
        <v>154</v>
      </c>
      <c r="G71" s="17" t="s">
        <v>154</v>
      </c>
      <c r="H71" s="18" t="s">
        <v>154</v>
      </c>
      <c r="I71" s="17" t="s">
        <v>154</v>
      </c>
      <c r="J71" s="18" t="s">
        <v>154</v>
      </c>
      <c r="K71" s="17" t="s">
        <v>154</v>
      </c>
      <c r="L71" s="18" t="s">
        <v>154</v>
      </c>
      <c r="M71" s="17" t="s">
        <v>154</v>
      </c>
      <c r="N71" s="18" t="s">
        <v>154</v>
      </c>
      <c r="O71" s="17" t="s">
        <v>154</v>
      </c>
      <c r="P71" s="18" t="s">
        <v>154</v>
      </c>
      <c r="Q71" s="17" t="s">
        <v>154</v>
      </c>
      <c r="R71" s="18" t="s">
        <v>154</v>
      </c>
    </row>
    <row r="72" spans="1:18" x14ac:dyDescent="0.25">
      <c r="A72" s="11" t="s">
        <v>205</v>
      </c>
      <c r="B72" s="13">
        <v>7708</v>
      </c>
      <c r="C72" s="14">
        <f>(6390/B72*100)</f>
        <v>82.900882200311372</v>
      </c>
      <c r="D72" s="15">
        <v>1318</v>
      </c>
      <c r="E72" s="14">
        <v>0</v>
      </c>
      <c r="F72" s="16">
        <v>0</v>
      </c>
      <c r="G72" s="14">
        <v>0</v>
      </c>
      <c r="H72" s="16">
        <v>0</v>
      </c>
      <c r="I72" s="14" t="s">
        <v>139</v>
      </c>
      <c r="J72" s="16" t="s">
        <v>139</v>
      </c>
      <c r="K72" s="14">
        <v>0</v>
      </c>
      <c r="L72" s="16">
        <v>0</v>
      </c>
      <c r="M72" s="14">
        <v>100</v>
      </c>
      <c r="N72" s="16">
        <v>0</v>
      </c>
      <c r="O72" s="14">
        <v>0</v>
      </c>
      <c r="P72" s="16">
        <v>0</v>
      </c>
      <c r="Q72" s="14">
        <v>0</v>
      </c>
      <c r="R72" s="16">
        <v>0</v>
      </c>
    </row>
    <row r="73" spans="1:18" x14ac:dyDescent="0.25">
      <c r="A73" s="11" t="s">
        <v>206</v>
      </c>
      <c r="B73" s="13">
        <v>8249</v>
      </c>
      <c r="C73" s="14">
        <f>(6898/B73*100)</f>
        <v>83.622257243302229</v>
      </c>
      <c r="D73" s="15">
        <v>1351</v>
      </c>
      <c r="E73" s="14">
        <v>0</v>
      </c>
      <c r="F73" s="16">
        <v>0</v>
      </c>
      <c r="G73" s="14">
        <v>0</v>
      </c>
      <c r="H73" s="16">
        <v>0</v>
      </c>
      <c r="I73" s="14" t="s">
        <v>139</v>
      </c>
      <c r="J73" s="16" t="s">
        <v>139</v>
      </c>
      <c r="K73" s="14">
        <v>0</v>
      </c>
      <c r="L73" s="16">
        <v>0</v>
      </c>
      <c r="M73" s="14">
        <v>100</v>
      </c>
      <c r="N73" s="16">
        <v>0</v>
      </c>
      <c r="O73" s="14">
        <v>0</v>
      </c>
      <c r="P73" s="16">
        <v>0</v>
      </c>
      <c r="Q73" s="14">
        <v>0</v>
      </c>
      <c r="R73" s="16">
        <v>0</v>
      </c>
    </row>
    <row r="74" spans="1:18" x14ac:dyDescent="0.25">
      <c r="A74" s="11" t="s">
        <v>207</v>
      </c>
      <c r="B74" s="17" t="s">
        <v>154</v>
      </c>
      <c r="C74" s="17" t="s">
        <v>154</v>
      </c>
      <c r="D74" s="18" t="s">
        <v>154</v>
      </c>
      <c r="E74" s="17" t="s">
        <v>154</v>
      </c>
      <c r="F74" s="18" t="s">
        <v>154</v>
      </c>
      <c r="G74" s="17" t="s">
        <v>154</v>
      </c>
      <c r="H74" s="18" t="s">
        <v>154</v>
      </c>
      <c r="I74" s="17" t="s">
        <v>154</v>
      </c>
      <c r="J74" s="18" t="s">
        <v>154</v>
      </c>
      <c r="K74" s="17" t="s">
        <v>154</v>
      </c>
      <c r="L74" s="18" t="s">
        <v>154</v>
      </c>
      <c r="M74" s="17" t="s">
        <v>154</v>
      </c>
      <c r="N74" s="18" t="s">
        <v>154</v>
      </c>
      <c r="O74" s="17" t="s">
        <v>154</v>
      </c>
      <c r="P74" s="18" t="s">
        <v>154</v>
      </c>
      <c r="Q74" s="17" t="s">
        <v>154</v>
      </c>
      <c r="R74" s="18" t="s">
        <v>154</v>
      </c>
    </row>
    <row r="75" spans="1:18" x14ac:dyDescent="0.25">
      <c r="A75" s="11" t="s">
        <v>208</v>
      </c>
      <c r="B75" s="13">
        <v>5375</v>
      </c>
      <c r="C75" s="14">
        <f>(4508/B75*100)</f>
        <v>83.869767441860461</v>
      </c>
      <c r="D75" s="15">
        <v>867</v>
      </c>
      <c r="E75" s="14">
        <v>0</v>
      </c>
      <c r="F75" s="16">
        <v>0</v>
      </c>
      <c r="G75" s="14">
        <v>0</v>
      </c>
      <c r="H75" s="16">
        <v>0</v>
      </c>
      <c r="I75" s="14" t="s">
        <v>139</v>
      </c>
      <c r="J75" s="16" t="s">
        <v>139</v>
      </c>
      <c r="K75" s="14">
        <v>0</v>
      </c>
      <c r="L75" s="16">
        <v>0</v>
      </c>
      <c r="M75" s="14">
        <v>100</v>
      </c>
      <c r="N75" s="16">
        <v>0</v>
      </c>
      <c r="O75" s="14">
        <v>0</v>
      </c>
      <c r="P75" s="16">
        <v>0</v>
      </c>
      <c r="Q75" s="14">
        <v>0</v>
      </c>
      <c r="R75" s="16">
        <v>0</v>
      </c>
    </row>
    <row r="76" spans="1:18" x14ac:dyDescent="0.25">
      <c r="A76" s="11" t="s">
        <v>209</v>
      </c>
      <c r="B76" s="13">
        <v>14167</v>
      </c>
      <c r="C76" s="14">
        <f>(11785/B76*100)</f>
        <v>83.186277969930117</v>
      </c>
      <c r="D76" s="15">
        <v>2382</v>
      </c>
      <c r="E76" s="14">
        <v>0</v>
      </c>
      <c r="F76" s="16">
        <v>0</v>
      </c>
      <c r="G76" s="14">
        <v>0</v>
      </c>
      <c r="H76" s="16">
        <v>0</v>
      </c>
      <c r="I76" s="14" t="s">
        <v>139</v>
      </c>
      <c r="J76" s="16" t="s">
        <v>139</v>
      </c>
      <c r="K76" s="14">
        <v>0</v>
      </c>
      <c r="L76" s="16">
        <v>0</v>
      </c>
      <c r="M76" s="14">
        <v>100</v>
      </c>
      <c r="N76" s="16">
        <v>0</v>
      </c>
      <c r="O76" s="14">
        <v>0</v>
      </c>
      <c r="P76" s="16">
        <v>0</v>
      </c>
      <c r="Q76" s="14">
        <v>0</v>
      </c>
      <c r="R76" s="16">
        <v>0</v>
      </c>
    </row>
    <row r="77" spans="1:18" x14ac:dyDescent="0.25">
      <c r="A77" s="11" t="s">
        <v>210</v>
      </c>
      <c r="B77" s="13">
        <v>6062</v>
      </c>
      <c r="C77" s="14">
        <f>(5022/B77*100)</f>
        <v>82.843945892444737</v>
      </c>
      <c r="D77" s="15">
        <v>1040</v>
      </c>
      <c r="E77" s="14">
        <v>0</v>
      </c>
      <c r="F77" s="16">
        <v>0</v>
      </c>
      <c r="G77" s="14">
        <v>0</v>
      </c>
      <c r="H77" s="16">
        <v>0</v>
      </c>
      <c r="I77" s="14" t="s">
        <v>139</v>
      </c>
      <c r="J77" s="16" t="s">
        <v>139</v>
      </c>
      <c r="K77" s="14">
        <v>0</v>
      </c>
      <c r="L77" s="16">
        <v>0</v>
      </c>
      <c r="M77" s="14">
        <v>100</v>
      </c>
      <c r="N77" s="16">
        <v>0</v>
      </c>
      <c r="O77" s="14">
        <v>0</v>
      </c>
      <c r="P77" s="16">
        <v>0</v>
      </c>
      <c r="Q77" s="14">
        <v>0</v>
      </c>
      <c r="R77" s="16">
        <v>0</v>
      </c>
    </row>
    <row r="78" spans="1:18" x14ac:dyDescent="0.25">
      <c r="A78" s="11" t="s">
        <v>211</v>
      </c>
      <c r="B78" s="17" t="s">
        <v>154</v>
      </c>
      <c r="C78" s="17" t="s">
        <v>154</v>
      </c>
      <c r="D78" s="18" t="s">
        <v>154</v>
      </c>
      <c r="E78" s="17" t="s">
        <v>154</v>
      </c>
      <c r="F78" s="18" t="s">
        <v>154</v>
      </c>
      <c r="G78" s="17" t="s">
        <v>154</v>
      </c>
      <c r="H78" s="18" t="s">
        <v>154</v>
      </c>
      <c r="I78" s="17" t="s">
        <v>154</v>
      </c>
      <c r="J78" s="18" t="s">
        <v>154</v>
      </c>
      <c r="K78" s="17" t="s">
        <v>154</v>
      </c>
      <c r="L78" s="18" t="s">
        <v>154</v>
      </c>
      <c r="M78" s="17" t="s">
        <v>154</v>
      </c>
      <c r="N78" s="18" t="s">
        <v>154</v>
      </c>
      <c r="O78" s="17" t="s">
        <v>154</v>
      </c>
      <c r="P78" s="18" t="s">
        <v>154</v>
      </c>
      <c r="Q78" s="17" t="s">
        <v>154</v>
      </c>
      <c r="R78" s="18" t="s">
        <v>154</v>
      </c>
    </row>
    <row r="79" spans="1:18" ht="24.95" customHeight="1" x14ac:dyDescent="0.25">
      <c r="A79" s="11" t="s">
        <v>212</v>
      </c>
      <c r="B79" s="17" t="s">
        <v>154</v>
      </c>
      <c r="C79" s="17" t="s">
        <v>154</v>
      </c>
      <c r="D79" s="18" t="s">
        <v>154</v>
      </c>
      <c r="E79" s="17" t="s">
        <v>154</v>
      </c>
      <c r="F79" s="18" t="s">
        <v>154</v>
      </c>
      <c r="G79" s="17" t="s">
        <v>154</v>
      </c>
      <c r="H79" s="18" t="s">
        <v>154</v>
      </c>
      <c r="I79" s="17" t="s">
        <v>154</v>
      </c>
      <c r="J79" s="18" t="s">
        <v>154</v>
      </c>
      <c r="K79" s="17" t="s">
        <v>154</v>
      </c>
      <c r="L79" s="18" t="s">
        <v>154</v>
      </c>
      <c r="M79" s="17" t="s">
        <v>154</v>
      </c>
      <c r="N79" s="18" t="s">
        <v>154</v>
      </c>
      <c r="O79" s="17" t="s">
        <v>154</v>
      </c>
      <c r="P79" s="18" t="s">
        <v>154</v>
      </c>
      <c r="Q79" s="17" t="s">
        <v>154</v>
      </c>
      <c r="R79" s="18" t="s">
        <v>154</v>
      </c>
    </row>
    <row r="80" spans="1:18" x14ac:dyDescent="0.25">
      <c r="A80" s="11" t="s">
        <v>213</v>
      </c>
      <c r="B80" s="17" t="s">
        <v>154</v>
      </c>
      <c r="C80" s="17" t="s">
        <v>154</v>
      </c>
      <c r="D80" s="18" t="s">
        <v>154</v>
      </c>
      <c r="E80" s="17" t="s">
        <v>154</v>
      </c>
      <c r="F80" s="18" t="s">
        <v>154</v>
      </c>
      <c r="G80" s="17" t="s">
        <v>154</v>
      </c>
      <c r="H80" s="18" t="s">
        <v>154</v>
      </c>
      <c r="I80" s="17" t="s">
        <v>154</v>
      </c>
      <c r="J80" s="18" t="s">
        <v>154</v>
      </c>
      <c r="K80" s="17" t="s">
        <v>154</v>
      </c>
      <c r="L80" s="18" t="s">
        <v>154</v>
      </c>
      <c r="M80" s="17" t="s">
        <v>154</v>
      </c>
      <c r="N80" s="18" t="s">
        <v>154</v>
      </c>
      <c r="O80" s="17" t="s">
        <v>154</v>
      </c>
      <c r="P80" s="18" t="s">
        <v>154</v>
      </c>
      <c r="Q80" s="17" t="s">
        <v>154</v>
      </c>
      <c r="R80" s="18" t="s">
        <v>154</v>
      </c>
    </row>
    <row r="81" spans="1:18" x14ac:dyDescent="0.25">
      <c r="A81" s="19" t="s">
        <v>214</v>
      </c>
      <c r="B81" s="13">
        <v>8861</v>
      </c>
      <c r="C81" s="14">
        <f>(7321/B81*100)</f>
        <v>82.62047173005304</v>
      </c>
      <c r="D81" s="15">
        <v>1540</v>
      </c>
      <c r="E81" s="14">
        <v>0</v>
      </c>
      <c r="F81" s="16">
        <v>0</v>
      </c>
      <c r="G81" s="14">
        <v>0</v>
      </c>
      <c r="H81" s="16">
        <v>0</v>
      </c>
      <c r="I81" s="14" t="s">
        <v>139</v>
      </c>
      <c r="J81" s="16" t="s">
        <v>139</v>
      </c>
      <c r="K81" s="14">
        <v>0</v>
      </c>
      <c r="L81" s="16">
        <v>0</v>
      </c>
      <c r="M81" s="14">
        <v>100</v>
      </c>
      <c r="N81" s="16">
        <v>0</v>
      </c>
      <c r="O81" s="14">
        <v>0</v>
      </c>
      <c r="P81" s="16">
        <v>0</v>
      </c>
      <c r="Q81" s="14">
        <v>0</v>
      </c>
      <c r="R81" s="16">
        <v>0</v>
      </c>
    </row>
    <row r="82" spans="1:18" x14ac:dyDescent="0.25">
      <c r="A82" s="20"/>
      <c r="B82" s="20" t="s">
        <v>215</v>
      </c>
      <c r="C82" s="20" t="s">
        <v>215</v>
      </c>
      <c r="D82" s="20" t="s">
        <v>215</v>
      </c>
      <c r="E82" s="20" t="s">
        <v>215</v>
      </c>
      <c r="F82" s="20" t="s">
        <v>215</v>
      </c>
      <c r="G82" s="20" t="s">
        <v>215</v>
      </c>
      <c r="H82" s="20" t="s">
        <v>215</v>
      </c>
      <c r="I82" s="20" t="s">
        <v>215</v>
      </c>
      <c r="J82" s="20" t="s">
        <v>215</v>
      </c>
      <c r="K82" s="20" t="s">
        <v>215</v>
      </c>
      <c r="L82" s="20" t="s">
        <v>215</v>
      </c>
      <c r="M82" s="20" t="s">
        <v>215</v>
      </c>
      <c r="N82" s="20" t="s">
        <v>215</v>
      </c>
      <c r="O82" s="20" t="s">
        <v>215</v>
      </c>
      <c r="P82" s="20" t="s">
        <v>215</v>
      </c>
      <c r="Q82" s="20" t="s">
        <v>215</v>
      </c>
      <c r="R82" s="20" t="s">
        <v>215</v>
      </c>
    </row>
    <row r="83" spans="1:18" x14ac:dyDescent="0.25">
      <c r="A83" s="3" t="s">
        <v>216</v>
      </c>
    </row>
    <row r="84" spans="1:18" x14ac:dyDescent="0.25">
      <c r="A84" s="22" t="s">
        <v>217</v>
      </c>
      <c r="B84" s="23"/>
      <c r="C84" s="23"/>
      <c r="D84" s="23"/>
      <c r="E84" s="23"/>
      <c r="F84" s="23"/>
      <c r="G84" s="23"/>
      <c r="H84" s="23"/>
      <c r="I84" s="23"/>
      <c r="J84" s="23"/>
      <c r="K84" s="23"/>
      <c r="L84" s="23"/>
      <c r="M84" s="23"/>
      <c r="N84" s="23"/>
      <c r="O84" s="23"/>
      <c r="P84" s="23"/>
      <c r="Q84" s="23"/>
      <c r="R84" s="23"/>
    </row>
    <row r="85" spans="1:18" x14ac:dyDescent="0.25">
      <c r="A85" s="22" t="s">
        <v>218</v>
      </c>
      <c r="B85" s="23"/>
      <c r="C85" s="23"/>
      <c r="D85" s="23"/>
      <c r="E85" s="23"/>
      <c r="F85" s="23"/>
      <c r="G85" s="23"/>
      <c r="H85" s="23"/>
      <c r="I85" s="23"/>
      <c r="J85" s="23"/>
      <c r="K85" s="23"/>
      <c r="L85" s="23"/>
      <c r="M85" s="23"/>
      <c r="N85" s="23"/>
      <c r="O85" s="23"/>
      <c r="P85" s="23"/>
      <c r="Q85" s="23"/>
      <c r="R85" s="23"/>
    </row>
    <row r="86" spans="1:18" ht="30" customHeight="1" x14ac:dyDescent="0.25">
      <c r="A86" s="22" t="s">
        <v>219</v>
      </c>
      <c r="B86" s="23"/>
      <c r="C86" s="23"/>
      <c r="D86" s="23"/>
      <c r="E86" s="23"/>
      <c r="F86" s="23"/>
      <c r="G86" s="23"/>
      <c r="H86" s="23"/>
      <c r="I86" s="23"/>
      <c r="J86" s="23"/>
      <c r="K86" s="23"/>
      <c r="L86" s="23"/>
      <c r="M86" s="23"/>
      <c r="N86" s="23"/>
      <c r="O86" s="23"/>
      <c r="P86" s="23"/>
      <c r="Q86" s="23"/>
      <c r="R86" s="23"/>
    </row>
    <row r="87" spans="1:18" ht="30" customHeight="1" x14ac:dyDescent="0.25">
      <c r="A87" s="22" t="s">
        <v>215</v>
      </c>
      <c r="B87" s="23"/>
      <c r="C87" s="23"/>
      <c r="D87" s="23"/>
      <c r="E87" s="23"/>
      <c r="F87" s="23"/>
      <c r="G87" s="23"/>
      <c r="H87" s="23"/>
      <c r="I87" s="23"/>
      <c r="J87" s="23"/>
      <c r="K87" s="23"/>
      <c r="L87" s="23"/>
      <c r="M87" s="23"/>
      <c r="N87" s="23"/>
      <c r="O87" s="23"/>
      <c r="P87" s="23"/>
      <c r="Q87" s="23"/>
      <c r="R87" s="23"/>
    </row>
    <row r="88" spans="1:18" ht="30" customHeight="1" x14ac:dyDescent="0.25">
      <c r="A88" s="22" t="s">
        <v>220</v>
      </c>
      <c r="B88" s="23"/>
      <c r="C88" s="23"/>
      <c r="D88" s="23"/>
      <c r="E88" s="23"/>
      <c r="F88" s="23"/>
      <c r="G88" s="23"/>
      <c r="H88" s="23"/>
      <c r="I88" s="23"/>
      <c r="J88" s="23"/>
      <c r="K88" s="23"/>
      <c r="L88" s="23"/>
      <c r="M88" s="23"/>
      <c r="N88" s="23"/>
      <c r="O88" s="23"/>
      <c r="P88" s="23"/>
      <c r="Q88" s="23"/>
      <c r="R88" s="23"/>
    </row>
    <row r="89" spans="1:18" ht="30" customHeight="1" x14ac:dyDescent="0.25">
      <c r="A89" s="22" t="s">
        <v>221</v>
      </c>
      <c r="B89" s="23"/>
      <c r="C89" s="23"/>
      <c r="D89" s="23"/>
      <c r="E89" s="23"/>
      <c r="F89" s="23"/>
      <c r="G89" s="23"/>
      <c r="H89" s="23"/>
      <c r="I89" s="23"/>
      <c r="J89" s="23"/>
      <c r="K89" s="23"/>
      <c r="L89" s="23"/>
      <c r="M89" s="23"/>
      <c r="N89" s="23"/>
      <c r="O89" s="23"/>
      <c r="P89" s="23"/>
      <c r="Q89" s="23"/>
      <c r="R89" s="23"/>
    </row>
    <row r="90" spans="1:18" ht="30" customHeight="1" x14ac:dyDescent="0.25">
      <c r="A90" s="22" t="s">
        <v>222</v>
      </c>
      <c r="B90" s="23"/>
      <c r="C90" s="23"/>
      <c r="D90" s="23"/>
      <c r="E90" s="23"/>
      <c r="F90" s="23"/>
      <c r="G90" s="23"/>
      <c r="H90" s="23"/>
      <c r="I90" s="23"/>
      <c r="J90" s="23"/>
      <c r="K90" s="23"/>
      <c r="L90" s="23"/>
      <c r="M90" s="23"/>
      <c r="N90" s="23"/>
      <c r="O90" s="23"/>
      <c r="P90" s="23"/>
      <c r="Q90" s="23"/>
      <c r="R90" s="23"/>
    </row>
    <row r="91" spans="1:18" ht="30" customHeight="1" x14ac:dyDescent="0.25">
      <c r="A91" s="22" t="s">
        <v>223</v>
      </c>
      <c r="B91" s="23"/>
      <c r="C91" s="23"/>
      <c r="D91" s="23"/>
      <c r="E91" s="23"/>
      <c r="F91" s="23"/>
      <c r="G91" s="23"/>
      <c r="H91" s="23"/>
      <c r="I91" s="23"/>
      <c r="J91" s="23"/>
      <c r="K91" s="23"/>
      <c r="L91" s="23"/>
      <c r="M91" s="23"/>
      <c r="N91" s="23"/>
      <c r="O91" s="23"/>
      <c r="P91" s="23"/>
      <c r="Q91" s="23"/>
      <c r="R91" s="23"/>
    </row>
    <row r="92" spans="1:18" ht="30" customHeight="1" x14ac:dyDescent="0.25">
      <c r="A92" s="22" t="s">
        <v>224</v>
      </c>
      <c r="B92" s="23"/>
      <c r="C92" s="23"/>
      <c r="D92" s="23"/>
      <c r="E92" s="23"/>
      <c r="F92" s="23"/>
      <c r="G92" s="23"/>
      <c r="H92" s="23"/>
      <c r="I92" s="23"/>
      <c r="J92" s="23"/>
      <c r="K92" s="23"/>
      <c r="L92" s="23"/>
      <c r="M92" s="23"/>
      <c r="N92" s="23"/>
      <c r="O92" s="23"/>
      <c r="P92" s="23"/>
      <c r="Q92" s="23"/>
      <c r="R92" s="23"/>
    </row>
    <row r="93" spans="1:18" ht="30" customHeight="1" x14ac:dyDescent="0.25">
      <c r="A93" s="22" t="s">
        <v>225</v>
      </c>
      <c r="B93" s="23"/>
      <c r="C93" s="23"/>
      <c r="D93" s="23"/>
      <c r="E93" s="23"/>
      <c r="F93" s="23"/>
      <c r="G93" s="23"/>
      <c r="H93" s="23"/>
      <c r="I93" s="23"/>
      <c r="J93" s="23"/>
      <c r="K93" s="23"/>
      <c r="L93" s="23"/>
      <c r="M93" s="23"/>
      <c r="N93" s="23"/>
      <c r="O93" s="23"/>
      <c r="P93" s="23"/>
      <c r="Q93" s="23"/>
      <c r="R93" s="23"/>
    </row>
    <row r="94" spans="1:18" ht="30" customHeight="1" x14ac:dyDescent="0.25">
      <c r="A94" s="22" t="s">
        <v>226</v>
      </c>
      <c r="B94" s="23"/>
      <c r="C94" s="23"/>
      <c r="D94" s="23"/>
      <c r="E94" s="23"/>
      <c r="F94" s="23"/>
      <c r="G94" s="23"/>
      <c r="H94" s="23"/>
      <c r="I94" s="23"/>
      <c r="J94" s="23"/>
      <c r="K94" s="23"/>
      <c r="L94" s="23"/>
      <c r="M94" s="23"/>
      <c r="N94" s="23"/>
      <c r="O94" s="23"/>
      <c r="P94" s="23"/>
      <c r="Q94" s="23"/>
      <c r="R94" s="23"/>
    </row>
    <row r="95" spans="1:18" ht="30" customHeight="1" x14ac:dyDescent="0.25">
      <c r="A95" s="22" t="s">
        <v>227</v>
      </c>
      <c r="B95" s="23"/>
      <c r="C95" s="23"/>
      <c r="D95" s="23"/>
      <c r="E95" s="23"/>
      <c r="F95" s="23"/>
      <c r="G95" s="23"/>
      <c r="H95" s="23"/>
      <c r="I95" s="23"/>
      <c r="J95" s="23"/>
      <c r="K95" s="23"/>
      <c r="L95" s="23"/>
      <c r="M95" s="23"/>
      <c r="N95" s="23"/>
      <c r="O95" s="23"/>
      <c r="P95" s="23"/>
      <c r="Q95" s="23"/>
      <c r="R95" s="23"/>
    </row>
    <row r="96" spans="1:18" ht="30" customHeight="1" x14ac:dyDescent="0.25">
      <c r="A96" s="22" t="s">
        <v>228</v>
      </c>
      <c r="B96" s="23"/>
      <c r="C96" s="23"/>
      <c r="D96" s="23"/>
      <c r="E96" s="23"/>
      <c r="F96" s="23"/>
      <c r="G96" s="23"/>
      <c r="H96" s="23"/>
      <c r="I96" s="23"/>
      <c r="J96" s="23"/>
      <c r="K96" s="23"/>
      <c r="L96" s="23"/>
      <c r="M96" s="23"/>
      <c r="N96" s="23"/>
      <c r="O96" s="23"/>
      <c r="P96" s="23"/>
      <c r="Q96" s="23"/>
      <c r="R96" s="23"/>
    </row>
  </sheetData>
  <mergeCells count="22">
    <mergeCell ref="O4:P4"/>
    <mergeCell ref="Q4:R4"/>
    <mergeCell ref="A1:R1"/>
    <mergeCell ref="A2:R2"/>
    <mergeCell ref="A84:R84"/>
    <mergeCell ref="E4:F4"/>
    <mergeCell ref="G4:H4"/>
    <mergeCell ref="I4:J4"/>
    <mergeCell ref="K4:L4"/>
    <mergeCell ref="M4:N4"/>
    <mergeCell ref="A85:R85"/>
    <mergeCell ref="A86:R86"/>
    <mergeCell ref="A87:R87"/>
    <mergeCell ref="A88:R88"/>
    <mergeCell ref="A89:R89"/>
    <mergeCell ref="A95:R95"/>
    <mergeCell ref="A96:R96"/>
    <mergeCell ref="A90:R90"/>
    <mergeCell ref="A91:R91"/>
    <mergeCell ref="A92:R92"/>
    <mergeCell ref="A93:R93"/>
    <mergeCell ref="A94:R94"/>
  </mergeCells>
  <pageMargins left="0.75" right="0.75" top="1" bottom="1" header="0.5" footer="0.5"/>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
  <dimension ref="A1:R96"/>
  <sheetViews>
    <sheetView zoomScale="80" workbookViewId="0">
      <pane xSplit="4" topLeftCell="E1" activePane="topRight" state="frozen"/>
      <selection sqref="A1:R1"/>
      <selection pane="topRight" sqref="A1:R1"/>
    </sheetView>
  </sheetViews>
  <sheetFormatPr defaultColWidth="11.42578125" defaultRowHeight="15" x14ac:dyDescent="0.25"/>
  <cols>
    <col min="1" max="1" width="50" customWidth="1"/>
  </cols>
  <sheetData>
    <row r="1" spans="1:18" x14ac:dyDescent="0.25">
      <c r="A1" s="26" t="s">
        <v>122</v>
      </c>
      <c r="B1" s="23"/>
      <c r="C1" s="23"/>
      <c r="D1" s="23"/>
      <c r="E1" s="23"/>
      <c r="F1" s="23"/>
      <c r="G1" s="23"/>
      <c r="H1" s="23"/>
      <c r="I1" s="23"/>
      <c r="J1" s="23"/>
      <c r="K1" s="23"/>
      <c r="L1" s="23"/>
      <c r="M1" s="23"/>
      <c r="N1" s="23"/>
      <c r="O1" s="23"/>
      <c r="P1" s="23"/>
      <c r="Q1" s="23"/>
      <c r="R1" s="23"/>
    </row>
    <row r="2" spans="1:18" x14ac:dyDescent="0.25">
      <c r="A2" s="27" t="s">
        <v>255</v>
      </c>
      <c r="B2" s="23"/>
      <c r="C2" s="23"/>
      <c r="D2" s="23"/>
      <c r="E2" s="23"/>
      <c r="F2" s="23"/>
      <c r="G2" s="23"/>
      <c r="H2" s="23"/>
      <c r="I2" s="23"/>
      <c r="J2" s="23"/>
      <c r="K2" s="23"/>
      <c r="L2" s="23"/>
      <c r="M2" s="23"/>
      <c r="N2" s="23"/>
      <c r="O2" s="23"/>
      <c r="P2" s="23"/>
      <c r="Q2" s="23"/>
      <c r="R2" s="23"/>
    </row>
    <row r="4" spans="1:18" ht="30" customHeight="1" x14ac:dyDescent="0.25">
      <c r="A4" s="4"/>
      <c r="B4" s="5" t="s">
        <v>123</v>
      </c>
      <c r="C4" s="5" t="s">
        <v>124</v>
      </c>
      <c r="D4" s="6" t="s">
        <v>123</v>
      </c>
      <c r="E4" s="24" t="s">
        <v>125</v>
      </c>
      <c r="F4" s="25"/>
      <c r="G4" s="24" t="s">
        <v>126</v>
      </c>
      <c r="H4" s="25"/>
      <c r="I4" s="24" t="s">
        <v>127</v>
      </c>
      <c r="J4" s="25"/>
      <c r="K4" s="24" t="s">
        <v>128</v>
      </c>
      <c r="L4" s="25"/>
      <c r="M4" s="24" t="s">
        <v>129</v>
      </c>
      <c r="N4" s="25"/>
      <c r="O4" s="24" t="s">
        <v>130</v>
      </c>
      <c r="P4" s="25"/>
      <c r="Q4" s="24" t="s">
        <v>131</v>
      </c>
      <c r="R4" s="25"/>
    </row>
    <row r="5" spans="1:18" x14ac:dyDescent="0.25">
      <c r="A5" s="7"/>
      <c r="B5" s="8" t="s">
        <v>132</v>
      </c>
      <c r="C5" s="8" t="s">
        <v>133</v>
      </c>
      <c r="D5" s="7" t="s">
        <v>134</v>
      </c>
      <c r="E5" s="8" t="s">
        <v>135</v>
      </c>
      <c r="F5" s="7" t="s">
        <v>136</v>
      </c>
      <c r="G5" s="8" t="s">
        <v>135</v>
      </c>
      <c r="H5" s="7" t="s">
        <v>136</v>
      </c>
      <c r="I5" s="8" t="s">
        <v>135</v>
      </c>
      <c r="J5" s="7" t="s">
        <v>136</v>
      </c>
      <c r="K5" s="8" t="s">
        <v>135</v>
      </c>
      <c r="L5" s="7" t="s">
        <v>136</v>
      </c>
      <c r="M5" s="8" t="s">
        <v>135</v>
      </c>
      <c r="N5" s="7" t="s">
        <v>136</v>
      </c>
      <c r="O5" s="8" t="s">
        <v>135</v>
      </c>
      <c r="P5" s="7" t="s">
        <v>136</v>
      </c>
      <c r="Q5" s="8" t="s">
        <v>135</v>
      </c>
      <c r="R5" s="7" t="s">
        <v>136</v>
      </c>
    </row>
    <row r="6" spans="1:18" x14ac:dyDescent="0.25">
      <c r="A6" s="9" t="s">
        <v>137</v>
      </c>
      <c r="B6" s="10"/>
      <c r="C6" s="10"/>
      <c r="D6" s="11"/>
      <c r="E6" s="10"/>
      <c r="F6" s="11"/>
      <c r="G6" s="10"/>
      <c r="H6" s="11"/>
      <c r="I6" s="10"/>
      <c r="J6" s="11"/>
      <c r="K6" s="10"/>
      <c r="L6" s="11"/>
      <c r="M6" s="10"/>
      <c r="N6" s="11"/>
      <c r="O6" s="10"/>
      <c r="P6" s="11"/>
      <c r="Q6" s="10"/>
      <c r="R6" s="12"/>
    </row>
    <row r="7" spans="1:18" x14ac:dyDescent="0.25">
      <c r="A7" s="11" t="s">
        <v>138</v>
      </c>
      <c r="B7" s="13">
        <v>14530</v>
      </c>
      <c r="C7" s="14">
        <f>(12087/B7*100)</f>
        <v>83.186510667584315</v>
      </c>
      <c r="D7" s="15">
        <v>2443</v>
      </c>
      <c r="E7" s="14">
        <v>28.010113230000002</v>
      </c>
      <c r="F7" s="16">
        <v>1.0179384899999999</v>
      </c>
      <c r="G7" s="14">
        <v>71.989886769999998</v>
      </c>
      <c r="H7" s="16">
        <v>1.0179384899999999</v>
      </c>
      <c r="I7" s="14" t="s">
        <v>139</v>
      </c>
      <c r="J7" s="16" t="s">
        <v>139</v>
      </c>
      <c r="K7" s="14">
        <v>0</v>
      </c>
      <c r="L7" s="16">
        <v>0</v>
      </c>
      <c r="M7" s="14">
        <v>0</v>
      </c>
      <c r="N7" s="16">
        <v>0</v>
      </c>
      <c r="O7" s="14">
        <v>0</v>
      </c>
      <c r="P7" s="16">
        <v>0</v>
      </c>
      <c r="Q7" s="14">
        <v>0</v>
      </c>
      <c r="R7" s="16">
        <v>0</v>
      </c>
    </row>
    <row r="8" spans="1:18" x14ac:dyDescent="0.25">
      <c r="A8" s="11" t="s">
        <v>140</v>
      </c>
      <c r="B8" s="13">
        <v>7007</v>
      </c>
      <c r="C8" s="14">
        <f>(5795/B8*100)</f>
        <v>82.703011274439845</v>
      </c>
      <c r="D8" s="15">
        <v>1212</v>
      </c>
      <c r="E8" s="14">
        <v>26.11160156</v>
      </c>
      <c r="F8" s="16">
        <v>1.4107031999999999</v>
      </c>
      <c r="G8" s="14">
        <v>73.888398440000003</v>
      </c>
      <c r="H8" s="16">
        <v>1.4107031999999999</v>
      </c>
      <c r="I8" s="14" t="s">
        <v>139</v>
      </c>
      <c r="J8" s="16" t="s">
        <v>139</v>
      </c>
      <c r="K8" s="14">
        <v>0</v>
      </c>
      <c r="L8" s="16">
        <v>0</v>
      </c>
      <c r="M8" s="14">
        <v>0</v>
      </c>
      <c r="N8" s="16">
        <v>0</v>
      </c>
      <c r="O8" s="14">
        <v>0</v>
      </c>
      <c r="P8" s="16">
        <v>0</v>
      </c>
      <c r="Q8" s="14">
        <v>0</v>
      </c>
      <c r="R8" s="16">
        <v>0</v>
      </c>
    </row>
    <row r="9" spans="1:18" x14ac:dyDescent="0.25">
      <c r="A9" s="11" t="s">
        <v>141</v>
      </c>
      <c r="B9" s="13">
        <v>9651</v>
      </c>
      <c r="C9" s="14">
        <f>(8049/B9*100)</f>
        <v>83.400683866956797</v>
      </c>
      <c r="D9" s="15">
        <v>1602</v>
      </c>
      <c r="E9" s="14">
        <v>24.141772719999999</v>
      </c>
      <c r="F9" s="16">
        <v>1.13540825</v>
      </c>
      <c r="G9" s="14">
        <v>75.858227279999994</v>
      </c>
      <c r="H9" s="16">
        <v>1.13540825</v>
      </c>
      <c r="I9" s="14" t="s">
        <v>139</v>
      </c>
      <c r="J9" s="16" t="s">
        <v>139</v>
      </c>
      <c r="K9" s="14">
        <v>0</v>
      </c>
      <c r="L9" s="16">
        <v>0</v>
      </c>
      <c r="M9" s="14">
        <v>0</v>
      </c>
      <c r="N9" s="16">
        <v>0</v>
      </c>
      <c r="O9" s="14">
        <v>0</v>
      </c>
      <c r="P9" s="16">
        <v>0</v>
      </c>
      <c r="Q9" s="14">
        <v>0</v>
      </c>
      <c r="R9" s="16">
        <v>0</v>
      </c>
    </row>
    <row r="10" spans="1:18" x14ac:dyDescent="0.25">
      <c r="A10" s="11" t="s">
        <v>142</v>
      </c>
      <c r="B10" s="13">
        <v>20058</v>
      </c>
      <c r="C10" s="14">
        <f>(16604/B10*100)</f>
        <v>82.779938179280094</v>
      </c>
      <c r="D10" s="15">
        <v>3454</v>
      </c>
      <c r="E10" s="14">
        <v>23.139573540000001</v>
      </c>
      <c r="F10" s="16">
        <v>0.98055579999999998</v>
      </c>
      <c r="G10" s="14">
        <v>76.860426459999999</v>
      </c>
      <c r="H10" s="16">
        <v>0.98055579999999998</v>
      </c>
      <c r="I10" s="14" t="s">
        <v>139</v>
      </c>
      <c r="J10" s="16" t="s">
        <v>139</v>
      </c>
      <c r="K10" s="14">
        <v>0</v>
      </c>
      <c r="L10" s="16">
        <v>0</v>
      </c>
      <c r="M10" s="14">
        <v>0</v>
      </c>
      <c r="N10" s="16">
        <v>0</v>
      </c>
      <c r="O10" s="14">
        <v>0</v>
      </c>
      <c r="P10" s="16">
        <v>0</v>
      </c>
      <c r="Q10" s="14">
        <v>0</v>
      </c>
      <c r="R10" s="16">
        <v>0</v>
      </c>
    </row>
    <row r="11" spans="1:18" x14ac:dyDescent="0.25">
      <c r="A11" s="11" t="s">
        <v>143</v>
      </c>
      <c r="B11" s="13">
        <v>7053</v>
      </c>
      <c r="C11" s="14">
        <f>(5856/B11*100)</f>
        <v>83.028498511271792</v>
      </c>
      <c r="D11" s="15">
        <v>1197</v>
      </c>
      <c r="E11" s="14">
        <v>35.881414020000001</v>
      </c>
      <c r="F11" s="16">
        <v>1.76139589</v>
      </c>
      <c r="G11" s="14">
        <v>64.118585980000006</v>
      </c>
      <c r="H11" s="16">
        <v>1.76139589</v>
      </c>
      <c r="I11" s="14" t="s">
        <v>139</v>
      </c>
      <c r="J11" s="16" t="s">
        <v>139</v>
      </c>
      <c r="K11" s="14">
        <v>0</v>
      </c>
      <c r="L11" s="16">
        <v>0</v>
      </c>
      <c r="M11" s="14">
        <v>0</v>
      </c>
      <c r="N11" s="16">
        <v>0</v>
      </c>
      <c r="O11" s="14">
        <v>0</v>
      </c>
      <c r="P11" s="16">
        <v>0</v>
      </c>
      <c r="Q11" s="14">
        <v>0</v>
      </c>
      <c r="R11" s="16">
        <v>0</v>
      </c>
    </row>
    <row r="12" spans="1:18" x14ac:dyDescent="0.25">
      <c r="A12" s="11" t="s">
        <v>144</v>
      </c>
      <c r="B12" s="13">
        <v>6894</v>
      </c>
      <c r="C12" s="14">
        <f>(5725/B12*100)</f>
        <v>83.043225993617639</v>
      </c>
      <c r="D12" s="15">
        <v>1169</v>
      </c>
      <c r="E12" s="14">
        <v>35.593660180000001</v>
      </c>
      <c r="F12" s="16">
        <v>1.5823522299999999</v>
      </c>
      <c r="G12" s="14">
        <v>64.406339819999999</v>
      </c>
      <c r="H12" s="16">
        <v>1.5823522299999999</v>
      </c>
      <c r="I12" s="14" t="s">
        <v>139</v>
      </c>
      <c r="J12" s="16" t="s">
        <v>139</v>
      </c>
      <c r="K12" s="14">
        <v>0</v>
      </c>
      <c r="L12" s="16">
        <v>0</v>
      </c>
      <c r="M12" s="14">
        <v>0</v>
      </c>
      <c r="N12" s="16">
        <v>0</v>
      </c>
      <c r="O12" s="14">
        <v>0</v>
      </c>
      <c r="P12" s="16">
        <v>0</v>
      </c>
      <c r="Q12" s="14">
        <v>0</v>
      </c>
      <c r="R12" s="16">
        <v>0</v>
      </c>
    </row>
    <row r="13" spans="1:18" x14ac:dyDescent="0.25">
      <c r="A13" s="11" t="s">
        <v>145</v>
      </c>
      <c r="B13" s="13">
        <v>7161</v>
      </c>
      <c r="C13" s="14">
        <f>(6001/B13*100)</f>
        <v>83.801145091467674</v>
      </c>
      <c r="D13" s="15">
        <v>1160</v>
      </c>
      <c r="E13" s="14">
        <v>25.630507099999999</v>
      </c>
      <c r="F13" s="16">
        <v>1.3393939800000001</v>
      </c>
      <c r="G13" s="14">
        <v>74.369492899999997</v>
      </c>
      <c r="H13" s="16">
        <v>1.3393939800000001</v>
      </c>
      <c r="I13" s="14" t="s">
        <v>139</v>
      </c>
      <c r="J13" s="16" t="s">
        <v>139</v>
      </c>
      <c r="K13" s="14">
        <v>0</v>
      </c>
      <c r="L13" s="16">
        <v>0</v>
      </c>
      <c r="M13" s="14">
        <v>0</v>
      </c>
      <c r="N13" s="16">
        <v>0</v>
      </c>
      <c r="O13" s="14">
        <v>0</v>
      </c>
      <c r="P13" s="16">
        <v>0</v>
      </c>
      <c r="Q13" s="14">
        <v>0</v>
      </c>
      <c r="R13" s="16">
        <v>0</v>
      </c>
    </row>
    <row r="14" spans="1:18" x14ac:dyDescent="0.25">
      <c r="A14" s="11" t="s">
        <v>146</v>
      </c>
      <c r="B14" s="13">
        <v>5587</v>
      </c>
      <c r="C14" s="14">
        <f>(4630/B14*100)</f>
        <v>82.870950420619295</v>
      </c>
      <c r="D14" s="15">
        <v>957</v>
      </c>
      <c r="E14" s="14">
        <v>20.984460940000002</v>
      </c>
      <c r="F14" s="16">
        <v>1.3569138700000001</v>
      </c>
      <c r="G14" s="14">
        <v>79.015539059999995</v>
      </c>
      <c r="H14" s="16">
        <v>1.3569138700000001</v>
      </c>
      <c r="I14" s="14" t="s">
        <v>139</v>
      </c>
      <c r="J14" s="16" t="s">
        <v>139</v>
      </c>
      <c r="K14" s="14">
        <v>0</v>
      </c>
      <c r="L14" s="16">
        <v>0</v>
      </c>
      <c r="M14" s="14">
        <v>0</v>
      </c>
      <c r="N14" s="16">
        <v>0</v>
      </c>
      <c r="O14" s="14">
        <v>0</v>
      </c>
      <c r="P14" s="16">
        <v>0</v>
      </c>
      <c r="Q14" s="14">
        <v>0</v>
      </c>
      <c r="R14" s="16">
        <v>0</v>
      </c>
    </row>
    <row r="15" spans="1:18" x14ac:dyDescent="0.25">
      <c r="A15" s="11" t="s">
        <v>147</v>
      </c>
      <c r="B15" s="13">
        <v>5882</v>
      </c>
      <c r="C15" s="14">
        <f>(4904/B15*100)</f>
        <v>83.373002380142808</v>
      </c>
      <c r="D15" s="15">
        <v>978</v>
      </c>
      <c r="E15" s="14">
        <v>23.451760700000001</v>
      </c>
      <c r="F15" s="16">
        <v>1.17388424</v>
      </c>
      <c r="G15" s="14">
        <v>76.548239300000006</v>
      </c>
      <c r="H15" s="16">
        <v>1.17388424</v>
      </c>
      <c r="I15" s="14" t="s">
        <v>139</v>
      </c>
      <c r="J15" s="16" t="s">
        <v>139</v>
      </c>
      <c r="K15" s="14">
        <v>0</v>
      </c>
      <c r="L15" s="16">
        <v>0</v>
      </c>
      <c r="M15" s="14">
        <v>0</v>
      </c>
      <c r="N15" s="16">
        <v>0</v>
      </c>
      <c r="O15" s="14">
        <v>0</v>
      </c>
      <c r="P15" s="16">
        <v>0</v>
      </c>
      <c r="Q15" s="14">
        <v>0</v>
      </c>
      <c r="R15" s="16">
        <v>0</v>
      </c>
    </row>
    <row r="16" spans="1:18" x14ac:dyDescent="0.25">
      <c r="A16" s="11" t="s">
        <v>148</v>
      </c>
      <c r="B16" s="13">
        <v>6108</v>
      </c>
      <c r="C16" s="14">
        <f>(5056/B16*100)</f>
        <v>82.776686313032087</v>
      </c>
      <c r="D16" s="15">
        <v>1052</v>
      </c>
      <c r="E16" s="14">
        <v>27.506366509999999</v>
      </c>
      <c r="F16" s="16">
        <v>1.4048858799999999</v>
      </c>
      <c r="G16" s="14">
        <v>72.493633489999993</v>
      </c>
      <c r="H16" s="16">
        <v>1.4048858799999999</v>
      </c>
      <c r="I16" s="14" t="s">
        <v>139</v>
      </c>
      <c r="J16" s="16" t="s">
        <v>139</v>
      </c>
      <c r="K16" s="14">
        <v>0</v>
      </c>
      <c r="L16" s="16">
        <v>0</v>
      </c>
      <c r="M16" s="14">
        <v>0</v>
      </c>
      <c r="N16" s="16">
        <v>0</v>
      </c>
      <c r="O16" s="14">
        <v>0</v>
      </c>
      <c r="P16" s="16">
        <v>0</v>
      </c>
      <c r="Q16" s="14">
        <v>0</v>
      </c>
      <c r="R16" s="16">
        <v>0</v>
      </c>
    </row>
    <row r="17" spans="1:18" x14ac:dyDescent="0.25">
      <c r="A17" s="11" t="s">
        <v>149</v>
      </c>
      <c r="B17" s="13">
        <v>6504</v>
      </c>
      <c r="C17" s="14">
        <f>(5411/B17*100)</f>
        <v>83.194956949569502</v>
      </c>
      <c r="D17" s="15">
        <v>1093</v>
      </c>
      <c r="E17" s="14">
        <v>23.605114499999999</v>
      </c>
      <c r="F17" s="16">
        <v>1.2360472</v>
      </c>
      <c r="G17" s="14">
        <v>76.394885500000001</v>
      </c>
      <c r="H17" s="16">
        <v>1.2360472</v>
      </c>
      <c r="I17" s="14" t="s">
        <v>139</v>
      </c>
      <c r="J17" s="16" t="s">
        <v>139</v>
      </c>
      <c r="K17" s="14">
        <v>0</v>
      </c>
      <c r="L17" s="16">
        <v>0</v>
      </c>
      <c r="M17" s="14">
        <v>0</v>
      </c>
      <c r="N17" s="16">
        <v>0</v>
      </c>
      <c r="O17" s="14">
        <v>0</v>
      </c>
      <c r="P17" s="16">
        <v>0</v>
      </c>
      <c r="Q17" s="14">
        <v>0</v>
      </c>
      <c r="R17" s="16">
        <v>0</v>
      </c>
    </row>
    <row r="18" spans="1:18" x14ac:dyDescent="0.25">
      <c r="A18" s="11" t="s">
        <v>150</v>
      </c>
      <c r="B18" s="13">
        <v>5532</v>
      </c>
      <c r="C18" s="14">
        <f>(4567/B18*100)</f>
        <v>82.556037599421543</v>
      </c>
      <c r="D18" s="15">
        <v>965</v>
      </c>
      <c r="E18" s="14">
        <v>29.008868589999999</v>
      </c>
      <c r="F18" s="16">
        <v>1.7495938799999999</v>
      </c>
      <c r="G18" s="14">
        <v>70.991131409999994</v>
      </c>
      <c r="H18" s="16">
        <v>1.7495938799999999</v>
      </c>
      <c r="I18" s="14" t="s">
        <v>139</v>
      </c>
      <c r="J18" s="16" t="s">
        <v>139</v>
      </c>
      <c r="K18" s="14">
        <v>0</v>
      </c>
      <c r="L18" s="16">
        <v>0</v>
      </c>
      <c r="M18" s="14">
        <v>0</v>
      </c>
      <c r="N18" s="16">
        <v>0</v>
      </c>
      <c r="O18" s="14">
        <v>0</v>
      </c>
      <c r="P18" s="16">
        <v>0</v>
      </c>
      <c r="Q18" s="14">
        <v>0</v>
      </c>
      <c r="R18" s="16">
        <v>0</v>
      </c>
    </row>
    <row r="19" spans="1:18" x14ac:dyDescent="0.25">
      <c r="A19" s="11" t="s">
        <v>151</v>
      </c>
      <c r="B19" s="13">
        <v>5658</v>
      </c>
      <c r="C19" s="14">
        <f>(4706/B19*100)</f>
        <v>83.17426652527395</v>
      </c>
      <c r="D19" s="15">
        <v>952</v>
      </c>
      <c r="E19" s="14">
        <v>28.693615600000001</v>
      </c>
      <c r="F19" s="16">
        <v>1.75335698</v>
      </c>
      <c r="G19" s="14">
        <v>71.306384399999999</v>
      </c>
      <c r="H19" s="16">
        <v>1.75335698</v>
      </c>
      <c r="I19" s="14" t="s">
        <v>139</v>
      </c>
      <c r="J19" s="16" t="s">
        <v>139</v>
      </c>
      <c r="K19" s="14">
        <v>0</v>
      </c>
      <c r="L19" s="16">
        <v>0</v>
      </c>
      <c r="M19" s="14">
        <v>0</v>
      </c>
      <c r="N19" s="16">
        <v>0</v>
      </c>
      <c r="O19" s="14">
        <v>0</v>
      </c>
      <c r="P19" s="16">
        <v>0</v>
      </c>
      <c r="Q19" s="14">
        <v>0</v>
      </c>
      <c r="R19" s="16">
        <v>0</v>
      </c>
    </row>
    <row r="20" spans="1:18" x14ac:dyDescent="0.25">
      <c r="A20" s="11" t="s">
        <v>152</v>
      </c>
      <c r="B20" s="13">
        <v>3371</v>
      </c>
      <c r="C20" s="14">
        <f>(2793/B20*100)</f>
        <v>82.853752595668936</v>
      </c>
      <c r="D20" s="15">
        <v>578</v>
      </c>
      <c r="E20" s="14">
        <v>32.633125929999999</v>
      </c>
      <c r="F20" s="16">
        <v>1.96613851</v>
      </c>
      <c r="G20" s="14">
        <v>67.366874069999994</v>
      </c>
      <c r="H20" s="16">
        <v>1.96613851</v>
      </c>
      <c r="I20" s="14" t="s">
        <v>139</v>
      </c>
      <c r="J20" s="16" t="s">
        <v>139</v>
      </c>
      <c r="K20" s="14">
        <v>0</v>
      </c>
      <c r="L20" s="16">
        <v>0</v>
      </c>
      <c r="M20" s="14">
        <v>0</v>
      </c>
      <c r="N20" s="16">
        <v>0</v>
      </c>
      <c r="O20" s="14">
        <v>0</v>
      </c>
      <c r="P20" s="16">
        <v>0</v>
      </c>
      <c r="Q20" s="14">
        <v>0</v>
      </c>
      <c r="R20" s="16">
        <v>0</v>
      </c>
    </row>
    <row r="21" spans="1:18" x14ac:dyDescent="0.25">
      <c r="A21" s="11" t="s">
        <v>153</v>
      </c>
      <c r="B21" s="17" t="s">
        <v>154</v>
      </c>
      <c r="C21" s="17" t="s">
        <v>154</v>
      </c>
      <c r="D21" s="18" t="s">
        <v>154</v>
      </c>
      <c r="E21" s="17" t="s">
        <v>154</v>
      </c>
      <c r="F21" s="18" t="s">
        <v>154</v>
      </c>
      <c r="G21" s="17" t="s">
        <v>154</v>
      </c>
      <c r="H21" s="18" t="s">
        <v>154</v>
      </c>
      <c r="I21" s="17" t="s">
        <v>154</v>
      </c>
      <c r="J21" s="18" t="s">
        <v>154</v>
      </c>
      <c r="K21" s="17" t="s">
        <v>154</v>
      </c>
      <c r="L21" s="18" t="s">
        <v>154</v>
      </c>
      <c r="M21" s="17" t="s">
        <v>154</v>
      </c>
      <c r="N21" s="18" t="s">
        <v>154</v>
      </c>
      <c r="O21" s="17" t="s">
        <v>154</v>
      </c>
      <c r="P21" s="18" t="s">
        <v>154</v>
      </c>
      <c r="Q21" s="17" t="s">
        <v>154</v>
      </c>
      <c r="R21" s="18" t="s">
        <v>154</v>
      </c>
    </row>
    <row r="22" spans="1:18" x14ac:dyDescent="0.25">
      <c r="A22" s="11" t="s">
        <v>155</v>
      </c>
      <c r="B22" s="13">
        <v>6598</v>
      </c>
      <c r="C22" s="14">
        <f>(5572/B22*100)</f>
        <v>84.449833282812975</v>
      </c>
      <c r="D22" s="15">
        <v>1026</v>
      </c>
      <c r="E22" s="14">
        <v>27.604878450000001</v>
      </c>
      <c r="F22" s="16">
        <v>1.47135141</v>
      </c>
      <c r="G22" s="14">
        <v>72.395121549999999</v>
      </c>
      <c r="H22" s="16">
        <v>1.47135141</v>
      </c>
      <c r="I22" s="14" t="s">
        <v>139</v>
      </c>
      <c r="J22" s="16" t="s">
        <v>139</v>
      </c>
      <c r="K22" s="14">
        <v>0</v>
      </c>
      <c r="L22" s="16">
        <v>0</v>
      </c>
      <c r="M22" s="14">
        <v>0</v>
      </c>
      <c r="N22" s="16">
        <v>0</v>
      </c>
      <c r="O22" s="14">
        <v>0</v>
      </c>
      <c r="P22" s="16">
        <v>0</v>
      </c>
      <c r="Q22" s="14">
        <v>0</v>
      </c>
      <c r="R22" s="16">
        <v>0</v>
      </c>
    </row>
    <row r="23" spans="1:18" x14ac:dyDescent="0.25">
      <c r="A23" s="11" t="s">
        <v>156</v>
      </c>
      <c r="B23" s="13">
        <v>11583</v>
      </c>
      <c r="C23" s="14">
        <f>(9607/B23*100)</f>
        <v>82.94051627384961</v>
      </c>
      <c r="D23" s="15">
        <v>1976</v>
      </c>
      <c r="E23" s="14">
        <v>28.14112467</v>
      </c>
      <c r="F23" s="16">
        <v>1.2307868</v>
      </c>
      <c r="G23" s="14">
        <v>71.858875330000004</v>
      </c>
      <c r="H23" s="16">
        <v>1.2307868</v>
      </c>
      <c r="I23" s="14" t="s">
        <v>139</v>
      </c>
      <c r="J23" s="16" t="s">
        <v>139</v>
      </c>
      <c r="K23" s="14">
        <v>0</v>
      </c>
      <c r="L23" s="16">
        <v>0</v>
      </c>
      <c r="M23" s="14">
        <v>0</v>
      </c>
      <c r="N23" s="16">
        <v>0</v>
      </c>
      <c r="O23" s="14">
        <v>0</v>
      </c>
      <c r="P23" s="16">
        <v>0</v>
      </c>
      <c r="Q23" s="14">
        <v>0</v>
      </c>
      <c r="R23" s="16">
        <v>0</v>
      </c>
    </row>
    <row r="24" spans="1:18" x14ac:dyDescent="0.25">
      <c r="A24" s="11" t="s">
        <v>157</v>
      </c>
      <c r="B24" s="13">
        <v>6647</v>
      </c>
      <c r="C24" s="14">
        <f>(5489/B24*100)</f>
        <v>82.578606890326469</v>
      </c>
      <c r="D24" s="15">
        <v>1158</v>
      </c>
      <c r="E24" s="14">
        <v>20.264789759999999</v>
      </c>
      <c r="F24" s="16">
        <v>1.4230210599999999</v>
      </c>
      <c r="G24" s="14">
        <v>79.735210240000001</v>
      </c>
      <c r="H24" s="16">
        <v>1.4230210599999999</v>
      </c>
      <c r="I24" s="14" t="s">
        <v>139</v>
      </c>
      <c r="J24" s="16" t="s">
        <v>139</v>
      </c>
      <c r="K24" s="14">
        <v>0</v>
      </c>
      <c r="L24" s="16">
        <v>0</v>
      </c>
      <c r="M24" s="14">
        <v>0</v>
      </c>
      <c r="N24" s="16">
        <v>0</v>
      </c>
      <c r="O24" s="14">
        <v>0</v>
      </c>
      <c r="P24" s="16">
        <v>0</v>
      </c>
      <c r="Q24" s="14">
        <v>0</v>
      </c>
      <c r="R24" s="16">
        <v>0</v>
      </c>
    </row>
    <row r="25" spans="1:18" x14ac:dyDescent="0.25">
      <c r="A25" s="11" t="s">
        <v>158</v>
      </c>
      <c r="B25" s="13">
        <v>5581</v>
      </c>
      <c r="C25" s="14">
        <f>(4617/B25*100)</f>
        <v>82.727109836946795</v>
      </c>
      <c r="D25" s="15">
        <v>964</v>
      </c>
      <c r="E25" s="14">
        <v>15.115957610000001</v>
      </c>
      <c r="F25" s="16">
        <v>1.1359797899999999</v>
      </c>
      <c r="G25" s="14">
        <v>84.884042390000005</v>
      </c>
      <c r="H25" s="16">
        <v>1.1359797899999999</v>
      </c>
      <c r="I25" s="14" t="s">
        <v>139</v>
      </c>
      <c r="J25" s="16" t="s">
        <v>139</v>
      </c>
      <c r="K25" s="14">
        <v>0</v>
      </c>
      <c r="L25" s="16">
        <v>0</v>
      </c>
      <c r="M25" s="14">
        <v>0</v>
      </c>
      <c r="N25" s="16">
        <v>0</v>
      </c>
      <c r="O25" s="14">
        <v>0</v>
      </c>
      <c r="P25" s="16">
        <v>0</v>
      </c>
      <c r="Q25" s="14">
        <v>0</v>
      </c>
      <c r="R25" s="16">
        <v>0</v>
      </c>
    </row>
    <row r="26" spans="1:18" x14ac:dyDescent="0.25">
      <c r="A26" s="11" t="s">
        <v>159</v>
      </c>
      <c r="B26" s="13">
        <v>4869</v>
      </c>
      <c r="C26" s="14">
        <f>(4010/B26*100)</f>
        <v>82.357773670158139</v>
      </c>
      <c r="D26" s="15">
        <v>859</v>
      </c>
      <c r="E26" s="14">
        <v>31.099231450000001</v>
      </c>
      <c r="F26" s="16">
        <v>1.67794467</v>
      </c>
      <c r="G26" s="14">
        <v>68.900768549999995</v>
      </c>
      <c r="H26" s="16">
        <v>1.67794467</v>
      </c>
      <c r="I26" s="14" t="s">
        <v>139</v>
      </c>
      <c r="J26" s="16" t="s">
        <v>139</v>
      </c>
      <c r="K26" s="14">
        <v>0</v>
      </c>
      <c r="L26" s="16">
        <v>0</v>
      </c>
      <c r="M26" s="14">
        <v>0</v>
      </c>
      <c r="N26" s="16">
        <v>0</v>
      </c>
      <c r="O26" s="14">
        <v>0</v>
      </c>
      <c r="P26" s="16">
        <v>0</v>
      </c>
      <c r="Q26" s="14">
        <v>0</v>
      </c>
      <c r="R26" s="16">
        <v>0</v>
      </c>
    </row>
    <row r="27" spans="1:18" x14ac:dyDescent="0.25">
      <c r="A27" s="11" t="s">
        <v>160</v>
      </c>
      <c r="B27" s="13">
        <v>5299</v>
      </c>
      <c r="C27" s="14">
        <f>(4387/B27*100)</f>
        <v>82.789205510473678</v>
      </c>
      <c r="D27" s="15">
        <v>912</v>
      </c>
      <c r="E27" s="14">
        <v>30.609078109999999</v>
      </c>
      <c r="F27" s="16">
        <v>1.4376103899999999</v>
      </c>
      <c r="G27" s="14">
        <v>69.390921890000001</v>
      </c>
      <c r="H27" s="16">
        <v>1.4376103899999999</v>
      </c>
      <c r="I27" s="14" t="s">
        <v>139</v>
      </c>
      <c r="J27" s="16" t="s">
        <v>139</v>
      </c>
      <c r="K27" s="14">
        <v>0</v>
      </c>
      <c r="L27" s="16">
        <v>0</v>
      </c>
      <c r="M27" s="14">
        <v>0</v>
      </c>
      <c r="N27" s="16">
        <v>0</v>
      </c>
      <c r="O27" s="14">
        <v>0</v>
      </c>
      <c r="P27" s="16">
        <v>0</v>
      </c>
      <c r="Q27" s="14">
        <v>0</v>
      </c>
      <c r="R27" s="16">
        <v>0</v>
      </c>
    </row>
    <row r="28" spans="1:18" x14ac:dyDescent="0.25">
      <c r="A28" s="11" t="s">
        <v>161</v>
      </c>
      <c r="B28" s="13">
        <v>7568</v>
      </c>
      <c r="C28" s="14">
        <f>(6360/B28*100)</f>
        <v>84.038054968287526</v>
      </c>
      <c r="D28" s="15">
        <v>1208</v>
      </c>
      <c r="E28" s="14">
        <v>41.128059120000003</v>
      </c>
      <c r="F28" s="16">
        <v>1.47249443</v>
      </c>
      <c r="G28" s="14">
        <v>58.871940879999997</v>
      </c>
      <c r="H28" s="16">
        <v>1.47249443</v>
      </c>
      <c r="I28" s="14" t="s">
        <v>139</v>
      </c>
      <c r="J28" s="16" t="s">
        <v>139</v>
      </c>
      <c r="K28" s="14">
        <v>0</v>
      </c>
      <c r="L28" s="16">
        <v>0</v>
      </c>
      <c r="M28" s="14">
        <v>0</v>
      </c>
      <c r="N28" s="16">
        <v>0</v>
      </c>
      <c r="O28" s="14">
        <v>0</v>
      </c>
      <c r="P28" s="16">
        <v>0</v>
      </c>
      <c r="Q28" s="14">
        <v>0</v>
      </c>
      <c r="R28" s="16">
        <v>0</v>
      </c>
    </row>
    <row r="29" spans="1:18" x14ac:dyDescent="0.25">
      <c r="A29" s="11" t="s">
        <v>162</v>
      </c>
      <c r="B29" s="13">
        <v>5385</v>
      </c>
      <c r="C29" s="14">
        <f>(4470/B29*100)</f>
        <v>83.008356545961007</v>
      </c>
      <c r="D29" s="15">
        <v>915</v>
      </c>
      <c r="E29" s="14">
        <v>18.550433170000002</v>
      </c>
      <c r="F29" s="16">
        <v>1.29509287</v>
      </c>
      <c r="G29" s="14">
        <v>81.449566829999995</v>
      </c>
      <c r="H29" s="16">
        <v>1.29509287</v>
      </c>
      <c r="I29" s="14" t="s">
        <v>139</v>
      </c>
      <c r="J29" s="16" t="s">
        <v>139</v>
      </c>
      <c r="K29" s="14">
        <v>0</v>
      </c>
      <c r="L29" s="16">
        <v>0</v>
      </c>
      <c r="M29" s="14">
        <v>0</v>
      </c>
      <c r="N29" s="16">
        <v>0</v>
      </c>
      <c r="O29" s="14">
        <v>0</v>
      </c>
      <c r="P29" s="16">
        <v>0</v>
      </c>
      <c r="Q29" s="14">
        <v>0</v>
      </c>
      <c r="R29" s="16">
        <v>0</v>
      </c>
    </row>
    <row r="30" spans="1:18" x14ac:dyDescent="0.25">
      <c r="A30" s="11" t="s">
        <v>163</v>
      </c>
      <c r="B30" s="13">
        <v>4520</v>
      </c>
      <c r="C30" s="14">
        <f>(3750/B30*100)</f>
        <v>82.964601769911511</v>
      </c>
      <c r="D30" s="15">
        <v>770</v>
      </c>
      <c r="E30" s="14">
        <v>24.648897430000002</v>
      </c>
      <c r="F30" s="16">
        <v>1.6762953700000001</v>
      </c>
      <c r="G30" s="14">
        <v>75.351102569999995</v>
      </c>
      <c r="H30" s="16">
        <v>1.6762953700000001</v>
      </c>
      <c r="I30" s="14" t="s">
        <v>139</v>
      </c>
      <c r="J30" s="16" t="s">
        <v>139</v>
      </c>
      <c r="K30" s="14">
        <v>0</v>
      </c>
      <c r="L30" s="16">
        <v>0</v>
      </c>
      <c r="M30" s="14">
        <v>0</v>
      </c>
      <c r="N30" s="16">
        <v>0</v>
      </c>
      <c r="O30" s="14">
        <v>0</v>
      </c>
      <c r="P30" s="16">
        <v>0</v>
      </c>
      <c r="Q30" s="14">
        <v>0</v>
      </c>
      <c r="R30" s="16">
        <v>0</v>
      </c>
    </row>
    <row r="31" spans="1:18" x14ac:dyDescent="0.25">
      <c r="A31" s="11" t="s">
        <v>164</v>
      </c>
      <c r="B31" s="13">
        <v>5456</v>
      </c>
      <c r="C31" s="14">
        <f>(4538/B31*100)</f>
        <v>83.174486803519059</v>
      </c>
      <c r="D31" s="15">
        <v>918</v>
      </c>
      <c r="E31" s="14">
        <v>27.097397999999998</v>
      </c>
      <c r="F31" s="16">
        <v>1.46540582</v>
      </c>
      <c r="G31" s="14">
        <v>72.902602000000002</v>
      </c>
      <c r="H31" s="16">
        <v>1.46540582</v>
      </c>
      <c r="I31" s="14" t="s">
        <v>139</v>
      </c>
      <c r="J31" s="16" t="s">
        <v>139</v>
      </c>
      <c r="K31" s="14">
        <v>0</v>
      </c>
      <c r="L31" s="16">
        <v>0</v>
      </c>
      <c r="M31" s="14">
        <v>0</v>
      </c>
      <c r="N31" s="16">
        <v>0</v>
      </c>
      <c r="O31" s="14">
        <v>0</v>
      </c>
      <c r="P31" s="16">
        <v>0</v>
      </c>
      <c r="Q31" s="14">
        <v>0</v>
      </c>
      <c r="R31" s="16">
        <v>0</v>
      </c>
    </row>
    <row r="32" spans="1:18" x14ac:dyDescent="0.25">
      <c r="A32" s="11" t="s">
        <v>165</v>
      </c>
      <c r="B32" s="17" t="s">
        <v>154</v>
      </c>
      <c r="C32" s="17" t="s">
        <v>154</v>
      </c>
      <c r="D32" s="18" t="s">
        <v>154</v>
      </c>
      <c r="E32" s="17" t="s">
        <v>154</v>
      </c>
      <c r="F32" s="18" t="s">
        <v>154</v>
      </c>
      <c r="G32" s="17" t="s">
        <v>154</v>
      </c>
      <c r="H32" s="18" t="s">
        <v>154</v>
      </c>
      <c r="I32" s="17" t="s">
        <v>154</v>
      </c>
      <c r="J32" s="18" t="s">
        <v>154</v>
      </c>
      <c r="K32" s="17" t="s">
        <v>154</v>
      </c>
      <c r="L32" s="18" t="s">
        <v>154</v>
      </c>
      <c r="M32" s="17" t="s">
        <v>154</v>
      </c>
      <c r="N32" s="18" t="s">
        <v>154</v>
      </c>
      <c r="O32" s="17" t="s">
        <v>154</v>
      </c>
      <c r="P32" s="18" t="s">
        <v>154</v>
      </c>
      <c r="Q32" s="17" t="s">
        <v>154</v>
      </c>
      <c r="R32" s="18" t="s">
        <v>154</v>
      </c>
    </row>
    <row r="33" spans="1:18" x14ac:dyDescent="0.25">
      <c r="A33" s="11" t="s">
        <v>166</v>
      </c>
      <c r="B33" s="13">
        <v>7325</v>
      </c>
      <c r="C33" s="14">
        <f>(6113/B33*100)</f>
        <v>83.453924914675767</v>
      </c>
      <c r="D33" s="15">
        <v>1212</v>
      </c>
      <c r="E33" s="14">
        <v>25.22210771</v>
      </c>
      <c r="F33" s="16">
        <v>1.32457124</v>
      </c>
      <c r="G33" s="14">
        <v>74.777892289999997</v>
      </c>
      <c r="H33" s="16">
        <v>1.32457124</v>
      </c>
      <c r="I33" s="14" t="s">
        <v>139</v>
      </c>
      <c r="J33" s="16" t="s">
        <v>139</v>
      </c>
      <c r="K33" s="14">
        <v>0</v>
      </c>
      <c r="L33" s="16">
        <v>0</v>
      </c>
      <c r="M33" s="14">
        <v>0</v>
      </c>
      <c r="N33" s="16">
        <v>0</v>
      </c>
      <c r="O33" s="14">
        <v>0</v>
      </c>
      <c r="P33" s="16">
        <v>0</v>
      </c>
      <c r="Q33" s="14">
        <v>0</v>
      </c>
      <c r="R33" s="16">
        <v>0</v>
      </c>
    </row>
    <row r="34" spans="1:18" x14ac:dyDescent="0.25">
      <c r="A34" s="11" t="s">
        <v>167</v>
      </c>
      <c r="B34" s="13">
        <v>6350</v>
      </c>
      <c r="C34" s="14">
        <f>(5294/B34*100)</f>
        <v>83.370078740157481</v>
      </c>
      <c r="D34" s="15">
        <v>1056</v>
      </c>
      <c r="E34" s="14">
        <v>35.610711449999997</v>
      </c>
      <c r="F34" s="16">
        <v>1.6376679199999999</v>
      </c>
      <c r="G34" s="14">
        <v>64.389288550000003</v>
      </c>
      <c r="H34" s="16">
        <v>1.6376679199999999</v>
      </c>
      <c r="I34" s="14" t="s">
        <v>139</v>
      </c>
      <c r="J34" s="16" t="s">
        <v>139</v>
      </c>
      <c r="K34" s="14">
        <v>0</v>
      </c>
      <c r="L34" s="16">
        <v>0</v>
      </c>
      <c r="M34" s="14">
        <v>0</v>
      </c>
      <c r="N34" s="16">
        <v>0</v>
      </c>
      <c r="O34" s="14">
        <v>0</v>
      </c>
      <c r="P34" s="16">
        <v>0</v>
      </c>
      <c r="Q34" s="14">
        <v>0</v>
      </c>
      <c r="R34" s="16">
        <v>0</v>
      </c>
    </row>
    <row r="35" spans="1:18" x14ac:dyDescent="0.25">
      <c r="A35" s="11" t="s">
        <v>168</v>
      </c>
      <c r="B35" s="13">
        <v>6406</v>
      </c>
      <c r="C35" s="14">
        <f>(5302/B35*100)</f>
        <v>82.766156728067443</v>
      </c>
      <c r="D35" s="15">
        <v>1104</v>
      </c>
      <c r="E35" s="14">
        <v>25.71488209</v>
      </c>
      <c r="F35" s="16">
        <v>1.47291124</v>
      </c>
      <c r="G35" s="14">
        <v>74.285117909999997</v>
      </c>
      <c r="H35" s="16">
        <v>1.47291124</v>
      </c>
      <c r="I35" s="14" t="s">
        <v>139</v>
      </c>
      <c r="J35" s="16" t="s">
        <v>139</v>
      </c>
      <c r="K35" s="14">
        <v>0</v>
      </c>
      <c r="L35" s="16">
        <v>0</v>
      </c>
      <c r="M35" s="14">
        <v>0</v>
      </c>
      <c r="N35" s="16">
        <v>0</v>
      </c>
      <c r="O35" s="14">
        <v>0</v>
      </c>
      <c r="P35" s="16">
        <v>0</v>
      </c>
      <c r="Q35" s="14">
        <v>0</v>
      </c>
      <c r="R35" s="16">
        <v>0</v>
      </c>
    </row>
    <row r="36" spans="1:18" x14ac:dyDescent="0.25">
      <c r="A36" s="11" t="s">
        <v>169</v>
      </c>
      <c r="B36" s="13">
        <v>6736</v>
      </c>
      <c r="C36" s="14">
        <f>(5585/B36*100)</f>
        <v>82.912707838479818</v>
      </c>
      <c r="D36" s="15">
        <v>1151</v>
      </c>
      <c r="E36" s="14">
        <v>29.015952500000001</v>
      </c>
      <c r="F36" s="16">
        <v>1.2324297799999999</v>
      </c>
      <c r="G36" s="14">
        <v>70.984047500000003</v>
      </c>
      <c r="H36" s="16">
        <v>1.2324297799999999</v>
      </c>
      <c r="I36" s="14" t="s">
        <v>139</v>
      </c>
      <c r="J36" s="16" t="s">
        <v>139</v>
      </c>
      <c r="K36" s="14">
        <v>0</v>
      </c>
      <c r="L36" s="16">
        <v>0</v>
      </c>
      <c r="M36" s="14">
        <v>0</v>
      </c>
      <c r="N36" s="16">
        <v>0</v>
      </c>
      <c r="O36" s="14">
        <v>0</v>
      </c>
      <c r="P36" s="16">
        <v>0</v>
      </c>
      <c r="Q36" s="14">
        <v>0</v>
      </c>
      <c r="R36" s="16">
        <v>0</v>
      </c>
    </row>
    <row r="37" spans="1:18" x14ac:dyDescent="0.25">
      <c r="A37" s="11" t="s">
        <v>170</v>
      </c>
      <c r="B37" s="13">
        <v>5458</v>
      </c>
      <c r="C37" s="14">
        <f>(4562/B37*100)</f>
        <v>83.583730304140715</v>
      </c>
      <c r="D37" s="15">
        <v>896</v>
      </c>
      <c r="E37" s="14">
        <v>23.239444850000002</v>
      </c>
      <c r="F37" s="16">
        <v>1.32931365</v>
      </c>
      <c r="G37" s="14">
        <v>76.760555150000002</v>
      </c>
      <c r="H37" s="16">
        <v>1.32931365</v>
      </c>
      <c r="I37" s="14" t="s">
        <v>139</v>
      </c>
      <c r="J37" s="16" t="s">
        <v>139</v>
      </c>
      <c r="K37" s="14">
        <v>0</v>
      </c>
      <c r="L37" s="16">
        <v>0</v>
      </c>
      <c r="M37" s="14">
        <v>0</v>
      </c>
      <c r="N37" s="16">
        <v>0</v>
      </c>
      <c r="O37" s="14">
        <v>0</v>
      </c>
      <c r="P37" s="16">
        <v>0</v>
      </c>
      <c r="Q37" s="14">
        <v>0</v>
      </c>
      <c r="R37" s="16">
        <v>0</v>
      </c>
    </row>
    <row r="38" spans="1:18" x14ac:dyDescent="0.25">
      <c r="A38" s="11" t="s">
        <v>171</v>
      </c>
      <c r="B38" s="17" t="s">
        <v>154</v>
      </c>
      <c r="C38" s="17" t="s">
        <v>154</v>
      </c>
      <c r="D38" s="18" t="s">
        <v>154</v>
      </c>
      <c r="E38" s="17" t="s">
        <v>154</v>
      </c>
      <c r="F38" s="18" t="s">
        <v>154</v>
      </c>
      <c r="G38" s="17" t="s">
        <v>154</v>
      </c>
      <c r="H38" s="18" t="s">
        <v>154</v>
      </c>
      <c r="I38" s="17" t="s">
        <v>154</v>
      </c>
      <c r="J38" s="18" t="s">
        <v>154</v>
      </c>
      <c r="K38" s="17" t="s">
        <v>154</v>
      </c>
      <c r="L38" s="18" t="s">
        <v>154</v>
      </c>
      <c r="M38" s="17" t="s">
        <v>154</v>
      </c>
      <c r="N38" s="18" t="s">
        <v>154</v>
      </c>
      <c r="O38" s="17" t="s">
        <v>154</v>
      </c>
      <c r="P38" s="18" t="s">
        <v>154</v>
      </c>
      <c r="Q38" s="17" t="s">
        <v>154</v>
      </c>
      <c r="R38" s="18" t="s">
        <v>154</v>
      </c>
    </row>
    <row r="39" spans="1:18" x14ac:dyDescent="0.25">
      <c r="A39" s="11" t="s">
        <v>172</v>
      </c>
      <c r="B39" s="13">
        <v>5895</v>
      </c>
      <c r="C39" s="14">
        <f>(4871/B39*100)</f>
        <v>82.629346904156066</v>
      </c>
      <c r="D39" s="15">
        <v>1024</v>
      </c>
      <c r="E39" s="14">
        <v>41.02584753</v>
      </c>
      <c r="F39" s="16">
        <v>1.7678132900000001</v>
      </c>
      <c r="G39" s="14">
        <v>58.97415247</v>
      </c>
      <c r="H39" s="16">
        <v>1.7678132900000001</v>
      </c>
      <c r="I39" s="14" t="s">
        <v>139</v>
      </c>
      <c r="J39" s="16" t="s">
        <v>139</v>
      </c>
      <c r="K39" s="14">
        <v>0</v>
      </c>
      <c r="L39" s="16">
        <v>0</v>
      </c>
      <c r="M39" s="14">
        <v>0</v>
      </c>
      <c r="N39" s="16">
        <v>0</v>
      </c>
      <c r="O39" s="14">
        <v>0</v>
      </c>
      <c r="P39" s="16">
        <v>0</v>
      </c>
      <c r="Q39" s="14">
        <v>0</v>
      </c>
      <c r="R39" s="16">
        <v>0</v>
      </c>
    </row>
    <row r="40" spans="1:18" x14ac:dyDescent="0.25">
      <c r="A40" s="11" t="s">
        <v>173</v>
      </c>
      <c r="B40" s="13">
        <v>14157</v>
      </c>
      <c r="C40" s="14">
        <f>(11638/B40*100)</f>
        <v>82.206682206682203</v>
      </c>
      <c r="D40" s="15">
        <v>2519</v>
      </c>
      <c r="E40" s="14">
        <v>30.197570670000001</v>
      </c>
      <c r="F40" s="16">
        <v>1.4760866399999999</v>
      </c>
      <c r="G40" s="14">
        <v>69.802429329999995</v>
      </c>
      <c r="H40" s="16">
        <v>1.4760866399999999</v>
      </c>
      <c r="I40" s="14" t="s">
        <v>139</v>
      </c>
      <c r="J40" s="16" t="s">
        <v>139</v>
      </c>
      <c r="K40" s="14">
        <v>0</v>
      </c>
      <c r="L40" s="16">
        <v>0</v>
      </c>
      <c r="M40" s="14">
        <v>0</v>
      </c>
      <c r="N40" s="16">
        <v>0</v>
      </c>
      <c r="O40" s="14">
        <v>0</v>
      </c>
      <c r="P40" s="16">
        <v>0</v>
      </c>
      <c r="Q40" s="14">
        <v>0</v>
      </c>
      <c r="R40" s="16">
        <v>0</v>
      </c>
    </row>
    <row r="41" spans="1:18" x14ac:dyDescent="0.25">
      <c r="A41" s="11" t="s">
        <v>174</v>
      </c>
      <c r="B41" s="13">
        <v>5712</v>
      </c>
      <c r="C41" s="14">
        <f>(4761/B41*100)</f>
        <v>83.350840336134453</v>
      </c>
      <c r="D41" s="15">
        <v>951</v>
      </c>
      <c r="E41" s="14">
        <v>25.029808930000002</v>
      </c>
      <c r="F41" s="16">
        <v>1.31706477</v>
      </c>
      <c r="G41" s="14">
        <v>74.970191069999998</v>
      </c>
      <c r="H41" s="16">
        <v>1.31706477</v>
      </c>
      <c r="I41" s="14" t="s">
        <v>139</v>
      </c>
      <c r="J41" s="16" t="s">
        <v>139</v>
      </c>
      <c r="K41" s="14">
        <v>0</v>
      </c>
      <c r="L41" s="16">
        <v>0</v>
      </c>
      <c r="M41" s="14">
        <v>0</v>
      </c>
      <c r="N41" s="16">
        <v>0</v>
      </c>
      <c r="O41" s="14">
        <v>0</v>
      </c>
      <c r="P41" s="16">
        <v>0</v>
      </c>
      <c r="Q41" s="14">
        <v>0</v>
      </c>
      <c r="R41" s="16">
        <v>0</v>
      </c>
    </row>
    <row r="42" spans="1:18" x14ac:dyDescent="0.25">
      <c r="A42" s="11" t="s">
        <v>175</v>
      </c>
      <c r="B42" s="13">
        <f>IF(COUNT(B7:B41) &gt; 0, AVERAGE(B7:B41), "\u2014")</f>
        <v>7266.90625</v>
      </c>
      <c r="C42" s="14">
        <f>IF(COUNT(C7:C41) &gt; 0, AVERAGE(C7:C41), "—")</f>
        <v>83.063896246658985</v>
      </c>
      <c r="D42" s="15">
        <f>IF(COUNT(D7:D41) &gt; 0, AVERAGE(D7:D41), "—")</f>
        <v>1232.21875</v>
      </c>
      <c r="E42" s="14">
        <f>IF(COUNT(E7:E41) &gt; 0, AVERAGE(E7:E41), "—")</f>
        <v>27.615879019375001</v>
      </c>
      <c r="F42" s="16">
        <f>IF(COUNT(F7:F41) &gt; 0, SQRT(SUMSQ(F7:F41)/(COUNT(F7:F41)*COUNT(F7:F41)) ), "—")</f>
        <v>0.25581100817834279</v>
      </c>
      <c r="G42" s="14">
        <f>IF(COUNT(G7:G41) &gt; 0, AVERAGE(G7:G41), "—")</f>
        <v>72.384120980625013</v>
      </c>
      <c r="H42" s="16">
        <f>IF(COUNT(H7:H41) &gt; 0, SQRT(SUMSQ(H7:H41)/(COUNT(H7:H41)*COUNT(H7:H41)) ), "—")</f>
        <v>0.25581100817834279</v>
      </c>
      <c r="I42" s="14" t="str">
        <f>IF(COUNT(I7:I41) &gt; 0, AVERAGE(I7:I41), "—")</f>
        <v>—</v>
      </c>
      <c r="J42" s="16" t="str">
        <f>IF(COUNT(J7:J41) &gt; 0, SQRT(SUMSQ(J7:J41)/(COUNT(J7:J41)*COUNT(J7:J41)) ), "—")</f>
        <v>—</v>
      </c>
      <c r="K42" s="14">
        <f>IF(COUNT(K7:K41) &gt; 0, AVERAGE(K7:K41), "—")</f>
        <v>0</v>
      </c>
      <c r="L42" s="16">
        <f>IF(COUNT(L7:L41) &gt; 0, SQRT(SUMSQ(L7:L41)/(COUNT(L7:L41)*COUNT(L7:L41)) ), "—")</f>
        <v>0</v>
      </c>
      <c r="M42" s="14">
        <f>IF(COUNT(M7:M41) &gt; 0, AVERAGE(M7:M41), "—")</f>
        <v>0</v>
      </c>
      <c r="N42" s="16">
        <f>IF(COUNT(N7:N41) &gt; 0, SQRT(SUMSQ(N7:N41)/(COUNT(N7:N41)*COUNT(N7:N41)) ), "—")</f>
        <v>0</v>
      </c>
      <c r="O42" s="14">
        <f>IF(COUNT(O7:O41) &gt; 0, AVERAGE(O7:O41), "—")</f>
        <v>0</v>
      </c>
      <c r="P42" s="16">
        <f>IF(COUNT(P7:P41) &gt; 0, SQRT(SUMSQ(P7:P41)/(COUNT(P7:P41)*COUNT(P7:P41)) ), "—")</f>
        <v>0</v>
      </c>
      <c r="Q42" s="14">
        <f>IF(COUNT(Q7:Q41) &gt; 0, AVERAGE(Q7:Q41), "—")</f>
        <v>0</v>
      </c>
      <c r="R42" s="16">
        <f>IF(COUNT(R7:R41) &gt; 0, SQRT(SUMSQ(R7:R41)/(COUNT(R7:R41)*COUNT(R7:R41)) ), "—")</f>
        <v>0</v>
      </c>
    </row>
    <row r="43" spans="1:18" x14ac:dyDescent="0.25">
      <c r="A43" s="9" t="s">
        <v>176</v>
      </c>
      <c r="B43" s="10"/>
      <c r="C43" s="10"/>
      <c r="D43" s="11"/>
      <c r="E43" s="10"/>
      <c r="F43" s="11"/>
      <c r="G43" s="10"/>
      <c r="H43" s="11"/>
      <c r="I43" s="10"/>
      <c r="J43" s="11"/>
      <c r="K43" s="10"/>
      <c r="L43" s="11"/>
      <c r="M43" s="10"/>
      <c r="N43" s="11"/>
      <c r="O43" s="10"/>
      <c r="P43" s="11"/>
      <c r="Q43" s="10"/>
      <c r="R43" s="12"/>
    </row>
    <row r="44" spans="1:18" x14ac:dyDescent="0.25">
      <c r="A44" s="11" t="s">
        <v>177</v>
      </c>
      <c r="B44" s="17" t="s">
        <v>154</v>
      </c>
      <c r="C44" s="17" t="s">
        <v>154</v>
      </c>
      <c r="D44" s="18" t="s">
        <v>154</v>
      </c>
      <c r="E44" s="17" t="s">
        <v>154</v>
      </c>
      <c r="F44" s="18" t="s">
        <v>154</v>
      </c>
      <c r="G44" s="17" t="s">
        <v>154</v>
      </c>
      <c r="H44" s="18" t="s">
        <v>154</v>
      </c>
      <c r="I44" s="17" t="s">
        <v>154</v>
      </c>
      <c r="J44" s="18" t="s">
        <v>154</v>
      </c>
      <c r="K44" s="17" t="s">
        <v>154</v>
      </c>
      <c r="L44" s="18" t="s">
        <v>154</v>
      </c>
      <c r="M44" s="17" t="s">
        <v>154</v>
      </c>
      <c r="N44" s="18" t="s">
        <v>154</v>
      </c>
      <c r="O44" s="17" t="s">
        <v>154</v>
      </c>
      <c r="P44" s="18" t="s">
        <v>154</v>
      </c>
      <c r="Q44" s="17" t="s">
        <v>154</v>
      </c>
      <c r="R44" s="18" t="s">
        <v>154</v>
      </c>
    </row>
    <row r="45" spans="1:18" x14ac:dyDescent="0.25">
      <c r="A45" s="11" t="s">
        <v>178</v>
      </c>
      <c r="B45" s="17" t="s">
        <v>154</v>
      </c>
      <c r="C45" s="17" t="s">
        <v>154</v>
      </c>
      <c r="D45" s="18" t="s">
        <v>154</v>
      </c>
      <c r="E45" s="17" t="s">
        <v>154</v>
      </c>
      <c r="F45" s="18" t="s">
        <v>154</v>
      </c>
      <c r="G45" s="17" t="s">
        <v>154</v>
      </c>
      <c r="H45" s="18" t="s">
        <v>154</v>
      </c>
      <c r="I45" s="17" t="s">
        <v>154</v>
      </c>
      <c r="J45" s="18" t="s">
        <v>154</v>
      </c>
      <c r="K45" s="17" t="s">
        <v>154</v>
      </c>
      <c r="L45" s="18" t="s">
        <v>154</v>
      </c>
      <c r="M45" s="17" t="s">
        <v>154</v>
      </c>
      <c r="N45" s="18" t="s">
        <v>154</v>
      </c>
      <c r="O45" s="17" t="s">
        <v>154</v>
      </c>
      <c r="P45" s="18" t="s">
        <v>154</v>
      </c>
      <c r="Q45" s="17" t="s">
        <v>154</v>
      </c>
      <c r="R45" s="18" t="s">
        <v>154</v>
      </c>
    </row>
    <row r="46" spans="1:18" x14ac:dyDescent="0.25">
      <c r="A46" s="11" t="s">
        <v>179</v>
      </c>
      <c r="B46" s="13">
        <v>23141</v>
      </c>
      <c r="C46" s="14">
        <f>(19884/B46*100)</f>
        <v>85.925413767771488</v>
      </c>
      <c r="D46" s="15">
        <v>3257</v>
      </c>
      <c r="E46" s="14">
        <v>39.348356029999998</v>
      </c>
      <c r="F46" s="16">
        <v>1.25415162</v>
      </c>
      <c r="G46" s="14">
        <v>60.651643970000002</v>
      </c>
      <c r="H46" s="16">
        <v>1.25415162</v>
      </c>
      <c r="I46" s="14" t="s">
        <v>139</v>
      </c>
      <c r="J46" s="16" t="s">
        <v>139</v>
      </c>
      <c r="K46" s="14">
        <v>0</v>
      </c>
      <c r="L46" s="16">
        <v>0</v>
      </c>
      <c r="M46" s="14">
        <v>0</v>
      </c>
      <c r="N46" s="16">
        <v>0</v>
      </c>
      <c r="O46" s="14">
        <v>0</v>
      </c>
      <c r="P46" s="16">
        <v>0</v>
      </c>
      <c r="Q46" s="14">
        <v>0</v>
      </c>
      <c r="R46" s="16">
        <v>0</v>
      </c>
    </row>
    <row r="47" spans="1:18" x14ac:dyDescent="0.25">
      <c r="A47" s="11" t="s">
        <v>180</v>
      </c>
      <c r="B47" s="13">
        <v>5928</v>
      </c>
      <c r="C47" s="14">
        <f>(4936/B47*100)</f>
        <v>83.265856950067473</v>
      </c>
      <c r="D47" s="15">
        <v>992</v>
      </c>
      <c r="E47" s="14">
        <v>34.335195370000001</v>
      </c>
      <c r="F47" s="16">
        <v>1.7789224699999999</v>
      </c>
      <c r="G47" s="14">
        <v>65.664804630000006</v>
      </c>
      <c r="H47" s="16">
        <v>1.7789224699999999</v>
      </c>
      <c r="I47" s="14" t="s">
        <v>139</v>
      </c>
      <c r="J47" s="16" t="s">
        <v>139</v>
      </c>
      <c r="K47" s="14">
        <v>0</v>
      </c>
      <c r="L47" s="16">
        <v>0</v>
      </c>
      <c r="M47" s="14">
        <v>0</v>
      </c>
      <c r="N47" s="16">
        <v>0</v>
      </c>
      <c r="O47" s="14">
        <v>0</v>
      </c>
      <c r="P47" s="16">
        <v>0</v>
      </c>
      <c r="Q47" s="14">
        <v>0</v>
      </c>
      <c r="R47" s="16">
        <v>0</v>
      </c>
    </row>
    <row r="48" spans="1:18" x14ac:dyDescent="0.25">
      <c r="A48" s="11" t="s">
        <v>181</v>
      </c>
      <c r="B48" s="13">
        <v>9841</v>
      </c>
      <c r="C48" s="14">
        <f>(8151/B48*100)</f>
        <v>82.826948480845445</v>
      </c>
      <c r="D48" s="15">
        <v>1690</v>
      </c>
      <c r="E48" s="14">
        <v>30.478822430000001</v>
      </c>
      <c r="F48" s="16">
        <v>1.8674799</v>
      </c>
      <c r="G48" s="14">
        <v>69.521177570000006</v>
      </c>
      <c r="H48" s="16">
        <v>1.8674799</v>
      </c>
      <c r="I48" s="14" t="s">
        <v>139</v>
      </c>
      <c r="J48" s="16" t="s">
        <v>139</v>
      </c>
      <c r="K48" s="14">
        <v>0</v>
      </c>
      <c r="L48" s="16">
        <v>0</v>
      </c>
      <c r="M48" s="14">
        <v>0</v>
      </c>
      <c r="N48" s="16">
        <v>0</v>
      </c>
      <c r="O48" s="14">
        <v>0</v>
      </c>
      <c r="P48" s="16">
        <v>0</v>
      </c>
      <c r="Q48" s="14">
        <v>0</v>
      </c>
      <c r="R48" s="16">
        <v>0</v>
      </c>
    </row>
    <row r="49" spans="1:18" x14ac:dyDescent="0.25">
      <c r="A49" s="11" t="s">
        <v>182</v>
      </c>
      <c r="B49" s="17" t="s">
        <v>154</v>
      </c>
      <c r="C49" s="17" t="s">
        <v>154</v>
      </c>
      <c r="D49" s="18" t="s">
        <v>154</v>
      </c>
      <c r="E49" s="17" t="s">
        <v>154</v>
      </c>
      <c r="F49" s="18" t="s">
        <v>154</v>
      </c>
      <c r="G49" s="17" t="s">
        <v>154</v>
      </c>
      <c r="H49" s="18" t="s">
        <v>154</v>
      </c>
      <c r="I49" s="17" t="s">
        <v>154</v>
      </c>
      <c r="J49" s="18" t="s">
        <v>154</v>
      </c>
      <c r="K49" s="17" t="s">
        <v>154</v>
      </c>
      <c r="L49" s="18" t="s">
        <v>154</v>
      </c>
      <c r="M49" s="17" t="s">
        <v>154</v>
      </c>
      <c r="N49" s="18" t="s">
        <v>154</v>
      </c>
      <c r="O49" s="17" t="s">
        <v>154</v>
      </c>
      <c r="P49" s="18" t="s">
        <v>154</v>
      </c>
      <c r="Q49" s="17" t="s">
        <v>154</v>
      </c>
      <c r="R49" s="18" t="s">
        <v>154</v>
      </c>
    </row>
    <row r="50" spans="1:18" x14ac:dyDescent="0.25">
      <c r="A50" s="11" t="s">
        <v>183</v>
      </c>
      <c r="B50" s="13">
        <v>11795</v>
      </c>
      <c r="C50" s="14">
        <f>(9826/B50*100)</f>
        <v>83.306485799067403</v>
      </c>
      <c r="D50" s="15">
        <v>1969</v>
      </c>
      <c r="E50" s="14">
        <v>45.843566410000001</v>
      </c>
      <c r="F50" s="16">
        <v>1.4454511400000001</v>
      </c>
      <c r="G50" s="14">
        <v>54.156433589999999</v>
      </c>
      <c r="H50" s="16">
        <v>1.4454511400000001</v>
      </c>
      <c r="I50" s="14" t="s">
        <v>139</v>
      </c>
      <c r="J50" s="16" t="s">
        <v>139</v>
      </c>
      <c r="K50" s="14">
        <v>0</v>
      </c>
      <c r="L50" s="16">
        <v>0</v>
      </c>
      <c r="M50" s="14">
        <v>0</v>
      </c>
      <c r="N50" s="16">
        <v>0</v>
      </c>
      <c r="O50" s="14">
        <v>0</v>
      </c>
      <c r="P50" s="16">
        <v>0</v>
      </c>
      <c r="Q50" s="14">
        <v>0</v>
      </c>
      <c r="R50" s="16">
        <v>0</v>
      </c>
    </row>
    <row r="51" spans="1:18" x14ac:dyDescent="0.25">
      <c r="A51" s="11" t="s">
        <v>184</v>
      </c>
      <c r="B51" s="13">
        <v>6866</v>
      </c>
      <c r="C51" s="14">
        <f>(5858/B51*100)</f>
        <v>85.318963006117102</v>
      </c>
      <c r="D51" s="15">
        <v>1008</v>
      </c>
      <c r="E51" s="14">
        <v>35.184197640000001</v>
      </c>
      <c r="F51" s="16">
        <v>1.44768294</v>
      </c>
      <c r="G51" s="14">
        <v>64.815802360000006</v>
      </c>
      <c r="H51" s="16">
        <v>1.44768294</v>
      </c>
      <c r="I51" s="14" t="s">
        <v>139</v>
      </c>
      <c r="J51" s="16" t="s">
        <v>139</v>
      </c>
      <c r="K51" s="14">
        <v>0</v>
      </c>
      <c r="L51" s="16">
        <v>0</v>
      </c>
      <c r="M51" s="14">
        <v>0</v>
      </c>
      <c r="N51" s="16">
        <v>0</v>
      </c>
      <c r="O51" s="14">
        <v>0</v>
      </c>
      <c r="P51" s="16">
        <v>0</v>
      </c>
      <c r="Q51" s="14">
        <v>0</v>
      </c>
      <c r="R51" s="16">
        <v>0</v>
      </c>
    </row>
    <row r="52" spans="1:18" x14ac:dyDescent="0.25">
      <c r="A52" s="11" t="s">
        <v>185</v>
      </c>
      <c r="B52" s="13">
        <v>5809</v>
      </c>
      <c r="C52" s="14">
        <f>(4804/B52*100)</f>
        <v>82.699259769323461</v>
      </c>
      <c r="D52" s="15">
        <v>1005</v>
      </c>
      <c r="E52" s="14">
        <v>24.105636409999999</v>
      </c>
      <c r="F52" s="16">
        <v>1.61752808</v>
      </c>
      <c r="G52" s="14">
        <v>75.894363589999998</v>
      </c>
      <c r="H52" s="16">
        <v>1.61752808</v>
      </c>
      <c r="I52" s="14" t="s">
        <v>139</v>
      </c>
      <c r="J52" s="16" t="s">
        <v>139</v>
      </c>
      <c r="K52" s="14">
        <v>0</v>
      </c>
      <c r="L52" s="16">
        <v>0</v>
      </c>
      <c r="M52" s="14">
        <v>0</v>
      </c>
      <c r="N52" s="16">
        <v>0</v>
      </c>
      <c r="O52" s="14">
        <v>0</v>
      </c>
      <c r="P52" s="16">
        <v>0</v>
      </c>
      <c r="Q52" s="14">
        <v>0</v>
      </c>
      <c r="R52" s="16">
        <v>0</v>
      </c>
    </row>
    <row r="53" spans="1:18" x14ac:dyDescent="0.25">
      <c r="A53" s="11" t="s">
        <v>186</v>
      </c>
      <c r="B53" s="13">
        <v>5571</v>
      </c>
      <c r="C53" s="14">
        <f>(4611/B53*100)</f>
        <v>82.767905223478735</v>
      </c>
      <c r="D53" s="15">
        <v>960</v>
      </c>
      <c r="E53" s="14">
        <v>33.448730650000002</v>
      </c>
      <c r="F53" s="16">
        <v>1.5964246600000001</v>
      </c>
      <c r="G53" s="14">
        <v>66.551269349999998</v>
      </c>
      <c r="H53" s="16">
        <v>1.5964246600000001</v>
      </c>
      <c r="I53" s="14" t="s">
        <v>139</v>
      </c>
      <c r="J53" s="16" t="s">
        <v>139</v>
      </c>
      <c r="K53" s="14">
        <v>0</v>
      </c>
      <c r="L53" s="16">
        <v>0</v>
      </c>
      <c r="M53" s="14">
        <v>0</v>
      </c>
      <c r="N53" s="16">
        <v>0</v>
      </c>
      <c r="O53" s="14">
        <v>0</v>
      </c>
      <c r="P53" s="16">
        <v>0</v>
      </c>
      <c r="Q53" s="14">
        <v>0</v>
      </c>
      <c r="R53" s="16">
        <v>0</v>
      </c>
    </row>
    <row r="54" spans="1:18" x14ac:dyDescent="0.25">
      <c r="A54" s="11" t="s">
        <v>187</v>
      </c>
      <c r="B54" s="17" t="s">
        <v>154</v>
      </c>
      <c r="C54" s="17" t="s">
        <v>154</v>
      </c>
      <c r="D54" s="18" t="s">
        <v>154</v>
      </c>
      <c r="E54" s="17" t="s">
        <v>154</v>
      </c>
      <c r="F54" s="18" t="s">
        <v>154</v>
      </c>
      <c r="G54" s="17" t="s">
        <v>154</v>
      </c>
      <c r="H54" s="18" t="s">
        <v>154</v>
      </c>
      <c r="I54" s="17" t="s">
        <v>154</v>
      </c>
      <c r="J54" s="18" t="s">
        <v>154</v>
      </c>
      <c r="K54" s="17" t="s">
        <v>154</v>
      </c>
      <c r="L54" s="18" t="s">
        <v>154</v>
      </c>
      <c r="M54" s="17" t="s">
        <v>154</v>
      </c>
      <c r="N54" s="18" t="s">
        <v>154</v>
      </c>
      <c r="O54" s="17" t="s">
        <v>154</v>
      </c>
      <c r="P54" s="18" t="s">
        <v>154</v>
      </c>
      <c r="Q54" s="17" t="s">
        <v>154</v>
      </c>
      <c r="R54" s="18" t="s">
        <v>154</v>
      </c>
    </row>
    <row r="55" spans="1:18" x14ac:dyDescent="0.25">
      <c r="A55" s="11" t="s">
        <v>188</v>
      </c>
      <c r="B55" s="17" t="s">
        <v>154</v>
      </c>
      <c r="C55" s="17" t="s">
        <v>154</v>
      </c>
      <c r="D55" s="18" t="s">
        <v>154</v>
      </c>
      <c r="E55" s="17" t="s">
        <v>154</v>
      </c>
      <c r="F55" s="18" t="s">
        <v>154</v>
      </c>
      <c r="G55" s="17" t="s">
        <v>154</v>
      </c>
      <c r="H55" s="18" t="s">
        <v>154</v>
      </c>
      <c r="I55" s="17" t="s">
        <v>154</v>
      </c>
      <c r="J55" s="18" t="s">
        <v>154</v>
      </c>
      <c r="K55" s="17" t="s">
        <v>154</v>
      </c>
      <c r="L55" s="18" t="s">
        <v>154</v>
      </c>
      <c r="M55" s="17" t="s">
        <v>154</v>
      </c>
      <c r="N55" s="18" t="s">
        <v>154</v>
      </c>
      <c r="O55" s="17" t="s">
        <v>154</v>
      </c>
      <c r="P55" s="18" t="s">
        <v>154</v>
      </c>
      <c r="Q55" s="17" t="s">
        <v>154</v>
      </c>
      <c r="R55" s="18" t="s">
        <v>154</v>
      </c>
    </row>
    <row r="56" spans="1:18" x14ac:dyDescent="0.25">
      <c r="A56" s="11" t="s">
        <v>189</v>
      </c>
      <c r="B56" s="13">
        <v>5359</v>
      </c>
      <c r="C56" s="14">
        <f>(4445/B56*100)</f>
        <v>82.944579212539651</v>
      </c>
      <c r="D56" s="15">
        <v>914</v>
      </c>
      <c r="E56" s="14">
        <v>22.731830559999999</v>
      </c>
      <c r="F56" s="16">
        <v>1.44995717</v>
      </c>
      <c r="G56" s="14">
        <v>77.268169439999994</v>
      </c>
      <c r="H56" s="16">
        <v>1.44995717</v>
      </c>
      <c r="I56" s="14" t="s">
        <v>139</v>
      </c>
      <c r="J56" s="16" t="s">
        <v>139</v>
      </c>
      <c r="K56" s="14">
        <v>0</v>
      </c>
      <c r="L56" s="16">
        <v>0</v>
      </c>
      <c r="M56" s="14">
        <v>0</v>
      </c>
      <c r="N56" s="16">
        <v>0</v>
      </c>
      <c r="O56" s="14">
        <v>0</v>
      </c>
      <c r="P56" s="16">
        <v>0</v>
      </c>
      <c r="Q56" s="14">
        <v>0</v>
      </c>
      <c r="R56" s="16">
        <v>0</v>
      </c>
    </row>
    <row r="57" spans="1:18" x14ac:dyDescent="0.25">
      <c r="A57" s="11" t="s">
        <v>190</v>
      </c>
      <c r="B57" s="17" t="s">
        <v>154</v>
      </c>
      <c r="C57" s="17" t="s">
        <v>154</v>
      </c>
      <c r="D57" s="18" t="s">
        <v>154</v>
      </c>
      <c r="E57" s="17" t="s">
        <v>154</v>
      </c>
      <c r="F57" s="18" t="s">
        <v>154</v>
      </c>
      <c r="G57" s="17" t="s">
        <v>154</v>
      </c>
      <c r="H57" s="18" t="s">
        <v>154</v>
      </c>
      <c r="I57" s="17" t="s">
        <v>154</v>
      </c>
      <c r="J57" s="18" t="s">
        <v>154</v>
      </c>
      <c r="K57" s="17" t="s">
        <v>154</v>
      </c>
      <c r="L57" s="18" t="s">
        <v>154</v>
      </c>
      <c r="M57" s="17" t="s">
        <v>154</v>
      </c>
      <c r="N57" s="18" t="s">
        <v>154</v>
      </c>
      <c r="O57" s="17" t="s">
        <v>154</v>
      </c>
      <c r="P57" s="18" t="s">
        <v>154</v>
      </c>
      <c r="Q57" s="17" t="s">
        <v>154</v>
      </c>
      <c r="R57" s="18" t="s">
        <v>154</v>
      </c>
    </row>
    <row r="58" spans="1:18" x14ac:dyDescent="0.25">
      <c r="A58" s="11" t="s">
        <v>191</v>
      </c>
      <c r="B58" s="17" t="s">
        <v>154</v>
      </c>
      <c r="C58" s="17" t="s">
        <v>154</v>
      </c>
      <c r="D58" s="18" t="s">
        <v>154</v>
      </c>
      <c r="E58" s="17" t="s">
        <v>154</v>
      </c>
      <c r="F58" s="18" t="s">
        <v>154</v>
      </c>
      <c r="G58" s="17" t="s">
        <v>154</v>
      </c>
      <c r="H58" s="18" t="s">
        <v>154</v>
      </c>
      <c r="I58" s="17" t="s">
        <v>154</v>
      </c>
      <c r="J58" s="18" t="s">
        <v>154</v>
      </c>
      <c r="K58" s="17" t="s">
        <v>154</v>
      </c>
      <c r="L58" s="18" t="s">
        <v>154</v>
      </c>
      <c r="M58" s="17" t="s">
        <v>154</v>
      </c>
      <c r="N58" s="18" t="s">
        <v>154</v>
      </c>
      <c r="O58" s="17" t="s">
        <v>154</v>
      </c>
      <c r="P58" s="18" t="s">
        <v>154</v>
      </c>
      <c r="Q58" s="17" t="s">
        <v>154</v>
      </c>
      <c r="R58" s="18" t="s">
        <v>154</v>
      </c>
    </row>
    <row r="59" spans="1:18" x14ac:dyDescent="0.25">
      <c r="A59" s="11" t="s">
        <v>192</v>
      </c>
      <c r="B59" s="17" t="s">
        <v>154</v>
      </c>
      <c r="C59" s="17" t="s">
        <v>154</v>
      </c>
      <c r="D59" s="18" t="s">
        <v>154</v>
      </c>
      <c r="E59" s="17" t="s">
        <v>154</v>
      </c>
      <c r="F59" s="18" t="s">
        <v>154</v>
      </c>
      <c r="G59" s="17" t="s">
        <v>154</v>
      </c>
      <c r="H59" s="18" t="s">
        <v>154</v>
      </c>
      <c r="I59" s="17" t="s">
        <v>154</v>
      </c>
      <c r="J59" s="18" t="s">
        <v>154</v>
      </c>
      <c r="K59" s="17" t="s">
        <v>154</v>
      </c>
      <c r="L59" s="18" t="s">
        <v>154</v>
      </c>
      <c r="M59" s="17" t="s">
        <v>154</v>
      </c>
      <c r="N59" s="18" t="s">
        <v>154</v>
      </c>
      <c r="O59" s="17" t="s">
        <v>154</v>
      </c>
      <c r="P59" s="18" t="s">
        <v>154</v>
      </c>
      <c r="Q59" s="17" t="s">
        <v>154</v>
      </c>
      <c r="R59" s="18" t="s">
        <v>154</v>
      </c>
    </row>
    <row r="60" spans="1:18" x14ac:dyDescent="0.25">
      <c r="A60" s="11" t="s">
        <v>193</v>
      </c>
      <c r="B60" s="17" t="s">
        <v>154</v>
      </c>
      <c r="C60" s="17" t="s">
        <v>154</v>
      </c>
      <c r="D60" s="18" t="s">
        <v>154</v>
      </c>
      <c r="E60" s="17" t="s">
        <v>154</v>
      </c>
      <c r="F60" s="18" t="s">
        <v>154</v>
      </c>
      <c r="G60" s="17" t="s">
        <v>154</v>
      </c>
      <c r="H60" s="18" t="s">
        <v>154</v>
      </c>
      <c r="I60" s="17" t="s">
        <v>154</v>
      </c>
      <c r="J60" s="18" t="s">
        <v>154</v>
      </c>
      <c r="K60" s="17" t="s">
        <v>154</v>
      </c>
      <c r="L60" s="18" t="s">
        <v>154</v>
      </c>
      <c r="M60" s="17" t="s">
        <v>154</v>
      </c>
      <c r="N60" s="18" t="s">
        <v>154</v>
      </c>
      <c r="O60" s="17" t="s">
        <v>154</v>
      </c>
      <c r="P60" s="18" t="s">
        <v>154</v>
      </c>
      <c r="Q60" s="17" t="s">
        <v>154</v>
      </c>
      <c r="R60" s="18" t="s">
        <v>154</v>
      </c>
    </row>
    <row r="61" spans="1:18" x14ac:dyDescent="0.25">
      <c r="A61" s="11" t="s">
        <v>194</v>
      </c>
      <c r="B61" s="13">
        <v>6525</v>
      </c>
      <c r="C61" s="14">
        <f>(5391/B61*100)</f>
        <v>82.620689655172413</v>
      </c>
      <c r="D61" s="15">
        <v>1134</v>
      </c>
      <c r="E61" s="14">
        <v>26.82961821</v>
      </c>
      <c r="F61" s="16">
        <v>1.5304915299999999</v>
      </c>
      <c r="G61" s="14">
        <v>73.170381789999993</v>
      </c>
      <c r="H61" s="16">
        <v>1.5304915299999999</v>
      </c>
      <c r="I61" s="14" t="s">
        <v>139</v>
      </c>
      <c r="J61" s="16" t="s">
        <v>139</v>
      </c>
      <c r="K61" s="14">
        <v>0</v>
      </c>
      <c r="L61" s="16">
        <v>0</v>
      </c>
      <c r="M61" s="14">
        <v>0</v>
      </c>
      <c r="N61" s="16">
        <v>0</v>
      </c>
      <c r="O61" s="14">
        <v>0</v>
      </c>
      <c r="P61" s="16">
        <v>0</v>
      </c>
      <c r="Q61" s="14">
        <v>0</v>
      </c>
      <c r="R61" s="16">
        <v>0</v>
      </c>
    </row>
    <row r="62" spans="1:18" x14ac:dyDescent="0.25">
      <c r="A62" s="11" t="s">
        <v>195</v>
      </c>
      <c r="B62" s="13">
        <v>4476</v>
      </c>
      <c r="C62" s="14">
        <f>(3694/B62*100)</f>
        <v>82.529043789097415</v>
      </c>
      <c r="D62" s="15">
        <v>782</v>
      </c>
      <c r="E62" s="14">
        <v>25.591814360000001</v>
      </c>
      <c r="F62" s="16">
        <v>1.36605807</v>
      </c>
      <c r="G62" s="14">
        <v>74.408185639999999</v>
      </c>
      <c r="H62" s="16">
        <v>1.36605807</v>
      </c>
      <c r="I62" s="14" t="s">
        <v>139</v>
      </c>
      <c r="J62" s="16" t="s">
        <v>139</v>
      </c>
      <c r="K62" s="14">
        <v>0</v>
      </c>
      <c r="L62" s="16">
        <v>0</v>
      </c>
      <c r="M62" s="14">
        <v>0</v>
      </c>
      <c r="N62" s="16">
        <v>0</v>
      </c>
      <c r="O62" s="14">
        <v>0</v>
      </c>
      <c r="P62" s="16">
        <v>0</v>
      </c>
      <c r="Q62" s="14">
        <v>0</v>
      </c>
      <c r="R62" s="16">
        <v>0</v>
      </c>
    </row>
    <row r="63" spans="1:18" x14ac:dyDescent="0.25">
      <c r="A63" s="11" t="s">
        <v>196</v>
      </c>
      <c r="B63" s="17" t="s">
        <v>154</v>
      </c>
      <c r="C63" s="17" t="s">
        <v>154</v>
      </c>
      <c r="D63" s="18" t="s">
        <v>154</v>
      </c>
      <c r="E63" s="17" t="s">
        <v>154</v>
      </c>
      <c r="F63" s="18" t="s">
        <v>154</v>
      </c>
      <c r="G63" s="17" t="s">
        <v>154</v>
      </c>
      <c r="H63" s="18" t="s">
        <v>154</v>
      </c>
      <c r="I63" s="17" t="s">
        <v>154</v>
      </c>
      <c r="J63" s="18" t="s">
        <v>154</v>
      </c>
      <c r="K63" s="17" t="s">
        <v>154</v>
      </c>
      <c r="L63" s="18" t="s">
        <v>154</v>
      </c>
      <c r="M63" s="17" t="s">
        <v>154</v>
      </c>
      <c r="N63" s="18" t="s">
        <v>154</v>
      </c>
      <c r="O63" s="17" t="s">
        <v>154</v>
      </c>
      <c r="P63" s="18" t="s">
        <v>154</v>
      </c>
      <c r="Q63" s="17" t="s">
        <v>154</v>
      </c>
      <c r="R63" s="18" t="s">
        <v>154</v>
      </c>
    </row>
    <row r="64" spans="1:18" x14ac:dyDescent="0.25">
      <c r="A64" s="11" t="s">
        <v>197</v>
      </c>
      <c r="B64" s="17" t="s">
        <v>154</v>
      </c>
      <c r="C64" s="17" t="s">
        <v>154</v>
      </c>
      <c r="D64" s="18" t="s">
        <v>154</v>
      </c>
      <c r="E64" s="17" t="s">
        <v>154</v>
      </c>
      <c r="F64" s="18" t="s">
        <v>154</v>
      </c>
      <c r="G64" s="17" t="s">
        <v>154</v>
      </c>
      <c r="H64" s="18" t="s">
        <v>154</v>
      </c>
      <c r="I64" s="17" t="s">
        <v>154</v>
      </c>
      <c r="J64" s="18" t="s">
        <v>154</v>
      </c>
      <c r="K64" s="17" t="s">
        <v>154</v>
      </c>
      <c r="L64" s="18" t="s">
        <v>154</v>
      </c>
      <c r="M64" s="17" t="s">
        <v>154</v>
      </c>
      <c r="N64" s="18" t="s">
        <v>154</v>
      </c>
      <c r="O64" s="17" t="s">
        <v>154</v>
      </c>
      <c r="P64" s="18" t="s">
        <v>154</v>
      </c>
      <c r="Q64" s="17" t="s">
        <v>154</v>
      </c>
      <c r="R64" s="18" t="s">
        <v>154</v>
      </c>
    </row>
    <row r="65" spans="1:18" x14ac:dyDescent="0.25">
      <c r="A65" s="11" t="s">
        <v>198</v>
      </c>
      <c r="B65" s="17" t="s">
        <v>154</v>
      </c>
      <c r="C65" s="17" t="s">
        <v>154</v>
      </c>
      <c r="D65" s="18" t="s">
        <v>154</v>
      </c>
      <c r="E65" s="17" t="s">
        <v>154</v>
      </c>
      <c r="F65" s="18" t="s">
        <v>154</v>
      </c>
      <c r="G65" s="17" t="s">
        <v>154</v>
      </c>
      <c r="H65" s="18" t="s">
        <v>154</v>
      </c>
      <c r="I65" s="17" t="s">
        <v>154</v>
      </c>
      <c r="J65" s="18" t="s">
        <v>154</v>
      </c>
      <c r="K65" s="17" t="s">
        <v>154</v>
      </c>
      <c r="L65" s="18" t="s">
        <v>154</v>
      </c>
      <c r="M65" s="17" t="s">
        <v>154</v>
      </c>
      <c r="N65" s="18" t="s">
        <v>154</v>
      </c>
      <c r="O65" s="17" t="s">
        <v>154</v>
      </c>
      <c r="P65" s="18" t="s">
        <v>154</v>
      </c>
      <c r="Q65" s="17" t="s">
        <v>154</v>
      </c>
      <c r="R65" s="18" t="s">
        <v>154</v>
      </c>
    </row>
    <row r="66" spans="1:18" x14ac:dyDescent="0.25">
      <c r="A66" s="11" t="s">
        <v>199</v>
      </c>
      <c r="B66" s="13">
        <v>5665</v>
      </c>
      <c r="C66" s="14">
        <f>(4708/B66*100)</f>
        <v>83.106796116504853</v>
      </c>
      <c r="D66" s="15">
        <v>957</v>
      </c>
      <c r="E66" s="14">
        <v>43.454153220000002</v>
      </c>
      <c r="F66" s="16">
        <v>1.46976522</v>
      </c>
      <c r="G66" s="14">
        <v>56.545846779999998</v>
      </c>
      <c r="H66" s="16">
        <v>1.46976522</v>
      </c>
      <c r="I66" s="14" t="s">
        <v>139</v>
      </c>
      <c r="J66" s="16" t="s">
        <v>139</v>
      </c>
      <c r="K66" s="14">
        <v>0</v>
      </c>
      <c r="L66" s="16">
        <v>0</v>
      </c>
      <c r="M66" s="14">
        <v>0</v>
      </c>
      <c r="N66" s="16">
        <v>0</v>
      </c>
      <c r="O66" s="14">
        <v>0</v>
      </c>
      <c r="P66" s="16">
        <v>0</v>
      </c>
      <c r="Q66" s="14">
        <v>0</v>
      </c>
      <c r="R66" s="16">
        <v>0</v>
      </c>
    </row>
    <row r="67" spans="1:18" x14ac:dyDescent="0.25">
      <c r="A67" s="11" t="s">
        <v>200</v>
      </c>
      <c r="B67" s="13">
        <v>6971</v>
      </c>
      <c r="C67" s="14">
        <f>(5881/B67*100)</f>
        <v>84.363792856118209</v>
      </c>
      <c r="D67" s="15">
        <v>1090</v>
      </c>
      <c r="E67" s="14">
        <v>39.681742890000002</v>
      </c>
      <c r="F67" s="16">
        <v>1.6670362599999999</v>
      </c>
      <c r="G67" s="14">
        <v>60.318257109999998</v>
      </c>
      <c r="H67" s="16">
        <v>1.6670362599999999</v>
      </c>
      <c r="I67" s="14" t="s">
        <v>139</v>
      </c>
      <c r="J67" s="16" t="s">
        <v>139</v>
      </c>
      <c r="K67" s="14">
        <v>0</v>
      </c>
      <c r="L67" s="16">
        <v>0</v>
      </c>
      <c r="M67" s="14">
        <v>0</v>
      </c>
      <c r="N67" s="16">
        <v>0</v>
      </c>
      <c r="O67" s="14">
        <v>0</v>
      </c>
      <c r="P67" s="16">
        <v>0</v>
      </c>
      <c r="Q67" s="14">
        <v>0</v>
      </c>
      <c r="R67" s="16">
        <v>0</v>
      </c>
    </row>
    <row r="68" spans="1:18" x14ac:dyDescent="0.25">
      <c r="A68" s="11" t="s">
        <v>201</v>
      </c>
      <c r="B68" s="17" t="s">
        <v>154</v>
      </c>
      <c r="C68" s="17" t="s">
        <v>154</v>
      </c>
      <c r="D68" s="18" t="s">
        <v>154</v>
      </c>
      <c r="E68" s="17" t="s">
        <v>154</v>
      </c>
      <c r="F68" s="18" t="s">
        <v>154</v>
      </c>
      <c r="G68" s="17" t="s">
        <v>154</v>
      </c>
      <c r="H68" s="18" t="s">
        <v>154</v>
      </c>
      <c r="I68" s="17" t="s">
        <v>154</v>
      </c>
      <c r="J68" s="18" t="s">
        <v>154</v>
      </c>
      <c r="K68" s="17" t="s">
        <v>154</v>
      </c>
      <c r="L68" s="18" t="s">
        <v>154</v>
      </c>
      <c r="M68" s="17" t="s">
        <v>154</v>
      </c>
      <c r="N68" s="18" t="s">
        <v>154</v>
      </c>
      <c r="O68" s="17" t="s">
        <v>154</v>
      </c>
      <c r="P68" s="18" t="s">
        <v>154</v>
      </c>
      <c r="Q68" s="17" t="s">
        <v>154</v>
      </c>
      <c r="R68" s="18" t="s">
        <v>154</v>
      </c>
    </row>
    <row r="69" spans="1:18" x14ac:dyDescent="0.25">
      <c r="A69" s="11" t="s">
        <v>202</v>
      </c>
      <c r="B69" s="17" t="s">
        <v>154</v>
      </c>
      <c r="C69" s="17" t="s">
        <v>154</v>
      </c>
      <c r="D69" s="18" t="s">
        <v>154</v>
      </c>
      <c r="E69" s="17" t="s">
        <v>154</v>
      </c>
      <c r="F69" s="18" t="s">
        <v>154</v>
      </c>
      <c r="G69" s="17" t="s">
        <v>154</v>
      </c>
      <c r="H69" s="18" t="s">
        <v>154</v>
      </c>
      <c r="I69" s="17" t="s">
        <v>154</v>
      </c>
      <c r="J69" s="18" t="s">
        <v>154</v>
      </c>
      <c r="K69" s="17" t="s">
        <v>154</v>
      </c>
      <c r="L69" s="18" t="s">
        <v>154</v>
      </c>
      <c r="M69" s="17" t="s">
        <v>154</v>
      </c>
      <c r="N69" s="18" t="s">
        <v>154</v>
      </c>
      <c r="O69" s="17" t="s">
        <v>154</v>
      </c>
      <c r="P69" s="18" t="s">
        <v>154</v>
      </c>
      <c r="Q69" s="17" t="s">
        <v>154</v>
      </c>
      <c r="R69" s="18" t="s">
        <v>154</v>
      </c>
    </row>
    <row r="70" spans="1:18" x14ac:dyDescent="0.25">
      <c r="A70" s="11" t="s">
        <v>203</v>
      </c>
      <c r="B70" s="13">
        <v>6036</v>
      </c>
      <c r="C70" s="14">
        <f>(5013/B70*100)</f>
        <v>83.051689860834983</v>
      </c>
      <c r="D70" s="15">
        <v>1023</v>
      </c>
      <c r="E70" s="14">
        <v>29.653980220000001</v>
      </c>
      <c r="F70" s="16">
        <v>1.54579427</v>
      </c>
      <c r="G70" s="14">
        <v>70.346019780000006</v>
      </c>
      <c r="H70" s="16">
        <v>1.54579427</v>
      </c>
      <c r="I70" s="14" t="s">
        <v>139</v>
      </c>
      <c r="J70" s="16" t="s">
        <v>139</v>
      </c>
      <c r="K70" s="14">
        <v>0</v>
      </c>
      <c r="L70" s="16">
        <v>0</v>
      </c>
      <c r="M70" s="14">
        <v>0</v>
      </c>
      <c r="N70" s="16">
        <v>0</v>
      </c>
      <c r="O70" s="14">
        <v>0</v>
      </c>
      <c r="P70" s="16">
        <v>0</v>
      </c>
      <c r="Q70" s="14">
        <v>0</v>
      </c>
      <c r="R70" s="16">
        <v>0</v>
      </c>
    </row>
    <row r="71" spans="1:18" x14ac:dyDescent="0.25">
      <c r="A71" s="11" t="s">
        <v>204</v>
      </c>
      <c r="B71" s="17" t="s">
        <v>154</v>
      </c>
      <c r="C71" s="17" t="s">
        <v>154</v>
      </c>
      <c r="D71" s="18" t="s">
        <v>154</v>
      </c>
      <c r="E71" s="17" t="s">
        <v>154</v>
      </c>
      <c r="F71" s="18" t="s">
        <v>154</v>
      </c>
      <c r="G71" s="17" t="s">
        <v>154</v>
      </c>
      <c r="H71" s="18" t="s">
        <v>154</v>
      </c>
      <c r="I71" s="17" t="s">
        <v>154</v>
      </c>
      <c r="J71" s="18" t="s">
        <v>154</v>
      </c>
      <c r="K71" s="17" t="s">
        <v>154</v>
      </c>
      <c r="L71" s="18" t="s">
        <v>154</v>
      </c>
      <c r="M71" s="17" t="s">
        <v>154</v>
      </c>
      <c r="N71" s="18" t="s">
        <v>154</v>
      </c>
      <c r="O71" s="17" t="s">
        <v>154</v>
      </c>
      <c r="P71" s="18" t="s">
        <v>154</v>
      </c>
      <c r="Q71" s="17" t="s">
        <v>154</v>
      </c>
      <c r="R71" s="18" t="s">
        <v>154</v>
      </c>
    </row>
    <row r="72" spans="1:18" x14ac:dyDescent="0.25">
      <c r="A72" s="11" t="s">
        <v>205</v>
      </c>
      <c r="B72" s="13">
        <v>7708</v>
      </c>
      <c r="C72" s="14">
        <f>(6390/B72*100)</f>
        <v>82.900882200311372</v>
      </c>
      <c r="D72" s="15">
        <v>1318</v>
      </c>
      <c r="E72" s="14">
        <v>25.17723007</v>
      </c>
      <c r="F72" s="16">
        <v>1.28394926</v>
      </c>
      <c r="G72" s="14">
        <v>74.822769930000007</v>
      </c>
      <c r="H72" s="16">
        <v>1.28394926</v>
      </c>
      <c r="I72" s="14" t="s">
        <v>139</v>
      </c>
      <c r="J72" s="16" t="s">
        <v>139</v>
      </c>
      <c r="K72" s="14">
        <v>0</v>
      </c>
      <c r="L72" s="16">
        <v>0</v>
      </c>
      <c r="M72" s="14">
        <v>0</v>
      </c>
      <c r="N72" s="16">
        <v>0</v>
      </c>
      <c r="O72" s="14">
        <v>0</v>
      </c>
      <c r="P72" s="16">
        <v>0</v>
      </c>
      <c r="Q72" s="14">
        <v>0</v>
      </c>
      <c r="R72" s="16">
        <v>0</v>
      </c>
    </row>
    <row r="73" spans="1:18" x14ac:dyDescent="0.25">
      <c r="A73" s="11" t="s">
        <v>206</v>
      </c>
      <c r="B73" s="13">
        <v>8249</v>
      </c>
      <c r="C73" s="14">
        <f>(6898/B73*100)</f>
        <v>83.622257243302229</v>
      </c>
      <c r="D73" s="15">
        <v>1351</v>
      </c>
      <c r="E73" s="14">
        <v>34.862239010000003</v>
      </c>
      <c r="F73" s="16">
        <v>1.95867678</v>
      </c>
      <c r="G73" s="14">
        <v>65.137760990000004</v>
      </c>
      <c r="H73" s="16">
        <v>1.95867678</v>
      </c>
      <c r="I73" s="14" t="s">
        <v>139</v>
      </c>
      <c r="J73" s="16" t="s">
        <v>139</v>
      </c>
      <c r="K73" s="14">
        <v>0</v>
      </c>
      <c r="L73" s="16">
        <v>0</v>
      </c>
      <c r="M73" s="14">
        <v>0</v>
      </c>
      <c r="N73" s="16">
        <v>0</v>
      </c>
      <c r="O73" s="14">
        <v>0</v>
      </c>
      <c r="P73" s="16">
        <v>0</v>
      </c>
      <c r="Q73" s="14">
        <v>0</v>
      </c>
      <c r="R73" s="16">
        <v>0</v>
      </c>
    </row>
    <row r="74" spans="1:18" x14ac:dyDescent="0.25">
      <c r="A74" s="11" t="s">
        <v>207</v>
      </c>
      <c r="B74" s="17" t="s">
        <v>154</v>
      </c>
      <c r="C74" s="17" t="s">
        <v>154</v>
      </c>
      <c r="D74" s="18" t="s">
        <v>154</v>
      </c>
      <c r="E74" s="17" t="s">
        <v>154</v>
      </c>
      <c r="F74" s="18" t="s">
        <v>154</v>
      </c>
      <c r="G74" s="17" t="s">
        <v>154</v>
      </c>
      <c r="H74" s="18" t="s">
        <v>154</v>
      </c>
      <c r="I74" s="17" t="s">
        <v>154</v>
      </c>
      <c r="J74" s="18" t="s">
        <v>154</v>
      </c>
      <c r="K74" s="17" t="s">
        <v>154</v>
      </c>
      <c r="L74" s="18" t="s">
        <v>154</v>
      </c>
      <c r="M74" s="17" t="s">
        <v>154</v>
      </c>
      <c r="N74" s="18" t="s">
        <v>154</v>
      </c>
      <c r="O74" s="17" t="s">
        <v>154</v>
      </c>
      <c r="P74" s="18" t="s">
        <v>154</v>
      </c>
      <c r="Q74" s="17" t="s">
        <v>154</v>
      </c>
      <c r="R74" s="18" t="s">
        <v>154</v>
      </c>
    </row>
    <row r="75" spans="1:18" x14ac:dyDescent="0.25">
      <c r="A75" s="11" t="s">
        <v>208</v>
      </c>
      <c r="B75" s="13">
        <v>5375</v>
      </c>
      <c r="C75" s="14">
        <f>(4508/B75*100)</f>
        <v>83.869767441860461</v>
      </c>
      <c r="D75" s="15">
        <v>867</v>
      </c>
      <c r="E75" s="14">
        <v>44.483899770000001</v>
      </c>
      <c r="F75" s="16">
        <v>1.6020311599999999</v>
      </c>
      <c r="G75" s="14">
        <v>55.516100229999999</v>
      </c>
      <c r="H75" s="16">
        <v>1.6020311599999999</v>
      </c>
      <c r="I75" s="14" t="s">
        <v>139</v>
      </c>
      <c r="J75" s="16" t="s">
        <v>139</v>
      </c>
      <c r="K75" s="14">
        <v>0</v>
      </c>
      <c r="L75" s="16">
        <v>0</v>
      </c>
      <c r="M75" s="14">
        <v>0</v>
      </c>
      <c r="N75" s="16">
        <v>0</v>
      </c>
      <c r="O75" s="14">
        <v>0</v>
      </c>
      <c r="P75" s="16">
        <v>0</v>
      </c>
      <c r="Q75" s="14">
        <v>0</v>
      </c>
      <c r="R75" s="16">
        <v>0</v>
      </c>
    </row>
    <row r="76" spans="1:18" x14ac:dyDescent="0.25">
      <c r="A76" s="11" t="s">
        <v>209</v>
      </c>
      <c r="B76" s="13">
        <v>14167</v>
      </c>
      <c r="C76" s="14">
        <f>(11785/B76*100)</f>
        <v>83.186277969930117</v>
      </c>
      <c r="D76" s="15">
        <v>2382</v>
      </c>
      <c r="E76" s="14">
        <v>41.891289059999998</v>
      </c>
      <c r="F76" s="16">
        <v>1.3192074199999999</v>
      </c>
      <c r="G76" s="14">
        <v>58.108710940000002</v>
      </c>
      <c r="H76" s="16">
        <v>1.3192074199999999</v>
      </c>
      <c r="I76" s="14" t="s">
        <v>139</v>
      </c>
      <c r="J76" s="16" t="s">
        <v>139</v>
      </c>
      <c r="K76" s="14">
        <v>0</v>
      </c>
      <c r="L76" s="16">
        <v>0</v>
      </c>
      <c r="M76" s="14">
        <v>0</v>
      </c>
      <c r="N76" s="16">
        <v>0</v>
      </c>
      <c r="O76" s="14">
        <v>0</v>
      </c>
      <c r="P76" s="16">
        <v>0</v>
      </c>
      <c r="Q76" s="14">
        <v>0</v>
      </c>
      <c r="R76" s="16">
        <v>0</v>
      </c>
    </row>
    <row r="77" spans="1:18" x14ac:dyDescent="0.25">
      <c r="A77" s="11" t="s">
        <v>210</v>
      </c>
      <c r="B77" s="13">
        <v>6062</v>
      </c>
      <c r="C77" s="14">
        <f>(5022/B77*100)</f>
        <v>82.843945892444737</v>
      </c>
      <c r="D77" s="15">
        <v>1040</v>
      </c>
      <c r="E77" s="14">
        <v>37.990171580000002</v>
      </c>
      <c r="F77" s="16">
        <v>1.59829113</v>
      </c>
      <c r="G77" s="14">
        <v>62.009828419999998</v>
      </c>
      <c r="H77" s="16">
        <v>1.59829113</v>
      </c>
      <c r="I77" s="14" t="s">
        <v>139</v>
      </c>
      <c r="J77" s="16" t="s">
        <v>139</v>
      </c>
      <c r="K77" s="14">
        <v>0</v>
      </c>
      <c r="L77" s="16">
        <v>0</v>
      </c>
      <c r="M77" s="14">
        <v>0</v>
      </c>
      <c r="N77" s="16">
        <v>0</v>
      </c>
      <c r="O77" s="14">
        <v>0</v>
      </c>
      <c r="P77" s="16">
        <v>0</v>
      </c>
      <c r="Q77" s="14">
        <v>0</v>
      </c>
      <c r="R77" s="16">
        <v>0</v>
      </c>
    </row>
    <row r="78" spans="1:18" x14ac:dyDescent="0.25">
      <c r="A78" s="11" t="s">
        <v>211</v>
      </c>
      <c r="B78" s="17" t="s">
        <v>154</v>
      </c>
      <c r="C78" s="17" t="s">
        <v>154</v>
      </c>
      <c r="D78" s="18" t="s">
        <v>154</v>
      </c>
      <c r="E78" s="17" t="s">
        <v>154</v>
      </c>
      <c r="F78" s="18" t="s">
        <v>154</v>
      </c>
      <c r="G78" s="17" t="s">
        <v>154</v>
      </c>
      <c r="H78" s="18" t="s">
        <v>154</v>
      </c>
      <c r="I78" s="17" t="s">
        <v>154</v>
      </c>
      <c r="J78" s="18" t="s">
        <v>154</v>
      </c>
      <c r="K78" s="17" t="s">
        <v>154</v>
      </c>
      <c r="L78" s="18" t="s">
        <v>154</v>
      </c>
      <c r="M78" s="17" t="s">
        <v>154</v>
      </c>
      <c r="N78" s="18" t="s">
        <v>154</v>
      </c>
      <c r="O78" s="17" t="s">
        <v>154</v>
      </c>
      <c r="P78" s="18" t="s">
        <v>154</v>
      </c>
      <c r="Q78" s="17" t="s">
        <v>154</v>
      </c>
      <c r="R78" s="18" t="s">
        <v>154</v>
      </c>
    </row>
    <row r="79" spans="1:18" ht="24.95" customHeight="1" x14ac:dyDescent="0.25">
      <c r="A79" s="11" t="s">
        <v>212</v>
      </c>
      <c r="B79" s="17" t="s">
        <v>154</v>
      </c>
      <c r="C79" s="17" t="s">
        <v>154</v>
      </c>
      <c r="D79" s="18" t="s">
        <v>154</v>
      </c>
      <c r="E79" s="17" t="s">
        <v>154</v>
      </c>
      <c r="F79" s="18" t="s">
        <v>154</v>
      </c>
      <c r="G79" s="17" t="s">
        <v>154</v>
      </c>
      <c r="H79" s="18" t="s">
        <v>154</v>
      </c>
      <c r="I79" s="17" t="s">
        <v>154</v>
      </c>
      <c r="J79" s="18" t="s">
        <v>154</v>
      </c>
      <c r="K79" s="17" t="s">
        <v>154</v>
      </c>
      <c r="L79" s="18" t="s">
        <v>154</v>
      </c>
      <c r="M79" s="17" t="s">
        <v>154</v>
      </c>
      <c r="N79" s="18" t="s">
        <v>154</v>
      </c>
      <c r="O79" s="17" t="s">
        <v>154</v>
      </c>
      <c r="P79" s="18" t="s">
        <v>154</v>
      </c>
      <c r="Q79" s="17" t="s">
        <v>154</v>
      </c>
      <c r="R79" s="18" t="s">
        <v>154</v>
      </c>
    </row>
    <row r="80" spans="1:18" x14ac:dyDescent="0.25">
      <c r="A80" s="11" t="s">
        <v>213</v>
      </c>
      <c r="B80" s="17" t="s">
        <v>154</v>
      </c>
      <c r="C80" s="17" t="s">
        <v>154</v>
      </c>
      <c r="D80" s="18" t="s">
        <v>154</v>
      </c>
      <c r="E80" s="17" t="s">
        <v>154</v>
      </c>
      <c r="F80" s="18" t="s">
        <v>154</v>
      </c>
      <c r="G80" s="17" t="s">
        <v>154</v>
      </c>
      <c r="H80" s="18" t="s">
        <v>154</v>
      </c>
      <c r="I80" s="17" t="s">
        <v>154</v>
      </c>
      <c r="J80" s="18" t="s">
        <v>154</v>
      </c>
      <c r="K80" s="17" t="s">
        <v>154</v>
      </c>
      <c r="L80" s="18" t="s">
        <v>154</v>
      </c>
      <c r="M80" s="17" t="s">
        <v>154</v>
      </c>
      <c r="N80" s="18" t="s">
        <v>154</v>
      </c>
      <c r="O80" s="17" t="s">
        <v>154</v>
      </c>
      <c r="P80" s="18" t="s">
        <v>154</v>
      </c>
      <c r="Q80" s="17" t="s">
        <v>154</v>
      </c>
      <c r="R80" s="18" t="s">
        <v>154</v>
      </c>
    </row>
    <row r="81" spans="1:18" x14ac:dyDescent="0.25">
      <c r="A81" s="19" t="s">
        <v>214</v>
      </c>
      <c r="B81" s="13">
        <v>8861</v>
      </c>
      <c r="C81" s="14">
        <f>(7321/B81*100)</f>
        <v>82.62047173005304</v>
      </c>
      <c r="D81" s="15">
        <v>1540</v>
      </c>
      <c r="E81" s="14">
        <v>32.651276379999999</v>
      </c>
      <c r="F81" s="16">
        <v>1.5693959399999999</v>
      </c>
      <c r="G81" s="14">
        <v>67.348723620000001</v>
      </c>
      <c r="H81" s="16">
        <v>1.5693959399999999</v>
      </c>
      <c r="I81" s="14" t="s">
        <v>139</v>
      </c>
      <c r="J81" s="16" t="s">
        <v>139</v>
      </c>
      <c r="K81" s="14">
        <v>0</v>
      </c>
      <c r="L81" s="16">
        <v>0</v>
      </c>
      <c r="M81" s="14">
        <v>0</v>
      </c>
      <c r="N81" s="16">
        <v>0</v>
      </c>
      <c r="O81" s="14">
        <v>0</v>
      </c>
      <c r="P81" s="16">
        <v>0</v>
      </c>
      <c r="Q81" s="14">
        <v>0</v>
      </c>
      <c r="R81" s="16">
        <v>0</v>
      </c>
    </row>
    <row r="82" spans="1:18" x14ac:dyDescent="0.25">
      <c r="A82" s="20"/>
      <c r="B82" s="20" t="s">
        <v>215</v>
      </c>
      <c r="C82" s="20" t="s">
        <v>215</v>
      </c>
      <c r="D82" s="20" t="s">
        <v>215</v>
      </c>
      <c r="E82" s="20" t="s">
        <v>215</v>
      </c>
      <c r="F82" s="20" t="s">
        <v>215</v>
      </c>
      <c r="G82" s="20" t="s">
        <v>215</v>
      </c>
      <c r="H82" s="20" t="s">
        <v>215</v>
      </c>
      <c r="I82" s="20" t="s">
        <v>215</v>
      </c>
      <c r="J82" s="20" t="s">
        <v>215</v>
      </c>
      <c r="K82" s="20" t="s">
        <v>215</v>
      </c>
      <c r="L82" s="20" t="s">
        <v>215</v>
      </c>
      <c r="M82" s="20" t="s">
        <v>215</v>
      </c>
      <c r="N82" s="20" t="s">
        <v>215</v>
      </c>
      <c r="O82" s="20" t="s">
        <v>215</v>
      </c>
      <c r="P82" s="20" t="s">
        <v>215</v>
      </c>
      <c r="Q82" s="20" t="s">
        <v>215</v>
      </c>
      <c r="R82" s="20" t="s">
        <v>215</v>
      </c>
    </row>
    <row r="83" spans="1:18" x14ac:dyDescent="0.25">
      <c r="A83" s="3" t="s">
        <v>216</v>
      </c>
    </row>
    <row r="84" spans="1:18" x14ac:dyDescent="0.25">
      <c r="A84" s="22" t="s">
        <v>217</v>
      </c>
      <c r="B84" s="23"/>
      <c r="C84" s="23"/>
      <c r="D84" s="23"/>
      <c r="E84" s="23"/>
      <c r="F84" s="23"/>
      <c r="G84" s="23"/>
      <c r="H84" s="23"/>
      <c r="I84" s="23"/>
      <c r="J84" s="23"/>
      <c r="K84" s="23"/>
      <c r="L84" s="23"/>
      <c r="M84" s="23"/>
      <c r="N84" s="23"/>
      <c r="O84" s="23"/>
      <c r="P84" s="23"/>
      <c r="Q84" s="23"/>
      <c r="R84" s="23"/>
    </row>
    <row r="85" spans="1:18" x14ac:dyDescent="0.25">
      <c r="A85" s="22" t="s">
        <v>218</v>
      </c>
      <c r="B85" s="23"/>
      <c r="C85" s="23"/>
      <c r="D85" s="23"/>
      <c r="E85" s="23"/>
      <c r="F85" s="23"/>
      <c r="G85" s="23"/>
      <c r="H85" s="23"/>
      <c r="I85" s="23"/>
      <c r="J85" s="23"/>
      <c r="K85" s="23"/>
      <c r="L85" s="23"/>
      <c r="M85" s="23"/>
      <c r="N85" s="23"/>
      <c r="O85" s="23"/>
      <c r="P85" s="23"/>
      <c r="Q85" s="23"/>
      <c r="R85" s="23"/>
    </row>
    <row r="86" spans="1:18" ht="30" customHeight="1" x14ac:dyDescent="0.25">
      <c r="A86" s="22" t="s">
        <v>219</v>
      </c>
      <c r="B86" s="23"/>
      <c r="C86" s="23"/>
      <c r="D86" s="23"/>
      <c r="E86" s="23"/>
      <c r="F86" s="23"/>
      <c r="G86" s="23"/>
      <c r="H86" s="23"/>
      <c r="I86" s="23"/>
      <c r="J86" s="23"/>
      <c r="K86" s="23"/>
      <c r="L86" s="23"/>
      <c r="M86" s="23"/>
      <c r="N86" s="23"/>
      <c r="O86" s="23"/>
      <c r="P86" s="23"/>
      <c r="Q86" s="23"/>
      <c r="R86" s="23"/>
    </row>
    <row r="87" spans="1:18" ht="30" customHeight="1" x14ac:dyDescent="0.25">
      <c r="A87" s="22" t="s">
        <v>215</v>
      </c>
      <c r="B87" s="23"/>
      <c r="C87" s="23"/>
      <c r="D87" s="23"/>
      <c r="E87" s="23"/>
      <c r="F87" s="23"/>
      <c r="G87" s="23"/>
      <c r="H87" s="23"/>
      <c r="I87" s="23"/>
      <c r="J87" s="23"/>
      <c r="K87" s="23"/>
      <c r="L87" s="23"/>
      <c r="M87" s="23"/>
      <c r="N87" s="23"/>
      <c r="O87" s="23"/>
      <c r="P87" s="23"/>
      <c r="Q87" s="23"/>
      <c r="R87" s="23"/>
    </row>
    <row r="88" spans="1:18" ht="30" customHeight="1" x14ac:dyDescent="0.25">
      <c r="A88" s="22" t="s">
        <v>220</v>
      </c>
      <c r="B88" s="23"/>
      <c r="C88" s="23"/>
      <c r="D88" s="23"/>
      <c r="E88" s="23"/>
      <c r="F88" s="23"/>
      <c r="G88" s="23"/>
      <c r="H88" s="23"/>
      <c r="I88" s="23"/>
      <c r="J88" s="23"/>
      <c r="K88" s="23"/>
      <c r="L88" s="23"/>
      <c r="M88" s="23"/>
      <c r="N88" s="23"/>
      <c r="O88" s="23"/>
      <c r="P88" s="23"/>
      <c r="Q88" s="23"/>
      <c r="R88" s="23"/>
    </row>
    <row r="89" spans="1:18" ht="30" customHeight="1" x14ac:dyDescent="0.25">
      <c r="A89" s="22" t="s">
        <v>221</v>
      </c>
      <c r="B89" s="23"/>
      <c r="C89" s="23"/>
      <c r="D89" s="23"/>
      <c r="E89" s="23"/>
      <c r="F89" s="23"/>
      <c r="G89" s="23"/>
      <c r="H89" s="23"/>
      <c r="I89" s="23"/>
      <c r="J89" s="23"/>
      <c r="K89" s="23"/>
      <c r="L89" s="23"/>
      <c r="M89" s="23"/>
      <c r="N89" s="23"/>
      <c r="O89" s="23"/>
      <c r="P89" s="23"/>
      <c r="Q89" s="23"/>
      <c r="R89" s="23"/>
    </row>
    <row r="90" spans="1:18" ht="30" customHeight="1" x14ac:dyDescent="0.25">
      <c r="A90" s="22" t="s">
        <v>222</v>
      </c>
      <c r="B90" s="23"/>
      <c r="C90" s="23"/>
      <c r="D90" s="23"/>
      <c r="E90" s="23"/>
      <c r="F90" s="23"/>
      <c r="G90" s="23"/>
      <c r="H90" s="23"/>
      <c r="I90" s="23"/>
      <c r="J90" s="23"/>
      <c r="K90" s="23"/>
      <c r="L90" s="23"/>
      <c r="M90" s="23"/>
      <c r="N90" s="23"/>
      <c r="O90" s="23"/>
      <c r="P90" s="23"/>
      <c r="Q90" s="23"/>
      <c r="R90" s="23"/>
    </row>
    <row r="91" spans="1:18" ht="30" customHeight="1" x14ac:dyDescent="0.25">
      <c r="A91" s="22" t="s">
        <v>223</v>
      </c>
      <c r="B91" s="23"/>
      <c r="C91" s="23"/>
      <c r="D91" s="23"/>
      <c r="E91" s="23"/>
      <c r="F91" s="23"/>
      <c r="G91" s="23"/>
      <c r="H91" s="23"/>
      <c r="I91" s="23"/>
      <c r="J91" s="23"/>
      <c r="K91" s="23"/>
      <c r="L91" s="23"/>
      <c r="M91" s="23"/>
      <c r="N91" s="23"/>
      <c r="O91" s="23"/>
      <c r="P91" s="23"/>
      <c r="Q91" s="23"/>
      <c r="R91" s="23"/>
    </row>
    <row r="92" spans="1:18" ht="30" customHeight="1" x14ac:dyDescent="0.25">
      <c r="A92" s="22" t="s">
        <v>224</v>
      </c>
      <c r="B92" s="23"/>
      <c r="C92" s="23"/>
      <c r="D92" s="23"/>
      <c r="E92" s="23"/>
      <c r="F92" s="23"/>
      <c r="G92" s="23"/>
      <c r="H92" s="23"/>
      <c r="I92" s="23"/>
      <c r="J92" s="23"/>
      <c r="K92" s="23"/>
      <c r="L92" s="23"/>
      <c r="M92" s="23"/>
      <c r="N92" s="23"/>
      <c r="O92" s="23"/>
      <c r="P92" s="23"/>
      <c r="Q92" s="23"/>
      <c r="R92" s="23"/>
    </row>
    <row r="93" spans="1:18" ht="30" customHeight="1" x14ac:dyDescent="0.25">
      <c r="A93" s="22" t="s">
        <v>225</v>
      </c>
      <c r="B93" s="23"/>
      <c r="C93" s="23"/>
      <c r="D93" s="23"/>
      <c r="E93" s="23"/>
      <c r="F93" s="23"/>
      <c r="G93" s="23"/>
      <c r="H93" s="23"/>
      <c r="I93" s="23"/>
      <c r="J93" s="23"/>
      <c r="K93" s="23"/>
      <c r="L93" s="23"/>
      <c r="M93" s="23"/>
      <c r="N93" s="23"/>
      <c r="O93" s="23"/>
      <c r="P93" s="23"/>
      <c r="Q93" s="23"/>
      <c r="R93" s="23"/>
    </row>
    <row r="94" spans="1:18" ht="30" customHeight="1" x14ac:dyDescent="0.25">
      <c r="A94" s="22" t="s">
        <v>226</v>
      </c>
      <c r="B94" s="23"/>
      <c r="C94" s="23"/>
      <c r="D94" s="23"/>
      <c r="E94" s="23"/>
      <c r="F94" s="23"/>
      <c r="G94" s="23"/>
      <c r="H94" s="23"/>
      <c r="I94" s="23"/>
      <c r="J94" s="23"/>
      <c r="K94" s="23"/>
      <c r="L94" s="23"/>
      <c r="M94" s="23"/>
      <c r="N94" s="23"/>
      <c r="O94" s="23"/>
      <c r="P94" s="23"/>
      <c r="Q94" s="23"/>
      <c r="R94" s="23"/>
    </row>
    <row r="95" spans="1:18" ht="30" customHeight="1" x14ac:dyDescent="0.25">
      <c r="A95" s="22" t="s">
        <v>227</v>
      </c>
      <c r="B95" s="23"/>
      <c r="C95" s="23"/>
      <c r="D95" s="23"/>
      <c r="E95" s="23"/>
      <c r="F95" s="23"/>
      <c r="G95" s="23"/>
      <c r="H95" s="23"/>
      <c r="I95" s="23"/>
      <c r="J95" s="23"/>
      <c r="K95" s="23"/>
      <c r="L95" s="23"/>
      <c r="M95" s="23"/>
      <c r="N95" s="23"/>
      <c r="O95" s="23"/>
      <c r="P95" s="23"/>
      <c r="Q95" s="23"/>
      <c r="R95" s="23"/>
    </row>
    <row r="96" spans="1:18" ht="30" customHeight="1" x14ac:dyDescent="0.25">
      <c r="A96" s="22" t="s">
        <v>228</v>
      </c>
      <c r="B96" s="23"/>
      <c r="C96" s="23"/>
      <c r="D96" s="23"/>
      <c r="E96" s="23"/>
      <c r="F96" s="23"/>
      <c r="G96" s="23"/>
      <c r="H96" s="23"/>
      <c r="I96" s="23"/>
      <c r="J96" s="23"/>
      <c r="K96" s="23"/>
      <c r="L96" s="23"/>
      <c r="M96" s="23"/>
      <c r="N96" s="23"/>
      <c r="O96" s="23"/>
      <c r="P96" s="23"/>
      <c r="Q96" s="23"/>
      <c r="R96" s="23"/>
    </row>
  </sheetData>
  <mergeCells count="22">
    <mergeCell ref="O4:P4"/>
    <mergeCell ref="Q4:R4"/>
    <mergeCell ref="A1:R1"/>
    <mergeCell ref="A2:R2"/>
    <mergeCell ref="A84:R84"/>
    <mergeCell ref="E4:F4"/>
    <mergeCell ref="G4:H4"/>
    <mergeCell ref="I4:J4"/>
    <mergeCell ref="K4:L4"/>
    <mergeCell ref="M4:N4"/>
    <mergeCell ref="A85:R85"/>
    <mergeCell ref="A86:R86"/>
    <mergeCell ref="A87:R87"/>
    <mergeCell ref="A88:R88"/>
    <mergeCell ref="A89:R89"/>
    <mergeCell ref="A95:R95"/>
    <mergeCell ref="A96:R96"/>
    <mergeCell ref="A90:R90"/>
    <mergeCell ref="A91:R91"/>
    <mergeCell ref="A92:R92"/>
    <mergeCell ref="A93:R93"/>
    <mergeCell ref="A94:R94"/>
  </mergeCells>
  <pageMargins left="0.75" right="0.75" top="1" bottom="1" header="0.5" footer="0.5"/>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
  <dimension ref="A1:R96"/>
  <sheetViews>
    <sheetView zoomScale="80" workbookViewId="0">
      <pane xSplit="4" topLeftCell="E1" activePane="topRight" state="frozen"/>
      <selection sqref="A1:R1"/>
      <selection pane="topRight" sqref="A1:R1"/>
    </sheetView>
  </sheetViews>
  <sheetFormatPr defaultColWidth="11.42578125" defaultRowHeight="15" x14ac:dyDescent="0.25"/>
  <cols>
    <col min="1" max="1" width="50" customWidth="1"/>
  </cols>
  <sheetData>
    <row r="1" spans="1:18" x14ac:dyDescent="0.25">
      <c r="A1" s="26" t="s">
        <v>122</v>
      </c>
      <c r="B1" s="23"/>
      <c r="C1" s="23"/>
      <c r="D1" s="23"/>
      <c r="E1" s="23"/>
      <c r="F1" s="23"/>
      <c r="G1" s="23"/>
      <c r="H1" s="23"/>
      <c r="I1" s="23"/>
      <c r="J1" s="23"/>
      <c r="K1" s="23"/>
      <c r="L1" s="23"/>
      <c r="M1" s="23"/>
      <c r="N1" s="23"/>
      <c r="O1" s="23"/>
      <c r="P1" s="23"/>
      <c r="Q1" s="23"/>
      <c r="R1" s="23"/>
    </row>
    <row r="2" spans="1:18" x14ac:dyDescent="0.25">
      <c r="A2" s="27" t="s">
        <v>256</v>
      </c>
      <c r="B2" s="23"/>
      <c r="C2" s="23"/>
      <c r="D2" s="23"/>
      <c r="E2" s="23"/>
      <c r="F2" s="23"/>
      <c r="G2" s="23"/>
      <c r="H2" s="23"/>
      <c r="I2" s="23"/>
      <c r="J2" s="23"/>
      <c r="K2" s="23"/>
      <c r="L2" s="23"/>
      <c r="M2" s="23"/>
      <c r="N2" s="23"/>
      <c r="O2" s="23"/>
      <c r="P2" s="23"/>
      <c r="Q2" s="23"/>
      <c r="R2" s="23"/>
    </row>
    <row r="4" spans="1:18" ht="30" customHeight="1" x14ac:dyDescent="0.25">
      <c r="A4" s="4"/>
      <c r="B4" s="5" t="s">
        <v>123</v>
      </c>
      <c r="C4" s="5" t="s">
        <v>124</v>
      </c>
      <c r="D4" s="6" t="s">
        <v>123</v>
      </c>
      <c r="E4" s="24" t="s">
        <v>125</v>
      </c>
      <c r="F4" s="25"/>
      <c r="G4" s="24" t="s">
        <v>126</v>
      </c>
      <c r="H4" s="25"/>
      <c r="I4" s="24" t="s">
        <v>127</v>
      </c>
      <c r="J4" s="25"/>
      <c r="K4" s="24" t="s">
        <v>128</v>
      </c>
      <c r="L4" s="25"/>
      <c r="M4" s="24" t="s">
        <v>129</v>
      </c>
      <c r="N4" s="25"/>
      <c r="O4" s="24" t="s">
        <v>130</v>
      </c>
      <c r="P4" s="25"/>
      <c r="Q4" s="24" t="s">
        <v>131</v>
      </c>
      <c r="R4" s="25"/>
    </row>
    <row r="5" spans="1:18" x14ac:dyDescent="0.25">
      <c r="A5" s="7"/>
      <c r="B5" s="8" t="s">
        <v>132</v>
      </c>
      <c r="C5" s="8" t="s">
        <v>133</v>
      </c>
      <c r="D5" s="7" t="s">
        <v>134</v>
      </c>
      <c r="E5" s="8" t="s">
        <v>135</v>
      </c>
      <c r="F5" s="7" t="s">
        <v>136</v>
      </c>
      <c r="G5" s="8" t="s">
        <v>135</v>
      </c>
      <c r="H5" s="7" t="s">
        <v>136</v>
      </c>
      <c r="I5" s="8" t="s">
        <v>135</v>
      </c>
      <c r="J5" s="7" t="s">
        <v>136</v>
      </c>
      <c r="K5" s="8" t="s">
        <v>135</v>
      </c>
      <c r="L5" s="7" t="s">
        <v>136</v>
      </c>
      <c r="M5" s="8" t="s">
        <v>135</v>
      </c>
      <c r="N5" s="7" t="s">
        <v>136</v>
      </c>
      <c r="O5" s="8" t="s">
        <v>135</v>
      </c>
      <c r="P5" s="7" t="s">
        <v>136</v>
      </c>
      <c r="Q5" s="8" t="s">
        <v>135</v>
      </c>
      <c r="R5" s="7" t="s">
        <v>136</v>
      </c>
    </row>
    <row r="6" spans="1:18" x14ac:dyDescent="0.25">
      <c r="A6" s="9" t="s">
        <v>137</v>
      </c>
      <c r="B6" s="10"/>
      <c r="C6" s="10"/>
      <c r="D6" s="11"/>
      <c r="E6" s="10"/>
      <c r="F6" s="11"/>
      <c r="G6" s="10"/>
      <c r="H6" s="11"/>
      <c r="I6" s="10"/>
      <c r="J6" s="11"/>
      <c r="K6" s="10"/>
      <c r="L6" s="11"/>
      <c r="M6" s="10"/>
      <c r="N6" s="11"/>
      <c r="O6" s="10"/>
      <c r="P6" s="11"/>
      <c r="Q6" s="10"/>
      <c r="R6" s="12"/>
    </row>
    <row r="7" spans="1:18" x14ac:dyDescent="0.25">
      <c r="A7" s="11" t="s">
        <v>138</v>
      </c>
      <c r="B7" s="13">
        <v>14530</v>
      </c>
      <c r="C7" s="14">
        <f>(12087/B7*100)</f>
        <v>83.186510667584315</v>
      </c>
      <c r="D7" s="15">
        <v>2443</v>
      </c>
      <c r="E7" s="14">
        <v>4.8330130899999997</v>
      </c>
      <c r="F7" s="16">
        <v>0.49891422000000002</v>
      </c>
      <c r="G7" s="14">
        <v>95.166986910000006</v>
      </c>
      <c r="H7" s="16">
        <v>0.49891422000000002</v>
      </c>
      <c r="I7" s="14" t="s">
        <v>139</v>
      </c>
      <c r="J7" s="16" t="s">
        <v>139</v>
      </c>
      <c r="K7" s="14">
        <v>0</v>
      </c>
      <c r="L7" s="16">
        <v>0</v>
      </c>
      <c r="M7" s="14">
        <v>0</v>
      </c>
      <c r="N7" s="16">
        <v>0</v>
      </c>
      <c r="O7" s="14">
        <v>0</v>
      </c>
      <c r="P7" s="16">
        <v>0</v>
      </c>
      <c r="Q7" s="14">
        <v>0</v>
      </c>
      <c r="R7" s="16">
        <v>0</v>
      </c>
    </row>
    <row r="8" spans="1:18" x14ac:dyDescent="0.25">
      <c r="A8" s="11" t="s">
        <v>140</v>
      </c>
      <c r="B8" s="13">
        <v>7007</v>
      </c>
      <c r="C8" s="14">
        <f>(5795/B8*100)</f>
        <v>82.703011274439845</v>
      </c>
      <c r="D8" s="15">
        <v>1212</v>
      </c>
      <c r="E8" s="14">
        <v>5.2544932700000002</v>
      </c>
      <c r="F8" s="16">
        <v>0.71417642000000003</v>
      </c>
      <c r="G8" s="14">
        <v>94.745506730000002</v>
      </c>
      <c r="H8" s="16">
        <v>0.71417642000000003</v>
      </c>
      <c r="I8" s="14" t="s">
        <v>139</v>
      </c>
      <c r="J8" s="16" t="s">
        <v>139</v>
      </c>
      <c r="K8" s="14">
        <v>0</v>
      </c>
      <c r="L8" s="16">
        <v>0</v>
      </c>
      <c r="M8" s="14">
        <v>0</v>
      </c>
      <c r="N8" s="16">
        <v>0</v>
      </c>
      <c r="O8" s="14">
        <v>0</v>
      </c>
      <c r="P8" s="16">
        <v>0</v>
      </c>
      <c r="Q8" s="14">
        <v>0</v>
      </c>
      <c r="R8" s="16">
        <v>0</v>
      </c>
    </row>
    <row r="9" spans="1:18" x14ac:dyDescent="0.25">
      <c r="A9" s="11" t="s">
        <v>141</v>
      </c>
      <c r="B9" s="13">
        <v>9651</v>
      </c>
      <c r="C9" s="14">
        <f>(8049/B9*100)</f>
        <v>83.400683866956797</v>
      </c>
      <c r="D9" s="15">
        <v>1602</v>
      </c>
      <c r="E9" s="14">
        <v>4.9581495799999997</v>
      </c>
      <c r="F9" s="16">
        <v>0.59104044</v>
      </c>
      <c r="G9" s="14">
        <v>95.041850420000003</v>
      </c>
      <c r="H9" s="16">
        <v>0.59104044</v>
      </c>
      <c r="I9" s="14" t="s">
        <v>139</v>
      </c>
      <c r="J9" s="16" t="s">
        <v>139</v>
      </c>
      <c r="K9" s="14">
        <v>0</v>
      </c>
      <c r="L9" s="16">
        <v>0</v>
      </c>
      <c r="M9" s="14">
        <v>0</v>
      </c>
      <c r="N9" s="16">
        <v>0</v>
      </c>
      <c r="O9" s="14">
        <v>0</v>
      </c>
      <c r="P9" s="16">
        <v>0</v>
      </c>
      <c r="Q9" s="14">
        <v>0</v>
      </c>
      <c r="R9" s="16">
        <v>0</v>
      </c>
    </row>
    <row r="10" spans="1:18" x14ac:dyDescent="0.25">
      <c r="A10" s="11" t="s">
        <v>142</v>
      </c>
      <c r="B10" s="13">
        <v>20058</v>
      </c>
      <c r="C10" s="14">
        <f>(16604/B10*100)</f>
        <v>82.779938179280094</v>
      </c>
      <c r="D10" s="15">
        <v>3454</v>
      </c>
      <c r="E10" s="14">
        <v>3.87014506</v>
      </c>
      <c r="F10" s="16">
        <v>0.44232108999999997</v>
      </c>
      <c r="G10" s="14">
        <v>96.129854940000001</v>
      </c>
      <c r="H10" s="16">
        <v>0.44232108999999997</v>
      </c>
      <c r="I10" s="14" t="s">
        <v>139</v>
      </c>
      <c r="J10" s="16" t="s">
        <v>139</v>
      </c>
      <c r="K10" s="14">
        <v>0</v>
      </c>
      <c r="L10" s="16">
        <v>0</v>
      </c>
      <c r="M10" s="14">
        <v>0</v>
      </c>
      <c r="N10" s="16">
        <v>0</v>
      </c>
      <c r="O10" s="14">
        <v>0</v>
      </c>
      <c r="P10" s="16">
        <v>0</v>
      </c>
      <c r="Q10" s="14">
        <v>0</v>
      </c>
      <c r="R10" s="16">
        <v>0</v>
      </c>
    </row>
    <row r="11" spans="1:18" x14ac:dyDescent="0.25">
      <c r="A11" s="11" t="s">
        <v>143</v>
      </c>
      <c r="B11" s="13">
        <v>7053</v>
      </c>
      <c r="C11" s="14">
        <f>(5856/B11*100)</f>
        <v>83.028498511271792</v>
      </c>
      <c r="D11" s="15">
        <v>1197</v>
      </c>
      <c r="E11" s="14">
        <v>10.572832119999999</v>
      </c>
      <c r="F11" s="16">
        <v>1.01739019</v>
      </c>
      <c r="G11" s="14">
        <v>89.427167879999999</v>
      </c>
      <c r="H11" s="16">
        <v>1.01739019</v>
      </c>
      <c r="I11" s="14" t="s">
        <v>139</v>
      </c>
      <c r="J11" s="16" t="s">
        <v>139</v>
      </c>
      <c r="K11" s="14">
        <v>0</v>
      </c>
      <c r="L11" s="16">
        <v>0</v>
      </c>
      <c r="M11" s="14">
        <v>0</v>
      </c>
      <c r="N11" s="16">
        <v>0</v>
      </c>
      <c r="O11" s="14">
        <v>0</v>
      </c>
      <c r="P11" s="16">
        <v>0</v>
      </c>
      <c r="Q11" s="14">
        <v>0</v>
      </c>
      <c r="R11" s="16">
        <v>0</v>
      </c>
    </row>
    <row r="12" spans="1:18" x14ac:dyDescent="0.25">
      <c r="A12" s="11" t="s">
        <v>144</v>
      </c>
      <c r="B12" s="13">
        <v>6894</v>
      </c>
      <c r="C12" s="14">
        <f>(5725/B12*100)</f>
        <v>83.043225993617639</v>
      </c>
      <c r="D12" s="15">
        <v>1169</v>
      </c>
      <c r="E12" s="14">
        <v>3.60059796</v>
      </c>
      <c r="F12" s="16">
        <v>0.48532325999999998</v>
      </c>
      <c r="G12" s="14">
        <v>96.399402039999998</v>
      </c>
      <c r="H12" s="16">
        <v>0.48532325999999998</v>
      </c>
      <c r="I12" s="14" t="s">
        <v>139</v>
      </c>
      <c r="J12" s="16" t="s">
        <v>139</v>
      </c>
      <c r="K12" s="14">
        <v>0</v>
      </c>
      <c r="L12" s="16">
        <v>0</v>
      </c>
      <c r="M12" s="14">
        <v>0</v>
      </c>
      <c r="N12" s="16">
        <v>0</v>
      </c>
      <c r="O12" s="14">
        <v>0</v>
      </c>
      <c r="P12" s="16">
        <v>0</v>
      </c>
      <c r="Q12" s="14">
        <v>0</v>
      </c>
      <c r="R12" s="16">
        <v>0</v>
      </c>
    </row>
    <row r="13" spans="1:18" x14ac:dyDescent="0.25">
      <c r="A13" s="11" t="s">
        <v>145</v>
      </c>
      <c r="B13" s="13">
        <v>7161</v>
      </c>
      <c r="C13" s="14">
        <f>(6001/B13*100)</f>
        <v>83.801145091467674</v>
      </c>
      <c r="D13" s="15">
        <v>1160</v>
      </c>
      <c r="E13" s="14">
        <v>3.6577361000000002</v>
      </c>
      <c r="F13" s="16">
        <v>0.65342166999999995</v>
      </c>
      <c r="G13" s="14">
        <v>96.342263900000006</v>
      </c>
      <c r="H13" s="16">
        <v>0.65342166999999995</v>
      </c>
      <c r="I13" s="14" t="s">
        <v>139</v>
      </c>
      <c r="J13" s="16" t="s">
        <v>139</v>
      </c>
      <c r="K13" s="14">
        <v>0</v>
      </c>
      <c r="L13" s="16">
        <v>0</v>
      </c>
      <c r="M13" s="14">
        <v>0</v>
      </c>
      <c r="N13" s="16">
        <v>0</v>
      </c>
      <c r="O13" s="14">
        <v>0</v>
      </c>
      <c r="P13" s="16">
        <v>0</v>
      </c>
      <c r="Q13" s="14">
        <v>0</v>
      </c>
      <c r="R13" s="16">
        <v>0</v>
      </c>
    </row>
    <row r="14" spans="1:18" x14ac:dyDescent="0.25">
      <c r="A14" s="11" t="s">
        <v>146</v>
      </c>
      <c r="B14" s="13">
        <v>5587</v>
      </c>
      <c r="C14" s="14">
        <f>(4630/B14*100)</f>
        <v>82.870950420619295</v>
      </c>
      <c r="D14" s="15">
        <v>957</v>
      </c>
      <c r="E14" s="14">
        <v>2.0376271699999999</v>
      </c>
      <c r="F14" s="16">
        <v>0.55610515999999999</v>
      </c>
      <c r="G14" s="14">
        <v>97.962372830000007</v>
      </c>
      <c r="H14" s="16">
        <v>0.55610515999999999</v>
      </c>
      <c r="I14" s="14" t="s">
        <v>139</v>
      </c>
      <c r="J14" s="16" t="s">
        <v>139</v>
      </c>
      <c r="K14" s="14">
        <v>0</v>
      </c>
      <c r="L14" s="16">
        <v>0</v>
      </c>
      <c r="M14" s="14">
        <v>0</v>
      </c>
      <c r="N14" s="16">
        <v>0</v>
      </c>
      <c r="O14" s="14">
        <v>0</v>
      </c>
      <c r="P14" s="16">
        <v>0</v>
      </c>
      <c r="Q14" s="14">
        <v>0</v>
      </c>
      <c r="R14" s="16">
        <v>0</v>
      </c>
    </row>
    <row r="15" spans="1:18" x14ac:dyDescent="0.25">
      <c r="A15" s="11" t="s">
        <v>147</v>
      </c>
      <c r="B15" s="13">
        <v>5882</v>
      </c>
      <c r="C15" s="14">
        <f>(4904/B15*100)</f>
        <v>83.373002380142808</v>
      </c>
      <c r="D15" s="15">
        <v>978</v>
      </c>
      <c r="E15" s="14">
        <v>3.2379694799999998</v>
      </c>
      <c r="F15" s="16">
        <v>0.53129360000000003</v>
      </c>
      <c r="G15" s="14">
        <v>96.762030519999996</v>
      </c>
      <c r="H15" s="16">
        <v>0.53129360000000003</v>
      </c>
      <c r="I15" s="14" t="s">
        <v>139</v>
      </c>
      <c r="J15" s="16" t="s">
        <v>139</v>
      </c>
      <c r="K15" s="14">
        <v>0</v>
      </c>
      <c r="L15" s="16">
        <v>0</v>
      </c>
      <c r="M15" s="14">
        <v>0</v>
      </c>
      <c r="N15" s="16">
        <v>0</v>
      </c>
      <c r="O15" s="14">
        <v>0</v>
      </c>
      <c r="P15" s="16">
        <v>0</v>
      </c>
      <c r="Q15" s="14">
        <v>0</v>
      </c>
      <c r="R15" s="16">
        <v>0</v>
      </c>
    </row>
    <row r="16" spans="1:18" x14ac:dyDescent="0.25">
      <c r="A16" s="11" t="s">
        <v>148</v>
      </c>
      <c r="B16" s="13">
        <v>6108</v>
      </c>
      <c r="C16" s="14">
        <f>(5056/B16*100)</f>
        <v>82.776686313032087</v>
      </c>
      <c r="D16" s="15">
        <v>1052</v>
      </c>
      <c r="E16" s="14">
        <v>7.0725658300000003</v>
      </c>
      <c r="F16" s="16">
        <v>0.98030576000000003</v>
      </c>
      <c r="G16" s="14">
        <v>92.927434169999998</v>
      </c>
      <c r="H16" s="16">
        <v>0.98030576000000003</v>
      </c>
      <c r="I16" s="14" t="s">
        <v>139</v>
      </c>
      <c r="J16" s="16" t="s">
        <v>139</v>
      </c>
      <c r="K16" s="14">
        <v>0</v>
      </c>
      <c r="L16" s="16">
        <v>0</v>
      </c>
      <c r="M16" s="14">
        <v>0</v>
      </c>
      <c r="N16" s="16">
        <v>0</v>
      </c>
      <c r="O16" s="14">
        <v>0</v>
      </c>
      <c r="P16" s="16">
        <v>0</v>
      </c>
      <c r="Q16" s="14">
        <v>0</v>
      </c>
      <c r="R16" s="16">
        <v>0</v>
      </c>
    </row>
    <row r="17" spans="1:18" x14ac:dyDescent="0.25">
      <c r="A17" s="11" t="s">
        <v>149</v>
      </c>
      <c r="B17" s="13">
        <v>6504</v>
      </c>
      <c r="C17" s="14">
        <f>(5411/B17*100)</f>
        <v>83.194956949569502</v>
      </c>
      <c r="D17" s="15">
        <v>1093</v>
      </c>
      <c r="E17" s="14">
        <v>4.2328438999999998</v>
      </c>
      <c r="F17" s="16">
        <v>0.80030093999999996</v>
      </c>
      <c r="G17" s="14">
        <v>95.767156099999994</v>
      </c>
      <c r="H17" s="16">
        <v>0.80030093999999996</v>
      </c>
      <c r="I17" s="14" t="s">
        <v>139</v>
      </c>
      <c r="J17" s="16" t="s">
        <v>139</v>
      </c>
      <c r="K17" s="14">
        <v>0</v>
      </c>
      <c r="L17" s="16">
        <v>0</v>
      </c>
      <c r="M17" s="14">
        <v>0</v>
      </c>
      <c r="N17" s="16">
        <v>0</v>
      </c>
      <c r="O17" s="14">
        <v>0</v>
      </c>
      <c r="P17" s="16">
        <v>0</v>
      </c>
      <c r="Q17" s="14">
        <v>0</v>
      </c>
      <c r="R17" s="16">
        <v>0</v>
      </c>
    </row>
    <row r="18" spans="1:18" x14ac:dyDescent="0.25">
      <c r="A18" s="11" t="s">
        <v>150</v>
      </c>
      <c r="B18" s="13">
        <v>5532</v>
      </c>
      <c r="C18" s="14">
        <f>(4567/B18*100)</f>
        <v>82.556037599421543</v>
      </c>
      <c r="D18" s="15">
        <v>965</v>
      </c>
      <c r="E18" s="14">
        <v>9.3622213500000004</v>
      </c>
      <c r="F18" s="16">
        <v>1.0853245899999999</v>
      </c>
      <c r="G18" s="14">
        <v>90.637778650000001</v>
      </c>
      <c r="H18" s="16">
        <v>1.0853245899999999</v>
      </c>
      <c r="I18" s="14" t="s">
        <v>139</v>
      </c>
      <c r="J18" s="16" t="s">
        <v>139</v>
      </c>
      <c r="K18" s="14">
        <v>0</v>
      </c>
      <c r="L18" s="16">
        <v>0</v>
      </c>
      <c r="M18" s="14">
        <v>0</v>
      </c>
      <c r="N18" s="16">
        <v>0</v>
      </c>
      <c r="O18" s="14">
        <v>0</v>
      </c>
      <c r="P18" s="16">
        <v>0</v>
      </c>
      <c r="Q18" s="14">
        <v>0</v>
      </c>
      <c r="R18" s="16">
        <v>0</v>
      </c>
    </row>
    <row r="19" spans="1:18" x14ac:dyDescent="0.25">
      <c r="A19" s="11" t="s">
        <v>151</v>
      </c>
      <c r="B19" s="13">
        <v>5658</v>
      </c>
      <c r="C19" s="14">
        <f>(4706/B19*100)</f>
        <v>83.17426652527395</v>
      </c>
      <c r="D19" s="15">
        <v>952</v>
      </c>
      <c r="E19" s="14">
        <v>8.0157987599999991</v>
      </c>
      <c r="F19" s="16">
        <v>1.16637108</v>
      </c>
      <c r="G19" s="14">
        <v>91.984201240000004</v>
      </c>
      <c r="H19" s="16">
        <v>1.16637108</v>
      </c>
      <c r="I19" s="14" t="s">
        <v>139</v>
      </c>
      <c r="J19" s="16" t="s">
        <v>139</v>
      </c>
      <c r="K19" s="14">
        <v>0</v>
      </c>
      <c r="L19" s="16">
        <v>0</v>
      </c>
      <c r="M19" s="14">
        <v>0</v>
      </c>
      <c r="N19" s="16">
        <v>0</v>
      </c>
      <c r="O19" s="14">
        <v>0</v>
      </c>
      <c r="P19" s="16">
        <v>0</v>
      </c>
      <c r="Q19" s="14">
        <v>0</v>
      </c>
      <c r="R19" s="16">
        <v>0</v>
      </c>
    </row>
    <row r="20" spans="1:18" x14ac:dyDescent="0.25">
      <c r="A20" s="11" t="s">
        <v>152</v>
      </c>
      <c r="B20" s="13">
        <v>3371</v>
      </c>
      <c r="C20" s="14">
        <f>(2793/B20*100)</f>
        <v>82.853752595668936</v>
      </c>
      <c r="D20" s="15">
        <v>578</v>
      </c>
      <c r="E20" s="14">
        <v>4.6538875700000002</v>
      </c>
      <c r="F20" s="16">
        <v>0.84524473</v>
      </c>
      <c r="G20" s="14">
        <v>95.346112430000005</v>
      </c>
      <c r="H20" s="16">
        <v>0.84524473</v>
      </c>
      <c r="I20" s="14" t="s">
        <v>139</v>
      </c>
      <c r="J20" s="16" t="s">
        <v>139</v>
      </c>
      <c r="K20" s="14">
        <v>0</v>
      </c>
      <c r="L20" s="16">
        <v>0</v>
      </c>
      <c r="M20" s="14">
        <v>0</v>
      </c>
      <c r="N20" s="16">
        <v>0</v>
      </c>
      <c r="O20" s="14">
        <v>0</v>
      </c>
      <c r="P20" s="16">
        <v>0</v>
      </c>
      <c r="Q20" s="14">
        <v>0</v>
      </c>
      <c r="R20" s="16">
        <v>0</v>
      </c>
    </row>
    <row r="21" spans="1:18" x14ac:dyDescent="0.25">
      <c r="A21" s="11" t="s">
        <v>153</v>
      </c>
      <c r="B21" s="17" t="s">
        <v>154</v>
      </c>
      <c r="C21" s="17" t="s">
        <v>154</v>
      </c>
      <c r="D21" s="18" t="s">
        <v>154</v>
      </c>
      <c r="E21" s="17" t="s">
        <v>154</v>
      </c>
      <c r="F21" s="18" t="s">
        <v>154</v>
      </c>
      <c r="G21" s="17" t="s">
        <v>154</v>
      </c>
      <c r="H21" s="18" t="s">
        <v>154</v>
      </c>
      <c r="I21" s="17" t="s">
        <v>154</v>
      </c>
      <c r="J21" s="18" t="s">
        <v>154</v>
      </c>
      <c r="K21" s="17" t="s">
        <v>154</v>
      </c>
      <c r="L21" s="18" t="s">
        <v>154</v>
      </c>
      <c r="M21" s="17" t="s">
        <v>154</v>
      </c>
      <c r="N21" s="18" t="s">
        <v>154</v>
      </c>
      <c r="O21" s="17" t="s">
        <v>154</v>
      </c>
      <c r="P21" s="18" t="s">
        <v>154</v>
      </c>
      <c r="Q21" s="17" t="s">
        <v>154</v>
      </c>
      <c r="R21" s="18" t="s">
        <v>154</v>
      </c>
    </row>
    <row r="22" spans="1:18" x14ac:dyDescent="0.25">
      <c r="A22" s="11" t="s">
        <v>155</v>
      </c>
      <c r="B22" s="13">
        <v>6598</v>
      </c>
      <c r="C22" s="14">
        <f>(5572/B22*100)</f>
        <v>84.449833282812975</v>
      </c>
      <c r="D22" s="15">
        <v>1026</v>
      </c>
      <c r="E22" s="14">
        <v>16.466291160000001</v>
      </c>
      <c r="F22" s="16">
        <v>1.4853850200000001</v>
      </c>
      <c r="G22" s="14">
        <v>83.533708840000003</v>
      </c>
      <c r="H22" s="16">
        <v>1.4853850200000001</v>
      </c>
      <c r="I22" s="14" t="s">
        <v>139</v>
      </c>
      <c r="J22" s="16" t="s">
        <v>139</v>
      </c>
      <c r="K22" s="14">
        <v>0</v>
      </c>
      <c r="L22" s="16">
        <v>0</v>
      </c>
      <c r="M22" s="14">
        <v>0</v>
      </c>
      <c r="N22" s="16">
        <v>0</v>
      </c>
      <c r="O22" s="14">
        <v>0</v>
      </c>
      <c r="P22" s="16">
        <v>0</v>
      </c>
      <c r="Q22" s="14">
        <v>0</v>
      </c>
      <c r="R22" s="16">
        <v>0</v>
      </c>
    </row>
    <row r="23" spans="1:18" x14ac:dyDescent="0.25">
      <c r="A23" s="11" t="s">
        <v>156</v>
      </c>
      <c r="B23" s="13">
        <v>11583</v>
      </c>
      <c r="C23" s="14">
        <f>(9607/B23*100)</f>
        <v>82.94051627384961</v>
      </c>
      <c r="D23" s="15">
        <v>1976</v>
      </c>
      <c r="E23" s="14">
        <v>7.0740078500000001</v>
      </c>
      <c r="F23" s="16">
        <v>1.1482112600000001</v>
      </c>
      <c r="G23" s="14">
        <v>92.925992149999999</v>
      </c>
      <c r="H23" s="16">
        <v>1.1482112600000001</v>
      </c>
      <c r="I23" s="14" t="s">
        <v>139</v>
      </c>
      <c r="J23" s="16" t="s">
        <v>139</v>
      </c>
      <c r="K23" s="14">
        <v>0</v>
      </c>
      <c r="L23" s="16">
        <v>0</v>
      </c>
      <c r="M23" s="14">
        <v>0</v>
      </c>
      <c r="N23" s="16">
        <v>0</v>
      </c>
      <c r="O23" s="14">
        <v>0</v>
      </c>
      <c r="P23" s="16">
        <v>0</v>
      </c>
      <c r="Q23" s="14">
        <v>0</v>
      </c>
      <c r="R23" s="16">
        <v>0</v>
      </c>
    </row>
    <row r="24" spans="1:18" x14ac:dyDescent="0.25">
      <c r="A24" s="11" t="s">
        <v>157</v>
      </c>
      <c r="B24" s="13">
        <v>6647</v>
      </c>
      <c r="C24" s="14">
        <f>(5489/B24*100)</f>
        <v>82.578606890326469</v>
      </c>
      <c r="D24" s="15">
        <v>1158</v>
      </c>
      <c r="E24" s="14">
        <v>2.9102819200000001</v>
      </c>
      <c r="F24" s="16">
        <v>0.52107459</v>
      </c>
      <c r="G24" s="14">
        <v>97.089718079999997</v>
      </c>
      <c r="H24" s="16">
        <v>0.52107459</v>
      </c>
      <c r="I24" s="14" t="s">
        <v>139</v>
      </c>
      <c r="J24" s="16" t="s">
        <v>139</v>
      </c>
      <c r="K24" s="14">
        <v>0</v>
      </c>
      <c r="L24" s="16">
        <v>0</v>
      </c>
      <c r="M24" s="14">
        <v>0</v>
      </c>
      <c r="N24" s="16">
        <v>0</v>
      </c>
      <c r="O24" s="14">
        <v>0</v>
      </c>
      <c r="P24" s="16">
        <v>0</v>
      </c>
      <c r="Q24" s="14">
        <v>0</v>
      </c>
      <c r="R24" s="16">
        <v>0</v>
      </c>
    </row>
    <row r="25" spans="1:18" x14ac:dyDescent="0.25">
      <c r="A25" s="11" t="s">
        <v>158</v>
      </c>
      <c r="B25" s="13">
        <v>5581</v>
      </c>
      <c r="C25" s="14">
        <f>(4617/B25*100)</f>
        <v>82.727109836946795</v>
      </c>
      <c r="D25" s="15">
        <v>964</v>
      </c>
      <c r="E25" s="14">
        <v>3.2699516100000001</v>
      </c>
      <c r="F25" s="16">
        <v>0.58324458000000001</v>
      </c>
      <c r="G25" s="14">
        <v>96.730048389999993</v>
      </c>
      <c r="H25" s="16">
        <v>0.58324458000000001</v>
      </c>
      <c r="I25" s="14" t="s">
        <v>139</v>
      </c>
      <c r="J25" s="16" t="s">
        <v>139</v>
      </c>
      <c r="K25" s="14">
        <v>0</v>
      </c>
      <c r="L25" s="16">
        <v>0</v>
      </c>
      <c r="M25" s="14">
        <v>0</v>
      </c>
      <c r="N25" s="16">
        <v>0</v>
      </c>
      <c r="O25" s="14">
        <v>0</v>
      </c>
      <c r="P25" s="16">
        <v>0</v>
      </c>
      <c r="Q25" s="14">
        <v>0</v>
      </c>
      <c r="R25" s="16">
        <v>0</v>
      </c>
    </row>
    <row r="26" spans="1:18" x14ac:dyDescent="0.25">
      <c r="A26" s="11" t="s">
        <v>159</v>
      </c>
      <c r="B26" s="13">
        <v>4869</v>
      </c>
      <c r="C26" s="14">
        <f>(4010/B26*100)</f>
        <v>82.357773670158139</v>
      </c>
      <c r="D26" s="15">
        <v>859</v>
      </c>
      <c r="E26" s="14">
        <v>7.7867720800000004</v>
      </c>
      <c r="F26" s="16">
        <v>0.98018137000000005</v>
      </c>
      <c r="G26" s="14">
        <v>92.213227919999994</v>
      </c>
      <c r="H26" s="16">
        <v>0.98018137000000005</v>
      </c>
      <c r="I26" s="14" t="s">
        <v>139</v>
      </c>
      <c r="J26" s="16" t="s">
        <v>139</v>
      </c>
      <c r="K26" s="14">
        <v>0</v>
      </c>
      <c r="L26" s="16">
        <v>0</v>
      </c>
      <c r="M26" s="14">
        <v>0</v>
      </c>
      <c r="N26" s="16">
        <v>0</v>
      </c>
      <c r="O26" s="14">
        <v>0</v>
      </c>
      <c r="P26" s="16">
        <v>0</v>
      </c>
      <c r="Q26" s="14">
        <v>0</v>
      </c>
      <c r="R26" s="16">
        <v>0</v>
      </c>
    </row>
    <row r="27" spans="1:18" x14ac:dyDescent="0.25">
      <c r="A27" s="11" t="s">
        <v>160</v>
      </c>
      <c r="B27" s="13">
        <v>5299</v>
      </c>
      <c r="C27" s="14">
        <f>(4387/B27*100)</f>
        <v>82.789205510473678</v>
      </c>
      <c r="D27" s="15">
        <v>912</v>
      </c>
      <c r="E27" s="14">
        <v>5.7331338000000001</v>
      </c>
      <c r="F27" s="16">
        <v>0.67047661999999997</v>
      </c>
      <c r="G27" s="14">
        <v>94.266866199999996</v>
      </c>
      <c r="H27" s="16">
        <v>0.67047661999999997</v>
      </c>
      <c r="I27" s="14" t="s">
        <v>139</v>
      </c>
      <c r="J27" s="16" t="s">
        <v>139</v>
      </c>
      <c r="K27" s="14">
        <v>0</v>
      </c>
      <c r="L27" s="16">
        <v>0</v>
      </c>
      <c r="M27" s="14">
        <v>0</v>
      </c>
      <c r="N27" s="16">
        <v>0</v>
      </c>
      <c r="O27" s="14">
        <v>0</v>
      </c>
      <c r="P27" s="16">
        <v>0</v>
      </c>
      <c r="Q27" s="14">
        <v>0</v>
      </c>
      <c r="R27" s="16">
        <v>0</v>
      </c>
    </row>
    <row r="28" spans="1:18" x14ac:dyDescent="0.25">
      <c r="A28" s="11" t="s">
        <v>161</v>
      </c>
      <c r="B28" s="13">
        <v>7568</v>
      </c>
      <c r="C28" s="14">
        <f>(6360/B28*100)</f>
        <v>84.038054968287526</v>
      </c>
      <c r="D28" s="15">
        <v>1208</v>
      </c>
      <c r="E28" s="14">
        <v>20.997473280000001</v>
      </c>
      <c r="F28" s="16">
        <v>1.3230294600000001</v>
      </c>
      <c r="G28" s="14">
        <v>79.002526720000006</v>
      </c>
      <c r="H28" s="16">
        <v>1.3230294600000001</v>
      </c>
      <c r="I28" s="14" t="s">
        <v>139</v>
      </c>
      <c r="J28" s="16" t="s">
        <v>139</v>
      </c>
      <c r="K28" s="14">
        <v>0</v>
      </c>
      <c r="L28" s="16">
        <v>0</v>
      </c>
      <c r="M28" s="14">
        <v>0</v>
      </c>
      <c r="N28" s="16">
        <v>0</v>
      </c>
      <c r="O28" s="14">
        <v>0</v>
      </c>
      <c r="P28" s="16">
        <v>0</v>
      </c>
      <c r="Q28" s="14">
        <v>0</v>
      </c>
      <c r="R28" s="16">
        <v>0</v>
      </c>
    </row>
    <row r="29" spans="1:18" x14ac:dyDescent="0.25">
      <c r="A29" s="11" t="s">
        <v>162</v>
      </c>
      <c r="B29" s="13">
        <v>5385</v>
      </c>
      <c r="C29" s="14">
        <f>(4470/B29*100)</f>
        <v>83.008356545961007</v>
      </c>
      <c r="D29" s="15">
        <v>915</v>
      </c>
      <c r="E29" s="14">
        <v>4.9956734000000003</v>
      </c>
      <c r="F29" s="16">
        <v>0.71257040999999999</v>
      </c>
      <c r="G29" s="14">
        <v>95.004326599999999</v>
      </c>
      <c r="H29" s="16">
        <v>0.71257040999999999</v>
      </c>
      <c r="I29" s="14" t="s">
        <v>139</v>
      </c>
      <c r="J29" s="16" t="s">
        <v>139</v>
      </c>
      <c r="K29" s="14">
        <v>0</v>
      </c>
      <c r="L29" s="16">
        <v>0</v>
      </c>
      <c r="M29" s="14">
        <v>0</v>
      </c>
      <c r="N29" s="16">
        <v>0</v>
      </c>
      <c r="O29" s="14">
        <v>0</v>
      </c>
      <c r="P29" s="16">
        <v>0</v>
      </c>
      <c r="Q29" s="14">
        <v>0</v>
      </c>
      <c r="R29" s="16">
        <v>0</v>
      </c>
    </row>
    <row r="30" spans="1:18" x14ac:dyDescent="0.25">
      <c r="A30" s="11" t="s">
        <v>163</v>
      </c>
      <c r="B30" s="13">
        <v>4520</v>
      </c>
      <c r="C30" s="14">
        <f>(3750/B30*100)</f>
        <v>82.964601769911511</v>
      </c>
      <c r="D30" s="15">
        <v>770</v>
      </c>
      <c r="E30" s="14">
        <v>2.8781486699999999</v>
      </c>
      <c r="F30" s="16">
        <v>0.62902331</v>
      </c>
      <c r="G30" s="14">
        <v>97.121851329999998</v>
      </c>
      <c r="H30" s="16">
        <v>0.62902331</v>
      </c>
      <c r="I30" s="14" t="s">
        <v>139</v>
      </c>
      <c r="J30" s="16" t="s">
        <v>139</v>
      </c>
      <c r="K30" s="14">
        <v>0</v>
      </c>
      <c r="L30" s="16">
        <v>0</v>
      </c>
      <c r="M30" s="14">
        <v>0</v>
      </c>
      <c r="N30" s="16">
        <v>0</v>
      </c>
      <c r="O30" s="14">
        <v>0</v>
      </c>
      <c r="P30" s="16">
        <v>0</v>
      </c>
      <c r="Q30" s="14">
        <v>0</v>
      </c>
      <c r="R30" s="16">
        <v>0</v>
      </c>
    </row>
    <row r="31" spans="1:18" x14ac:dyDescent="0.25">
      <c r="A31" s="11" t="s">
        <v>164</v>
      </c>
      <c r="B31" s="13">
        <v>5456</v>
      </c>
      <c r="C31" s="14">
        <f>(4538/B31*100)</f>
        <v>83.174486803519059</v>
      </c>
      <c r="D31" s="15">
        <v>918</v>
      </c>
      <c r="E31" s="14">
        <v>5.1469597699999996</v>
      </c>
      <c r="F31" s="16">
        <v>0.67918736999999996</v>
      </c>
      <c r="G31" s="14">
        <v>94.853040230000005</v>
      </c>
      <c r="H31" s="16">
        <v>0.67918736999999996</v>
      </c>
      <c r="I31" s="14" t="s">
        <v>139</v>
      </c>
      <c r="J31" s="16" t="s">
        <v>139</v>
      </c>
      <c r="K31" s="14">
        <v>0</v>
      </c>
      <c r="L31" s="16">
        <v>0</v>
      </c>
      <c r="M31" s="14">
        <v>0</v>
      </c>
      <c r="N31" s="16">
        <v>0</v>
      </c>
      <c r="O31" s="14">
        <v>0</v>
      </c>
      <c r="P31" s="16">
        <v>0</v>
      </c>
      <c r="Q31" s="14">
        <v>0</v>
      </c>
      <c r="R31" s="16">
        <v>0</v>
      </c>
    </row>
    <row r="32" spans="1:18" x14ac:dyDescent="0.25">
      <c r="A32" s="11" t="s">
        <v>165</v>
      </c>
      <c r="B32" s="17" t="s">
        <v>154</v>
      </c>
      <c r="C32" s="17" t="s">
        <v>154</v>
      </c>
      <c r="D32" s="18" t="s">
        <v>154</v>
      </c>
      <c r="E32" s="17" t="s">
        <v>154</v>
      </c>
      <c r="F32" s="18" t="s">
        <v>154</v>
      </c>
      <c r="G32" s="17" t="s">
        <v>154</v>
      </c>
      <c r="H32" s="18" t="s">
        <v>154</v>
      </c>
      <c r="I32" s="17" t="s">
        <v>154</v>
      </c>
      <c r="J32" s="18" t="s">
        <v>154</v>
      </c>
      <c r="K32" s="17" t="s">
        <v>154</v>
      </c>
      <c r="L32" s="18" t="s">
        <v>154</v>
      </c>
      <c r="M32" s="17" t="s">
        <v>154</v>
      </c>
      <c r="N32" s="18" t="s">
        <v>154</v>
      </c>
      <c r="O32" s="17" t="s">
        <v>154</v>
      </c>
      <c r="P32" s="18" t="s">
        <v>154</v>
      </c>
      <c r="Q32" s="17" t="s">
        <v>154</v>
      </c>
      <c r="R32" s="18" t="s">
        <v>154</v>
      </c>
    </row>
    <row r="33" spans="1:18" x14ac:dyDescent="0.25">
      <c r="A33" s="11" t="s">
        <v>166</v>
      </c>
      <c r="B33" s="13">
        <v>7325</v>
      </c>
      <c r="C33" s="14">
        <f>(6113/B33*100)</f>
        <v>83.453924914675767</v>
      </c>
      <c r="D33" s="15">
        <v>1212</v>
      </c>
      <c r="E33" s="14">
        <v>5.7729128599999999</v>
      </c>
      <c r="F33" s="16">
        <v>0.90964701999999997</v>
      </c>
      <c r="G33" s="14">
        <v>94.227087139999995</v>
      </c>
      <c r="H33" s="16">
        <v>0.90964701999999997</v>
      </c>
      <c r="I33" s="14" t="s">
        <v>139</v>
      </c>
      <c r="J33" s="16" t="s">
        <v>139</v>
      </c>
      <c r="K33" s="14">
        <v>0</v>
      </c>
      <c r="L33" s="16">
        <v>0</v>
      </c>
      <c r="M33" s="14">
        <v>0</v>
      </c>
      <c r="N33" s="16">
        <v>0</v>
      </c>
      <c r="O33" s="14">
        <v>0</v>
      </c>
      <c r="P33" s="16">
        <v>0</v>
      </c>
      <c r="Q33" s="14">
        <v>0</v>
      </c>
      <c r="R33" s="16">
        <v>0</v>
      </c>
    </row>
    <row r="34" spans="1:18" x14ac:dyDescent="0.25">
      <c r="A34" s="11" t="s">
        <v>167</v>
      </c>
      <c r="B34" s="13">
        <v>6350</v>
      </c>
      <c r="C34" s="14">
        <f>(5294/B34*100)</f>
        <v>83.370078740157481</v>
      </c>
      <c r="D34" s="15">
        <v>1056</v>
      </c>
      <c r="E34" s="14">
        <v>8.9138760599999998</v>
      </c>
      <c r="F34" s="16">
        <v>0.78982202999999995</v>
      </c>
      <c r="G34" s="14">
        <v>91.086123939999993</v>
      </c>
      <c r="H34" s="16">
        <v>0.78982202999999995</v>
      </c>
      <c r="I34" s="14" t="s">
        <v>139</v>
      </c>
      <c r="J34" s="16" t="s">
        <v>139</v>
      </c>
      <c r="K34" s="14">
        <v>0</v>
      </c>
      <c r="L34" s="16">
        <v>0</v>
      </c>
      <c r="M34" s="14">
        <v>0</v>
      </c>
      <c r="N34" s="16">
        <v>0</v>
      </c>
      <c r="O34" s="14">
        <v>0</v>
      </c>
      <c r="P34" s="16">
        <v>0</v>
      </c>
      <c r="Q34" s="14">
        <v>0</v>
      </c>
      <c r="R34" s="16">
        <v>0</v>
      </c>
    </row>
    <row r="35" spans="1:18" x14ac:dyDescent="0.25">
      <c r="A35" s="11" t="s">
        <v>168</v>
      </c>
      <c r="B35" s="13">
        <v>6406</v>
      </c>
      <c r="C35" s="14">
        <f>(5302/B35*100)</f>
        <v>82.766156728067443</v>
      </c>
      <c r="D35" s="15">
        <v>1104</v>
      </c>
      <c r="E35" s="14">
        <v>4.1750407300000001</v>
      </c>
      <c r="F35" s="16">
        <v>0.62571668000000003</v>
      </c>
      <c r="G35" s="14">
        <v>95.824959269999994</v>
      </c>
      <c r="H35" s="16">
        <v>0.62571668000000003</v>
      </c>
      <c r="I35" s="14" t="s">
        <v>139</v>
      </c>
      <c r="J35" s="16" t="s">
        <v>139</v>
      </c>
      <c r="K35" s="14">
        <v>0</v>
      </c>
      <c r="L35" s="16">
        <v>0</v>
      </c>
      <c r="M35" s="14">
        <v>0</v>
      </c>
      <c r="N35" s="16">
        <v>0</v>
      </c>
      <c r="O35" s="14">
        <v>0</v>
      </c>
      <c r="P35" s="16">
        <v>0</v>
      </c>
      <c r="Q35" s="14">
        <v>0</v>
      </c>
      <c r="R35" s="16">
        <v>0</v>
      </c>
    </row>
    <row r="36" spans="1:18" x14ac:dyDescent="0.25">
      <c r="A36" s="11" t="s">
        <v>169</v>
      </c>
      <c r="B36" s="13">
        <v>6736</v>
      </c>
      <c r="C36" s="14">
        <f>(5585/B36*100)</f>
        <v>82.912707838479818</v>
      </c>
      <c r="D36" s="15">
        <v>1151</v>
      </c>
      <c r="E36" s="14">
        <v>7.9288351700000002</v>
      </c>
      <c r="F36" s="16">
        <v>0.76491942999999996</v>
      </c>
      <c r="G36" s="14">
        <v>92.071164830000001</v>
      </c>
      <c r="H36" s="16">
        <v>0.76491942999999996</v>
      </c>
      <c r="I36" s="14" t="s">
        <v>139</v>
      </c>
      <c r="J36" s="16" t="s">
        <v>139</v>
      </c>
      <c r="K36" s="14">
        <v>0</v>
      </c>
      <c r="L36" s="16">
        <v>0</v>
      </c>
      <c r="M36" s="14">
        <v>0</v>
      </c>
      <c r="N36" s="16">
        <v>0</v>
      </c>
      <c r="O36" s="14">
        <v>0</v>
      </c>
      <c r="P36" s="16">
        <v>0</v>
      </c>
      <c r="Q36" s="14">
        <v>0</v>
      </c>
      <c r="R36" s="16">
        <v>0</v>
      </c>
    </row>
    <row r="37" spans="1:18" x14ac:dyDescent="0.25">
      <c r="A37" s="11" t="s">
        <v>170</v>
      </c>
      <c r="B37" s="13">
        <v>5458</v>
      </c>
      <c r="C37" s="14">
        <f>(4562/B37*100)</f>
        <v>83.583730304140715</v>
      </c>
      <c r="D37" s="15">
        <v>896</v>
      </c>
      <c r="E37" s="14">
        <v>3.4246514100000001</v>
      </c>
      <c r="F37" s="16">
        <v>0.60664910999999999</v>
      </c>
      <c r="G37" s="14">
        <v>96.575348590000004</v>
      </c>
      <c r="H37" s="16">
        <v>0.60664910999999999</v>
      </c>
      <c r="I37" s="14" t="s">
        <v>139</v>
      </c>
      <c r="J37" s="16" t="s">
        <v>139</v>
      </c>
      <c r="K37" s="14">
        <v>0</v>
      </c>
      <c r="L37" s="16">
        <v>0</v>
      </c>
      <c r="M37" s="14">
        <v>0</v>
      </c>
      <c r="N37" s="16">
        <v>0</v>
      </c>
      <c r="O37" s="14">
        <v>0</v>
      </c>
      <c r="P37" s="16">
        <v>0</v>
      </c>
      <c r="Q37" s="14">
        <v>0</v>
      </c>
      <c r="R37" s="16">
        <v>0</v>
      </c>
    </row>
    <row r="38" spans="1:18" x14ac:dyDescent="0.25">
      <c r="A38" s="11" t="s">
        <v>171</v>
      </c>
      <c r="B38" s="17" t="s">
        <v>154</v>
      </c>
      <c r="C38" s="17" t="s">
        <v>154</v>
      </c>
      <c r="D38" s="18" t="s">
        <v>154</v>
      </c>
      <c r="E38" s="17" t="s">
        <v>154</v>
      </c>
      <c r="F38" s="18" t="s">
        <v>154</v>
      </c>
      <c r="G38" s="17" t="s">
        <v>154</v>
      </c>
      <c r="H38" s="18" t="s">
        <v>154</v>
      </c>
      <c r="I38" s="17" t="s">
        <v>154</v>
      </c>
      <c r="J38" s="18" t="s">
        <v>154</v>
      </c>
      <c r="K38" s="17" t="s">
        <v>154</v>
      </c>
      <c r="L38" s="18" t="s">
        <v>154</v>
      </c>
      <c r="M38" s="17" t="s">
        <v>154</v>
      </c>
      <c r="N38" s="18" t="s">
        <v>154</v>
      </c>
      <c r="O38" s="17" t="s">
        <v>154</v>
      </c>
      <c r="P38" s="18" t="s">
        <v>154</v>
      </c>
      <c r="Q38" s="17" t="s">
        <v>154</v>
      </c>
      <c r="R38" s="18" t="s">
        <v>154</v>
      </c>
    </row>
    <row r="39" spans="1:18" x14ac:dyDescent="0.25">
      <c r="A39" s="11" t="s">
        <v>172</v>
      </c>
      <c r="B39" s="13">
        <v>5895</v>
      </c>
      <c r="C39" s="14">
        <f>(4871/B39*100)</f>
        <v>82.629346904156066</v>
      </c>
      <c r="D39" s="15">
        <v>1024</v>
      </c>
      <c r="E39" s="14">
        <v>20.456677460000002</v>
      </c>
      <c r="F39" s="16">
        <v>1.59107742</v>
      </c>
      <c r="G39" s="14">
        <v>79.543322540000005</v>
      </c>
      <c r="H39" s="16">
        <v>1.59107742</v>
      </c>
      <c r="I39" s="14" t="s">
        <v>139</v>
      </c>
      <c r="J39" s="16" t="s">
        <v>139</v>
      </c>
      <c r="K39" s="14">
        <v>0</v>
      </c>
      <c r="L39" s="16">
        <v>0</v>
      </c>
      <c r="M39" s="14">
        <v>0</v>
      </c>
      <c r="N39" s="16">
        <v>0</v>
      </c>
      <c r="O39" s="14">
        <v>0</v>
      </c>
      <c r="P39" s="16">
        <v>0</v>
      </c>
      <c r="Q39" s="14">
        <v>0</v>
      </c>
      <c r="R39" s="16">
        <v>0</v>
      </c>
    </row>
    <row r="40" spans="1:18" x14ac:dyDescent="0.25">
      <c r="A40" s="11" t="s">
        <v>173</v>
      </c>
      <c r="B40" s="13">
        <v>14157</v>
      </c>
      <c r="C40" s="14">
        <f>(11638/B40*100)</f>
        <v>82.206682206682203</v>
      </c>
      <c r="D40" s="15">
        <v>2519</v>
      </c>
      <c r="E40" s="14">
        <v>3.9161024800000002</v>
      </c>
      <c r="F40" s="16">
        <v>0.65110895000000002</v>
      </c>
      <c r="G40" s="14">
        <v>96.083897519999994</v>
      </c>
      <c r="H40" s="16">
        <v>0.65110895000000002</v>
      </c>
      <c r="I40" s="14" t="s">
        <v>139</v>
      </c>
      <c r="J40" s="16" t="s">
        <v>139</v>
      </c>
      <c r="K40" s="14">
        <v>0</v>
      </c>
      <c r="L40" s="16">
        <v>0</v>
      </c>
      <c r="M40" s="14">
        <v>0</v>
      </c>
      <c r="N40" s="16">
        <v>0</v>
      </c>
      <c r="O40" s="14">
        <v>0</v>
      </c>
      <c r="P40" s="16">
        <v>0</v>
      </c>
      <c r="Q40" s="14">
        <v>0</v>
      </c>
      <c r="R40" s="16">
        <v>0</v>
      </c>
    </row>
    <row r="41" spans="1:18" x14ac:dyDescent="0.25">
      <c r="A41" s="11" t="s">
        <v>174</v>
      </c>
      <c r="B41" s="13">
        <v>5712</v>
      </c>
      <c r="C41" s="14">
        <f>(4761/B41*100)</f>
        <v>83.350840336134453</v>
      </c>
      <c r="D41" s="15">
        <v>951</v>
      </c>
      <c r="E41" s="14">
        <v>5.5672606399999998</v>
      </c>
      <c r="F41" s="16">
        <v>0.82278678999999999</v>
      </c>
      <c r="G41" s="14">
        <v>94.432739359999999</v>
      </c>
      <c r="H41" s="16">
        <v>0.82278678999999999</v>
      </c>
      <c r="I41" s="14" t="s">
        <v>139</v>
      </c>
      <c r="J41" s="16" t="s">
        <v>139</v>
      </c>
      <c r="K41" s="14">
        <v>0</v>
      </c>
      <c r="L41" s="16">
        <v>0</v>
      </c>
      <c r="M41" s="14">
        <v>0</v>
      </c>
      <c r="N41" s="16">
        <v>0</v>
      </c>
      <c r="O41" s="14">
        <v>0</v>
      </c>
      <c r="P41" s="16">
        <v>0</v>
      </c>
      <c r="Q41" s="14">
        <v>0</v>
      </c>
      <c r="R41" s="16">
        <v>0</v>
      </c>
    </row>
    <row r="42" spans="1:18" x14ac:dyDescent="0.25">
      <c r="A42" s="11" t="s">
        <v>175</v>
      </c>
      <c r="B42" s="13">
        <f>IF(COUNT(B7:B41) &gt; 0, AVERAGE(B7:B41), "\u2014")</f>
        <v>7266.90625</v>
      </c>
      <c r="C42" s="14">
        <f>IF(COUNT(C7:C41) &gt; 0, AVERAGE(C7:C41), "—")</f>
        <v>83.063896246658985</v>
      </c>
      <c r="D42" s="15">
        <f>IF(COUNT(D7:D41) &gt; 0, AVERAGE(D7:D41), "—")</f>
        <v>1232.21875</v>
      </c>
      <c r="E42" s="14">
        <f>IF(COUNT(E7:E41) &gt; 0, AVERAGE(E7:E41), "—")</f>
        <v>6.6491853621875006</v>
      </c>
      <c r="F42" s="16">
        <f>IF(COUNT(F7:F41) &gt; 0, SQRT(SUMSQ(F7:F41)/(COUNT(F7:F41)*COUNT(F7:F41)) ), "—")</f>
        <v>0.15161102146886032</v>
      </c>
      <c r="G42" s="14">
        <f>IF(COUNT(G7:G41) &gt; 0, AVERAGE(G7:G41), "—")</f>
        <v>93.350814637812505</v>
      </c>
      <c r="H42" s="16">
        <f>IF(COUNT(H7:H41) &gt; 0, SQRT(SUMSQ(H7:H41)/(COUNT(H7:H41)*COUNT(H7:H41)) ), "—")</f>
        <v>0.15161102146886032</v>
      </c>
      <c r="I42" s="14" t="str">
        <f>IF(COUNT(I7:I41) &gt; 0, AVERAGE(I7:I41), "—")</f>
        <v>—</v>
      </c>
      <c r="J42" s="16" t="str">
        <f>IF(COUNT(J7:J41) &gt; 0, SQRT(SUMSQ(J7:J41)/(COUNT(J7:J41)*COUNT(J7:J41)) ), "—")</f>
        <v>—</v>
      </c>
      <c r="K42" s="14">
        <f>IF(COUNT(K7:K41) &gt; 0, AVERAGE(K7:K41), "—")</f>
        <v>0</v>
      </c>
      <c r="L42" s="16">
        <f>IF(COUNT(L7:L41) &gt; 0, SQRT(SUMSQ(L7:L41)/(COUNT(L7:L41)*COUNT(L7:L41)) ), "—")</f>
        <v>0</v>
      </c>
      <c r="M42" s="14">
        <f>IF(COUNT(M7:M41) &gt; 0, AVERAGE(M7:M41), "—")</f>
        <v>0</v>
      </c>
      <c r="N42" s="16">
        <f>IF(COUNT(N7:N41) &gt; 0, SQRT(SUMSQ(N7:N41)/(COUNT(N7:N41)*COUNT(N7:N41)) ), "—")</f>
        <v>0</v>
      </c>
      <c r="O42" s="14">
        <f>IF(COUNT(O7:O41) &gt; 0, AVERAGE(O7:O41), "—")</f>
        <v>0</v>
      </c>
      <c r="P42" s="16">
        <f>IF(COUNT(P7:P41) &gt; 0, SQRT(SUMSQ(P7:P41)/(COUNT(P7:P41)*COUNT(P7:P41)) ), "—")</f>
        <v>0</v>
      </c>
      <c r="Q42" s="14">
        <f>IF(COUNT(Q7:Q41) &gt; 0, AVERAGE(Q7:Q41), "—")</f>
        <v>0</v>
      </c>
      <c r="R42" s="16">
        <f>IF(COUNT(R7:R41) &gt; 0, SQRT(SUMSQ(R7:R41)/(COUNT(R7:R41)*COUNT(R7:R41)) ), "—")</f>
        <v>0</v>
      </c>
    </row>
    <row r="43" spans="1:18" x14ac:dyDescent="0.25">
      <c r="A43" s="9" t="s">
        <v>176</v>
      </c>
      <c r="B43" s="10"/>
      <c r="C43" s="10"/>
      <c r="D43" s="11"/>
      <c r="E43" s="10"/>
      <c r="F43" s="11"/>
      <c r="G43" s="10"/>
      <c r="H43" s="11"/>
      <c r="I43" s="10"/>
      <c r="J43" s="11"/>
      <c r="K43" s="10"/>
      <c r="L43" s="11"/>
      <c r="M43" s="10"/>
      <c r="N43" s="11"/>
      <c r="O43" s="10"/>
      <c r="P43" s="11"/>
      <c r="Q43" s="10"/>
      <c r="R43" s="12"/>
    </row>
    <row r="44" spans="1:18" x14ac:dyDescent="0.25">
      <c r="A44" s="11" t="s">
        <v>177</v>
      </c>
      <c r="B44" s="17" t="s">
        <v>154</v>
      </c>
      <c r="C44" s="17" t="s">
        <v>154</v>
      </c>
      <c r="D44" s="18" t="s">
        <v>154</v>
      </c>
      <c r="E44" s="17" t="s">
        <v>154</v>
      </c>
      <c r="F44" s="18" t="s">
        <v>154</v>
      </c>
      <c r="G44" s="17" t="s">
        <v>154</v>
      </c>
      <c r="H44" s="18" t="s">
        <v>154</v>
      </c>
      <c r="I44" s="17" t="s">
        <v>154</v>
      </c>
      <c r="J44" s="18" t="s">
        <v>154</v>
      </c>
      <c r="K44" s="17" t="s">
        <v>154</v>
      </c>
      <c r="L44" s="18" t="s">
        <v>154</v>
      </c>
      <c r="M44" s="17" t="s">
        <v>154</v>
      </c>
      <c r="N44" s="18" t="s">
        <v>154</v>
      </c>
      <c r="O44" s="17" t="s">
        <v>154</v>
      </c>
      <c r="P44" s="18" t="s">
        <v>154</v>
      </c>
      <c r="Q44" s="17" t="s">
        <v>154</v>
      </c>
      <c r="R44" s="18" t="s">
        <v>154</v>
      </c>
    </row>
    <row r="45" spans="1:18" x14ac:dyDescent="0.25">
      <c r="A45" s="11" t="s">
        <v>178</v>
      </c>
      <c r="B45" s="17" t="s">
        <v>154</v>
      </c>
      <c r="C45" s="17" t="s">
        <v>154</v>
      </c>
      <c r="D45" s="18" t="s">
        <v>154</v>
      </c>
      <c r="E45" s="17" t="s">
        <v>154</v>
      </c>
      <c r="F45" s="18" t="s">
        <v>154</v>
      </c>
      <c r="G45" s="17" t="s">
        <v>154</v>
      </c>
      <c r="H45" s="18" t="s">
        <v>154</v>
      </c>
      <c r="I45" s="17" t="s">
        <v>154</v>
      </c>
      <c r="J45" s="18" t="s">
        <v>154</v>
      </c>
      <c r="K45" s="17" t="s">
        <v>154</v>
      </c>
      <c r="L45" s="18" t="s">
        <v>154</v>
      </c>
      <c r="M45" s="17" t="s">
        <v>154</v>
      </c>
      <c r="N45" s="18" t="s">
        <v>154</v>
      </c>
      <c r="O45" s="17" t="s">
        <v>154</v>
      </c>
      <c r="P45" s="18" t="s">
        <v>154</v>
      </c>
      <c r="Q45" s="17" t="s">
        <v>154</v>
      </c>
      <c r="R45" s="18" t="s">
        <v>154</v>
      </c>
    </row>
    <row r="46" spans="1:18" x14ac:dyDescent="0.25">
      <c r="A46" s="11" t="s">
        <v>179</v>
      </c>
      <c r="B46" s="13">
        <v>23141</v>
      </c>
      <c r="C46" s="14">
        <f>(19884/B46*100)</f>
        <v>85.925413767771488</v>
      </c>
      <c r="D46" s="15">
        <v>3257</v>
      </c>
      <c r="E46" s="14">
        <v>19.040991170000002</v>
      </c>
      <c r="F46" s="16">
        <v>0.90652273999999999</v>
      </c>
      <c r="G46" s="14">
        <v>80.959008830000002</v>
      </c>
      <c r="H46" s="16">
        <v>0.90652273999999999</v>
      </c>
      <c r="I46" s="14" t="s">
        <v>139</v>
      </c>
      <c r="J46" s="16" t="s">
        <v>139</v>
      </c>
      <c r="K46" s="14">
        <v>0</v>
      </c>
      <c r="L46" s="16">
        <v>0</v>
      </c>
      <c r="M46" s="14">
        <v>0</v>
      </c>
      <c r="N46" s="16">
        <v>0</v>
      </c>
      <c r="O46" s="14">
        <v>0</v>
      </c>
      <c r="P46" s="16">
        <v>0</v>
      </c>
      <c r="Q46" s="14">
        <v>0</v>
      </c>
      <c r="R46" s="16">
        <v>0</v>
      </c>
    </row>
    <row r="47" spans="1:18" x14ac:dyDescent="0.25">
      <c r="A47" s="11" t="s">
        <v>180</v>
      </c>
      <c r="B47" s="13">
        <v>5928</v>
      </c>
      <c r="C47" s="14">
        <f>(4936/B47*100)</f>
        <v>83.265856950067473</v>
      </c>
      <c r="D47" s="15">
        <v>992</v>
      </c>
      <c r="E47" s="14">
        <v>14.58344748</v>
      </c>
      <c r="F47" s="16">
        <v>1.3117538200000001</v>
      </c>
      <c r="G47" s="14">
        <v>85.416552519999996</v>
      </c>
      <c r="H47" s="16">
        <v>1.3117538200000001</v>
      </c>
      <c r="I47" s="14" t="s">
        <v>139</v>
      </c>
      <c r="J47" s="16" t="s">
        <v>139</v>
      </c>
      <c r="K47" s="14">
        <v>0</v>
      </c>
      <c r="L47" s="16">
        <v>0</v>
      </c>
      <c r="M47" s="14">
        <v>0</v>
      </c>
      <c r="N47" s="16">
        <v>0</v>
      </c>
      <c r="O47" s="14">
        <v>0</v>
      </c>
      <c r="P47" s="16">
        <v>0</v>
      </c>
      <c r="Q47" s="14">
        <v>0</v>
      </c>
      <c r="R47" s="16">
        <v>0</v>
      </c>
    </row>
    <row r="48" spans="1:18" x14ac:dyDescent="0.25">
      <c r="A48" s="11" t="s">
        <v>181</v>
      </c>
      <c r="B48" s="13">
        <v>9841</v>
      </c>
      <c r="C48" s="14">
        <f>(8151/B48*100)</f>
        <v>82.826948480845445</v>
      </c>
      <c r="D48" s="15">
        <v>1690</v>
      </c>
      <c r="E48" s="14">
        <v>10.84746923</v>
      </c>
      <c r="F48" s="16">
        <v>1.18775115</v>
      </c>
      <c r="G48" s="14">
        <v>89.152530769999998</v>
      </c>
      <c r="H48" s="16">
        <v>1.18775115</v>
      </c>
      <c r="I48" s="14" t="s">
        <v>139</v>
      </c>
      <c r="J48" s="16" t="s">
        <v>139</v>
      </c>
      <c r="K48" s="14">
        <v>0</v>
      </c>
      <c r="L48" s="16">
        <v>0</v>
      </c>
      <c r="M48" s="14">
        <v>0</v>
      </c>
      <c r="N48" s="16">
        <v>0</v>
      </c>
      <c r="O48" s="14">
        <v>0</v>
      </c>
      <c r="P48" s="16">
        <v>0</v>
      </c>
      <c r="Q48" s="14">
        <v>0</v>
      </c>
      <c r="R48" s="16">
        <v>0</v>
      </c>
    </row>
    <row r="49" spans="1:18" x14ac:dyDescent="0.25">
      <c r="A49" s="11" t="s">
        <v>182</v>
      </c>
      <c r="B49" s="17" t="s">
        <v>154</v>
      </c>
      <c r="C49" s="17" t="s">
        <v>154</v>
      </c>
      <c r="D49" s="18" t="s">
        <v>154</v>
      </c>
      <c r="E49" s="17" t="s">
        <v>154</v>
      </c>
      <c r="F49" s="18" t="s">
        <v>154</v>
      </c>
      <c r="G49" s="17" t="s">
        <v>154</v>
      </c>
      <c r="H49" s="18" t="s">
        <v>154</v>
      </c>
      <c r="I49" s="17" t="s">
        <v>154</v>
      </c>
      <c r="J49" s="18" t="s">
        <v>154</v>
      </c>
      <c r="K49" s="17" t="s">
        <v>154</v>
      </c>
      <c r="L49" s="18" t="s">
        <v>154</v>
      </c>
      <c r="M49" s="17" t="s">
        <v>154</v>
      </c>
      <c r="N49" s="18" t="s">
        <v>154</v>
      </c>
      <c r="O49" s="17" t="s">
        <v>154</v>
      </c>
      <c r="P49" s="18" t="s">
        <v>154</v>
      </c>
      <c r="Q49" s="17" t="s">
        <v>154</v>
      </c>
      <c r="R49" s="18" t="s">
        <v>154</v>
      </c>
    </row>
    <row r="50" spans="1:18" x14ac:dyDescent="0.25">
      <c r="A50" s="11" t="s">
        <v>183</v>
      </c>
      <c r="B50" s="13">
        <v>11795</v>
      </c>
      <c r="C50" s="14">
        <f>(9826/B50*100)</f>
        <v>83.306485799067403</v>
      </c>
      <c r="D50" s="15">
        <v>1969</v>
      </c>
      <c r="E50" s="14">
        <v>17.778953300000001</v>
      </c>
      <c r="F50" s="16">
        <v>1.02416876</v>
      </c>
      <c r="G50" s="14">
        <v>82.221046700000002</v>
      </c>
      <c r="H50" s="16">
        <v>1.02416876</v>
      </c>
      <c r="I50" s="14" t="s">
        <v>139</v>
      </c>
      <c r="J50" s="16" t="s">
        <v>139</v>
      </c>
      <c r="K50" s="14">
        <v>0</v>
      </c>
      <c r="L50" s="16">
        <v>0</v>
      </c>
      <c r="M50" s="14">
        <v>0</v>
      </c>
      <c r="N50" s="16">
        <v>0</v>
      </c>
      <c r="O50" s="14">
        <v>0</v>
      </c>
      <c r="P50" s="16">
        <v>0</v>
      </c>
      <c r="Q50" s="14">
        <v>0</v>
      </c>
      <c r="R50" s="16">
        <v>0</v>
      </c>
    </row>
    <row r="51" spans="1:18" x14ac:dyDescent="0.25">
      <c r="A51" s="11" t="s">
        <v>184</v>
      </c>
      <c r="B51" s="13">
        <v>6866</v>
      </c>
      <c r="C51" s="14">
        <f>(5858/B51*100)</f>
        <v>85.318963006117102</v>
      </c>
      <c r="D51" s="15">
        <v>1008</v>
      </c>
      <c r="E51" s="14">
        <v>15.095126609999999</v>
      </c>
      <c r="F51" s="16">
        <v>1.0235051399999999</v>
      </c>
      <c r="G51" s="14">
        <v>84.904873390000006</v>
      </c>
      <c r="H51" s="16">
        <v>1.0235051399999999</v>
      </c>
      <c r="I51" s="14" t="s">
        <v>139</v>
      </c>
      <c r="J51" s="16" t="s">
        <v>139</v>
      </c>
      <c r="K51" s="14">
        <v>0</v>
      </c>
      <c r="L51" s="16">
        <v>0</v>
      </c>
      <c r="M51" s="14">
        <v>0</v>
      </c>
      <c r="N51" s="16">
        <v>0</v>
      </c>
      <c r="O51" s="14">
        <v>0</v>
      </c>
      <c r="P51" s="16">
        <v>0</v>
      </c>
      <c r="Q51" s="14">
        <v>0</v>
      </c>
      <c r="R51" s="16">
        <v>0</v>
      </c>
    </row>
    <row r="52" spans="1:18" x14ac:dyDescent="0.25">
      <c r="A52" s="11" t="s">
        <v>185</v>
      </c>
      <c r="B52" s="13">
        <v>5809</v>
      </c>
      <c r="C52" s="14">
        <f>(4804/B52*100)</f>
        <v>82.699259769323461</v>
      </c>
      <c r="D52" s="15">
        <v>1005</v>
      </c>
      <c r="E52" s="14">
        <v>6.4920643399999998</v>
      </c>
      <c r="F52" s="16">
        <v>0.77173658000000001</v>
      </c>
      <c r="G52" s="14">
        <v>93.507935660000001</v>
      </c>
      <c r="H52" s="16">
        <v>0.77173658000000001</v>
      </c>
      <c r="I52" s="14" t="s">
        <v>139</v>
      </c>
      <c r="J52" s="16" t="s">
        <v>139</v>
      </c>
      <c r="K52" s="14">
        <v>0</v>
      </c>
      <c r="L52" s="16">
        <v>0</v>
      </c>
      <c r="M52" s="14">
        <v>0</v>
      </c>
      <c r="N52" s="16">
        <v>0</v>
      </c>
      <c r="O52" s="14">
        <v>0</v>
      </c>
      <c r="P52" s="16">
        <v>0</v>
      </c>
      <c r="Q52" s="14">
        <v>0</v>
      </c>
      <c r="R52" s="16">
        <v>0</v>
      </c>
    </row>
    <row r="53" spans="1:18" x14ac:dyDescent="0.25">
      <c r="A53" s="11" t="s">
        <v>186</v>
      </c>
      <c r="B53" s="13">
        <v>5571</v>
      </c>
      <c r="C53" s="14">
        <f>(4611/B53*100)</f>
        <v>82.767905223478735</v>
      </c>
      <c r="D53" s="15">
        <v>960</v>
      </c>
      <c r="E53" s="14">
        <v>11.33116135</v>
      </c>
      <c r="F53" s="16">
        <v>1.0582054299999999</v>
      </c>
      <c r="G53" s="14">
        <v>88.668838649999998</v>
      </c>
      <c r="H53" s="16">
        <v>1.0582054299999999</v>
      </c>
      <c r="I53" s="14" t="s">
        <v>139</v>
      </c>
      <c r="J53" s="16" t="s">
        <v>139</v>
      </c>
      <c r="K53" s="14">
        <v>0</v>
      </c>
      <c r="L53" s="16">
        <v>0</v>
      </c>
      <c r="M53" s="14">
        <v>0</v>
      </c>
      <c r="N53" s="16">
        <v>0</v>
      </c>
      <c r="O53" s="14">
        <v>0</v>
      </c>
      <c r="P53" s="16">
        <v>0</v>
      </c>
      <c r="Q53" s="14">
        <v>0</v>
      </c>
      <c r="R53" s="16">
        <v>0</v>
      </c>
    </row>
    <row r="54" spans="1:18" x14ac:dyDescent="0.25">
      <c r="A54" s="11" t="s">
        <v>187</v>
      </c>
      <c r="B54" s="17" t="s">
        <v>154</v>
      </c>
      <c r="C54" s="17" t="s">
        <v>154</v>
      </c>
      <c r="D54" s="18" t="s">
        <v>154</v>
      </c>
      <c r="E54" s="17" t="s">
        <v>154</v>
      </c>
      <c r="F54" s="18" t="s">
        <v>154</v>
      </c>
      <c r="G54" s="17" t="s">
        <v>154</v>
      </c>
      <c r="H54" s="18" t="s">
        <v>154</v>
      </c>
      <c r="I54" s="17" t="s">
        <v>154</v>
      </c>
      <c r="J54" s="18" t="s">
        <v>154</v>
      </c>
      <c r="K54" s="17" t="s">
        <v>154</v>
      </c>
      <c r="L54" s="18" t="s">
        <v>154</v>
      </c>
      <c r="M54" s="17" t="s">
        <v>154</v>
      </c>
      <c r="N54" s="18" t="s">
        <v>154</v>
      </c>
      <c r="O54" s="17" t="s">
        <v>154</v>
      </c>
      <c r="P54" s="18" t="s">
        <v>154</v>
      </c>
      <c r="Q54" s="17" t="s">
        <v>154</v>
      </c>
      <c r="R54" s="18" t="s">
        <v>154</v>
      </c>
    </row>
    <row r="55" spans="1:18" x14ac:dyDescent="0.25">
      <c r="A55" s="11" t="s">
        <v>188</v>
      </c>
      <c r="B55" s="17" t="s">
        <v>154</v>
      </c>
      <c r="C55" s="17" t="s">
        <v>154</v>
      </c>
      <c r="D55" s="18" t="s">
        <v>154</v>
      </c>
      <c r="E55" s="17" t="s">
        <v>154</v>
      </c>
      <c r="F55" s="18" t="s">
        <v>154</v>
      </c>
      <c r="G55" s="17" t="s">
        <v>154</v>
      </c>
      <c r="H55" s="18" t="s">
        <v>154</v>
      </c>
      <c r="I55" s="17" t="s">
        <v>154</v>
      </c>
      <c r="J55" s="18" t="s">
        <v>154</v>
      </c>
      <c r="K55" s="17" t="s">
        <v>154</v>
      </c>
      <c r="L55" s="18" t="s">
        <v>154</v>
      </c>
      <c r="M55" s="17" t="s">
        <v>154</v>
      </c>
      <c r="N55" s="18" t="s">
        <v>154</v>
      </c>
      <c r="O55" s="17" t="s">
        <v>154</v>
      </c>
      <c r="P55" s="18" t="s">
        <v>154</v>
      </c>
      <c r="Q55" s="17" t="s">
        <v>154</v>
      </c>
      <c r="R55" s="18" t="s">
        <v>154</v>
      </c>
    </row>
    <row r="56" spans="1:18" x14ac:dyDescent="0.25">
      <c r="A56" s="11" t="s">
        <v>189</v>
      </c>
      <c r="B56" s="13">
        <v>5359</v>
      </c>
      <c r="C56" s="14">
        <f>(4445/B56*100)</f>
        <v>82.944579212539651</v>
      </c>
      <c r="D56" s="15">
        <v>914</v>
      </c>
      <c r="E56" s="14">
        <v>3.5716801999999999</v>
      </c>
      <c r="F56" s="16">
        <v>0.60669636999999998</v>
      </c>
      <c r="G56" s="14">
        <v>96.428319799999997</v>
      </c>
      <c r="H56" s="16">
        <v>0.60669636999999998</v>
      </c>
      <c r="I56" s="14" t="s">
        <v>139</v>
      </c>
      <c r="J56" s="16" t="s">
        <v>139</v>
      </c>
      <c r="K56" s="14">
        <v>0</v>
      </c>
      <c r="L56" s="16">
        <v>0</v>
      </c>
      <c r="M56" s="14">
        <v>0</v>
      </c>
      <c r="N56" s="16">
        <v>0</v>
      </c>
      <c r="O56" s="14">
        <v>0</v>
      </c>
      <c r="P56" s="16">
        <v>0</v>
      </c>
      <c r="Q56" s="14">
        <v>0</v>
      </c>
      <c r="R56" s="16">
        <v>0</v>
      </c>
    </row>
    <row r="57" spans="1:18" x14ac:dyDescent="0.25">
      <c r="A57" s="11" t="s">
        <v>190</v>
      </c>
      <c r="B57" s="17" t="s">
        <v>154</v>
      </c>
      <c r="C57" s="17" t="s">
        <v>154</v>
      </c>
      <c r="D57" s="18" t="s">
        <v>154</v>
      </c>
      <c r="E57" s="17" t="s">
        <v>154</v>
      </c>
      <c r="F57" s="18" t="s">
        <v>154</v>
      </c>
      <c r="G57" s="17" t="s">
        <v>154</v>
      </c>
      <c r="H57" s="18" t="s">
        <v>154</v>
      </c>
      <c r="I57" s="17" t="s">
        <v>154</v>
      </c>
      <c r="J57" s="18" t="s">
        <v>154</v>
      </c>
      <c r="K57" s="17" t="s">
        <v>154</v>
      </c>
      <c r="L57" s="18" t="s">
        <v>154</v>
      </c>
      <c r="M57" s="17" t="s">
        <v>154</v>
      </c>
      <c r="N57" s="18" t="s">
        <v>154</v>
      </c>
      <c r="O57" s="17" t="s">
        <v>154</v>
      </c>
      <c r="P57" s="18" t="s">
        <v>154</v>
      </c>
      <c r="Q57" s="17" t="s">
        <v>154</v>
      </c>
      <c r="R57" s="18" t="s">
        <v>154</v>
      </c>
    </row>
    <row r="58" spans="1:18" x14ac:dyDescent="0.25">
      <c r="A58" s="11" t="s">
        <v>191</v>
      </c>
      <c r="B58" s="17" t="s">
        <v>154</v>
      </c>
      <c r="C58" s="17" t="s">
        <v>154</v>
      </c>
      <c r="D58" s="18" t="s">
        <v>154</v>
      </c>
      <c r="E58" s="17" t="s">
        <v>154</v>
      </c>
      <c r="F58" s="18" t="s">
        <v>154</v>
      </c>
      <c r="G58" s="17" t="s">
        <v>154</v>
      </c>
      <c r="H58" s="18" t="s">
        <v>154</v>
      </c>
      <c r="I58" s="17" t="s">
        <v>154</v>
      </c>
      <c r="J58" s="18" t="s">
        <v>154</v>
      </c>
      <c r="K58" s="17" t="s">
        <v>154</v>
      </c>
      <c r="L58" s="18" t="s">
        <v>154</v>
      </c>
      <c r="M58" s="17" t="s">
        <v>154</v>
      </c>
      <c r="N58" s="18" t="s">
        <v>154</v>
      </c>
      <c r="O58" s="17" t="s">
        <v>154</v>
      </c>
      <c r="P58" s="18" t="s">
        <v>154</v>
      </c>
      <c r="Q58" s="17" t="s">
        <v>154</v>
      </c>
      <c r="R58" s="18" t="s">
        <v>154</v>
      </c>
    </row>
    <row r="59" spans="1:18" x14ac:dyDescent="0.25">
      <c r="A59" s="11" t="s">
        <v>192</v>
      </c>
      <c r="B59" s="17" t="s">
        <v>154</v>
      </c>
      <c r="C59" s="17" t="s">
        <v>154</v>
      </c>
      <c r="D59" s="18" t="s">
        <v>154</v>
      </c>
      <c r="E59" s="17" t="s">
        <v>154</v>
      </c>
      <c r="F59" s="18" t="s">
        <v>154</v>
      </c>
      <c r="G59" s="17" t="s">
        <v>154</v>
      </c>
      <c r="H59" s="18" t="s">
        <v>154</v>
      </c>
      <c r="I59" s="17" t="s">
        <v>154</v>
      </c>
      <c r="J59" s="18" t="s">
        <v>154</v>
      </c>
      <c r="K59" s="17" t="s">
        <v>154</v>
      </c>
      <c r="L59" s="18" t="s">
        <v>154</v>
      </c>
      <c r="M59" s="17" t="s">
        <v>154</v>
      </c>
      <c r="N59" s="18" t="s">
        <v>154</v>
      </c>
      <c r="O59" s="17" t="s">
        <v>154</v>
      </c>
      <c r="P59" s="18" t="s">
        <v>154</v>
      </c>
      <c r="Q59" s="17" t="s">
        <v>154</v>
      </c>
      <c r="R59" s="18" t="s">
        <v>154</v>
      </c>
    </row>
    <row r="60" spans="1:18" x14ac:dyDescent="0.25">
      <c r="A60" s="11" t="s">
        <v>193</v>
      </c>
      <c r="B60" s="17" t="s">
        <v>154</v>
      </c>
      <c r="C60" s="17" t="s">
        <v>154</v>
      </c>
      <c r="D60" s="18" t="s">
        <v>154</v>
      </c>
      <c r="E60" s="17" t="s">
        <v>154</v>
      </c>
      <c r="F60" s="18" t="s">
        <v>154</v>
      </c>
      <c r="G60" s="17" t="s">
        <v>154</v>
      </c>
      <c r="H60" s="18" t="s">
        <v>154</v>
      </c>
      <c r="I60" s="17" t="s">
        <v>154</v>
      </c>
      <c r="J60" s="18" t="s">
        <v>154</v>
      </c>
      <c r="K60" s="17" t="s">
        <v>154</v>
      </c>
      <c r="L60" s="18" t="s">
        <v>154</v>
      </c>
      <c r="M60" s="17" t="s">
        <v>154</v>
      </c>
      <c r="N60" s="18" t="s">
        <v>154</v>
      </c>
      <c r="O60" s="17" t="s">
        <v>154</v>
      </c>
      <c r="P60" s="18" t="s">
        <v>154</v>
      </c>
      <c r="Q60" s="17" t="s">
        <v>154</v>
      </c>
      <c r="R60" s="18" t="s">
        <v>154</v>
      </c>
    </row>
    <row r="61" spans="1:18" x14ac:dyDescent="0.25">
      <c r="A61" s="11" t="s">
        <v>194</v>
      </c>
      <c r="B61" s="13">
        <v>6525</v>
      </c>
      <c r="C61" s="14">
        <f>(5391/B61*100)</f>
        <v>82.620689655172413</v>
      </c>
      <c r="D61" s="15">
        <v>1134</v>
      </c>
      <c r="E61" s="14">
        <v>6.7467425099999998</v>
      </c>
      <c r="F61" s="16">
        <v>0.84787115000000002</v>
      </c>
      <c r="G61" s="14">
        <v>93.253257489999996</v>
      </c>
      <c r="H61" s="16">
        <v>0.84787115000000002</v>
      </c>
      <c r="I61" s="14" t="s">
        <v>139</v>
      </c>
      <c r="J61" s="16" t="s">
        <v>139</v>
      </c>
      <c r="K61" s="14">
        <v>0</v>
      </c>
      <c r="L61" s="16">
        <v>0</v>
      </c>
      <c r="M61" s="14">
        <v>0</v>
      </c>
      <c r="N61" s="16">
        <v>0</v>
      </c>
      <c r="O61" s="14">
        <v>0</v>
      </c>
      <c r="P61" s="16">
        <v>0</v>
      </c>
      <c r="Q61" s="14">
        <v>0</v>
      </c>
      <c r="R61" s="16">
        <v>0</v>
      </c>
    </row>
    <row r="62" spans="1:18" x14ac:dyDescent="0.25">
      <c r="A62" s="11" t="s">
        <v>195</v>
      </c>
      <c r="B62" s="13">
        <v>4476</v>
      </c>
      <c r="C62" s="14">
        <f>(3694/B62*100)</f>
        <v>82.529043789097415</v>
      </c>
      <c r="D62" s="15">
        <v>782</v>
      </c>
      <c r="E62" s="14">
        <v>3.4411574800000002</v>
      </c>
      <c r="F62" s="16">
        <v>0.62687908000000003</v>
      </c>
      <c r="G62" s="14">
        <v>96.558842519999999</v>
      </c>
      <c r="H62" s="16">
        <v>0.62687908000000003</v>
      </c>
      <c r="I62" s="14" t="s">
        <v>139</v>
      </c>
      <c r="J62" s="16" t="s">
        <v>139</v>
      </c>
      <c r="K62" s="14">
        <v>0</v>
      </c>
      <c r="L62" s="16">
        <v>0</v>
      </c>
      <c r="M62" s="14">
        <v>0</v>
      </c>
      <c r="N62" s="16">
        <v>0</v>
      </c>
      <c r="O62" s="14">
        <v>0</v>
      </c>
      <c r="P62" s="16">
        <v>0</v>
      </c>
      <c r="Q62" s="14">
        <v>0</v>
      </c>
      <c r="R62" s="16">
        <v>0</v>
      </c>
    </row>
    <row r="63" spans="1:18" x14ac:dyDescent="0.25">
      <c r="A63" s="11" t="s">
        <v>196</v>
      </c>
      <c r="B63" s="17" t="s">
        <v>154</v>
      </c>
      <c r="C63" s="17" t="s">
        <v>154</v>
      </c>
      <c r="D63" s="18" t="s">
        <v>154</v>
      </c>
      <c r="E63" s="17" t="s">
        <v>154</v>
      </c>
      <c r="F63" s="18" t="s">
        <v>154</v>
      </c>
      <c r="G63" s="17" t="s">
        <v>154</v>
      </c>
      <c r="H63" s="18" t="s">
        <v>154</v>
      </c>
      <c r="I63" s="17" t="s">
        <v>154</v>
      </c>
      <c r="J63" s="18" t="s">
        <v>154</v>
      </c>
      <c r="K63" s="17" t="s">
        <v>154</v>
      </c>
      <c r="L63" s="18" t="s">
        <v>154</v>
      </c>
      <c r="M63" s="17" t="s">
        <v>154</v>
      </c>
      <c r="N63" s="18" t="s">
        <v>154</v>
      </c>
      <c r="O63" s="17" t="s">
        <v>154</v>
      </c>
      <c r="P63" s="18" t="s">
        <v>154</v>
      </c>
      <c r="Q63" s="17" t="s">
        <v>154</v>
      </c>
      <c r="R63" s="18" t="s">
        <v>154</v>
      </c>
    </row>
    <row r="64" spans="1:18" x14ac:dyDescent="0.25">
      <c r="A64" s="11" t="s">
        <v>197</v>
      </c>
      <c r="B64" s="17" t="s">
        <v>154</v>
      </c>
      <c r="C64" s="17" t="s">
        <v>154</v>
      </c>
      <c r="D64" s="18" t="s">
        <v>154</v>
      </c>
      <c r="E64" s="17" t="s">
        <v>154</v>
      </c>
      <c r="F64" s="18" t="s">
        <v>154</v>
      </c>
      <c r="G64" s="17" t="s">
        <v>154</v>
      </c>
      <c r="H64" s="18" t="s">
        <v>154</v>
      </c>
      <c r="I64" s="17" t="s">
        <v>154</v>
      </c>
      <c r="J64" s="18" t="s">
        <v>154</v>
      </c>
      <c r="K64" s="17" t="s">
        <v>154</v>
      </c>
      <c r="L64" s="18" t="s">
        <v>154</v>
      </c>
      <c r="M64" s="17" t="s">
        <v>154</v>
      </c>
      <c r="N64" s="18" t="s">
        <v>154</v>
      </c>
      <c r="O64" s="17" t="s">
        <v>154</v>
      </c>
      <c r="P64" s="18" t="s">
        <v>154</v>
      </c>
      <c r="Q64" s="17" t="s">
        <v>154</v>
      </c>
      <c r="R64" s="18" t="s">
        <v>154</v>
      </c>
    </row>
    <row r="65" spans="1:18" x14ac:dyDescent="0.25">
      <c r="A65" s="11" t="s">
        <v>198</v>
      </c>
      <c r="B65" s="17" t="s">
        <v>154</v>
      </c>
      <c r="C65" s="17" t="s">
        <v>154</v>
      </c>
      <c r="D65" s="18" t="s">
        <v>154</v>
      </c>
      <c r="E65" s="17" t="s">
        <v>154</v>
      </c>
      <c r="F65" s="18" t="s">
        <v>154</v>
      </c>
      <c r="G65" s="17" t="s">
        <v>154</v>
      </c>
      <c r="H65" s="18" t="s">
        <v>154</v>
      </c>
      <c r="I65" s="17" t="s">
        <v>154</v>
      </c>
      <c r="J65" s="18" t="s">
        <v>154</v>
      </c>
      <c r="K65" s="17" t="s">
        <v>154</v>
      </c>
      <c r="L65" s="18" t="s">
        <v>154</v>
      </c>
      <c r="M65" s="17" t="s">
        <v>154</v>
      </c>
      <c r="N65" s="18" t="s">
        <v>154</v>
      </c>
      <c r="O65" s="17" t="s">
        <v>154</v>
      </c>
      <c r="P65" s="18" t="s">
        <v>154</v>
      </c>
      <c r="Q65" s="17" t="s">
        <v>154</v>
      </c>
      <c r="R65" s="18" t="s">
        <v>154</v>
      </c>
    </row>
    <row r="66" spans="1:18" x14ac:dyDescent="0.25">
      <c r="A66" s="11" t="s">
        <v>199</v>
      </c>
      <c r="B66" s="13">
        <v>5665</v>
      </c>
      <c r="C66" s="14">
        <f>(4708/B66*100)</f>
        <v>83.106796116504853</v>
      </c>
      <c r="D66" s="15">
        <v>957</v>
      </c>
      <c r="E66" s="14">
        <v>15.94006343</v>
      </c>
      <c r="F66" s="16">
        <v>1.2539165999999999</v>
      </c>
      <c r="G66" s="14">
        <v>84.059936570000005</v>
      </c>
      <c r="H66" s="16">
        <v>1.2539165999999999</v>
      </c>
      <c r="I66" s="14" t="s">
        <v>139</v>
      </c>
      <c r="J66" s="16" t="s">
        <v>139</v>
      </c>
      <c r="K66" s="14">
        <v>0</v>
      </c>
      <c r="L66" s="16">
        <v>0</v>
      </c>
      <c r="M66" s="14">
        <v>0</v>
      </c>
      <c r="N66" s="16">
        <v>0</v>
      </c>
      <c r="O66" s="14">
        <v>0</v>
      </c>
      <c r="P66" s="16">
        <v>0</v>
      </c>
      <c r="Q66" s="14">
        <v>0</v>
      </c>
      <c r="R66" s="16">
        <v>0</v>
      </c>
    </row>
    <row r="67" spans="1:18" x14ac:dyDescent="0.25">
      <c r="A67" s="11" t="s">
        <v>200</v>
      </c>
      <c r="B67" s="13">
        <v>6971</v>
      </c>
      <c r="C67" s="14">
        <f>(5881/B67*100)</f>
        <v>84.363792856118209</v>
      </c>
      <c r="D67" s="15">
        <v>1090</v>
      </c>
      <c r="E67" s="14">
        <v>27.710536380000001</v>
      </c>
      <c r="F67" s="16">
        <v>1.5428715399999999</v>
      </c>
      <c r="G67" s="14">
        <v>72.289463620000006</v>
      </c>
      <c r="H67" s="16">
        <v>1.5428715399999999</v>
      </c>
      <c r="I67" s="14" t="s">
        <v>139</v>
      </c>
      <c r="J67" s="16" t="s">
        <v>139</v>
      </c>
      <c r="K67" s="14">
        <v>0</v>
      </c>
      <c r="L67" s="16">
        <v>0</v>
      </c>
      <c r="M67" s="14">
        <v>0</v>
      </c>
      <c r="N67" s="16">
        <v>0</v>
      </c>
      <c r="O67" s="14">
        <v>0</v>
      </c>
      <c r="P67" s="16">
        <v>0</v>
      </c>
      <c r="Q67" s="14">
        <v>0</v>
      </c>
      <c r="R67" s="16">
        <v>0</v>
      </c>
    </row>
    <row r="68" spans="1:18" x14ac:dyDescent="0.25">
      <c r="A68" s="11" t="s">
        <v>201</v>
      </c>
      <c r="B68" s="17" t="s">
        <v>154</v>
      </c>
      <c r="C68" s="17" t="s">
        <v>154</v>
      </c>
      <c r="D68" s="18" t="s">
        <v>154</v>
      </c>
      <c r="E68" s="17" t="s">
        <v>154</v>
      </c>
      <c r="F68" s="18" t="s">
        <v>154</v>
      </c>
      <c r="G68" s="17" t="s">
        <v>154</v>
      </c>
      <c r="H68" s="18" t="s">
        <v>154</v>
      </c>
      <c r="I68" s="17" t="s">
        <v>154</v>
      </c>
      <c r="J68" s="18" t="s">
        <v>154</v>
      </c>
      <c r="K68" s="17" t="s">
        <v>154</v>
      </c>
      <c r="L68" s="18" t="s">
        <v>154</v>
      </c>
      <c r="M68" s="17" t="s">
        <v>154</v>
      </c>
      <c r="N68" s="18" t="s">
        <v>154</v>
      </c>
      <c r="O68" s="17" t="s">
        <v>154</v>
      </c>
      <c r="P68" s="18" t="s">
        <v>154</v>
      </c>
      <c r="Q68" s="17" t="s">
        <v>154</v>
      </c>
      <c r="R68" s="18" t="s">
        <v>154</v>
      </c>
    </row>
    <row r="69" spans="1:18" x14ac:dyDescent="0.25">
      <c r="A69" s="11" t="s">
        <v>202</v>
      </c>
      <c r="B69" s="17" t="s">
        <v>154</v>
      </c>
      <c r="C69" s="17" t="s">
        <v>154</v>
      </c>
      <c r="D69" s="18" t="s">
        <v>154</v>
      </c>
      <c r="E69" s="17" t="s">
        <v>154</v>
      </c>
      <c r="F69" s="18" t="s">
        <v>154</v>
      </c>
      <c r="G69" s="17" t="s">
        <v>154</v>
      </c>
      <c r="H69" s="18" t="s">
        <v>154</v>
      </c>
      <c r="I69" s="17" t="s">
        <v>154</v>
      </c>
      <c r="J69" s="18" t="s">
        <v>154</v>
      </c>
      <c r="K69" s="17" t="s">
        <v>154</v>
      </c>
      <c r="L69" s="18" t="s">
        <v>154</v>
      </c>
      <c r="M69" s="17" t="s">
        <v>154</v>
      </c>
      <c r="N69" s="18" t="s">
        <v>154</v>
      </c>
      <c r="O69" s="17" t="s">
        <v>154</v>
      </c>
      <c r="P69" s="18" t="s">
        <v>154</v>
      </c>
      <c r="Q69" s="17" t="s">
        <v>154</v>
      </c>
      <c r="R69" s="18" t="s">
        <v>154</v>
      </c>
    </row>
    <row r="70" spans="1:18" x14ac:dyDescent="0.25">
      <c r="A70" s="11" t="s">
        <v>203</v>
      </c>
      <c r="B70" s="13">
        <v>6036</v>
      </c>
      <c r="C70" s="14">
        <f>(5013/B70*100)</f>
        <v>83.051689860834983</v>
      </c>
      <c r="D70" s="15">
        <v>1023</v>
      </c>
      <c r="E70" s="14">
        <v>6.2188194799999996</v>
      </c>
      <c r="F70" s="16">
        <v>0.92453331000000005</v>
      </c>
      <c r="G70" s="14">
        <v>93.781180520000007</v>
      </c>
      <c r="H70" s="16">
        <v>0.92453331000000005</v>
      </c>
      <c r="I70" s="14" t="s">
        <v>139</v>
      </c>
      <c r="J70" s="16" t="s">
        <v>139</v>
      </c>
      <c r="K70" s="14">
        <v>0</v>
      </c>
      <c r="L70" s="16">
        <v>0</v>
      </c>
      <c r="M70" s="14">
        <v>0</v>
      </c>
      <c r="N70" s="16">
        <v>0</v>
      </c>
      <c r="O70" s="14">
        <v>0</v>
      </c>
      <c r="P70" s="16">
        <v>0</v>
      </c>
      <c r="Q70" s="14">
        <v>0</v>
      </c>
      <c r="R70" s="16">
        <v>0</v>
      </c>
    </row>
    <row r="71" spans="1:18" x14ac:dyDescent="0.25">
      <c r="A71" s="11" t="s">
        <v>204</v>
      </c>
      <c r="B71" s="17" t="s">
        <v>154</v>
      </c>
      <c r="C71" s="17" t="s">
        <v>154</v>
      </c>
      <c r="D71" s="18" t="s">
        <v>154</v>
      </c>
      <c r="E71" s="17" t="s">
        <v>154</v>
      </c>
      <c r="F71" s="18" t="s">
        <v>154</v>
      </c>
      <c r="G71" s="17" t="s">
        <v>154</v>
      </c>
      <c r="H71" s="18" t="s">
        <v>154</v>
      </c>
      <c r="I71" s="17" t="s">
        <v>154</v>
      </c>
      <c r="J71" s="18" t="s">
        <v>154</v>
      </c>
      <c r="K71" s="17" t="s">
        <v>154</v>
      </c>
      <c r="L71" s="18" t="s">
        <v>154</v>
      </c>
      <c r="M71" s="17" t="s">
        <v>154</v>
      </c>
      <c r="N71" s="18" t="s">
        <v>154</v>
      </c>
      <c r="O71" s="17" t="s">
        <v>154</v>
      </c>
      <c r="P71" s="18" t="s">
        <v>154</v>
      </c>
      <c r="Q71" s="17" t="s">
        <v>154</v>
      </c>
      <c r="R71" s="18" t="s">
        <v>154</v>
      </c>
    </row>
    <row r="72" spans="1:18" x14ac:dyDescent="0.25">
      <c r="A72" s="11" t="s">
        <v>205</v>
      </c>
      <c r="B72" s="13">
        <v>7708</v>
      </c>
      <c r="C72" s="14">
        <f>(6390/B72*100)</f>
        <v>82.900882200311372</v>
      </c>
      <c r="D72" s="15">
        <v>1318</v>
      </c>
      <c r="E72" s="14">
        <v>2.51434742</v>
      </c>
      <c r="F72" s="16">
        <v>0.37567157000000001</v>
      </c>
      <c r="G72" s="14">
        <v>97.485652579999993</v>
      </c>
      <c r="H72" s="16">
        <v>0.37567157000000001</v>
      </c>
      <c r="I72" s="14" t="s">
        <v>139</v>
      </c>
      <c r="J72" s="16" t="s">
        <v>139</v>
      </c>
      <c r="K72" s="14">
        <v>0</v>
      </c>
      <c r="L72" s="16">
        <v>0</v>
      </c>
      <c r="M72" s="14">
        <v>0</v>
      </c>
      <c r="N72" s="16">
        <v>0</v>
      </c>
      <c r="O72" s="14">
        <v>0</v>
      </c>
      <c r="P72" s="16">
        <v>0</v>
      </c>
      <c r="Q72" s="14">
        <v>0</v>
      </c>
      <c r="R72" s="16">
        <v>0</v>
      </c>
    </row>
    <row r="73" spans="1:18" x14ac:dyDescent="0.25">
      <c r="A73" s="11" t="s">
        <v>206</v>
      </c>
      <c r="B73" s="13">
        <v>8249</v>
      </c>
      <c r="C73" s="14">
        <f>(6898/B73*100)</f>
        <v>83.622257243302229</v>
      </c>
      <c r="D73" s="15">
        <v>1351</v>
      </c>
      <c r="E73" s="14">
        <v>22.57401758</v>
      </c>
      <c r="F73" s="16">
        <v>1.55230212</v>
      </c>
      <c r="G73" s="14">
        <v>77.425982419999997</v>
      </c>
      <c r="H73" s="16">
        <v>1.55230212</v>
      </c>
      <c r="I73" s="14" t="s">
        <v>139</v>
      </c>
      <c r="J73" s="16" t="s">
        <v>139</v>
      </c>
      <c r="K73" s="14">
        <v>0</v>
      </c>
      <c r="L73" s="16">
        <v>0</v>
      </c>
      <c r="M73" s="14">
        <v>0</v>
      </c>
      <c r="N73" s="16">
        <v>0</v>
      </c>
      <c r="O73" s="14">
        <v>0</v>
      </c>
      <c r="P73" s="16">
        <v>0</v>
      </c>
      <c r="Q73" s="14">
        <v>0</v>
      </c>
      <c r="R73" s="16">
        <v>0</v>
      </c>
    </row>
    <row r="74" spans="1:18" x14ac:dyDescent="0.25">
      <c r="A74" s="11" t="s">
        <v>207</v>
      </c>
      <c r="B74" s="17" t="s">
        <v>154</v>
      </c>
      <c r="C74" s="17" t="s">
        <v>154</v>
      </c>
      <c r="D74" s="18" t="s">
        <v>154</v>
      </c>
      <c r="E74" s="17" t="s">
        <v>154</v>
      </c>
      <c r="F74" s="18" t="s">
        <v>154</v>
      </c>
      <c r="G74" s="17" t="s">
        <v>154</v>
      </c>
      <c r="H74" s="18" t="s">
        <v>154</v>
      </c>
      <c r="I74" s="17" t="s">
        <v>154</v>
      </c>
      <c r="J74" s="18" t="s">
        <v>154</v>
      </c>
      <c r="K74" s="17" t="s">
        <v>154</v>
      </c>
      <c r="L74" s="18" t="s">
        <v>154</v>
      </c>
      <c r="M74" s="17" t="s">
        <v>154</v>
      </c>
      <c r="N74" s="18" t="s">
        <v>154</v>
      </c>
      <c r="O74" s="17" t="s">
        <v>154</v>
      </c>
      <c r="P74" s="18" t="s">
        <v>154</v>
      </c>
      <c r="Q74" s="17" t="s">
        <v>154</v>
      </c>
      <c r="R74" s="18" t="s">
        <v>154</v>
      </c>
    </row>
    <row r="75" spans="1:18" x14ac:dyDescent="0.25">
      <c r="A75" s="11" t="s">
        <v>208</v>
      </c>
      <c r="B75" s="13">
        <v>5375</v>
      </c>
      <c r="C75" s="14">
        <f>(4508/B75*100)</f>
        <v>83.869767441860461</v>
      </c>
      <c r="D75" s="15">
        <v>867</v>
      </c>
      <c r="E75" s="14">
        <v>41.483442709999998</v>
      </c>
      <c r="F75" s="16">
        <v>1.7115028000000001</v>
      </c>
      <c r="G75" s="14">
        <v>58.516557290000002</v>
      </c>
      <c r="H75" s="16">
        <v>1.7115028000000001</v>
      </c>
      <c r="I75" s="14" t="s">
        <v>139</v>
      </c>
      <c r="J75" s="16" t="s">
        <v>139</v>
      </c>
      <c r="K75" s="14">
        <v>0</v>
      </c>
      <c r="L75" s="16">
        <v>0</v>
      </c>
      <c r="M75" s="14">
        <v>0</v>
      </c>
      <c r="N75" s="16">
        <v>0</v>
      </c>
      <c r="O75" s="14">
        <v>0</v>
      </c>
      <c r="P75" s="16">
        <v>0</v>
      </c>
      <c r="Q75" s="14">
        <v>0</v>
      </c>
      <c r="R75" s="16">
        <v>0</v>
      </c>
    </row>
    <row r="76" spans="1:18" x14ac:dyDescent="0.25">
      <c r="A76" s="11" t="s">
        <v>209</v>
      </c>
      <c r="B76" s="13">
        <v>14167</v>
      </c>
      <c r="C76" s="14">
        <f>(11785/B76*100)</f>
        <v>83.186277969930117</v>
      </c>
      <c r="D76" s="15">
        <v>2382</v>
      </c>
      <c r="E76" s="14">
        <v>18.429759879999999</v>
      </c>
      <c r="F76" s="16">
        <v>0.94114186</v>
      </c>
      <c r="G76" s="14">
        <v>81.570240119999994</v>
      </c>
      <c r="H76" s="16">
        <v>0.94114186</v>
      </c>
      <c r="I76" s="14" t="s">
        <v>139</v>
      </c>
      <c r="J76" s="16" t="s">
        <v>139</v>
      </c>
      <c r="K76" s="14">
        <v>0</v>
      </c>
      <c r="L76" s="16">
        <v>0</v>
      </c>
      <c r="M76" s="14">
        <v>0</v>
      </c>
      <c r="N76" s="16">
        <v>0</v>
      </c>
      <c r="O76" s="14">
        <v>0</v>
      </c>
      <c r="P76" s="16">
        <v>0</v>
      </c>
      <c r="Q76" s="14">
        <v>0</v>
      </c>
      <c r="R76" s="16">
        <v>0</v>
      </c>
    </row>
    <row r="77" spans="1:18" x14ac:dyDescent="0.25">
      <c r="A77" s="11" t="s">
        <v>210</v>
      </c>
      <c r="B77" s="13">
        <v>6062</v>
      </c>
      <c r="C77" s="14">
        <f>(5022/B77*100)</f>
        <v>82.843945892444737</v>
      </c>
      <c r="D77" s="15">
        <v>1040</v>
      </c>
      <c r="E77" s="14">
        <v>10.611342110000001</v>
      </c>
      <c r="F77" s="16">
        <v>0.95091546999999998</v>
      </c>
      <c r="G77" s="14">
        <v>89.388657890000005</v>
      </c>
      <c r="H77" s="16">
        <v>0.95091546999999998</v>
      </c>
      <c r="I77" s="14" t="s">
        <v>139</v>
      </c>
      <c r="J77" s="16" t="s">
        <v>139</v>
      </c>
      <c r="K77" s="14">
        <v>0</v>
      </c>
      <c r="L77" s="16">
        <v>0</v>
      </c>
      <c r="M77" s="14">
        <v>0</v>
      </c>
      <c r="N77" s="16">
        <v>0</v>
      </c>
      <c r="O77" s="14">
        <v>0</v>
      </c>
      <c r="P77" s="16">
        <v>0</v>
      </c>
      <c r="Q77" s="14">
        <v>0</v>
      </c>
      <c r="R77" s="16">
        <v>0</v>
      </c>
    </row>
    <row r="78" spans="1:18" x14ac:dyDescent="0.25">
      <c r="A78" s="11" t="s">
        <v>211</v>
      </c>
      <c r="B78" s="17" t="s">
        <v>154</v>
      </c>
      <c r="C78" s="17" t="s">
        <v>154</v>
      </c>
      <c r="D78" s="18" t="s">
        <v>154</v>
      </c>
      <c r="E78" s="17" t="s">
        <v>154</v>
      </c>
      <c r="F78" s="18" t="s">
        <v>154</v>
      </c>
      <c r="G78" s="17" t="s">
        <v>154</v>
      </c>
      <c r="H78" s="18" t="s">
        <v>154</v>
      </c>
      <c r="I78" s="17" t="s">
        <v>154</v>
      </c>
      <c r="J78" s="18" t="s">
        <v>154</v>
      </c>
      <c r="K78" s="17" t="s">
        <v>154</v>
      </c>
      <c r="L78" s="18" t="s">
        <v>154</v>
      </c>
      <c r="M78" s="17" t="s">
        <v>154</v>
      </c>
      <c r="N78" s="18" t="s">
        <v>154</v>
      </c>
      <c r="O78" s="17" t="s">
        <v>154</v>
      </c>
      <c r="P78" s="18" t="s">
        <v>154</v>
      </c>
      <c r="Q78" s="17" t="s">
        <v>154</v>
      </c>
      <c r="R78" s="18" t="s">
        <v>154</v>
      </c>
    </row>
    <row r="79" spans="1:18" ht="24.95" customHeight="1" x14ac:dyDescent="0.25">
      <c r="A79" s="11" t="s">
        <v>212</v>
      </c>
      <c r="B79" s="17" t="s">
        <v>154</v>
      </c>
      <c r="C79" s="17" t="s">
        <v>154</v>
      </c>
      <c r="D79" s="18" t="s">
        <v>154</v>
      </c>
      <c r="E79" s="17" t="s">
        <v>154</v>
      </c>
      <c r="F79" s="18" t="s">
        <v>154</v>
      </c>
      <c r="G79" s="17" t="s">
        <v>154</v>
      </c>
      <c r="H79" s="18" t="s">
        <v>154</v>
      </c>
      <c r="I79" s="17" t="s">
        <v>154</v>
      </c>
      <c r="J79" s="18" t="s">
        <v>154</v>
      </c>
      <c r="K79" s="17" t="s">
        <v>154</v>
      </c>
      <c r="L79" s="18" t="s">
        <v>154</v>
      </c>
      <c r="M79" s="17" t="s">
        <v>154</v>
      </c>
      <c r="N79" s="18" t="s">
        <v>154</v>
      </c>
      <c r="O79" s="17" t="s">
        <v>154</v>
      </c>
      <c r="P79" s="18" t="s">
        <v>154</v>
      </c>
      <c r="Q79" s="17" t="s">
        <v>154</v>
      </c>
      <c r="R79" s="18" t="s">
        <v>154</v>
      </c>
    </row>
    <row r="80" spans="1:18" x14ac:dyDescent="0.25">
      <c r="A80" s="11" t="s">
        <v>213</v>
      </c>
      <c r="B80" s="17" t="s">
        <v>154</v>
      </c>
      <c r="C80" s="17" t="s">
        <v>154</v>
      </c>
      <c r="D80" s="18" t="s">
        <v>154</v>
      </c>
      <c r="E80" s="17" t="s">
        <v>154</v>
      </c>
      <c r="F80" s="18" t="s">
        <v>154</v>
      </c>
      <c r="G80" s="17" t="s">
        <v>154</v>
      </c>
      <c r="H80" s="18" t="s">
        <v>154</v>
      </c>
      <c r="I80" s="17" t="s">
        <v>154</v>
      </c>
      <c r="J80" s="18" t="s">
        <v>154</v>
      </c>
      <c r="K80" s="17" t="s">
        <v>154</v>
      </c>
      <c r="L80" s="18" t="s">
        <v>154</v>
      </c>
      <c r="M80" s="17" t="s">
        <v>154</v>
      </c>
      <c r="N80" s="18" t="s">
        <v>154</v>
      </c>
      <c r="O80" s="17" t="s">
        <v>154</v>
      </c>
      <c r="P80" s="18" t="s">
        <v>154</v>
      </c>
      <c r="Q80" s="17" t="s">
        <v>154</v>
      </c>
      <c r="R80" s="18" t="s">
        <v>154</v>
      </c>
    </row>
    <row r="81" spans="1:18" x14ac:dyDescent="0.25">
      <c r="A81" s="19" t="s">
        <v>214</v>
      </c>
      <c r="B81" s="13">
        <v>8861</v>
      </c>
      <c r="C81" s="14">
        <f>(7321/B81*100)</f>
        <v>82.62047173005304</v>
      </c>
      <c r="D81" s="15">
        <v>1540</v>
      </c>
      <c r="E81" s="14">
        <v>13.268274610000001</v>
      </c>
      <c r="F81" s="16">
        <v>1.1040860100000001</v>
      </c>
      <c r="G81" s="14">
        <v>86.731725389999994</v>
      </c>
      <c r="H81" s="16">
        <v>1.1040860100000001</v>
      </c>
      <c r="I81" s="14" t="s">
        <v>139</v>
      </c>
      <c r="J81" s="16" t="s">
        <v>139</v>
      </c>
      <c r="K81" s="14">
        <v>0</v>
      </c>
      <c r="L81" s="16">
        <v>0</v>
      </c>
      <c r="M81" s="14">
        <v>0</v>
      </c>
      <c r="N81" s="16">
        <v>0</v>
      </c>
      <c r="O81" s="14">
        <v>0</v>
      </c>
      <c r="P81" s="16">
        <v>0</v>
      </c>
      <c r="Q81" s="14">
        <v>0</v>
      </c>
      <c r="R81" s="16">
        <v>0</v>
      </c>
    </row>
    <row r="82" spans="1:18" x14ac:dyDescent="0.25">
      <c r="A82" s="20"/>
      <c r="B82" s="20" t="s">
        <v>215</v>
      </c>
      <c r="C82" s="20" t="s">
        <v>215</v>
      </c>
      <c r="D82" s="20" t="s">
        <v>215</v>
      </c>
      <c r="E82" s="20" t="s">
        <v>215</v>
      </c>
      <c r="F82" s="20" t="s">
        <v>215</v>
      </c>
      <c r="G82" s="20" t="s">
        <v>215</v>
      </c>
      <c r="H82" s="20" t="s">
        <v>215</v>
      </c>
      <c r="I82" s="20" t="s">
        <v>215</v>
      </c>
      <c r="J82" s="20" t="s">
        <v>215</v>
      </c>
      <c r="K82" s="20" t="s">
        <v>215</v>
      </c>
      <c r="L82" s="20" t="s">
        <v>215</v>
      </c>
      <c r="M82" s="20" t="s">
        <v>215</v>
      </c>
      <c r="N82" s="20" t="s">
        <v>215</v>
      </c>
      <c r="O82" s="20" t="s">
        <v>215</v>
      </c>
      <c r="P82" s="20" t="s">
        <v>215</v>
      </c>
      <c r="Q82" s="20" t="s">
        <v>215</v>
      </c>
      <c r="R82" s="20" t="s">
        <v>215</v>
      </c>
    </row>
    <row r="83" spans="1:18" x14ac:dyDescent="0.25">
      <c r="A83" s="3" t="s">
        <v>216</v>
      </c>
    </row>
    <row r="84" spans="1:18" x14ac:dyDescent="0.25">
      <c r="A84" s="22" t="s">
        <v>217</v>
      </c>
      <c r="B84" s="23"/>
      <c r="C84" s="23"/>
      <c r="D84" s="23"/>
      <c r="E84" s="23"/>
      <c r="F84" s="23"/>
      <c r="G84" s="23"/>
      <c r="H84" s="23"/>
      <c r="I84" s="23"/>
      <c r="J84" s="23"/>
      <c r="K84" s="23"/>
      <c r="L84" s="23"/>
      <c r="M84" s="23"/>
      <c r="N84" s="23"/>
      <c r="O84" s="23"/>
      <c r="P84" s="23"/>
      <c r="Q84" s="23"/>
      <c r="R84" s="23"/>
    </row>
    <row r="85" spans="1:18" x14ac:dyDescent="0.25">
      <c r="A85" s="22" t="s">
        <v>218</v>
      </c>
      <c r="B85" s="23"/>
      <c r="C85" s="23"/>
      <c r="D85" s="23"/>
      <c r="E85" s="23"/>
      <c r="F85" s="23"/>
      <c r="G85" s="23"/>
      <c r="H85" s="23"/>
      <c r="I85" s="23"/>
      <c r="J85" s="23"/>
      <c r="K85" s="23"/>
      <c r="L85" s="23"/>
      <c r="M85" s="23"/>
      <c r="N85" s="23"/>
      <c r="O85" s="23"/>
      <c r="P85" s="23"/>
      <c r="Q85" s="23"/>
      <c r="R85" s="23"/>
    </row>
    <row r="86" spans="1:18" ht="30" customHeight="1" x14ac:dyDescent="0.25">
      <c r="A86" s="22" t="s">
        <v>219</v>
      </c>
      <c r="B86" s="23"/>
      <c r="C86" s="23"/>
      <c r="D86" s="23"/>
      <c r="E86" s="23"/>
      <c r="F86" s="23"/>
      <c r="G86" s="23"/>
      <c r="H86" s="23"/>
      <c r="I86" s="23"/>
      <c r="J86" s="23"/>
      <c r="K86" s="23"/>
      <c r="L86" s="23"/>
      <c r="M86" s="23"/>
      <c r="N86" s="23"/>
      <c r="O86" s="23"/>
      <c r="P86" s="23"/>
      <c r="Q86" s="23"/>
      <c r="R86" s="23"/>
    </row>
    <row r="87" spans="1:18" ht="30" customHeight="1" x14ac:dyDescent="0.25">
      <c r="A87" s="22" t="s">
        <v>215</v>
      </c>
      <c r="B87" s="23"/>
      <c r="C87" s="23"/>
      <c r="D87" s="23"/>
      <c r="E87" s="23"/>
      <c r="F87" s="23"/>
      <c r="G87" s="23"/>
      <c r="H87" s="23"/>
      <c r="I87" s="23"/>
      <c r="J87" s="23"/>
      <c r="K87" s="23"/>
      <c r="L87" s="23"/>
      <c r="M87" s="23"/>
      <c r="N87" s="23"/>
      <c r="O87" s="23"/>
      <c r="P87" s="23"/>
      <c r="Q87" s="23"/>
      <c r="R87" s="23"/>
    </row>
    <row r="88" spans="1:18" ht="30" customHeight="1" x14ac:dyDescent="0.25">
      <c r="A88" s="22" t="s">
        <v>220</v>
      </c>
      <c r="B88" s="23"/>
      <c r="C88" s="23"/>
      <c r="D88" s="23"/>
      <c r="E88" s="23"/>
      <c r="F88" s="23"/>
      <c r="G88" s="23"/>
      <c r="H88" s="23"/>
      <c r="I88" s="23"/>
      <c r="J88" s="23"/>
      <c r="K88" s="23"/>
      <c r="L88" s="23"/>
      <c r="M88" s="23"/>
      <c r="N88" s="23"/>
      <c r="O88" s="23"/>
      <c r="P88" s="23"/>
      <c r="Q88" s="23"/>
      <c r="R88" s="23"/>
    </row>
    <row r="89" spans="1:18" ht="30" customHeight="1" x14ac:dyDescent="0.25">
      <c r="A89" s="22" t="s">
        <v>221</v>
      </c>
      <c r="B89" s="23"/>
      <c r="C89" s="23"/>
      <c r="D89" s="23"/>
      <c r="E89" s="23"/>
      <c r="F89" s="23"/>
      <c r="G89" s="23"/>
      <c r="H89" s="23"/>
      <c r="I89" s="23"/>
      <c r="J89" s="23"/>
      <c r="K89" s="23"/>
      <c r="L89" s="23"/>
      <c r="M89" s="23"/>
      <c r="N89" s="23"/>
      <c r="O89" s="23"/>
      <c r="P89" s="23"/>
      <c r="Q89" s="23"/>
      <c r="R89" s="23"/>
    </row>
    <row r="90" spans="1:18" ht="30" customHeight="1" x14ac:dyDescent="0.25">
      <c r="A90" s="22" t="s">
        <v>222</v>
      </c>
      <c r="B90" s="23"/>
      <c r="C90" s="23"/>
      <c r="D90" s="23"/>
      <c r="E90" s="23"/>
      <c r="F90" s="23"/>
      <c r="G90" s="23"/>
      <c r="H90" s="23"/>
      <c r="I90" s="23"/>
      <c r="J90" s="23"/>
      <c r="K90" s="23"/>
      <c r="L90" s="23"/>
      <c r="M90" s="23"/>
      <c r="N90" s="23"/>
      <c r="O90" s="23"/>
      <c r="P90" s="23"/>
      <c r="Q90" s="23"/>
      <c r="R90" s="23"/>
    </row>
    <row r="91" spans="1:18" ht="30" customHeight="1" x14ac:dyDescent="0.25">
      <c r="A91" s="22" t="s">
        <v>223</v>
      </c>
      <c r="B91" s="23"/>
      <c r="C91" s="23"/>
      <c r="D91" s="23"/>
      <c r="E91" s="23"/>
      <c r="F91" s="23"/>
      <c r="G91" s="23"/>
      <c r="H91" s="23"/>
      <c r="I91" s="23"/>
      <c r="J91" s="23"/>
      <c r="K91" s="23"/>
      <c r="L91" s="23"/>
      <c r="M91" s="23"/>
      <c r="N91" s="23"/>
      <c r="O91" s="23"/>
      <c r="P91" s="23"/>
      <c r="Q91" s="23"/>
      <c r="R91" s="23"/>
    </row>
    <row r="92" spans="1:18" ht="30" customHeight="1" x14ac:dyDescent="0.25">
      <c r="A92" s="22" t="s">
        <v>224</v>
      </c>
      <c r="B92" s="23"/>
      <c r="C92" s="23"/>
      <c r="D92" s="23"/>
      <c r="E92" s="23"/>
      <c r="F92" s="23"/>
      <c r="G92" s="23"/>
      <c r="H92" s="23"/>
      <c r="I92" s="23"/>
      <c r="J92" s="23"/>
      <c r="K92" s="23"/>
      <c r="L92" s="23"/>
      <c r="M92" s="23"/>
      <c r="N92" s="23"/>
      <c r="O92" s="23"/>
      <c r="P92" s="23"/>
      <c r="Q92" s="23"/>
      <c r="R92" s="23"/>
    </row>
    <row r="93" spans="1:18" ht="30" customHeight="1" x14ac:dyDescent="0.25">
      <c r="A93" s="22" t="s">
        <v>225</v>
      </c>
      <c r="B93" s="23"/>
      <c r="C93" s="23"/>
      <c r="D93" s="23"/>
      <c r="E93" s="23"/>
      <c r="F93" s="23"/>
      <c r="G93" s="23"/>
      <c r="H93" s="23"/>
      <c r="I93" s="23"/>
      <c r="J93" s="23"/>
      <c r="K93" s="23"/>
      <c r="L93" s="23"/>
      <c r="M93" s="23"/>
      <c r="N93" s="23"/>
      <c r="O93" s="23"/>
      <c r="P93" s="23"/>
      <c r="Q93" s="23"/>
      <c r="R93" s="23"/>
    </row>
    <row r="94" spans="1:18" ht="30" customHeight="1" x14ac:dyDescent="0.25">
      <c r="A94" s="22" t="s">
        <v>226</v>
      </c>
      <c r="B94" s="23"/>
      <c r="C94" s="23"/>
      <c r="D94" s="23"/>
      <c r="E94" s="23"/>
      <c r="F94" s="23"/>
      <c r="G94" s="23"/>
      <c r="H94" s="23"/>
      <c r="I94" s="23"/>
      <c r="J94" s="23"/>
      <c r="K94" s="23"/>
      <c r="L94" s="23"/>
      <c r="M94" s="23"/>
      <c r="N94" s="23"/>
      <c r="O94" s="23"/>
      <c r="P94" s="23"/>
      <c r="Q94" s="23"/>
      <c r="R94" s="23"/>
    </row>
    <row r="95" spans="1:18" ht="30" customHeight="1" x14ac:dyDescent="0.25">
      <c r="A95" s="22" t="s">
        <v>227</v>
      </c>
      <c r="B95" s="23"/>
      <c r="C95" s="23"/>
      <c r="D95" s="23"/>
      <c r="E95" s="23"/>
      <c r="F95" s="23"/>
      <c r="G95" s="23"/>
      <c r="H95" s="23"/>
      <c r="I95" s="23"/>
      <c r="J95" s="23"/>
      <c r="K95" s="23"/>
      <c r="L95" s="23"/>
      <c r="M95" s="23"/>
      <c r="N95" s="23"/>
      <c r="O95" s="23"/>
      <c r="P95" s="23"/>
      <c r="Q95" s="23"/>
      <c r="R95" s="23"/>
    </row>
    <row r="96" spans="1:18" ht="30" customHeight="1" x14ac:dyDescent="0.25">
      <c r="A96" s="22" t="s">
        <v>228</v>
      </c>
      <c r="B96" s="23"/>
      <c r="C96" s="23"/>
      <c r="D96" s="23"/>
      <c r="E96" s="23"/>
      <c r="F96" s="23"/>
      <c r="G96" s="23"/>
      <c r="H96" s="23"/>
      <c r="I96" s="23"/>
      <c r="J96" s="23"/>
      <c r="K96" s="23"/>
      <c r="L96" s="23"/>
      <c r="M96" s="23"/>
      <c r="N96" s="23"/>
      <c r="O96" s="23"/>
      <c r="P96" s="23"/>
      <c r="Q96" s="23"/>
      <c r="R96" s="23"/>
    </row>
  </sheetData>
  <mergeCells count="22">
    <mergeCell ref="O4:P4"/>
    <mergeCell ref="Q4:R4"/>
    <mergeCell ref="A1:R1"/>
    <mergeCell ref="A2:R2"/>
    <mergeCell ref="A84:R84"/>
    <mergeCell ref="E4:F4"/>
    <mergeCell ref="G4:H4"/>
    <mergeCell ref="I4:J4"/>
    <mergeCell ref="K4:L4"/>
    <mergeCell ref="M4:N4"/>
    <mergeCell ref="A85:R85"/>
    <mergeCell ref="A86:R86"/>
    <mergeCell ref="A87:R87"/>
    <mergeCell ref="A88:R88"/>
    <mergeCell ref="A89:R89"/>
    <mergeCell ref="A95:R95"/>
    <mergeCell ref="A96:R96"/>
    <mergeCell ref="A90:R90"/>
    <mergeCell ref="A91:R91"/>
    <mergeCell ref="A92:R92"/>
    <mergeCell ref="A93:R93"/>
    <mergeCell ref="A94:R94"/>
  </mergeCells>
  <pageMargins left="0.75" right="0.75" top="1" bottom="1" header="0.5" footer="0.5"/>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
  <dimension ref="A1:R96"/>
  <sheetViews>
    <sheetView zoomScale="80" workbookViewId="0">
      <pane xSplit="4" topLeftCell="E1" activePane="topRight" state="frozen"/>
      <selection sqref="A1:R1"/>
      <selection pane="topRight" sqref="A1:R1"/>
    </sheetView>
  </sheetViews>
  <sheetFormatPr defaultColWidth="11.42578125" defaultRowHeight="15" x14ac:dyDescent="0.25"/>
  <cols>
    <col min="1" max="1" width="50" customWidth="1"/>
  </cols>
  <sheetData>
    <row r="1" spans="1:18" x14ac:dyDescent="0.25">
      <c r="A1" s="26" t="s">
        <v>122</v>
      </c>
      <c r="B1" s="23"/>
      <c r="C1" s="23"/>
      <c r="D1" s="23"/>
      <c r="E1" s="23"/>
      <c r="F1" s="23"/>
      <c r="G1" s="23"/>
      <c r="H1" s="23"/>
      <c r="I1" s="23"/>
      <c r="J1" s="23"/>
      <c r="K1" s="23"/>
      <c r="L1" s="23"/>
      <c r="M1" s="23"/>
      <c r="N1" s="23"/>
      <c r="O1" s="23"/>
      <c r="P1" s="23"/>
      <c r="Q1" s="23"/>
      <c r="R1" s="23"/>
    </row>
    <row r="2" spans="1:18" x14ac:dyDescent="0.25">
      <c r="A2" s="27" t="s">
        <v>238</v>
      </c>
      <c r="B2" s="23"/>
      <c r="C2" s="23"/>
      <c r="D2" s="23"/>
      <c r="E2" s="23"/>
      <c r="F2" s="23"/>
      <c r="G2" s="23"/>
      <c r="H2" s="23"/>
      <c r="I2" s="23"/>
      <c r="J2" s="23"/>
      <c r="K2" s="23"/>
      <c r="L2" s="23"/>
      <c r="M2" s="23"/>
      <c r="N2" s="23"/>
      <c r="O2" s="23"/>
      <c r="P2" s="23"/>
      <c r="Q2" s="23"/>
      <c r="R2" s="23"/>
    </row>
    <row r="4" spans="1:18" ht="30" customHeight="1" x14ac:dyDescent="0.25">
      <c r="A4" s="4"/>
      <c r="B4" s="5" t="s">
        <v>123</v>
      </c>
      <c r="C4" s="5" t="s">
        <v>124</v>
      </c>
      <c r="D4" s="6" t="s">
        <v>123</v>
      </c>
      <c r="E4" s="24" t="s">
        <v>125</v>
      </c>
      <c r="F4" s="25"/>
      <c r="G4" s="24" t="s">
        <v>126</v>
      </c>
      <c r="H4" s="25"/>
      <c r="I4" s="24" t="s">
        <v>127</v>
      </c>
      <c r="J4" s="25"/>
      <c r="K4" s="24" t="s">
        <v>128</v>
      </c>
      <c r="L4" s="25"/>
      <c r="M4" s="24" t="s">
        <v>129</v>
      </c>
      <c r="N4" s="25"/>
      <c r="O4" s="24" t="s">
        <v>130</v>
      </c>
      <c r="P4" s="25"/>
      <c r="Q4" s="24" t="s">
        <v>131</v>
      </c>
      <c r="R4" s="25"/>
    </row>
    <row r="5" spans="1:18" x14ac:dyDescent="0.25">
      <c r="A5" s="7"/>
      <c r="B5" s="8" t="s">
        <v>132</v>
      </c>
      <c r="C5" s="8" t="s">
        <v>133</v>
      </c>
      <c r="D5" s="7" t="s">
        <v>134</v>
      </c>
      <c r="E5" s="8" t="s">
        <v>135</v>
      </c>
      <c r="F5" s="7" t="s">
        <v>136</v>
      </c>
      <c r="G5" s="8" t="s">
        <v>135</v>
      </c>
      <c r="H5" s="7" t="s">
        <v>136</v>
      </c>
      <c r="I5" s="8" t="s">
        <v>135</v>
      </c>
      <c r="J5" s="7" t="s">
        <v>136</v>
      </c>
      <c r="K5" s="8" t="s">
        <v>135</v>
      </c>
      <c r="L5" s="7" t="s">
        <v>136</v>
      </c>
      <c r="M5" s="8" t="s">
        <v>135</v>
      </c>
      <c r="N5" s="7" t="s">
        <v>136</v>
      </c>
      <c r="O5" s="8" t="s">
        <v>135</v>
      </c>
      <c r="P5" s="7" t="s">
        <v>136</v>
      </c>
      <c r="Q5" s="8" t="s">
        <v>135</v>
      </c>
      <c r="R5" s="7" t="s">
        <v>136</v>
      </c>
    </row>
    <row r="6" spans="1:18" x14ac:dyDescent="0.25">
      <c r="A6" s="9" t="s">
        <v>137</v>
      </c>
      <c r="B6" s="10"/>
      <c r="C6" s="10"/>
      <c r="D6" s="11"/>
      <c r="E6" s="10"/>
      <c r="F6" s="11"/>
      <c r="G6" s="10"/>
      <c r="H6" s="11"/>
      <c r="I6" s="10"/>
      <c r="J6" s="11"/>
      <c r="K6" s="10"/>
      <c r="L6" s="11"/>
      <c r="M6" s="10"/>
      <c r="N6" s="11"/>
      <c r="O6" s="10"/>
      <c r="P6" s="11"/>
      <c r="Q6" s="10"/>
      <c r="R6" s="12"/>
    </row>
    <row r="7" spans="1:18" x14ac:dyDescent="0.25">
      <c r="A7" s="11" t="s">
        <v>138</v>
      </c>
      <c r="B7" s="13">
        <v>14530</v>
      </c>
      <c r="C7" s="14">
        <f>(12127/B7*100)</f>
        <v>83.461803165863728</v>
      </c>
      <c r="D7" s="15">
        <v>2403</v>
      </c>
      <c r="E7" s="14">
        <v>35.321509280000001</v>
      </c>
      <c r="F7" s="16">
        <v>1.0051870300000001</v>
      </c>
      <c r="G7" s="14">
        <v>64.678490719999999</v>
      </c>
      <c r="H7" s="16">
        <v>1.0051870300000001</v>
      </c>
      <c r="I7" s="14" t="s">
        <v>139</v>
      </c>
      <c r="J7" s="16" t="s">
        <v>139</v>
      </c>
      <c r="K7" s="14">
        <v>0</v>
      </c>
      <c r="L7" s="16">
        <v>0</v>
      </c>
      <c r="M7" s="14">
        <v>0</v>
      </c>
      <c r="N7" s="16">
        <v>0</v>
      </c>
      <c r="O7" s="14">
        <v>0</v>
      </c>
      <c r="P7" s="16">
        <v>0</v>
      </c>
      <c r="Q7" s="14">
        <v>0</v>
      </c>
      <c r="R7" s="16">
        <v>0</v>
      </c>
    </row>
    <row r="8" spans="1:18" x14ac:dyDescent="0.25">
      <c r="A8" s="11" t="s">
        <v>140</v>
      </c>
      <c r="B8" s="13">
        <v>7007</v>
      </c>
      <c r="C8" s="14">
        <f>(5802/B8*100)</f>
        <v>82.802911374339942</v>
      </c>
      <c r="D8" s="15">
        <v>1205</v>
      </c>
      <c r="E8" s="14">
        <v>39.795692590000002</v>
      </c>
      <c r="F8" s="16">
        <v>1.48900754</v>
      </c>
      <c r="G8" s="14">
        <v>60.204307409999998</v>
      </c>
      <c r="H8" s="16">
        <v>1.48900754</v>
      </c>
      <c r="I8" s="14" t="s">
        <v>139</v>
      </c>
      <c r="J8" s="16" t="s">
        <v>139</v>
      </c>
      <c r="K8" s="14">
        <v>0</v>
      </c>
      <c r="L8" s="16">
        <v>0</v>
      </c>
      <c r="M8" s="14">
        <v>0</v>
      </c>
      <c r="N8" s="16">
        <v>0</v>
      </c>
      <c r="O8" s="14">
        <v>0</v>
      </c>
      <c r="P8" s="16">
        <v>0</v>
      </c>
      <c r="Q8" s="14">
        <v>0</v>
      </c>
      <c r="R8" s="16">
        <v>0</v>
      </c>
    </row>
    <row r="9" spans="1:18" x14ac:dyDescent="0.25">
      <c r="A9" s="11" t="s">
        <v>141</v>
      </c>
      <c r="B9" s="13">
        <v>9651</v>
      </c>
      <c r="C9" s="14">
        <f>(8069/B9*100)</f>
        <v>83.607916278105904</v>
      </c>
      <c r="D9" s="15">
        <v>1582</v>
      </c>
      <c r="E9" s="14">
        <v>34.734439100000003</v>
      </c>
      <c r="F9" s="16">
        <v>1.3648117799999999</v>
      </c>
      <c r="G9" s="14">
        <v>65.265560899999997</v>
      </c>
      <c r="H9" s="16">
        <v>1.3648117799999999</v>
      </c>
      <c r="I9" s="14" t="s">
        <v>139</v>
      </c>
      <c r="J9" s="16" t="s">
        <v>139</v>
      </c>
      <c r="K9" s="14">
        <v>0</v>
      </c>
      <c r="L9" s="16">
        <v>0</v>
      </c>
      <c r="M9" s="14">
        <v>0</v>
      </c>
      <c r="N9" s="16">
        <v>0</v>
      </c>
      <c r="O9" s="14">
        <v>0</v>
      </c>
      <c r="P9" s="16">
        <v>0</v>
      </c>
      <c r="Q9" s="14">
        <v>0</v>
      </c>
      <c r="R9" s="16">
        <v>0</v>
      </c>
    </row>
    <row r="10" spans="1:18" x14ac:dyDescent="0.25">
      <c r="A10" s="11" t="s">
        <v>142</v>
      </c>
      <c r="B10" s="13">
        <v>20058</v>
      </c>
      <c r="C10" s="14">
        <f>(16625/B10*100)</f>
        <v>82.884634559776643</v>
      </c>
      <c r="D10" s="15">
        <v>3433</v>
      </c>
      <c r="E10" s="14">
        <v>37.088639989999997</v>
      </c>
      <c r="F10" s="16">
        <v>1.11175044</v>
      </c>
      <c r="G10" s="14">
        <v>62.911360010000003</v>
      </c>
      <c r="H10" s="16">
        <v>1.11175044</v>
      </c>
      <c r="I10" s="14" t="s">
        <v>139</v>
      </c>
      <c r="J10" s="16" t="s">
        <v>139</v>
      </c>
      <c r="K10" s="14">
        <v>0</v>
      </c>
      <c r="L10" s="16">
        <v>0</v>
      </c>
      <c r="M10" s="14">
        <v>0</v>
      </c>
      <c r="N10" s="16">
        <v>0</v>
      </c>
      <c r="O10" s="14">
        <v>0</v>
      </c>
      <c r="P10" s="16">
        <v>0</v>
      </c>
      <c r="Q10" s="14">
        <v>0</v>
      </c>
      <c r="R10" s="16">
        <v>0</v>
      </c>
    </row>
    <row r="11" spans="1:18" x14ac:dyDescent="0.25">
      <c r="A11" s="11" t="s">
        <v>143</v>
      </c>
      <c r="B11" s="13">
        <v>7053</v>
      </c>
      <c r="C11" s="14">
        <f>(5877/B11*100)</f>
        <v>83.326244151424916</v>
      </c>
      <c r="D11" s="15">
        <v>1176</v>
      </c>
      <c r="E11" s="14">
        <v>43.626279250000003</v>
      </c>
      <c r="F11" s="16">
        <v>1.7512119399999999</v>
      </c>
      <c r="G11" s="14">
        <v>56.373720749999997</v>
      </c>
      <c r="H11" s="16">
        <v>1.7512119399999999</v>
      </c>
      <c r="I11" s="14" t="s">
        <v>139</v>
      </c>
      <c r="J11" s="16" t="s">
        <v>139</v>
      </c>
      <c r="K11" s="14">
        <v>0</v>
      </c>
      <c r="L11" s="16">
        <v>0</v>
      </c>
      <c r="M11" s="14">
        <v>0</v>
      </c>
      <c r="N11" s="16">
        <v>0</v>
      </c>
      <c r="O11" s="14">
        <v>0</v>
      </c>
      <c r="P11" s="16">
        <v>0</v>
      </c>
      <c r="Q11" s="14">
        <v>0</v>
      </c>
      <c r="R11" s="16">
        <v>0</v>
      </c>
    </row>
    <row r="12" spans="1:18" x14ac:dyDescent="0.25">
      <c r="A12" s="11" t="s">
        <v>144</v>
      </c>
      <c r="B12" s="13">
        <v>6894</v>
      </c>
      <c r="C12" s="14">
        <f>(5739/B12*100)</f>
        <v>83.246301131418619</v>
      </c>
      <c r="D12" s="15">
        <v>1155</v>
      </c>
      <c r="E12" s="14">
        <v>29.291519829999999</v>
      </c>
      <c r="F12" s="16">
        <v>1.6545802300000001</v>
      </c>
      <c r="G12" s="14">
        <v>70.708480170000001</v>
      </c>
      <c r="H12" s="16">
        <v>1.6545802300000001</v>
      </c>
      <c r="I12" s="14" t="s">
        <v>139</v>
      </c>
      <c r="J12" s="16" t="s">
        <v>139</v>
      </c>
      <c r="K12" s="14">
        <v>0</v>
      </c>
      <c r="L12" s="16">
        <v>0</v>
      </c>
      <c r="M12" s="14">
        <v>0</v>
      </c>
      <c r="N12" s="16">
        <v>0</v>
      </c>
      <c r="O12" s="14">
        <v>0</v>
      </c>
      <c r="P12" s="16">
        <v>0</v>
      </c>
      <c r="Q12" s="14">
        <v>0</v>
      </c>
      <c r="R12" s="16">
        <v>0</v>
      </c>
    </row>
    <row r="13" spans="1:18" x14ac:dyDescent="0.25">
      <c r="A13" s="11" t="s">
        <v>145</v>
      </c>
      <c r="B13" s="13">
        <v>7161</v>
      </c>
      <c r="C13" s="14">
        <f>(6011/B13*100)</f>
        <v>83.940790392403301</v>
      </c>
      <c r="D13" s="15">
        <v>1150</v>
      </c>
      <c r="E13" s="14">
        <v>27.99870267</v>
      </c>
      <c r="F13" s="16">
        <v>1.8678425400000001</v>
      </c>
      <c r="G13" s="14">
        <v>72.00129733</v>
      </c>
      <c r="H13" s="16">
        <v>1.8678425400000001</v>
      </c>
      <c r="I13" s="14" t="s">
        <v>139</v>
      </c>
      <c r="J13" s="16" t="s">
        <v>139</v>
      </c>
      <c r="K13" s="14">
        <v>0</v>
      </c>
      <c r="L13" s="16">
        <v>0</v>
      </c>
      <c r="M13" s="14">
        <v>0</v>
      </c>
      <c r="N13" s="16">
        <v>0</v>
      </c>
      <c r="O13" s="14">
        <v>0</v>
      </c>
      <c r="P13" s="16">
        <v>0</v>
      </c>
      <c r="Q13" s="14">
        <v>0</v>
      </c>
      <c r="R13" s="16">
        <v>0</v>
      </c>
    </row>
    <row r="14" spans="1:18" x14ac:dyDescent="0.25">
      <c r="A14" s="11" t="s">
        <v>146</v>
      </c>
      <c r="B14" s="13">
        <v>5587</v>
      </c>
      <c r="C14" s="14">
        <f>(4637/B14*100)</f>
        <v>82.996241274386975</v>
      </c>
      <c r="D14" s="15">
        <v>950</v>
      </c>
      <c r="E14" s="14">
        <v>25.671334959999999</v>
      </c>
      <c r="F14" s="16">
        <v>1.58164985</v>
      </c>
      <c r="G14" s="14">
        <v>74.328665040000004</v>
      </c>
      <c r="H14" s="16">
        <v>1.58164985</v>
      </c>
      <c r="I14" s="14" t="s">
        <v>139</v>
      </c>
      <c r="J14" s="16" t="s">
        <v>139</v>
      </c>
      <c r="K14" s="14">
        <v>0</v>
      </c>
      <c r="L14" s="16">
        <v>0</v>
      </c>
      <c r="M14" s="14">
        <v>0</v>
      </c>
      <c r="N14" s="16">
        <v>0</v>
      </c>
      <c r="O14" s="14">
        <v>0</v>
      </c>
      <c r="P14" s="16">
        <v>0</v>
      </c>
      <c r="Q14" s="14">
        <v>0</v>
      </c>
      <c r="R14" s="16">
        <v>0</v>
      </c>
    </row>
    <row r="15" spans="1:18" x14ac:dyDescent="0.25">
      <c r="A15" s="11" t="s">
        <v>147</v>
      </c>
      <c r="B15" s="13">
        <v>5882</v>
      </c>
      <c r="C15" s="14">
        <f>(4908/B15*100)</f>
        <v>83.441006460387626</v>
      </c>
      <c r="D15" s="15">
        <v>974</v>
      </c>
      <c r="E15" s="14">
        <v>24.95876792</v>
      </c>
      <c r="F15" s="16">
        <v>1.5893963200000001</v>
      </c>
      <c r="G15" s="14">
        <v>75.04123208</v>
      </c>
      <c r="H15" s="16">
        <v>1.5893963200000001</v>
      </c>
      <c r="I15" s="14" t="s">
        <v>139</v>
      </c>
      <c r="J15" s="16" t="s">
        <v>139</v>
      </c>
      <c r="K15" s="14">
        <v>0</v>
      </c>
      <c r="L15" s="16">
        <v>0</v>
      </c>
      <c r="M15" s="14">
        <v>0</v>
      </c>
      <c r="N15" s="16">
        <v>0</v>
      </c>
      <c r="O15" s="14">
        <v>0</v>
      </c>
      <c r="P15" s="16">
        <v>0</v>
      </c>
      <c r="Q15" s="14">
        <v>0</v>
      </c>
      <c r="R15" s="16">
        <v>0</v>
      </c>
    </row>
    <row r="16" spans="1:18" x14ac:dyDescent="0.25">
      <c r="A16" s="11" t="s">
        <v>148</v>
      </c>
      <c r="B16" s="13">
        <v>6108</v>
      </c>
      <c r="C16" s="14">
        <f>(5066/B16*100)</f>
        <v>82.940406024885391</v>
      </c>
      <c r="D16" s="15">
        <v>1042</v>
      </c>
      <c r="E16" s="14">
        <v>38.379736110000003</v>
      </c>
      <c r="F16" s="16">
        <v>1.31159885</v>
      </c>
      <c r="G16" s="14">
        <v>61.620263889999997</v>
      </c>
      <c r="H16" s="16">
        <v>1.31159885</v>
      </c>
      <c r="I16" s="14" t="s">
        <v>139</v>
      </c>
      <c r="J16" s="16" t="s">
        <v>139</v>
      </c>
      <c r="K16" s="14">
        <v>0</v>
      </c>
      <c r="L16" s="16">
        <v>0</v>
      </c>
      <c r="M16" s="14">
        <v>0</v>
      </c>
      <c r="N16" s="16">
        <v>0</v>
      </c>
      <c r="O16" s="14">
        <v>0</v>
      </c>
      <c r="P16" s="16">
        <v>0</v>
      </c>
      <c r="Q16" s="14">
        <v>0</v>
      </c>
      <c r="R16" s="16">
        <v>0</v>
      </c>
    </row>
    <row r="17" spans="1:18" x14ac:dyDescent="0.25">
      <c r="A17" s="11" t="s">
        <v>149</v>
      </c>
      <c r="B17" s="13">
        <v>6504</v>
      </c>
      <c r="C17" s="14">
        <f>(5429/B17*100)</f>
        <v>83.47170971709717</v>
      </c>
      <c r="D17" s="15">
        <v>1075</v>
      </c>
      <c r="E17" s="14">
        <v>31.78472292</v>
      </c>
      <c r="F17" s="16">
        <v>1.4391420800000001</v>
      </c>
      <c r="G17" s="14">
        <v>68.215277080000007</v>
      </c>
      <c r="H17" s="16">
        <v>1.4391420800000001</v>
      </c>
      <c r="I17" s="14" t="s">
        <v>139</v>
      </c>
      <c r="J17" s="16" t="s">
        <v>139</v>
      </c>
      <c r="K17" s="14">
        <v>0</v>
      </c>
      <c r="L17" s="16">
        <v>0</v>
      </c>
      <c r="M17" s="14">
        <v>0</v>
      </c>
      <c r="N17" s="16">
        <v>0</v>
      </c>
      <c r="O17" s="14">
        <v>0</v>
      </c>
      <c r="P17" s="16">
        <v>0</v>
      </c>
      <c r="Q17" s="14">
        <v>0</v>
      </c>
      <c r="R17" s="16">
        <v>0</v>
      </c>
    </row>
    <row r="18" spans="1:18" x14ac:dyDescent="0.25">
      <c r="A18" s="11" t="s">
        <v>150</v>
      </c>
      <c r="B18" s="13">
        <v>5532</v>
      </c>
      <c r="C18" s="14">
        <f>(4571/B18*100)</f>
        <v>82.628344179320322</v>
      </c>
      <c r="D18" s="15">
        <v>961</v>
      </c>
      <c r="E18" s="14">
        <v>46.208465189999998</v>
      </c>
      <c r="F18" s="16">
        <v>1.67113804</v>
      </c>
      <c r="G18" s="14">
        <v>53.791534810000002</v>
      </c>
      <c r="H18" s="16">
        <v>1.67113804</v>
      </c>
      <c r="I18" s="14" t="s">
        <v>139</v>
      </c>
      <c r="J18" s="16" t="s">
        <v>139</v>
      </c>
      <c r="K18" s="14">
        <v>0</v>
      </c>
      <c r="L18" s="16">
        <v>0</v>
      </c>
      <c r="M18" s="14">
        <v>0</v>
      </c>
      <c r="N18" s="16">
        <v>0</v>
      </c>
      <c r="O18" s="14">
        <v>0</v>
      </c>
      <c r="P18" s="16">
        <v>0</v>
      </c>
      <c r="Q18" s="14">
        <v>0</v>
      </c>
      <c r="R18" s="16">
        <v>0</v>
      </c>
    </row>
    <row r="19" spans="1:18" x14ac:dyDescent="0.25">
      <c r="A19" s="11" t="s">
        <v>151</v>
      </c>
      <c r="B19" s="13">
        <v>5658</v>
      </c>
      <c r="C19" s="14">
        <f>(4723/B19*100)</f>
        <v>83.474726051608343</v>
      </c>
      <c r="D19" s="15">
        <v>935</v>
      </c>
      <c r="E19" s="14">
        <v>44.7559635</v>
      </c>
      <c r="F19" s="16">
        <v>1.72968291</v>
      </c>
      <c r="G19" s="14">
        <v>55.2440365</v>
      </c>
      <c r="H19" s="16">
        <v>1.72968291</v>
      </c>
      <c r="I19" s="14" t="s">
        <v>139</v>
      </c>
      <c r="J19" s="16" t="s">
        <v>139</v>
      </c>
      <c r="K19" s="14">
        <v>0</v>
      </c>
      <c r="L19" s="16">
        <v>0</v>
      </c>
      <c r="M19" s="14">
        <v>0</v>
      </c>
      <c r="N19" s="16">
        <v>0</v>
      </c>
      <c r="O19" s="14">
        <v>0</v>
      </c>
      <c r="P19" s="16">
        <v>0</v>
      </c>
      <c r="Q19" s="14">
        <v>0</v>
      </c>
      <c r="R19" s="16">
        <v>0</v>
      </c>
    </row>
    <row r="20" spans="1:18" x14ac:dyDescent="0.25">
      <c r="A20" s="11" t="s">
        <v>152</v>
      </c>
      <c r="B20" s="13">
        <v>3371</v>
      </c>
      <c r="C20" s="14">
        <f>(2797/B20*100)</f>
        <v>82.972411747256004</v>
      </c>
      <c r="D20" s="15">
        <v>574</v>
      </c>
      <c r="E20" s="14">
        <v>44.724232049999998</v>
      </c>
      <c r="F20" s="16">
        <v>1.83112539</v>
      </c>
      <c r="G20" s="14">
        <v>55.275767950000002</v>
      </c>
      <c r="H20" s="16">
        <v>1.83112539</v>
      </c>
      <c r="I20" s="14" t="s">
        <v>139</v>
      </c>
      <c r="J20" s="16" t="s">
        <v>139</v>
      </c>
      <c r="K20" s="14">
        <v>0</v>
      </c>
      <c r="L20" s="16">
        <v>0</v>
      </c>
      <c r="M20" s="14">
        <v>0</v>
      </c>
      <c r="N20" s="16">
        <v>0</v>
      </c>
      <c r="O20" s="14">
        <v>0</v>
      </c>
      <c r="P20" s="16">
        <v>0</v>
      </c>
      <c r="Q20" s="14">
        <v>0</v>
      </c>
      <c r="R20" s="16">
        <v>0</v>
      </c>
    </row>
    <row r="21" spans="1:18" x14ac:dyDescent="0.25">
      <c r="A21" s="11" t="s">
        <v>153</v>
      </c>
      <c r="B21" s="17" t="s">
        <v>154</v>
      </c>
      <c r="C21" s="17" t="s">
        <v>154</v>
      </c>
      <c r="D21" s="18" t="s">
        <v>154</v>
      </c>
      <c r="E21" s="17" t="s">
        <v>154</v>
      </c>
      <c r="F21" s="18" t="s">
        <v>154</v>
      </c>
      <c r="G21" s="17" t="s">
        <v>154</v>
      </c>
      <c r="H21" s="18" t="s">
        <v>154</v>
      </c>
      <c r="I21" s="17" t="s">
        <v>154</v>
      </c>
      <c r="J21" s="18" t="s">
        <v>154</v>
      </c>
      <c r="K21" s="17" t="s">
        <v>154</v>
      </c>
      <c r="L21" s="18" t="s">
        <v>154</v>
      </c>
      <c r="M21" s="17" t="s">
        <v>154</v>
      </c>
      <c r="N21" s="18" t="s">
        <v>154</v>
      </c>
      <c r="O21" s="17" t="s">
        <v>154</v>
      </c>
      <c r="P21" s="18" t="s">
        <v>154</v>
      </c>
      <c r="Q21" s="17" t="s">
        <v>154</v>
      </c>
      <c r="R21" s="18" t="s">
        <v>154</v>
      </c>
    </row>
    <row r="22" spans="1:18" x14ac:dyDescent="0.25">
      <c r="A22" s="11" t="s">
        <v>155</v>
      </c>
      <c r="B22" s="13">
        <v>6598</v>
      </c>
      <c r="C22" s="14">
        <f>(5580/B22*100)</f>
        <v>84.571082146104885</v>
      </c>
      <c r="D22" s="15">
        <v>1018</v>
      </c>
      <c r="E22" s="14">
        <v>39.090413550000001</v>
      </c>
      <c r="F22" s="16">
        <v>1.7097067399999999</v>
      </c>
      <c r="G22" s="14">
        <v>60.909586449999999</v>
      </c>
      <c r="H22" s="16">
        <v>1.7097067399999999</v>
      </c>
      <c r="I22" s="14" t="s">
        <v>139</v>
      </c>
      <c r="J22" s="16" t="s">
        <v>139</v>
      </c>
      <c r="K22" s="14">
        <v>0</v>
      </c>
      <c r="L22" s="16">
        <v>0</v>
      </c>
      <c r="M22" s="14">
        <v>0</v>
      </c>
      <c r="N22" s="16">
        <v>0</v>
      </c>
      <c r="O22" s="14">
        <v>0</v>
      </c>
      <c r="P22" s="16">
        <v>0</v>
      </c>
      <c r="Q22" s="14">
        <v>0</v>
      </c>
      <c r="R22" s="16">
        <v>0</v>
      </c>
    </row>
    <row r="23" spans="1:18" x14ac:dyDescent="0.25">
      <c r="A23" s="11" t="s">
        <v>156</v>
      </c>
      <c r="B23" s="13">
        <v>11583</v>
      </c>
      <c r="C23" s="14">
        <f>(9624/B23*100)</f>
        <v>83.087283087283097</v>
      </c>
      <c r="D23" s="15">
        <v>1959</v>
      </c>
      <c r="E23" s="14">
        <v>32.671963269999999</v>
      </c>
      <c r="F23" s="16">
        <v>1.6787407299999999</v>
      </c>
      <c r="G23" s="14">
        <v>67.328036729999994</v>
      </c>
      <c r="H23" s="16">
        <v>1.6787407299999999</v>
      </c>
      <c r="I23" s="14" t="s">
        <v>139</v>
      </c>
      <c r="J23" s="16" t="s">
        <v>139</v>
      </c>
      <c r="K23" s="14">
        <v>0</v>
      </c>
      <c r="L23" s="16">
        <v>0</v>
      </c>
      <c r="M23" s="14">
        <v>0</v>
      </c>
      <c r="N23" s="16">
        <v>0</v>
      </c>
      <c r="O23" s="14">
        <v>0</v>
      </c>
      <c r="P23" s="16">
        <v>0</v>
      </c>
      <c r="Q23" s="14">
        <v>0</v>
      </c>
      <c r="R23" s="16">
        <v>0</v>
      </c>
    </row>
    <row r="24" spans="1:18" x14ac:dyDescent="0.25">
      <c r="A24" s="11" t="s">
        <v>157</v>
      </c>
      <c r="B24" s="13">
        <v>6647</v>
      </c>
      <c r="C24" s="14">
        <f>(5492/B24*100)</f>
        <v>82.623740033097633</v>
      </c>
      <c r="D24" s="15">
        <v>1155</v>
      </c>
      <c r="E24" s="14">
        <v>27.109587009999998</v>
      </c>
      <c r="F24" s="16">
        <v>1.51319873</v>
      </c>
      <c r="G24" s="14">
        <v>72.890412990000002</v>
      </c>
      <c r="H24" s="16">
        <v>1.51319873</v>
      </c>
      <c r="I24" s="14" t="s">
        <v>139</v>
      </c>
      <c r="J24" s="16" t="s">
        <v>139</v>
      </c>
      <c r="K24" s="14">
        <v>0</v>
      </c>
      <c r="L24" s="16">
        <v>0</v>
      </c>
      <c r="M24" s="14">
        <v>0</v>
      </c>
      <c r="N24" s="16">
        <v>0</v>
      </c>
      <c r="O24" s="14">
        <v>0</v>
      </c>
      <c r="P24" s="16">
        <v>0</v>
      </c>
      <c r="Q24" s="14">
        <v>0</v>
      </c>
      <c r="R24" s="16">
        <v>0</v>
      </c>
    </row>
    <row r="25" spans="1:18" x14ac:dyDescent="0.25">
      <c r="A25" s="11" t="s">
        <v>158</v>
      </c>
      <c r="B25" s="13">
        <v>5581</v>
      </c>
      <c r="C25" s="14">
        <f>(4618/B25*100)</f>
        <v>82.745027772800569</v>
      </c>
      <c r="D25" s="15">
        <v>963</v>
      </c>
      <c r="E25" s="14">
        <v>40.474831360000003</v>
      </c>
      <c r="F25" s="16">
        <v>1.57696682</v>
      </c>
      <c r="G25" s="14">
        <v>59.525168639999997</v>
      </c>
      <c r="H25" s="16">
        <v>1.57696682</v>
      </c>
      <c r="I25" s="14" t="s">
        <v>139</v>
      </c>
      <c r="J25" s="16" t="s">
        <v>139</v>
      </c>
      <c r="K25" s="14">
        <v>0</v>
      </c>
      <c r="L25" s="16">
        <v>0</v>
      </c>
      <c r="M25" s="14">
        <v>0</v>
      </c>
      <c r="N25" s="16">
        <v>0</v>
      </c>
      <c r="O25" s="14">
        <v>0</v>
      </c>
      <c r="P25" s="16">
        <v>0</v>
      </c>
      <c r="Q25" s="14">
        <v>0</v>
      </c>
      <c r="R25" s="16">
        <v>0</v>
      </c>
    </row>
    <row r="26" spans="1:18" x14ac:dyDescent="0.25">
      <c r="A26" s="11" t="s">
        <v>159</v>
      </c>
      <c r="B26" s="13">
        <v>4869</v>
      </c>
      <c r="C26" s="14">
        <f>(4016/B26*100)</f>
        <v>82.481002259190788</v>
      </c>
      <c r="D26" s="15">
        <v>853</v>
      </c>
      <c r="E26" s="14">
        <v>42.560078830000002</v>
      </c>
      <c r="F26" s="16">
        <v>1.6118874299999999</v>
      </c>
      <c r="G26" s="14">
        <v>57.439921169999998</v>
      </c>
      <c r="H26" s="16">
        <v>1.6118874299999999</v>
      </c>
      <c r="I26" s="14" t="s">
        <v>139</v>
      </c>
      <c r="J26" s="16" t="s">
        <v>139</v>
      </c>
      <c r="K26" s="14">
        <v>0</v>
      </c>
      <c r="L26" s="16">
        <v>0</v>
      </c>
      <c r="M26" s="14">
        <v>0</v>
      </c>
      <c r="N26" s="16">
        <v>0</v>
      </c>
      <c r="O26" s="14">
        <v>0</v>
      </c>
      <c r="P26" s="16">
        <v>0</v>
      </c>
      <c r="Q26" s="14">
        <v>0</v>
      </c>
      <c r="R26" s="16">
        <v>0</v>
      </c>
    </row>
    <row r="27" spans="1:18" x14ac:dyDescent="0.25">
      <c r="A27" s="11" t="s">
        <v>160</v>
      </c>
      <c r="B27" s="13">
        <v>5299</v>
      </c>
      <c r="C27" s="14">
        <f>(4406/B27*100)</f>
        <v>83.147763729005476</v>
      </c>
      <c r="D27" s="15">
        <v>893</v>
      </c>
      <c r="E27" s="14">
        <v>40.436939789999997</v>
      </c>
      <c r="F27" s="16">
        <v>1.66600675</v>
      </c>
      <c r="G27" s="14">
        <v>59.563060210000003</v>
      </c>
      <c r="H27" s="16">
        <v>1.66600675</v>
      </c>
      <c r="I27" s="14" t="s">
        <v>139</v>
      </c>
      <c r="J27" s="16" t="s">
        <v>139</v>
      </c>
      <c r="K27" s="14">
        <v>0</v>
      </c>
      <c r="L27" s="16">
        <v>0</v>
      </c>
      <c r="M27" s="14">
        <v>0</v>
      </c>
      <c r="N27" s="16">
        <v>0</v>
      </c>
      <c r="O27" s="14">
        <v>0</v>
      </c>
      <c r="P27" s="16">
        <v>0</v>
      </c>
      <c r="Q27" s="14">
        <v>0</v>
      </c>
      <c r="R27" s="16">
        <v>0</v>
      </c>
    </row>
    <row r="28" spans="1:18" x14ac:dyDescent="0.25">
      <c r="A28" s="11" t="s">
        <v>161</v>
      </c>
      <c r="B28" s="13">
        <v>7568</v>
      </c>
      <c r="C28" s="14">
        <f>(6417/B28*100)</f>
        <v>84.791226215644826</v>
      </c>
      <c r="D28" s="15">
        <v>1151</v>
      </c>
      <c r="E28" s="14">
        <v>49.899537600000002</v>
      </c>
      <c r="F28" s="16">
        <v>1.88498879</v>
      </c>
      <c r="G28" s="14">
        <v>50.100462399999998</v>
      </c>
      <c r="H28" s="16">
        <v>1.88498879</v>
      </c>
      <c r="I28" s="14" t="s">
        <v>139</v>
      </c>
      <c r="J28" s="16" t="s">
        <v>139</v>
      </c>
      <c r="K28" s="14">
        <v>0</v>
      </c>
      <c r="L28" s="16">
        <v>0</v>
      </c>
      <c r="M28" s="14">
        <v>0</v>
      </c>
      <c r="N28" s="16">
        <v>0</v>
      </c>
      <c r="O28" s="14">
        <v>0</v>
      </c>
      <c r="P28" s="16">
        <v>0</v>
      </c>
      <c r="Q28" s="14">
        <v>0</v>
      </c>
      <c r="R28" s="16">
        <v>0</v>
      </c>
    </row>
    <row r="29" spans="1:18" x14ac:dyDescent="0.25">
      <c r="A29" s="11" t="s">
        <v>162</v>
      </c>
      <c r="B29" s="13">
        <v>5385</v>
      </c>
      <c r="C29" s="14">
        <f>(4470/B29*100)</f>
        <v>83.008356545961007</v>
      </c>
      <c r="D29" s="15">
        <v>915</v>
      </c>
      <c r="E29" s="14">
        <v>37.159673900000001</v>
      </c>
      <c r="F29" s="16">
        <v>1.50235349</v>
      </c>
      <c r="G29" s="14">
        <v>62.840326099999999</v>
      </c>
      <c r="H29" s="16">
        <v>1.50235349</v>
      </c>
      <c r="I29" s="14" t="s">
        <v>139</v>
      </c>
      <c r="J29" s="16" t="s">
        <v>139</v>
      </c>
      <c r="K29" s="14">
        <v>0</v>
      </c>
      <c r="L29" s="16">
        <v>0</v>
      </c>
      <c r="M29" s="14">
        <v>0</v>
      </c>
      <c r="N29" s="16">
        <v>0</v>
      </c>
      <c r="O29" s="14">
        <v>0</v>
      </c>
      <c r="P29" s="16">
        <v>0</v>
      </c>
      <c r="Q29" s="14">
        <v>0</v>
      </c>
      <c r="R29" s="16">
        <v>0</v>
      </c>
    </row>
    <row r="30" spans="1:18" x14ac:dyDescent="0.25">
      <c r="A30" s="11" t="s">
        <v>163</v>
      </c>
      <c r="B30" s="13">
        <v>4520</v>
      </c>
      <c r="C30" s="14">
        <f>(3759/B30*100)</f>
        <v>83.163716814159301</v>
      </c>
      <c r="D30" s="15">
        <v>761</v>
      </c>
      <c r="E30" s="14">
        <v>32.886511830000003</v>
      </c>
      <c r="F30" s="16">
        <v>1.4872493099999999</v>
      </c>
      <c r="G30" s="14">
        <v>67.113488169999997</v>
      </c>
      <c r="H30" s="16">
        <v>1.4872493099999999</v>
      </c>
      <c r="I30" s="14" t="s">
        <v>139</v>
      </c>
      <c r="J30" s="16" t="s">
        <v>139</v>
      </c>
      <c r="K30" s="14">
        <v>0</v>
      </c>
      <c r="L30" s="16">
        <v>0</v>
      </c>
      <c r="M30" s="14">
        <v>0</v>
      </c>
      <c r="N30" s="16">
        <v>0</v>
      </c>
      <c r="O30" s="14">
        <v>0</v>
      </c>
      <c r="P30" s="16">
        <v>0</v>
      </c>
      <c r="Q30" s="14">
        <v>0</v>
      </c>
      <c r="R30" s="16">
        <v>0</v>
      </c>
    </row>
    <row r="31" spans="1:18" x14ac:dyDescent="0.25">
      <c r="A31" s="11" t="s">
        <v>164</v>
      </c>
      <c r="B31" s="13">
        <v>5456</v>
      </c>
      <c r="C31" s="14">
        <f>(4553/B31*100)</f>
        <v>83.449413489736074</v>
      </c>
      <c r="D31" s="15">
        <v>903</v>
      </c>
      <c r="E31" s="14">
        <v>37.27381115</v>
      </c>
      <c r="F31" s="16">
        <v>1.6718635799999999</v>
      </c>
      <c r="G31" s="14">
        <v>62.72618885</v>
      </c>
      <c r="H31" s="16">
        <v>1.6718635799999999</v>
      </c>
      <c r="I31" s="14" t="s">
        <v>139</v>
      </c>
      <c r="J31" s="16" t="s">
        <v>139</v>
      </c>
      <c r="K31" s="14">
        <v>0</v>
      </c>
      <c r="L31" s="16">
        <v>0</v>
      </c>
      <c r="M31" s="14">
        <v>0</v>
      </c>
      <c r="N31" s="16">
        <v>0</v>
      </c>
      <c r="O31" s="14">
        <v>0</v>
      </c>
      <c r="P31" s="16">
        <v>0</v>
      </c>
      <c r="Q31" s="14">
        <v>0</v>
      </c>
      <c r="R31" s="16">
        <v>0</v>
      </c>
    </row>
    <row r="32" spans="1:18" x14ac:dyDescent="0.25">
      <c r="A32" s="11" t="s">
        <v>165</v>
      </c>
      <c r="B32" s="17" t="s">
        <v>154</v>
      </c>
      <c r="C32" s="17" t="s">
        <v>154</v>
      </c>
      <c r="D32" s="18" t="s">
        <v>154</v>
      </c>
      <c r="E32" s="17" t="s">
        <v>154</v>
      </c>
      <c r="F32" s="18" t="s">
        <v>154</v>
      </c>
      <c r="G32" s="17" t="s">
        <v>154</v>
      </c>
      <c r="H32" s="18" t="s">
        <v>154</v>
      </c>
      <c r="I32" s="17" t="s">
        <v>154</v>
      </c>
      <c r="J32" s="18" t="s">
        <v>154</v>
      </c>
      <c r="K32" s="17" t="s">
        <v>154</v>
      </c>
      <c r="L32" s="18" t="s">
        <v>154</v>
      </c>
      <c r="M32" s="17" t="s">
        <v>154</v>
      </c>
      <c r="N32" s="18" t="s">
        <v>154</v>
      </c>
      <c r="O32" s="17" t="s">
        <v>154</v>
      </c>
      <c r="P32" s="18" t="s">
        <v>154</v>
      </c>
      <c r="Q32" s="17" t="s">
        <v>154</v>
      </c>
      <c r="R32" s="18" t="s">
        <v>154</v>
      </c>
    </row>
    <row r="33" spans="1:18" x14ac:dyDescent="0.25">
      <c r="A33" s="11" t="s">
        <v>166</v>
      </c>
      <c r="B33" s="13">
        <v>7325</v>
      </c>
      <c r="C33" s="14">
        <f>(6143/B33*100)</f>
        <v>83.863481228668945</v>
      </c>
      <c r="D33" s="15">
        <v>1182</v>
      </c>
      <c r="E33" s="14">
        <v>39.749309910000001</v>
      </c>
      <c r="F33" s="16">
        <v>1.57077986</v>
      </c>
      <c r="G33" s="14">
        <v>60.250690089999999</v>
      </c>
      <c r="H33" s="16">
        <v>1.57077986</v>
      </c>
      <c r="I33" s="14" t="s">
        <v>139</v>
      </c>
      <c r="J33" s="16" t="s">
        <v>139</v>
      </c>
      <c r="K33" s="14">
        <v>0</v>
      </c>
      <c r="L33" s="16">
        <v>0</v>
      </c>
      <c r="M33" s="14">
        <v>0</v>
      </c>
      <c r="N33" s="16">
        <v>0</v>
      </c>
      <c r="O33" s="14">
        <v>0</v>
      </c>
      <c r="P33" s="16">
        <v>0</v>
      </c>
      <c r="Q33" s="14">
        <v>0</v>
      </c>
      <c r="R33" s="16">
        <v>0</v>
      </c>
    </row>
    <row r="34" spans="1:18" x14ac:dyDescent="0.25">
      <c r="A34" s="11" t="s">
        <v>167</v>
      </c>
      <c r="B34" s="13">
        <v>6350</v>
      </c>
      <c r="C34" s="14">
        <f>(5310/B34*100)</f>
        <v>83.622047244094489</v>
      </c>
      <c r="D34" s="15">
        <v>1040</v>
      </c>
      <c r="E34" s="14">
        <v>41.25103051</v>
      </c>
      <c r="F34" s="16">
        <v>1.59285411</v>
      </c>
      <c r="G34" s="14">
        <v>58.74896949</v>
      </c>
      <c r="H34" s="16">
        <v>1.59285411</v>
      </c>
      <c r="I34" s="14" t="s">
        <v>139</v>
      </c>
      <c r="J34" s="16" t="s">
        <v>139</v>
      </c>
      <c r="K34" s="14">
        <v>0</v>
      </c>
      <c r="L34" s="16">
        <v>0</v>
      </c>
      <c r="M34" s="14">
        <v>0</v>
      </c>
      <c r="N34" s="16">
        <v>0</v>
      </c>
      <c r="O34" s="14">
        <v>0</v>
      </c>
      <c r="P34" s="16">
        <v>0</v>
      </c>
      <c r="Q34" s="14">
        <v>0</v>
      </c>
      <c r="R34" s="16">
        <v>0</v>
      </c>
    </row>
    <row r="35" spans="1:18" x14ac:dyDescent="0.25">
      <c r="A35" s="11" t="s">
        <v>168</v>
      </c>
      <c r="B35" s="13">
        <v>6406</v>
      </c>
      <c r="C35" s="14">
        <f>(5306/B35*100)</f>
        <v>82.828598189197621</v>
      </c>
      <c r="D35" s="15">
        <v>1100</v>
      </c>
      <c r="E35" s="14">
        <v>34.817849270000004</v>
      </c>
      <c r="F35" s="16">
        <v>1.77728945</v>
      </c>
      <c r="G35" s="14">
        <v>65.182150730000004</v>
      </c>
      <c r="H35" s="16">
        <v>1.77728945</v>
      </c>
      <c r="I35" s="14" t="s">
        <v>139</v>
      </c>
      <c r="J35" s="16" t="s">
        <v>139</v>
      </c>
      <c r="K35" s="14">
        <v>0</v>
      </c>
      <c r="L35" s="16">
        <v>0</v>
      </c>
      <c r="M35" s="14">
        <v>0</v>
      </c>
      <c r="N35" s="16">
        <v>0</v>
      </c>
      <c r="O35" s="14">
        <v>0</v>
      </c>
      <c r="P35" s="16">
        <v>0</v>
      </c>
      <c r="Q35" s="14">
        <v>0</v>
      </c>
      <c r="R35" s="16">
        <v>0</v>
      </c>
    </row>
    <row r="36" spans="1:18" x14ac:dyDescent="0.25">
      <c r="A36" s="11" t="s">
        <v>169</v>
      </c>
      <c r="B36" s="13">
        <v>6736</v>
      </c>
      <c r="C36" s="14">
        <f>(5609/B36*100)</f>
        <v>83.269002375296907</v>
      </c>
      <c r="D36" s="15">
        <v>1127</v>
      </c>
      <c r="E36" s="14">
        <v>37.56094599</v>
      </c>
      <c r="F36" s="16">
        <v>1.3093336799999999</v>
      </c>
      <c r="G36" s="14">
        <v>62.43905401</v>
      </c>
      <c r="H36" s="16">
        <v>1.3093336799999999</v>
      </c>
      <c r="I36" s="14" t="s">
        <v>139</v>
      </c>
      <c r="J36" s="16" t="s">
        <v>139</v>
      </c>
      <c r="K36" s="14">
        <v>0</v>
      </c>
      <c r="L36" s="16">
        <v>0</v>
      </c>
      <c r="M36" s="14">
        <v>0</v>
      </c>
      <c r="N36" s="16">
        <v>0</v>
      </c>
      <c r="O36" s="14">
        <v>0</v>
      </c>
      <c r="P36" s="16">
        <v>0</v>
      </c>
      <c r="Q36" s="14">
        <v>0</v>
      </c>
      <c r="R36" s="16">
        <v>0</v>
      </c>
    </row>
    <row r="37" spans="1:18" x14ac:dyDescent="0.25">
      <c r="A37" s="11" t="s">
        <v>170</v>
      </c>
      <c r="B37" s="13">
        <v>5458</v>
      </c>
      <c r="C37" s="14">
        <f>(4579/B37*100)</f>
        <v>83.895199706852324</v>
      </c>
      <c r="D37" s="15">
        <v>879</v>
      </c>
      <c r="E37" s="14">
        <v>42.937659609999997</v>
      </c>
      <c r="F37" s="16">
        <v>1.6883658100000001</v>
      </c>
      <c r="G37" s="14">
        <v>57.062340390000003</v>
      </c>
      <c r="H37" s="16">
        <v>1.6883658100000001</v>
      </c>
      <c r="I37" s="14" t="s">
        <v>139</v>
      </c>
      <c r="J37" s="16" t="s">
        <v>139</v>
      </c>
      <c r="K37" s="14">
        <v>0</v>
      </c>
      <c r="L37" s="16">
        <v>0</v>
      </c>
      <c r="M37" s="14">
        <v>0</v>
      </c>
      <c r="N37" s="16">
        <v>0</v>
      </c>
      <c r="O37" s="14">
        <v>0</v>
      </c>
      <c r="P37" s="16">
        <v>0</v>
      </c>
      <c r="Q37" s="14">
        <v>0</v>
      </c>
      <c r="R37" s="16">
        <v>0</v>
      </c>
    </row>
    <row r="38" spans="1:18" x14ac:dyDescent="0.25">
      <c r="A38" s="11" t="s">
        <v>171</v>
      </c>
      <c r="B38" s="17" t="s">
        <v>154</v>
      </c>
      <c r="C38" s="17" t="s">
        <v>154</v>
      </c>
      <c r="D38" s="18" t="s">
        <v>154</v>
      </c>
      <c r="E38" s="17" t="s">
        <v>154</v>
      </c>
      <c r="F38" s="18" t="s">
        <v>154</v>
      </c>
      <c r="G38" s="17" t="s">
        <v>154</v>
      </c>
      <c r="H38" s="18" t="s">
        <v>154</v>
      </c>
      <c r="I38" s="17" t="s">
        <v>154</v>
      </c>
      <c r="J38" s="18" t="s">
        <v>154</v>
      </c>
      <c r="K38" s="17" t="s">
        <v>154</v>
      </c>
      <c r="L38" s="18" t="s">
        <v>154</v>
      </c>
      <c r="M38" s="17" t="s">
        <v>154</v>
      </c>
      <c r="N38" s="18" t="s">
        <v>154</v>
      </c>
      <c r="O38" s="17" t="s">
        <v>154</v>
      </c>
      <c r="P38" s="18" t="s">
        <v>154</v>
      </c>
      <c r="Q38" s="17" t="s">
        <v>154</v>
      </c>
      <c r="R38" s="18" t="s">
        <v>154</v>
      </c>
    </row>
    <row r="39" spans="1:18" x14ac:dyDescent="0.25">
      <c r="A39" s="11" t="s">
        <v>172</v>
      </c>
      <c r="B39" s="13">
        <v>5895</v>
      </c>
      <c r="C39" s="14">
        <f>(4871/B39*100)</f>
        <v>82.629346904156066</v>
      </c>
      <c r="D39" s="15">
        <v>1024</v>
      </c>
      <c r="E39" s="14">
        <v>57.694332209999999</v>
      </c>
      <c r="F39" s="16">
        <v>1.80145142</v>
      </c>
      <c r="G39" s="14">
        <v>42.305667790000001</v>
      </c>
      <c r="H39" s="16">
        <v>1.80145142</v>
      </c>
      <c r="I39" s="14" t="s">
        <v>139</v>
      </c>
      <c r="J39" s="16" t="s">
        <v>139</v>
      </c>
      <c r="K39" s="14">
        <v>0</v>
      </c>
      <c r="L39" s="16">
        <v>0</v>
      </c>
      <c r="M39" s="14">
        <v>0</v>
      </c>
      <c r="N39" s="16">
        <v>0</v>
      </c>
      <c r="O39" s="14">
        <v>0</v>
      </c>
      <c r="P39" s="16">
        <v>0</v>
      </c>
      <c r="Q39" s="14">
        <v>0</v>
      </c>
      <c r="R39" s="16">
        <v>0</v>
      </c>
    </row>
    <row r="40" spans="1:18" x14ac:dyDescent="0.25">
      <c r="A40" s="11" t="s">
        <v>173</v>
      </c>
      <c r="B40" s="13">
        <v>14157</v>
      </c>
      <c r="C40" s="14">
        <f>(11654/B40*100)</f>
        <v>82.319700501518682</v>
      </c>
      <c r="D40" s="15">
        <v>2503</v>
      </c>
      <c r="E40" s="14">
        <v>42.858682799999997</v>
      </c>
      <c r="F40" s="16">
        <v>1.52505515</v>
      </c>
      <c r="G40" s="14">
        <v>57.141317200000003</v>
      </c>
      <c r="H40" s="16">
        <v>1.52505515</v>
      </c>
      <c r="I40" s="14" t="s">
        <v>139</v>
      </c>
      <c r="J40" s="16" t="s">
        <v>139</v>
      </c>
      <c r="K40" s="14">
        <v>0</v>
      </c>
      <c r="L40" s="16">
        <v>0</v>
      </c>
      <c r="M40" s="14">
        <v>0</v>
      </c>
      <c r="N40" s="16">
        <v>0</v>
      </c>
      <c r="O40" s="14">
        <v>0</v>
      </c>
      <c r="P40" s="16">
        <v>0</v>
      </c>
      <c r="Q40" s="14">
        <v>0</v>
      </c>
      <c r="R40" s="16">
        <v>0</v>
      </c>
    </row>
    <row r="41" spans="1:18" x14ac:dyDescent="0.25">
      <c r="A41" s="11" t="s">
        <v>174</v>
      </c>
      <c r="B41" s="13">
        <v>5712</v>
      </c>
      <c r="C41" s="14">
        <f>(4777/B41*100)</f>
        <v>83.63095238095238</v>
      </c>
      <c r="D41" s="15">
        <v>935</v>
      </c>
      <c r="E41" s="14">
        <v>37.584871339999999</v>
      </c>
      <c r="F41" s="16">
        <v>1.6908049700000001</v>
      </c>
      <c r="G41" s="14">
        <v>62.415128660000001</v>
      </c>
      <c r="H41" s="16">
        <v>1.6908049700000001</v>
      </c>
      <c r="I41" s="14" t="s">
        <v>139</v>
      </c>
      <c r="J41" s="16" t="s">
        <v>139</v>
      </c>
      <c r="K41" s="14">
        <v>0</v>
      </c>
      <c r="L41" s="16">
        <v>0</v>
      </c>
      <c r="M41" s="14">
        <v>0</v>
      </c>
      <c r="N41" s="16">
        <v>0</v>
      </c>
      <c r="O41" s="14">
        <v>0</v>
      </c>
      <c r="P41" s="16">
        <v>0</v>
      </c>
      <c r="Q41" s="14">
        <v>0</v>
      </c>
      <c r="R41" s="16">
        <v>0</v>
      </c>
    </row>
    <row r="42" spans="1:18" x14ac:dyDescent="0.25">
      <c r="A42" s="11" t="s">
        <v>175</v>
      </c>
      <c r="B42" s="13">
        <f>IF(COUNT(B7:B41) &gt; 0, AVERAGE(B7:B41), "\u2014")</f>
        <v>7266.90625</v>
      </c>
      <c r="C42" s="14">
        <f>IF(COUNT(C7:C41) &gt; 0, AVERAGE(C7:C41), "—")</f>
        <v>83.26007459787489</v>
      </c>
      <c r="D42" s="15">
        <f>IF(COUNT(D7:D41) &gt; 0, AVERAGE(D7:D41), "—")</f>
        <v>1218</v>
      </c>
      <c r="E42" s="14">
        <f>IF(COUNT(E7:E41) &gt; 0, AVERAGE(E7:E41), "—")</f>
        <v>38.07368860281251</v>
      </c>
      <c r="F42" s="16">
        <f>IF(COUNT(F7:F41) &gt; 0, SQRT(SUMSQ(F7:F41)/(COUNT(F7:F41)*COUNT(F7:F41)) ), "—")</f>
        <v>0.28201835900101963</v>
      </c>
      <c r="G42" s="14">
        <f>IF(COUNT(G7:G41) &gt; 0, AVERAGE(G7:G41), "—")</f>
        <v>61.926311397187497</v>
      </c>
      <c r="H42" s="16">
        <f>IF(COUNT(H7:H41) &gt; 0, SQRT(SUMSQ(H7:H41)/(COUNT(H7:H41)*COUNT(H7:H41)) ), "—")</f>
        <v>0.28201835900101963</v>
      </c>
      <c r="I42" s="14" t="str">
        <f>IF(COUNT(I7:I41) &gt; 0, AVERAGE(I7:I41), "—")</f>
        <v>—</v>
      </c>
      <c r="J42" s="16" t="str">
        <f>IF(COUNT(J7:J41) &gt; 0, SQRT(SUMSQ(J7:J41)/(COUNT(J7:J41)*COUNT(J7:J41)) ), "—")</f>
        <v>—</v>
      </c>
      <c r="K42" s="14">
        <f>IF(COUNT(K7:K41) &gt; 0, AVERAGE(K7:K41), "—")</f>
        <v>0</v>
      </c>
      <c r="L42" s="16">
        <f>IF(COUNT(L7:L41) &gt; 0, SQRT(SUMSQ(L7:L41)/(COUNT(L7:L41)*COUNT(L7:L41)) ), "—")</f>
        <v>0</v>
      </c>
      <c r="M42" s="14">
        <f>IF(COUNT(M7:M41) &gt; 0, AVERAGE(M7:M41), "—")</f>
        <v>0</v>
      </c>
      <c r="N42" s="16">
        <f>IF(COUNT(N7:N41) &gt; 0, SQRT(SUMSQ(N7:N41)/(COUNT(N7:N41)*COUNT(N7:N41)) ), "—")</f>
        <v>0</v>
      </c>
      <c r="O42" s="14">
        <f>IF(COUNT(O7:O41) &gt; 0, AVERAGE(O7:O41), "—")</f>
        <v>0</v>
      </c>
      <c r="P42" s="16">
        <f>IF(COUNT(P7:P41) &gt; 0, SQRT(SUMSQ(P7:P41)/(COUNT(P7:P41)*COUNT(P7:P41)) ), "—")</f>
        <v>0</v>
      </c>
      <c r="Q42" s="14">
        <f>IF(COUNT(Q7:Q41) &gt; 0, AVERAGE(Q7:Q41), "—")</f>
        <v>0</v>
      </c>
      <c r="R42" s="16">
        <f>IF(COUNT(R7:R41) &gt; 0, SQRT(SUMSQ(R7:R41)/(COUNT(R7:R41)*COUNT(R7:R41)) ), "—")</f>
        <v>0</v>
      </c>
    </row>
    <row r="43" spans="1:18" x14ac:dyDescent="0.25">
      <c r="A43" s="9" t="s">
        <v>176</v>
      </c>
      <c r="B43" s="10"/>
      <c r="C43" s="10"/>
      <c r="D43" s="11"/>
      <c r="E43" s="10"/>
      <c r="F43" s="11"/>
      <c r="G43" s="10"/>
      <c r="H43" s="11"/>
      <c r="I43" s="10"/>
      <c r="J43" s="11"/>
      <c r="K43" s="10"/>
      <c r="L43" s="11"/>
      <c r="M43" s="10"/>
      <c r="N43" s="11"/>
      <c r="O43" s="10"/>
      <c r="P43" s="11"/>
      <c r="Q43" s="10"/>
      <c r="R43" s="12"/>
    </row>
    <row r="44" spans="1:18" x14ac:dyDescent="0.25">
      <c r="A44" s="11" t="s">
        <v>177</v>
      </c>
      <c r="B44" s="17" t="s">
        <v>154</v>
      </c>
      <c r="C44" s="17" t="s">
        <v>154</v>
      </c>
      <c r="D44" s="18" t="s">
        <v>154</v>
      </c>
      <c r="E44" s="17" t="s">
        <v>154</v>
      </c>
      <c r="F44" s="18" t="s">
        <v>154</v>
      </c>
      <c r="G44" s="17" t="s">
        <v>154</v>
      </c>
      <c r="H44" s="18" t="s">
        <v>154</v>
      </c>
      <c r="I44" s="17" t="s">
        <v>154</v>
      </c>
      <c r="J44" s="18" t="s">
        <v>154</v>
      </c>
      <c r="K44" s="17" t="s">
        <v>154</v>
      </c>
      <c r="L44" s="18" t="s">
        <v>154</v>
      </c>
      <c r="M44" s="17" t="s">
        <v>154</v>
      </c>
      <c r="N44" s="18" t="s">
        <v>154</v>
      </c>
      <c r="O44" s="17" t="s">
        <v>154</v>
      </c>
      <c r="P44" s="18" t="s">
        <v>154</v>
      </c>
      <c r="Q44" s="17" t="s">
        <v>154</v>
      </c>
      <c r="R44" s="18" t="s">
        <v>154</v>
      </c>
    </row>
    <row r="45" spans="1:18" x14ac:dyDescent="0.25">
      <c r="A45" s="11" t="s">
        <v>178</v>
      </c>
      <c r="B45" s="17" t="s">
        <v>154</v>
      </c>
      <c r="C45" s="17" t="s">
        <v>154</v>
      </c>
      <c r="D45" s="18" t="s">
        <v>154</v>
      </c>
      <c r="E45" s="17" t="s">
        <v>154</v>
      </c>
      <c r="F45" s="18" t="s">
        <v>154</v>
      </c>
      <c r="G45" s="17" t="s">
        <v>154</v>
      </c>
      <c r="H45" s="18" t="s">
        <v>154</v>
      </c>
      <c r="I45" s="17" t="s">
        <v>154</v>
      </c>
      <c r="J45" s="18" t="s">
        <v>154</v>
      </c>
      <c r="K45" s="17" t="s">
        <v>154</v>
      </c>
      <c r="L45" s="18" t="s">
        <v>154</v>
      </c>
      <c r="M45" s="17" t="s">
        <v>154</v>
      </c>
      <c r="N45" s="18" t="s">
        <v>154</v>
      </c>
      <c r="O45" s="17" t="s">
        <v>154</v>
      </c>
      <c r="P45" s="18" t="s">
        <v>154</v>
      </c>
      <c r="Q45" s="17" t="s">
        <v>154</v>
      </c>
      <c r="R45" s="18" t="s">
        <v>154</v>
      </c>
    </row>
    <row r="46" spans="1:18" x14ac:dyDescent="0.25">
      <c r="A46" s="11" t="s">
        <v>179</v>
      </c>
      <c r="B46" s="13">
        <v>23141</v>
      </c>
      <c r="C46" s="14">
        <f>(20176/B46*100)</f>
        <v>87.18724342076834</v>
      </c>
      <c r="D46" s="15">
        <v>2965</v>
      </c>
      <c r="E46" s="14">
        <v>47.528061729999997</v>
      </c>
      <c r="F46" s="16">
        <v>1.37314947</v>
      </c>
      <c r="G46" s="14">
        <v>52.471938270000003</v>
      </c>
      <c r="H46" s="16">
        <v>1.37314947</v>
      </c>
      <c r="I46" s="14" t="s">
        <v>139</v>
      </c>
      <c r="J46" s="16" t="s">
        <v>139</v>
      </c>
      <c r="K46" s="14">
        <v>0</v>
      </c>
      <c r="L46" s="16">
        <v>0</v>
      </c>
      <c r="M46" s="14">
        <v>0</v>
      </c>
      <c r="N46" s="16">
        <v>0</v>
      </c>
      <c r="O46" s="14">
        <v>0</v>
      </c>
      <c r="P46" s="16">
        <v>0</v>
      </c>
      <c r="Q46" s="14">
        <v>0</v>
      </c>
      <c r="R46" s="16">
        <v>0</v>
      </c>
    </row>
    <row r="47" spans="1:18" x14ac:dyDescent="0.25">
      <c r="A47" s="11" t="s">
        <v>180</v>
      </c>
      <c r="B47" s="13">
        <v>5928</v>
      </c>
      <c r="C47" s="14">
        <f>(4958/B47*100)</f>
        <v>83.6369770580297</v>
      </c>
      <c r="D47" s="15">
        <v>970</v>
      </c>
      <c r="E47" s="14">
        <v>49.101959579999999</v>
      </c>
      <c r="F47" s="16">
        <v>1.67407347</v>
      </c>
      <c r="G47" s="14">
        <v>50.898040420000001</v>
      </c>
      <c r="H47" s="16">
        <v>1.67407347</v>
      </c>
      <c r="I47" s="14" t="s">
        <v>139</v>
      </c>
      <c r="J47" s="16" t="s">
        <v>139</v>
      </c>
      <c r="K47" s="14">
        <v>0</v>
      </c>
      <c r="L47" s="16">
        <v>0</v>
      </c>
      <c r="M47" s="14">
        <v>0</v>
      </c>
      <c r="N47" s="16">
        <v>0</v>
      </c>
      <c r="O47" s="14">
        <v>0</v>
      </c>
      <c r="P47" s="16">
        <v>0</v>
      </c>
      <c r="Q47" s="14">
        <v>0</v>
      </c>
      <c r="R47" s="16">
        <v>0</v>
      </c>
    </row>
    <row r="48" spans="1:18" x14ac:dyDescent="0.25">
      <c r="A48" s="11" t="s">
        <v>181</v>
      </c>
      <c r="B48" s="13">
        <v>9841</v>
      </c>
      <c r="C48" s="14">
        <f>(8160/B48*100)</f>
        <v>82.918402601361649</v>
      </c>
      <c r="D48" s="15">
        <v>1681</v>
      </c>
      <c r="E48" s="14">
        <v>43.964267100000001</v>
      </c>
      <c r="F48" s="16">
        <v>1.5135683799999999</v>
      </c>
      <c r="G48" s="14">
        <v>56.035732899999999</v>
      </c>
      <c r="H48" s="16">
        <v>1.5135683799999999</v>
      </c>
      <c r="I48" s="14" t="s">
        <v>139</v>
      </c>
      <c r="J48" s="16" t="s">
        <v>139</v>
      </c>
      <c r="K48" s="14">
        <v>0</v>
      </c>
      <c r="L48" s="16">
        <v>0</v>
      </c>
      <c r="M48" s="14">
        <v>0</v>
      </c>
      <c r="N48" s="16">
        <v>0</v>
      </c>
      <c r="O48" s="14">
        <v>0</v>
      </c>
      <c r="P48" s="16">
        <v>0</v>
      </c>
      <c r="Q48" s="14">
        <v>0</v>
      </c>
      <c r="R48" s="16">
        <v>0</v>
      </c>
    </row>
    <row r="49" spans="1:18" x14ac:dyDescent="0.25">
      <c r="A49" s="11" t="s">
        <v>182</v>
      </c>
      <c r="B49" s="17" t="s">
        <v>154</v>
      </c>
      <c r="C49" s="17" t="s">
        <v>154</v>
      </c>
      <c r="D49" s="18" t="s">
        <v>154</v>
      </c>
      <c r="E49" s="17" t="s">
        <v>154</v>
      </c>
      <c r="F49" s="18" t="s">
        <v>154</v>
      </c>
      <c r="G49" s="17" t="s">
        <v>154</v>
      </c>
      <c r="H49" s="18" t="s">
        <v>154</v>
      </c>
      <c r="I49" s="17" t="s">
        <v>154</v>
      </c>
      <c r="J49" s="18" t="s">
        <v>154</v>
      </c>
      <c r="K49" s="17" t="s">
        <v>154</v>
      </c>
      <c r="L49" s="18" t="s">
        <v>154</v>
      </c>
      <c r="M49" s="17" t="s">
        <v>154</v>
      </c>
      <c r="N49" s="18" t="s">
        <v>154</v>
      </c>
      <c r="O49" s="17" t="s">
        <v>154</v>
      </c>
      <c r="P49" s="18" t="s">
        <v>154</v>
      </c>
      <c r="Q49" s="17" t="s">
        <v>154</v>
      </c>
      <c r="R49" s="18" t="s">
        <v>154</v>
      </c>
    </row>
    <row r="50" spans="1:18" x14ac:dyDescent="0.25">
      <c r="A50" s="11" t="s">
        <v>183</v>
      </c>
      <c r="B50" s="13">
        <v>11795</v>
      </c>
      <c r="C50" s="14">
        <f>(9898/B50*100)</f>
        <v>83.916913946587528</v>
      </c>
      <c r="D50" s="15">
        <v>1897</v>
      </c>
      <c r="E50" s="14">
        <v>48.128900979999997</v>
      </c>
      <c r="F50" s="16">
        <v>1.7420667999999999</v>
      </c>
      <c r="G50" s="14">
        <v>51.871099020000003</v>
      </c>
      <c r="H50" s="16">
        <v>1.7420667999999999</v>
      </c>
      <c r="I50" s="14" t="s">
        <v>139</v>
      </c>
      <c r="J50" s="16" t="s">
        <v>139</v>
      </c>
      <c r="K50" s="14">
        <v>0</v>
      </c>
      <c r="L50" s="16">
        <v>0</v>
      </c>
      <c r="M50" s="14">
        <v>0</v>
      </c>
      <c r="N50" s="16">
        <v>0</v>
      </c>
      <c r="O50" s="14">
        <v>0</v>
      </c>
      <c r="P50" s="16">
        <v>0</v>
      </c>
      <c r="Q50" s="14">
        <v>0</v>
      </c>
      <c r="R50" s="16">
        <v>0</v>
      </c>
    </row>
    <row r="51" spans="1:18" x14ac:dyDescent="0.25">
      <c r="A51" s="11" t="s">
        <v>184</v>
      </c>
      <c r="B51" s="13">
        <v>6866</v>
      </c>
      <c r="C51" s="14">
        <f>(5894/B51*100)</f>
        <v>85.843285755898634</v>
      </c>
      <c r="D51" s="15">
        <v>972</v>
      </c>
      <c r="E51" s="14">
        <v>46.033734549999998</v>
      </c>
      <c r="F51" s="16">
        <v>1.67827832</v>
      </c>
      <c r="G51" s="14">
        <v>53.966265450000002</v>
      </c>
      <c r="H51" s="16">
        <v>1.67827832</v>
      </c>
      <c r="I51" s="14" t="s">
        <v>139</v>
      </c>
      <c r="J51" s="16" t="s">
        <v>139</v>
      </c>
      <c r="K51" s="14">
        <v>0</v>
      </c>
      <c r="L51" s="16">
        <v>0</v>
      </c>
      <c r="M51" s="14">
        <v>0</v>
      </c>
      <c r="N51" s="16">
        <v>0</v>
      </c>
      <c r="O51" s="14">
        <v>0</v>
      </c>
      <c r="P51" s="16">
        <v>0</v>
      </c>
      <c r="Q51" s="14">
        <v>0</v>
      </c>
      <c r="R51" s="16">
        <v>0</v>
      </c>
    </row>
    <row r="52" spans="1:18" x14ac:dyDescent="0.25">
      <c r="A52" s="11" t="s">
        <v>185</v>
      </c>
      <c r="B52" s="13">
        <v>5809</v>
      </c>
      <c r="C52" s="14">
        <f>(4808/B52*100)</f>
        <v>82.768118436908239</v>
      </c>
      <c r="D52" s="15">
        <v>1001</v>
      </c>
      <c r="E52" s="14">
        <v>41.066765529999998</v>
      </c>
      <c r="F52" s="16">
        <v>1.7245358</v>
      </c>
      <c r="G52" s="14">
        <v>58.933234470000002</v>
      </c>
      <c r="H52" s="16">
        <v>1.7245358</v>
      </c>
      <c r="I52" s="14" t="s">
        <v>139</v>
      </c>
      <c r="J52" s="16" t="s">
        <v>139</v>
      </c>
      <c r="K52" s="14">
        <v>0</v>
      </c>
      <c r="L52" s="16">
        <v>0</v>
      </c>
      <c r="M52" s="14">
        <v>0</v>
      </c>
      <c r="N52" s="16">
        <v>0</v>
      </c>
      <c r="O52" s="14">
        <v>0</v>
      </c>
      <c r="P52" s="16">
        <v>0</v>
      </c>
      <c r="Q52" s="14">
        <v>0</v>
      </c>
      <c r="R52" s="16">
        <v>0</v>
      </c>
    </row>
    <row r="53" spans="1:18" x14ac:dyDescent="0.25">
      <c r="A53" s="11" t="s">
        <v>186</v>
      </c>
      <c r="B53" s="13">
        <v>5571</v>
      </c>
      <c r="C53" s="14">
        <f>(4622/B53*100)</f>
        <v>82.965356309459708</v>
      </c>
      <c r="D53" s="15">
        <v>949</v>
      </c>
      <c r="E53" s="14">
        <v>46.681946779999997</v>
      </c>
      <c r="F53" s="16">
        <v>1.6668136499999999</v>
      </c>
      <c r="G53" s="14">
        <v>53.318053220000003</v>
      </c>
      <c r="H53" s="16">
        <v>1.6668136499999999</v>
      </c>
      <c r="I53" s="14" t="s">
        <v>139</v>
      </c>
      <c r="J53" s="16" t="s">
        <v>139</v>
      </c>
      <c r="K53" s="14">
        <v>0</v>
      </c>
      <c r="L53" s="16">
        <v>0</v>
      </c>
      <c r="M53" s="14">
        <v>0</v>
      </c>
      <c r="N53" s="16">
        <v>0</v>
      </c>
      <c r="O53" s="14">
        <v>0</v>
      </c>
      <c r="P53" s="16">
        <v>0</v>
      </c>
      <c r="Q53" s="14">
        <v>0</v>
      </c>
      <c r="R53" s="16">
        <v>0</v>
      </c>
    </row>
    <row r="54" spans="1:18" x14ac:dyDescent="0.25">
      <c r="A54" s="11" t="s">
        <v>187</v>
      </c>
      <c r="B54" s="17" t="s">
        <v>154</v>
      </c>
      <c r="C54" s="17" t="s">
        <v>154</v>
      </c>
      <c r="D54" s="18" t="s">
        <v>154</v>
      </c>
      <c r="E54" s="17" t="s">
        <v>154</v>
      </c>
      <c r="F54" s="18" t="s">
        <v>154</v>
      </c>
      <c r="G54" s="17" t="s">
        <v>154</v>
      </c>
      <c r="H54" s="18" t="s">
        <v>154</v>
      </c>
      <c r="I54" s="17" t="s">
        <v>154</v>
      </c>
      <c r="J54" s="18" t="s">
        <v>154</v>
      </c>
      <c r="K54" s="17" t="s">
        <v>154</v>
      </c>
      <c r="L54" s="18" t="s">
        <v>154</v>
      </c>
      <c r="M54" s="17" t="s">
        <v>154</v>
      </c>
      <c r="N54" s="18" t="s">
        <v>154</v>
      </c>
      <c r="O54" s="17" t="s">
        <v>154</v>
      </c>
      <c r="P54" s="18" t="s">
        <v>154</v>
      </c>
      <c r="Q54" s="17" t="s">
        <v>154</v>
      </c>
      <c r="R54" s="18" t="s">
        <v>154</v>
      </c>
    </row>
    <row r="55" spans="1:18" x14ac:dyDescent="0.25">
      <c r="A55" s="11" t="s">
        <v>188</v>
      </c>
      <c r="B55" s="17" t="s">
        <v>154</v>
      </c>
      <c r="C55" s="17" t="s">
        <v>154</v>
      </c>
      <c r="D55" s="18" t="s">
        <v>154</v>
      </c>
      <c r="E55" s="17" t="s">
        <v>154</v>
      </c>
      <c r="F55" s="18" t="s">
        <v>154</v>
      </c>
      <c r="G55" s="17" t="s">
        <v>154</v>
      </c>
      <c r="H55" s="18" t="s">
        <v>154</v>
      </c>
      <c r="I55" s="17" t="s">
        <v>154</v>
      </c>
      <c r="J55" s="18" t="s">
        <v>154</v>
      </c>
      <c r="K55" s="17" t="s">
        <v>154</v>
      </c>
      <c r="L55" s="18" t="s">
        <v>154</v>
      </c>
      <c r="M55" s="17" t="s">
        <v>154</v>
      </c>
      <c r="N55" s="18" t="s">
        <v>154</v>
      </c>
      <c r="O55" s="17" t="s">
        <v>154</v>
      </c>
      <c r="P55" s="18" t="s">
        <v>154</v>
      </c>
      <c r="Q55" s="17" t="s">
        <v>154</v>
      </c>
      <c r="R55" s="18" t="s">
        <v>154</v>
      </c>
    </row>
    <row r="56" spans="1:18" x14ac:dyDescent="0.25">
      <c r="A56" s="11" t="s">
        <v>189</v>
      </c>
      <c r="B56" s="13">
        <v>5359</v>
      </c>
      <c r="C56" s="14">
        <f>(4449/B56*100)</f>
        <v>83.019220003732045</v>
      </c>
      <c r="D56" s="15">
        <v>910</v>
      </c>
      <c r="E56" s="14">
        <v>35.694447340000004</v>
      </c>
      <c r="F56" s="16">
        <v>1.8148941999999999</v>
      </c>
      <c r="G56" s="14">
        <v>64.305552660000004</v>
      </c>
      <c r="H56" s="16">
        <v>1.8148941999999999</v>
      </c>
      <c r="I56" s="14" t="s">
        <v>139</v>
      </c>
      <c r="J56" s="16" t="s">
        <v>139</v>
      </c>
      <c r="K56" s="14">
        <v>0</v>
      </c>
      <c r="L56" s="16">
        <v>0</v>
      </c>
      <c r="M56" s="14">
        <v>0</v>
      </c>
      <c r="N56" s="16">
        <v>0</v>
      </c>
      <c r="O56" s="14">
        <v>0</v>
      </c>
      <c r="P56" s="16">
        <v>0</v>
      </c>
      <c r="Q56" s="14">
        <v>0</v>
      </c>
      <c r="R56" s="16">
        <v>0</v>
      </c>
    </row>
    <row r="57" spans="1:18" x14ac:dyDescent="0.25">
      <c r="A57" s="11" t="s">
        <v>190</v>
      </c>
      <c r="B57" s="17" t="s">
        <v>154</v>
      </c>
      <c r="C57" s="17" t="s">
        <v>154</v>
      </c>
      <c r="D57" s="18" t="s">
        <v>154</v>
      </c>
      <c r="E57" s="17" t="s">
        <v>154</v>
      </c>
      <c r="F57" s="18" t="s">
        <v>154</v>
      </c>
      <c r="G57" s="17" t="s">
        <v>154</v>
      </c>
      <c r="H57" s="18" t="s">
        <v>154</v>
      </c>
      <c r="I57" s="17" t="s">
        <v>154</v>
      </c>
      <c r="J57" s="18" t="s">
        <v>154</v>
      </c>
      <c r="K57" s="17" t="s">
        <v>154</v>
      </c>
      <c r="L57" s="18" t="s">
        <v>154</v>
      </c>
      <c r="M57" s="17" t="s">
        <v>154</v>
      </c>
      <c r="N57" s="18" t="s">
        <v>154</v>
      </c>
      <c r="O57" s="17" t="s">
        <v>154</v>
      </c>
      <c r="P57" s="18" t="s">
        <v>154</v>
      </c>
      <c r="Q57" s="17" t="s">
        <v>154</v>
      </c>
      <c r="R57" s="18" t="s">
        <v>154</v>
      </c>
    </row>
    <row r="58" spans="1:18" x14ac:dyDescent="0.25">
      <c r="A58" s="11" t="s">
        <v>191</v>
      </c>
      <c r="B58" s="17" t="s">
        <v>154</v>
      </c>
      <c r="C58" s="17" t="s">
        <v>154</v>
      </c>
      <c r="D58" s="18" t="s">
        <v>154</v>
      </c>
      <c r="E58" s="17" t="s">
        <v>154</v>
      </c>
      <c r="F58" s="18" t="s">
        <v>154</v>
      </c>
      <c r="G58" s="17" t="s">
        <v>154</v>
      </c>
      <c r="H58" s="18" t="s">
        <v>154</v>
      </c>
      <c r="I58" s="17" t="s">
        <v>154</v>
      </c>
      <c r="J58" s="18" t="s">
        <v>154</v>
      </c>
      <c r="K58" s="17" t="s">
        <v>154</v>
      </c>
      <c r="L58" s="18" t="s">
        <v>154</v>
      </c>
      <c r="M58" s="17" t="s">
        <v>154</v>
      </c>
      <c r="N58" s="18" t="s">
        <v>154</v>
      </c>
      <c r="O58" s="17" t="s">
        <v>154</v>
      </c>
      <c r="P58" s="18" t="s">
        <v>154</v>
      </c>
      <c r="Q58" s="17" t="s">
        <v>154</v>
      </c>
      <c r="R58" s="18" t="s">
        <v>154</v>
      </c>
    </row>
    <row r="59" spans="1:18" x14ac:dyDescent="0.25">
      <c r="A59" s="11" t="s">
        <v>192</v>
      </c>
      <c r="B59" s="17" t="s">
        <v>154</v>
      </c>
      <c r="C59" s="17" t="s">
        <v>154</v>
      </c>
      <c r="D59" s="18" t="s">
        <v>154</v>
      </c>
      <c r="E59" s="17" t="s">
        <v>154</v>
      </c>
      <c r="F59" s="18" t="s">
        <v>154</v>
      </c>
      <c r="G59" s="17" t="s">
        <v>154</v>
      </c>
      <c r="H59" s="18" t="s">
        <v>154</v>
      </c>
      <c r="I59" s="17" t="s">
        <v>154</v>
      </c>
      <c r="J59" s="18" t="s">
        <v>154</v>
      </c>
      <c r="K59" s="17" t="s">
        <v>154</v>
      </c>
      <c r="L59" s="18" t="s">
        <v>154</v>
      </c>
      <c r="M59" s="17" t="s">
        <v>154</v>
      </c>
      <c r="N59" s="18" t="s">
        <v>154</v>
      </c>
      <c r="O59" s="17" t="s">
        <v>154</v>
      </c>
      <c r="P59" s="18" t="s">
        <v>154</v>
      </c>
      <c r="Q59" s="17" t="s">
        <v>154</v>
      </c>
      <c r="R59" s="18" t="s">
        <v>154</v>
      </c>
    </row>
    <row r="60" spans="1:18" x14ac:dyDescent="0.25">
      <c r="A60" s="11" t="s">
        <v>193</v>
      </c>
      <c r="B60" s="17" t="s">
        <v>154</v>
      </c>
      <c r="C60" s="17" t="s">
        <v>154</v>
      </c>
      <c r="D60" s="18" t="s">
        <v>154</v>
      </c>
      <c r="E60" s="17" t="s">
        <v>154</v>
      </c>
      <c r="F60" s="18" t="s">
        <v>154</v>
      </c>
      <c r="G60" s="17" t="s">
        <v>154</v>
      </c>
      <c r="H60" s="18" t="s">
        <v>154</v>
      </c>
      <c r="I60" s="17" t="s">
        <v>154</v>
      </c>
      <c r="J60" s="18" t="s">
        <v>154</v>
      </c>
      <c r="K60" s="17" t="s">
        <v>154</v>
      </c>
      <c r="L60" s="18" t="s">
        <v>154</v>
      </c>
      <c r="M60" s="17" t="s">
        <v>154</v>
      </c>
      <c r="N60" s="18" t="s">
        <v>154</v>
      </c>
      <c r="O60" s="17" t="s">
        <v>154</v>
      </c>
      <c r="P60" s="18" t="s">
        <v>154</v>
      </c>
      <c r="Q60" s="17" t="s">
        <v>154</v>
      </c>
      <c r="R60" s="18" t="s">
        <v>154</v>
      </c>
    </row>
    <row r="61" spans="1:18" x14ac:dyDescent="0.25">
      <c r="A61" s="11" t="s">
        <v>194</v>
      </c>
      <c r="B61" s="13">
        <v>6525</v>
      </c>
      <c r="C61" s="14">
        <f>(5408/B61*100)</f>
        <v>82.88122605363985</v>
      </c>
      <c r="D61" s="15">
        <v>1117</v>
      </c>
      <c r="E61" s="14">
        <v>43.861520200000001</v>
      </c>
      <c r="F61" s="16">
        <v>1.8424997299999999</v>
      </c>
      <c r="G61" s="14">
        <v>56.138479799999999</v>
      </c>
      <c r="H61" s="16">
        <v>1.8424997299999999</v>
      </c>
      <c r="I61" s="14" t="s">
        <v>139</v>
      </c>
      <c r="J61" s="16" t="s">
        <v>139</v>
      </c>
      <c r="K61" s="14">
        <v>0</v>
      </c>
      <c r="L61" s="16">
        <v>0</v>
      </c>
      <c r="M61" s="14">
        <v>0</v>
      </c>
      <c r="N61" s="16">
        <v>0</v>
      </c>
      <c r="O61" s="14">
        <v>0</v>
      </c>
      <c r="P61" s="16">
        <v>0</v>
      </c>
      <c r="Q61" s="14">
        <v>0</v>
      </c>
      <c r="R61" s="16">
        <v>0</v>
      </c>
    </row>
    <row r="62" spans="1:18" x14ac:dyDescent="0.25">
      <c r="A62" s="11" t="s">
        <v>195</v>
      </c>
      <c r="B62" s="13">
        <v>4476</v>
      </c>
      <c r="C62" s="14">
        <f>(3712/B62*100)</f>
        <v>82.931188561215379</v>
      </c>
      <c r="D62" s="15">
        <v>764</v>
      </c>
      <c r="E62" s="14">
        <v>38.591334590000002</v>
      </c>
      <c r="F62" s="16">
        <v>1.7187034000000001</v>
      </c>
      <c r="G62" s="14">
        <v>61.408665409999998</v>
      </c>
      <c r="H62" s="16">
        <v>1.7187034000000001</v>
      </c>
      <c r="I62" s="14" t="s">
        <v>139</v>
      </c>
      <c r="J62" s="16" t="s">
        <v>139</v>
      </c>
      <c r="K62" s="14">
        <v>0</v>
      </c>
      <c r="L62" s="16">
        <v>0</v>
      </c>
      <c r="M62" s="14">
        <v>0</v>
      </c>
      <c r="N62" s="16">
        <v>0</v>
      </c>
      <c r="O62" s="14">
        <v>0</v>
      </c>
      <c r="P62" s="16">
        <v>0</v>
      </c>
      <c r="Q62" s="14">
        <v>0</v>
      </c>
      <c r="R62" s="16">
        <v>0</v>
      </c>
    </row>
    <row r="63" spans="1:18" x14ac:dyDescent="0.25">
      <c r="A63" s="11" t="s">
        <v>196</v>
      </c>
      <c r="B63" s="17" t="s">
        <v>154</v>
      </c>
      <c r="C63" s="17" t="s">
        <v>154</v>
      </c>
      <c r="D63" s="18" t="s">
        <v>154</v>
      </c>
      <c r="E63" s="17" t="s">
        <v>154</v>
      </c>
      <c r="F63" s="18" t="s">
        <v>154</v>
      </c>
      <c r="G63" s="17" t="s">
        <v>154</v>
      </c>
      <c r="H63" s="18" t="s">
        <v>154</v>
      </c>
      <c r="I63" s="17" t="s">
        <v>154</v>
      </c>
      <c r="J63" s="18" t="s">
        <v>154</v>
      </c>
      <c r="K63" s="17" t="s">
        <v>154</v>
      </c>
      <c r="L63" s="18" t="s">
        <v>154</v>
      </c>
      <c r="M63" s="17" t="s">
        <v>154</v>
      </c>
      <c r="N63" s="18" t="s">
        <v>154</v>
      </c>
      <c r="O63" s="17" t="s">
        <v>154</v>
      </c>
      <c r="P63" s="18" t="s">
        <v>154</v>
      </c>
      <c r="Q63" s="17" t="s">
        <v>154</v>
      </c>
      <c r="R63" s="18" t="s">
        <v>154</v>
      </c>
    </row>
    <row r="64" spans="1:18" x14ac:dyDescent="0.25">
      <c r="A64" s="11" t="s">
        <v>197</v>
      </c>
      <c r="B64" s="17" t="s">
        <v>154</v>
      </c>
      <c r="C64" s="17" t="s">
        <v>154</v>
      </c>
      <c r="D64" s="18" t="s">
        <v>154</v>
      </c>
      <c r="E64" s="17" t="s">
        <v>154</v>
      </c>
      <c r="F64" s="18" t="s">
        <v>154</v>
      </c>
      <c r="G64" s="17" t="s">
        <v>154</v>
      </c>
      <c r="H64" s="18" t="s">
        <v>154</v>
      </c>
      <c r="I64" s="17" t="s">
        <v>154</v>
      </c>
      <c r="J64" s="18" t="s">
        <v>154</v>
      </c>
      <c r="K64" s="17" t="s">
        <v>154</v>
      </c>
      <c r="L64" s="18" t="s">
        <v>154</v>
      </c>
      <c r="M64" s="17" t="s">
        <v>154</v>
      </c>
      <c r="N64" s="18" t="s">
        <v>154</v>
      </c>
      <c r="O64" s="17" t="s">
        <v>154</v>
      </c>
      <c r="P64" s="18" t="s">
        <v>154</v>
      </c>
      <c r="Q64" s="17" t="s">
        <v>154</v>
      </c>
      <c r="R64" s="18" t="s">
        <v>154</v>
      </c>
    </row>
    <row r="65" spans="1:18" x14ac:dyDescent="0.25">
      <c r="A65" s="11" t="s">
        <v>198</v>
      </c>
      <c r="B65" s="17" t="s">
        <v>154</v>
      </c>
      <c r="C65" s="17" t="s">
        <v>154</v>
      </c>
      <c r="D65" s="18" t="s">
        <v>154</v>
      </c>
      <c r="E65" s="17" t="s">
        <v>154</v>
      </c>
      <c r="F65" s="18" t="s">
        <v>154</v>
      </c>
      <c r="G65" s="17" t="s">
        <v>154</v>
      </c>
      <c r="H65" s="18" t="s">
        <v>154</v>
      </c>
      <c r="I65" s="17" t="s">
        <v>154</v>
      </c>
      <c r="J65" s="18" t="s">
        <v>154</v>
      </c>
      <c r="K65" s="17" t="s">
        <v>154</v>
      </c>
      <c r="L65" s="18" t="s">
        <v>154</v>
      </c>
      <c r="M65" s="17" t="s">
        <v>154</v>
      </c>
      <c r="N65" s="18" t="s">
        <v>154</v>
      </c>
      <c r="O65" s="17" t="s">
        <v>154</v>
      </c>
      <c r="P65" s="18" t="s">
        <v>154</v>
      </c>
      <c r="Q65" s="17" t="s">
        <v>154</v>
      </c>
      <c r="R65" s="18" t="s">
        <v>154</v>
      </c>
    </row>
    <row r="66" spans="1:18" x14ac:dyDescent="0.25">
      <c r="A66" s="11" t="s">
        <v>199</v>
      </c>
      <c r="B66" s="13">
        <v>5665</v>
      </c>
      <c r="C66" s="14">
        <f>(4730/B66*100)</f>
        <v>83.495145631067956</v>
      </c>
      <c r="D66" s="15">
        <v>935</v>
      </c>
      <c r="E66" s="14">
        <v>52.032181860000001</v>
      </c>
      <c r="F66" s="16">
        <v>1.5003455000000001</v>
      </c>
      <c r="G66" s="14">
        <v>47.967818139999999</v>
      </c>
      <c r="H66" s="16">
        <v>1.5003455000000001</v>
      </c>
      <c r="I66" s="14" t="s">
        <v>139</v>
      </c>
      <c r="J66" s="16" t="s">
        <v>139</v>
      </c>
      <c r="K66" s="14">
        <v>0</v>
      </c>
      <c r="L66" s="16">
        <v>0</v>
      </c>
      <c r="M66" s="14">
        <v>0</v>
      </c>
      <c r="N66" s="16">
        <v>0</v>
      </c>
      <c r="O66" s="14">
        <v>0</v>
      </c>
      <c r="P66" s="16">
        <v>0</v>
      </c>
      <c r="Q66" s="14">
        <v>0</v>
      </c>
      <c r="R66" s="16">
        <v>0</v>
      </c>
    </row>
    <row r="67" spans="1:18" x14ac:dyDescent="0.25">
      <c r="A67" s="11" t="s">
        <v>200</v>
      </c>
      <c r="B67" s="13">
        <v>6971</v>
      </c>
      <c r="C67" s="14">
        <f>(5966/B67*100)</f>
        <v>85.583130110457603</v>
      </c>
      <c r="D67" s="15">
        <v>1005</v>
      </c>
      <c r="E67" s="14">
        <v>46.106611039999997</v>
      </c>
      <c r="F67" s="16">
        <v>1.88432453</v>
      </c>
      <c r="G67" s="14">
        <v>53.893388960000003</v>
      </c>
      <c r="H67" s="16">
        <v>1.88432453</v>
      </c>
      <c r="I67" s="14" t="s">
        <v>139</v>
      </c>
      <c r="J67" s="16" t="s">
        <v>139</v>
      </c>
      <c r="K67" s="14">
        <v>0</v>
      </c>
      <c r="L67" s="16">
        <v>0</v>
      </c>
      <c r="M67" s="14">
        <v>0</v>
      </c>
      <c r="N67" s="16">
        <v>0</v>
      </c>
      <c r="O67" s="14">
        <v>0</v>
      </c>
      <c r="P67" s="16">
        <v>0</v>
      </c>
      <c r="Q67" s="14">
        <v>0</v>
      </c>
      <c r="R67" s="16">
        <v>0</v>
      </c>
    </row>
    <row r="68" spans="1:18" x14ac:dyDescent="0.25">
      <c r="A68" s="11" t="s">
        <v>201</v>
      </c>
      <c r="B68" s="17" t="s">
        <v>154</v>
      </c>
      <c r="C68" s="17" t="s">
        <v>154</v>
      </c>
      <c r="D68" s="18" t="s">
        <v>154</v>
      </c>
      <c r="E68" s="17" t="s">
        <v>154</v>
      </c>
      <c r="F68" s="18" t="s">
        <v>154</v>
      </c>
      <c r="G68" s="17" t="s">
        <v>154</v>
      </c>
      <c r="H68" s="18" t="s">
        <v>154</v>
      </c>
      <c r="I68" s="17" t="s">
        <v>154</v>
      </c>
      <c r="J68" s="18" t="s">
        <v>154</v>
      </c>
      <c r="K68" s="17" t="s">
        <v>154</v>
      </c>
      <c r="L68" s="18" t="s">
        <v>154</v>
      </c>
      <c r="M68" s="17" t="s">
        <v>154</v>
      </c>
      <c r="N68" s="18" t="s">
        <v>154</v>
      </c>
      <c r="O68" s="17" t="s">
        <v>154</v>
      </c>
      <c r="P68" s="18" t="s">
        <v>154</v>
      </c>
      <c r="Q68" s="17" t="s">
        <v>154</v>
      </c>
      <c r="R68" s="18" t="s">
        <v>154</v>
      </c>
    </row>
    <row r="69" spans="1:18" x14ac:dyDescent="0.25">
      <c r="A69" s="11" t="s">
        <v>202</v>
      </c>
      <c r="B69" s="17" t="s">
        <v>154</v>
      </c>
      <c r="C69" s="17" t="s">
        <v>154</v>
      </c>
      <c r="D69" s="18" t="s">
        <v>154</v>
      </c>
      <c r="E69" s="17" t="s">
        <v>154</v>
      </c>
      <c r="F69" s="18" t="s">
        <v>154</v>
      </c>
      <c r="G69" s="17" t="s">
        <v>154</v>
      </c>
      <c r="H69" s="18" t="s">
        <v>154</v>
      </c>
      <c r="I69" s="17" t="s">
        <v>154</v>
      </c>
      <c r="J69" s="18" t="s">
        <v>154</v>
      </c>
      <c r="K69" s="17" t="s">
        <v>154</v>
      </c>
      <c r="L69" s="18" t="s">
        <v>154</v>
      </c>
      <c r="M69" s="17" t="s">
        <v>154</v>
      </c>
      <c r="N69" s="18" t="s">
        <v>154</v>
      </c>
      <c r="O69" s="17" t="s">
        <v>154</v>
      </c>
      <c r="P69" s="18" t="s">
        <v>154</v>
      </c>
      <c r="Q69" s="17" t="s">
        <v>154</v>
      </c>
      <c r="R69" s="18" t="s">
        <v>154</v>
      </c>
    </row>
    <row r="70" spans="1:18" x14ac:dyDescent="0.25">
      <c r="A70" s="11" t="s">
        <v>203</v>
      </c>
      <c r="B70" s="13">
        <v>6036</v>
      </c>
      <c r="C70" s="14">
        <f>(5036/B70*100)</f>
        <v>83.432736911862165</v>
      </c>
      <c r="D70" s="15">
        <v>1000</v>
      </c>
      <c r="E70" s="14">
        <v>42.489151900000003</v>
      </c>
      <c r="F70" s="16">
        <v>2.0741914600000002</v>
      </c>
      <c r="G70" s="14">
        <v>57.510848099999997</v>
      </c>
      <c r="H70" s="16">
        <v>2.0741914600000002</v>
      </c>
      <c r="I70" s="14" t="s">
        <v>139</v>
      </c>
      <c r="J70" s="16" t="s">
        <v>139</v>
      </c>
      <c r="K70" s="14">
        <v>0</v>
      </c>
      <c r="L70" s="16">
        <v>0</v>
      </c>
      <c r="M70" s="14">
        <v>0</v>
      </c>
      <c r="N70" s="16">
        <v>0</v>
      </c>
      <c r="O70" s="14">
        <v>0</v>
      </c>
      <c r="P70" s="16">
        <v>0</v>
      </c>
      <c r="Q70" s="14">
        <v>0</v>
      </c>
      <c r="R70" s="16">
        <v>0</v>
      </c>
    </row>
    <row r="71" spans="1:18" x14ac:dyDescent="0.25">
      <c r="A71" s="11" t="s">
        <v>204</v>
      </c>
      <c r="B71" s="17" t="s">
        <v>154</v>
      </c>
      <c r="C71" s="17" t="s">
        <v>154</v>
      </c>
      <c r="D71" s="18" t="s">
        <v>154</v>
      </c>
      <c r="E71" s="17" t="s">
        <v>154</v>
      </c>
      <c r="F71" s="18" t="s">
        <v>154</v>
      </c>
      <c r="G71" s="17" t="s">
        <v>154</v>
      </c>
      <c r="H71" s="18" t="s">
        <v>154</v>
      </c>
      <c r="I71" s="17" t="s">
        <v>154</v>
      </c>
      <c r="J71" s="18" t="s">
        <v>154</v>
      </c>
      <c r="K71" s="17" t="s">
        <v>154</v>
      </c>
      <c r="L71" s="18" t="s">
        <v>154</v>
      </c>
      <c r="M71" s="17" t="s">
        <v>154</v>
      </c>
      <c r="N71" s="18" t="s">
        <v>154</v>
      </c>
      <c r="O71" s="17" t="s">
        <v>154</v>
      </c>
      <c r="P71" s="18" t="s">
        <v>154</v>
      </c>
      <c r="Q71" s="17" t="s">
        <v>154</v>
      </c>
      <c r="R71" s="18" t="s">
        <v>154</v>
      </c>
    </row>
    <row r="72" spans="1:18" x14ac:dyDescent="0.25">
      <c r="A72" s="11" t="s">
        <v>205</v>
      </c>
      <c r="B72" s="13">
        <v>7708</v>
      </c>
      <c r="C72" s="14">
        <f>(6391/B72*100)</f>
        <v>82.913855734302018</v>
      </c>
      <c r="D72" s="15">
        <v>1317</v>
      </c>
      <c r="E72" s="14">
        <v>41.848582550000003</v>
      </c>
      <c r="F72" s="16">
        <v>1.48014267</v>
      </c>
      <c r="G72" s="14">
        <v>58.151417449999997</v>
      </c>
      <c r="H72" s="16">
        <v>1.48014267</v>
      </c>
      <c r="I72" s="14" t="s">
        <v>139</v>
      </c>
      <c r="J72" s="16" t="s">
        <v>139</v>
      </c>
      <c r="K72" s="14">
        <v>0</v>
      </c>
      <c r="L72" s="16">
        <v>0</v>
      </c>
      <c r="M72" s="14">
        <v>0</v>
      </c>
      <c r="N72" s="16">
        <v>0</v>
      </c>
      <c r="O72" s="14">
        <v>0</v>
      </c>
      <c r="P72" s="16">
        <v>0</v>
      </c>
      <c r="Q72" s="14">
        <v>0</v>
      </c>
      <c r="R72" s="16">
        <v>0</v>
      </c>
    </row>
    <row r="73" spans="1:18" x14ac:dyDescent="0.25">
      <c r="A73" s="11" t="s">
        <v>206</v>
      </c>
      <c r="B73" s="13">
        <v>8249</v>
      </c>
      <c r="C73" s="14">
        <f>(6936/B73*100)</f>
        <v>84.082919141714157</v>
      </c>
      <c r="D73" s="15">
        <v>1313</v>
      </c>
      <c r="E73" s="14">
        <v>61.807047760000003</v>
      </c>
      <c r="F73" s="16">
        <v>1.8984359799999999</v>
      </c>
      <c r="G73" s="14">
        <v>38.192952239999997</v>
      </c>
      <c r="H73" s="16">
        <v>1.8984359799999999</v>
      </c>
      <c r="I73" s="14" t="s">
        <v>139</v>
      </c>
      <c r="J73" s="16" t="s">
        <v>139</v>
      </c>
      <c r="K73" s="14">
        <v>0</v>
      </c>
      <c r="L73" s="16">
        <v>0</v>
      </c>
      <c r="M73" s="14">
        <v>0</v>
      </c>
      <c r="N73" s="16">
        <v>0</v>
      </c>
      <c r="O73" s="14">
        <v>0</v>
      </c>
      <c r="P73" s="16">
        <v>0</v>
      </c>
      <c r="Q73" s="14">
        <v>0</v>
      </c>
      <c r="R73" s="16">
        <v>0</v>
      </c>
    </row>
    <row r="74" spans="1:18" x14ac:dyDescent="0.25">
      <c r="A74" s="11" t="s">
        <v>207</v>
      </c>
      <c r="B74" s="17" t="s">
        <v>154</v>
      </c>
      <c r="C74" s="17" t="s">
        <v>154</v>
      </c>
      <c r="D74" s="18" t="s">
        <v>154</v>
      </c>
      <c r="E74" s="17" t="s">
        <v>154</v>
      </c>
      <c r="F74" s="18" t="s">
        <v>154</v>
      </c>
      <c r="G74" s="17" t="s">
        <v>154</v>
      </c>
      <c r="H74" s="18" t="s">
        <v>154</v>
      </c>
      <c r="I74" s="17" t="s">
        <v>154</v>
      </c>
      <c r="J74" s="18" t="s">
        <v>154</v>
      </c>
      <c r="K74" s="17" t="s">
        <v>154</v>
      </c>
      <c r="L74" s="18" t="s">
        <v>154</v>
      </c>
      <c r="M74" s="17" t="s">
        <v>154</v>
      </c>
      <c r="N74" s="18" t="s">
        <v>154</v>
      </c>
      <c r="O74" s="17" t="s">
        <v>154</v>
      </c>
      <c r="P74" s="18" t="s">
        <v>154</v>
      </c>
      <c r="Q74" s="17" t="s">
        <v>154</v>
      </c>
      <c r="R74" s="18" t="s">
        <v>154</v>
      </c>
    </row>
    <row r="75" spans="1:18" x14ac:dyDescent="0.25">
      <c r="A75" s="11" t="s">
        <v>208</v>
      </c>
      <c r="B75" s="13">
        <v>5375</v>
      </c>
      <c r="C75" s="14">
        <f>(4541/B75*100)</f>
        <v>84.48372093023255</v>
      </c>
      <c r="D75" s="15">
        <v>834</v>
      </c>
      <c r="E75" s="14">
        <v>68.290487740000003</v>
      </c>
      <c r="F75" s="16">
        <v>1.80135457</v>
      </c>
      <c r="G75" s="14">
        <v>31.70951226</v>
      </c>
      <c r="H75" s="16">
        <v>1.80135457</v>
      </c>
      <c r="I75" s="14" t="s">
        <v>139</v>
      </c>
      <c r="J75" s="16" t="s">
        <v>139</v>
      </c>
      <c r="K75" s="14">
        <v>0</v>
      </c>
      <c r="L75" s="16">
        <v>0</v>
      </c>
      <c r="M75" s="14">
        <v>0</v>
      </c>
      <c r="N75" s="16">
        <v>0</v>
      </c>
      <c r="O75" s="14">
        <v>0</v>
      </c>
      <c r="P75" s="16">
        <v>0</v>
      </c>
      <c r="Q75" s="14">
        <v>0</v>
      </c>
      <c r="R75" s="16">
        <v>0</v>
      </c>
    </row>
    <row r="76" spans="1:18" x14ac:dyDescent="0.25">
      <c r="A76" s="11" t="s">
        <v>209</v>
      </c>
      <c r="B76" s="13">
        <v>14167</v>
      </c>
      <c r="C76" s="14">
        <f>(11797/B76*100)</f>
        <v>83.270981859250369</v>
      </c>
      <c r="D76" s="15">
        <v>2370</v>
      </c>
      <c r="E76" s="14">
        <v>51.333902950000002</v>
      </c>
      <c r="F76" s="16">
        <v>1.29867523</v>
      </c>
      <c r="G76" s="14">
        <v>48.666097049999998</v>
      </c>
      <c r="H76" s="16">
        <v>1.29867523</v>
      </c>
      <c r="I76" s="14" t="s">
        <v>139</v>
      </c>
      <c r="J76" s="16" t="s">
        <v>139</v>
      </c>
      <c r="K76" s="14">
        <v>0</v>
      </c>
      <c r="L76" s="16">
        <v>0</v>
      </c>
      <c r="M76" s="14">
        <v>0</v>
      </c>
      <c r="N76" s="16">
        <v>0</v>
      </c>
      <c r="O76" s="14">
        <v>0</v>
      </c>
      <c r="P76" s="16">
        <v>0</v>
      </c>
      <c r="Q76" s="14">
        <v>0</v>
      </c>
      <c r="R76" s="16">
        <v>0</v>
      </c>
    </row>
    <row r="77" spans="1:18" x14ac:dyDescent="0.25">
      <c r="A77" s="11" t="s">
        <v>210</v>
      </c>
      <c r="B77" s="13">
        <v>6062</v>
      </c>
      <c r="C77" s="14">
        <f>(5056/B77*100)</f>
        <v>83.404816892114809</v>
      </c>
      <c r="D77" s="15">
        <v>1006</v>
      </c>
      <c r="E77" s="14">
        <v>49.169469790000001</v>
      </c>
      <c r="F77" s="16">
        <v>1.5331460100000001</v>
      </c>
      <c r="G77" s="14">
        <v>50.830530209999999</v>
      </c>
      <c r="H77" s="16">
        <v>1.5331460100000001</v>
      </c>
      <c r="I77" s="14" t="s">
        <v>139</v>
      </c>
      <c r="J77" s="16" t="s">
        <v>139</v>
      </c>
      <c r="K77" s="14">
        <v>0</v>
      </c>
      <c r="L77" s="16">
        <v>0</v>
      </c>
      <c r="M77" s="14">
        <v>0</v>
      </c>
      <c r="N77" s="16">
        <v>0</v>
      </c>
      <c r="O77" s="14">
        <v>0</v>
      </c>
      <c r="P77" s="16">
        <v>0</v>
      </c>
      <c r="Q77" s="14">
        <v>0</v>
      </c>
      <c r="R77" s="16">
        <v>0</v>
      </c>
    </row>
    <row r="78" spans="1:18" x14ac:dyDescent="0.25">
      <c r="A78" s="11" t="s">
        <v>211</v>
      </c>
      <c r="B78" s="17" t="s">
        <v>154</v>
      </c>
      <c r="C78" s="17" t="s">
        <v>154</v>
      </c>
      <c r="D78" s="18" t="s">
        <v>154</v>
      </c>
      <c r="E78" s="17" t="s">
        <v>154</v>
      </c>
      <c r="F78" s="18" t="s">
        <v>154</v>
      </c>
      <c r="G78" s="17" t="s">
        <v>154</v>
      </c>
      <c r="H78" s="18" t="s">
        <v>154</v>
      </c>
      <c r="I78" s="17" t="s">
        <v>154</v>
      </c>
      <c r="J78" s="18" t="s">
        <v>154</v>
      </c>
      <c r="K78" s="17" t="s">
        <v>154</v>
      </c>
      <c r="L78" s="18" t="s">
        <v>154</v>
      </c>
      <c r="M78" s="17" t="s">
        <v>154</v>
      </c>
      <c r="N78" s="18" t="s">
        <v>154</v>
      </c>
      <c r="O78" s="17" t="s">
        <v>154</v>
      </c>
      <c r="P78" s="18" t="s">
        <v>154</v>
      </c>
      <c r="Q78" s="17" t="s">
        <v>154</v>
      </c>
      <c r="R78" s="18" t="s">
        <v>154</v>
      </c>
    </row>
    <row r="79" spans="1:18" ht="24.95" customHeight="1" x14ac:dyDescent="0.25">
      <c r="A79" s="11" t="s">
        <v>212</v>
      </c>
      <c r="B79" s="17" t="s">
        <v>154</v>
      </c>
      <c r="C79" s="17" t="s">
        <v>154</v>
      </c>
      <c r="D79" s="18" t="s">
        <v>154</v>
      </c>
      <c r="E79" s="17" t="s">
        <v>154</v>
      </c>
      <c r="F79" s="18" t="s">
        <v>154</v>
      </c>
      <c r="G79" s="17" t="s">
        <v>154</v>
      </c>
      <c r="H79" s="18" t="s">
        <v>154</v>
      </c>
      <c r="I79" s="17" t="s">
        <v>154</v>
      </c>
      <c r="J79" s="18" t="s">
        <v>154</v>
      </c>
      <c r="K79" s="17" t="s">
        <v>154</v>
      </c>
      <c r="L79" s="18" t="s">
        <v>154</v>
      </c>
      <c r="M79" s="17" t="s">
        <v>154</v>
      </c>
      <c r="N79" s="18" t="s">
        <v>154</v>
      </c>
      <c r="O79" s="17" t="s">
        <v>154</v>
      </c>
      <c r="P79" s="18" t="s">
        <v>154</v>
      </c>
      <c r="Q79" s="17" t="s">
        <v>154</v>
      </c>
      <c r="R79" s="18" t="s">
        <v>154</v>
      </c>
    </row>
    <row r="80" spans="1:18" x14ac:dyDescent="0.25">
      <c r="A80" s="11" t="s">
        <v>213</v>
      </c>
      <c r="B80" s="17" t="s">
        <v>154</v>
      </c>
      <c r="C80" s="17" t="s">
        <v>154</v>
      </c>
      <c r="D80" s="18" t="s">
        <v>154</v>
      </c>
      <c r="E80" s="17" t="s">
        <v>154</v>
      </c>
      <c r="F80" s="18" t="s">
        <v>154</v>
      </c>
      <c r="G80" s="17" t="s">
        <v>154</v>
      </c>
      <c r="H80" s="18" t="s">
        <v>154</v>
      </c>
      <c r="I80" s="17" t="s">
        <v>154</v>
      </c>
      <c r="J80" s="18" t="s">
        <v>154</v>
      </c>
      <c r="K80" s="17" t="s">
        <v>154</v>
      </c>
      <c r="L80" s="18" t="s">
        <v>154</v>
      </c>
      <c r="M80" s="17" t="s">
        <v>154</v>
      </c>
      <c r="N80" s="18" t="s">
        <v>154</v>
      </c>
      <c r="O80" s="17" t="s">
        <v>154</v>
      </c>
      <c r="P80" s="18" t="s">
        <v>154</v>
      </c>
      <c r="Q80" s="17" t="s">
        <v>154</v>
      </c>
      <c r="R80" s="18" t="s">
        <v>154</v>
      </c>
    </row>
    <row r="81" spans="1:18" x14ac:dyDescent="0.25">
      <c r="A81" s="19" t="s">
        <v>214</v>
      </c>
      <c r="B81" s="13">
        <v>8861</v>
      </c>
      <c r="C81" s="14">
        <f>(7328/B81*100)</f>
        <v>82.699469585825526</v>
      </c>
      <c r="D81" s="15">
        <v>1533</v>
      </c>
      <c r="E81" s="14">
        <v>49.595782319999998</v>
      </c>
      <c r="F81" s="16">
        <v>1.71731002</v>
      </c>
      <c r="G81" s="14">
        <v>50.404217680000002</v>
      </c>
      <c r="H81" s="16">
        <v>1.71731002</v>
      </c>
      <c r="I81" s="14" t="s">
        <v>139</v>
      </c>
      <c r="J81" s="16" t="s">
        <v>139</v>
      </c>
      <c r="K81" s="14">
        <v>0</v>
      </c>
      <c r="L81" s="16">
        <v>0</v>
      </c>
      <c r="M81" s="14">
        <v>0</v>
      </c>
      <c r="N81" s="16">
        <v>0</v>
      </c>
      <c r="O81" s="14">
        <v>0</v>
      </c>
      <c r="P81" s="16">
        <v>0</v>
      </c>
      <c r="Q81" s="14">
        <v>0</v>
      </c>
      <c r="R81" s="16">
        <v>0</v>
      </c>
    </row>
    <row r="82" spans="1:18" x14ac:dyDescent="0.25">
      <c r="A82" s="20"/>
      <c r="B82" s="20" t="s">
        <v>215</v>
      </c>
      <c r="C82" s="20" t="s">
        <v>215</v>
      </c>
      <c r="D82" s="20" t="s">
        <v>215</v>
      </c>
      <c r="E82" s="20" t="s">
        <v>215</v>
      </c>
      <c r="F82" s="20" t="s">
        <v>215</v>
      </c>
      <c r="G82" s="20" t="s">
        <v>215</v>
      </c>
      <c r="H82" s="20" t="s">
        <v>215</v>
      </c>
      <c r="I82" s="20" t="s">
        <v>215</v>
      </c>
      <c r="J82" s="20" t="s">
        <v>215</v>
      </c>
      <c r="K82" s="20" t="s">
        <v>215</v>
      </c>
      <c r="L82" s="20" t="s">
        <v>215</v>
      </c>
      <c r="M82" s="20" t="s">
        <v>215</v>
      </c>
      <c r="N82" s="20" t="s">
        <v>215</v>
      </c>
      <c r="O82" s="20" t="s">
        <v>215</v>
      </c>
      <c r="P82" s="20" t="s">
        <v>215</v>
      </c>
      <c r="Q82" s="20" t="s">
        <v>215</v>
      </c>
      <c r="R82" s="20" t="s">
        <v>215</v>
      </c>
    </row>
    <row r="83" spans="1:18" x14ac:dyDescent="0.25">
      <c r="A83" s="3" t="s">
        <v>216</v>
      </c>
    </row>
    <row r="84" spans="1:18" x14ac:dyDescent="0.25">
      <c r="A84" s="22" t="s">
        <v>217</v>
      </c>
      <c r="B84" s="23"/>
      <c r="C84" s="23"/>
      <c r="D84" s="23"/>
      <c r="E84" s="23"/>
      <c r="F84" s="23"/>
      <c r="G84" s="23"/>
      <c r="H84" s="23"/>
      <c r="I84" s="23"/>
      <c r="J84" s="23"/>
      <c r="K84" s="23"/>
      <c r="L84" s="23"/>
      <c r="M84" s="23"/>
      <c r="N84" s="23"/>
      <c r="O84" s="23"/>
      <c r="P84" s="23"/>
      <c r="Q84" s="23"/>
      <c r="R84" s="23"/>
    </row>
    <row r="85" spans="1:18" x14ac:dyDescent="0.25">
      <c r="A85" s="22" t="s">
        <v>218</v>
      </c>
      <c r="B85" s="23"/>
      <c r="C85" s="23"/>
      <c r="D85" s="23"/>
      <c r="E85" s="23"/>
      <c r="F85" s="23"/>
      <c r="G85" s="23"/>
      <c r="H85" s="23"/>
      <c r="I85" s="23"/>
      <c r="J85" s="23"/>
      <c r="K85" s="23"/>
      <c r="L85" s="23"/>
      <c r="M85" s="23"/>
      <c r="N85" s="23"/>
      <c r="O85" s="23"/>
      <c r="P85" s="23"/>
      <c r="Q85" s="23"/>
      <c r="R85" s="23"/>
    </row>
    <row r="86" spans="1:18" ht="30" customHeight="1" x14ac:dyDescent="0.25">
      <c r="A86" s="22" t="s">
        <v>219</v>
      </c>
      <c r="B86" s="23"/>
      <c r="C86" s="23"/>
      <c r="D86" s="23"/>
      <c r="E86" s="23"/>
      <c r="F86" s="23"/>
      <c r="G86" s="23"/>
      <c r="H86" s="23"/>
      <c r="I86" s="23"/>
      <c r="J86" s="23"/>
      <c r="K86" s="23"/>
      <c r="L86" s="23"/>
      <c r="M86" s="23"/>
      <c r="N86" s="23"/>
      <c r="O86" s="23"/>
      <c r="P86" s="23"/>
      <c r="Q86" s="23"/>
      <c r="R86" s="23"/>
    </row>
    <row r="87" spans="1:18" ht="30" customHeight="1" x14ac:dyDescent="0.25">
      <c r="A87" s="22" t="s">
        <v>215</v>
      </c>
      <c r="B87" s="23"/>
      <c r="C87" s="23"/>
      <c r="D87" s="23"/>
      <c r="E87" s="23"/>
      <c r="F87" s="23"/>
      <c r="G87" s="23"/>
      <c r="H87" s="23"/>
      <c r="I87" s="23"/>
      <c r="J87" s="23"/>
      <c r="K87" s="23"/>
      <c r="L87" s="23"/>
      <c r="M87" s="23"/>
      <c r="N87" s="23"/>
      <c r="O87" s="23"/>
      <c r="P87" s="23"/>
      <c r="Q87" s="23"/>
      <c r="R87" s="23"/>
    </row>
    <row r="88" spans="1:18" ht="30" customHeight="1" x14ac:dyDescent="0.25">
      <c r="A88" s="22" t="s">
        <v>220</v>
      </c>
      <c r="B88" s="23"/>
      <c r="C88" s="23"/>
      <c r="D88" s="23"/>
      <c r="E88" s="23"/>
      <c r="F88" s="23"/>
      <c r="G88" s="23"/>
      <c r="H88" s="23"/>
      <c r="I88" s="23"/>
      <c r="J88" s="23"/>
      <c r="K88" s="23"/>
      <c r="L88" s="23"/>
      <c r="M88" s="23"/>
      <c r="N88" s="23"/>
      <c r="O88" s="23"/>
      <c r="P88" s="23"/>
      <c r="Q88" s="23"/>
      <c r="R88" s="23"/>
    </row>
    <row r="89" spans="1:18" ht="30" customHeight="1" x14ac:dyDescent="0.25">
      <c r="A89" s="22" t="s">
        <v>221</v>
      </c>
      <c r="B89" s="23"/>
      <c r="C89" s="23"/>
      <c r="D89" s="23"/>
      <c r="E89" s="23"/>
      <c r="F89" s="23"/>
      <c r="G89" s="23"/>
      <c r="H89" s="23"/>
      <c r="I89" s="23"/>
      <c r="J89" s="23"/>
      <c r="K89" s="23"/>
      <c r="L89" s="23"/>
      <c r="M89" s="23"/>
      <c r="N89" s="23"/>
      <c r="O89" s="23"/>
      <c r="P89" s="23"/>
      <c r="Q89" s="23"/>
      <c r="R89" s="23"/>
    </row>
    <row r="90" spans="1:18" ht="30" customHeight="1" x14ac:dyDescent="0.25">
      <c r="A90" s="22" t="s">
        <v>222</v>
      </c>
      <c r="B90" s="23"/>
      <c r="C90" s="23"/>
      <c r="D90" s="23"/>
      <c r="E90" s="23"/>
      <c r="F90" s="23"/>
      <c r="G90" s="23"/>
      <c r="H90" s="23"/>
      <c r="I90" s="23"/>
      <c r="J90" s="23"/>
      <c r="K90" s="23"/>
      <c r="L90" s="23"/>
      <c r="M90" s="23"/>
      <c r="N90" s="23"/>
      <c r="O90" s="23"/>
      <c r="P90" s="23"/>
      <c r="Q90" s="23"/>
      <c r="R90" s="23"/>
    </row>
    <row r="91" spans="1:18" ht="30" customHeight="1" x14ac:dyDescent="0.25">
      <c r="A91" s="22" t="s">
        <v>223</v>
      </c>
      <c r="B91" s="23"/>
      <c r="C91" s="23"/>
      <c r="D91" s="23"/>
      <c r="E91" s="23"/>
      <c r="F91" s="23"/>
      <c r="G91" s="23"/>
      <c r="H91" s="23"/>
      <c r="I91" s="23"/>
      <c r="J91" s="23"/>
      <c r="K91" s="23"/>
      <c r="L91" s="23"/>
      <c r="M91" s="23"/>
      <c r="N91" s="23"/>
      <c r="O91" s="23"/>
      <c r="P91" s="23"/>
      <c r="Q91" s="23"/>
      <c r="R91" s="23"/>
    </row>
    <row r="92" spans="1:18" ht="30" customHeight="1" x14ac:dyDescent="0.25">
      <c r="A92" s="22" t="s">
        <v>224</v>
      </c>
      <c r="B92" s="23"/>
      <c r="C92" s="23"/>
      <c r="D92" s="23"/>
      <c r="E92" s="23"/>
      <c r="F92" s="23"/>
      <c r="G92" s="23"/>
      <c r="H92" s="23"/>
      <c r="I92" s="23"/>
      <c r="J92" s="23"/>
      <c r="K92" s="23"/>
      <c r="L92" s="23"/>
      <c r="M92" s="23"/>
      <c r="N92" s="23"/>
      <c r="O92" s="23"/>
      <c r="P92" s="23"/>
      <c r="Q92" s="23"/>
      <c r="R92" s="23"/>
    </row>
    <row r="93" spans="1:18" ht="30" customHeight="1" x14ac:dyDescent="0.25">
      <c r="A93" s="22" t="s">
        <v>225</v>
      </c>
      <c r="B93" s="23"/>
      <c r="C93" s="23"/>
      <c r="D93" s="23"/>
      <c r="E93" s="23"/>
      <c r="F93" s="23"/>
      <c r="G93" s="23"/>
      <c r="H93" s="23"/>
      <c r="I93" s="23"/>
      <c r="J93" s="23"/>
      <c r="K93" s="23"/>
      <c r="L93" s="23"/>
      <c r="M93" s="23"/>
      <c r="N93" s="23"/>
      <c r="O93" s="23"/>
      <c r="P93" s="23"/>
      <c r="Q93" s="23"/>
      <c r="R93" s="23"/>
    </row>
    <row r="94" spans="1:18" ht="30" customHeight="1" x14ac:dyDescent="0.25">
      <c r="A94" s="22" t="s">
        <v>226</v>
      </c>
      <c r="B94" s="23"/>
      <c r="C94" s="23"/>
      <c r="D94" s="23"/>
      <c r="E94" s="23"/>
      <c r="F94" s="23"/>
      <c r="G94" s="23"/>
      <c r="H94" s="23"/>
      <c r="I94" s="23"/>
      <c r="J94" s="23"/>
      <c r="K94" s="23"/>
      <c r="L94" s="23"/>
      <c r="M94" s="23"/>
      <c r="N94" s="23"/>
      <c r="O94" s="23"/>
      <c r="P94" s="23"/>
      <c r="Q94" s="23"/>
      <c r="R94" s="23"/>
    </row>
    <row r="95" spans="1:18" ht="30" customHeight="1" x14ac:dyDescent="0.25">
      <c r="A95" s="22" t="s">
        <v>227</v>
      </c>
      <c r="B95" s="23"/>
      <c r="C95" s="23"/>
      <c r="D95" s="23"/>
      <c r="E95" s="23"/>
      <c r="F95" s="23"/>
      <c r="G95" s="23"/>
      <c r="H95" s="23"/>
      <c r="I95" s="23"/>
      <c r="J95" s="23"/>
      <c r="K95" s="23"/>
      <c r="L95" s="23"/>
      <c r="M95" s="23"/>
      <c r="N95" s="23"/>
      <c r="O95" s="23"/>
      <c r="P95" s="23"/>
      <c r="Q95" s="23"/>
      <c r="R95" s="23"/>
    </row>
    <row r="96" spans="1:18" ht="30" customHeight="1" x14ac:dyDescent="0.25">
      <c r="A96" s="22" t="s">
        <v>228</v>
      </c>
      <c r="B96" s="23"/>
      <c r="C96" s="23"/>
      <c r="D96" s="23"/>
      <c r="E96" s="23"/>
      <c r="F96" s="23"/>
      <c r="G96" s="23"/>
      <c r="H96" s="23"/>
      <c r="I96" s="23"/>
      <c r="J96" s="23"/>
      <c r="K96" s="23"/>
      <c r="L96" s="23"/>
      <c r="M96" s="23"/>
      <c r="N96" s="23"/>
      <c r="O96" s="23"/>
      <c r="P96" s="23"/>
      <c r="Q96" s="23"/>
      <c r="R96" s="23"/>
    </row>
  </sheetData>
  <mergeCells count="22">
    <mergeCell ref="O4:P4"/>
    <mergeCell ref="Q4:R4"/>
    <mergeCell ref="A1:R1"/>
    <mergeCell ref="A2:R2"/>
    <mergeCell ref="A84:R84"/>
    <mergeCell ref="E4:F4"/>
    <mergeCell ref="G4:H4"/>
    <mergeCell ref="I4:J4"/>
    <mergeCell ref="K4:L4"/>
    <mergeCell ref="M4:N4"/>
    <mergeCell ref="A85:R85"/>
    <mergeCell ref="A86:R86"/>
    <mergeCell ref="A87:R87"/>
    <mergeCell ref="A88:R88"/>
    <mergeCell ref="A89:R89"/>
    <mergeCell ref="A95:R95"/>
    <mergeCell ref="A96:R96"/>
    <mergeCell ref="A90:R90"/>
    <mergeCell ref="A91:R91"/>
    <mergeCell ref="A92:R92"/>
    <mergeCell ref="A93:R93"/>
    <mergeCell ref="A94:R94"/>
  </mergeCells>
  <pageMargins left="0.75" right="0.75" top="1" bottom="1" header="0.5" footer="0.5"/>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0"/>
  <dimension ref="A1:R96"/>
  <sheetViews>
    <sheetView zoomScale="80" workbookViewId="0">
      <pane xSplit="4" topLeftCell="E1" activePane="topRight" state="frozen"/>
      <selection sqref="A1:R1"/>
      <selection pane="topRight" sqref="A1:R1"/>
    </sheetView>
  </sheetViews>
  <sheetFormatPr defaultColWidth="11.42578125" defaultRowHeight="15" x14ac:dyDescent="0.25"/>
  <cols>
    <col min="1" max="1" width="50" customWidth="1"/>
  </cols>
  <sheetData>
    <row r="1" spans="1:18" x14ac:dyDescent="0.25">
      <c r="A1" s="26" t="s">
        <v>122</v>
      </c>
      <c r="B1" s="23"/>
      <c r="C1" s="23"/>
      <c r="D1" s="23"/>
      <c r="E1" s="23"/>
      <c r="F1" s="23"/>
      <c r="G1" s="23"/>
      <c r="H1" s="23"/>
      <c r="I1" s="23"/>
      <c r="J1" s="23"/>
      <c r="K1" s="23"/>
      <c r="L1" s="23"/>
      <c r="M1" s="23"/>
      <c r="N1" s="23"/>
      <c r="O1" s="23"/>
      <c r="P1" s="23"/>
      <c r="Q1" s="23"/>
      <c r="R1" s="23"/>
    </row>
    <row r="2" spans="1:18" x14ac:dyDescent="0.25">
      <c r="A2" s="27" t="s">
        <v>239</v>
      </c>
      <c r="B2" s="23"/>
      <c r="C2" s="23"/>
      <c r="D2" s="23"/>
      <c r="E2" s="23"/>
      <c r="F2" s="23"/>
      <c r="G2" s="23"/>
      <c r="H2" s="23"/>
      <c r="I2" s="23"/>
      <c r="J2" s="23"/>
      <c r="K2" s="23"/>
      <c r="L2" s="23"/>
      <c r="M2" s="23"/>
      <c r="N2" s="23"/>
      <c r="O2" s="23"/>
      <c r="P2" s="23"/>
      <c r="Q2" s="23"/>
      <c r="R2" s="23"/>
    </row>
    <row r="4" spans="1:18" ht="30" customHeight="1" x14ac:dyDescent="0.25">
      <c r="A4" s="4"/>
      <c r="B4" s="5" t="s">
        <v>123</v>
      </c>
      <c r="C4" s="5" t="s">
        <v>124</v>
      </c>
      <c r="D4" s="6" t="s">
        <v>123</v>
      </c>
      <c r="E4" s="24" t="s">
        <v>125</v>
      </c>
      <c r="F4" s="25"/>
      <c r="G4" s="24" t="s">
        <v>126</v>
      </c>
      <c r="H4" s="25"/>
      <c r="I4" s="24" t="s">
        <v>127</v>
      </c>
      <c r="J4" s="25"/>
      <c r="K4" s="24" t="s">
        <v>128</v>
      </c>
      <c r="L4" s="25"/>
      <c r="M4" s="24" t="s">
        <v>129</v>
      </c>
      <c r="N4" s="25"/>
      <c r="O4" s="24" t="s">
        <v>130</v>
      </c>
      <c r="P4" s="25"/>
      <c r="Q4" s="24" t="s">
        <v>131</v>
      </c>
      <c r="R4" s="25"/>
    </row>
    <row r="5" spans="1:18" x14ac:dyDescent="0.25">
      <c r="A5" s="7"/>
      <c r="B5" s="8" t="s">
        <v>132</v>
      </c>
      <c r="C5" s="8" t="s">
        <v>133</v>
      </c>
      <c r="D5" s="7" t="s">
        <v>134</v>
      </c>
      <c r="E5" s="8" t="s">
        <v>135</v>
      </c>
      <c r="F5" s="7" t="s">
        <v>136</v>
      </c>
      <c r="G5" s="8" t="s">
        <v>135</v>
      </c>
      <c r="H5" s="7" t="s">
        <v>136</v>
      </c>
      <c r="I5" s="8" t="s">
        <v>135</v>
      </c>
      <c r="J5" s="7" t="s">
        <v>136</v>
      </c>
      <c r="K5" s="8" t="s">
        <v>135</v>
      </c>
      <c r="L5" s="7" t="s">
        <v>136</v>
      </c>
      <c r="M5" s="8" t="s">
        <v>135</v>
      </c>
      <c r="N5" s="7" t="s">
        <v>136</v>
      </c>
      <c r="O5" s="8" t="s">
        <v>135</v>
      </c>
      <c r="P5" s="7" t="s">
        <v>136</v>
      </c>
      <c r="Q5" s="8" t="s">
        <v>135</v>
      </c>
      <c r="R5" s="7" t="s">
        <v>136</v>
      </c>
    </row>
    <row r="6" spans="1:18" x14ac:dyDescent="0.25">
      <c r="A6" s="9" t="s">
        <v>137</v>
      </c>
      <c r="B6" s="10"/>
      <c r="C6" s="10"/>
      <c r="D6" s="11"/>
      <c r="E6" s="10"/>
      <c r="F6" s="11"/>
      <c r="G6" s="10"/>
      <c r="H6" s="11"/>
      <c r="I6" s="10"/>
      <c r="J6" s="11"/>
      <c r="K6" s="10"/>
      <c r="L6" s="11"/>
      <c r="M6" s="10"/>
      <c r="N6" s="11"/>
      <c r="O6" s="10"/>
      <c r="P6" s="11"/>
      <c r="Q6" s="10"/>
      <c r="R6" s="12"/>
    </row>
    <row r="7" spans="1:18" x14ac:dyDescent="0.25">
      <c r="A7" s="11" t="s">
        <v>138</v>
      </c>
      <c r="B7" s="13">
        <v>14530</v>
      </c>
      <c r="C7" s="14">
        <f>(12127/B7*100)</f>
        <v>83.461803165863728</v>
      </c>
      <c r="D7" s="15">
        <v>2403</v>
      </c>
      <c r="E7" s="14">
        <v>63.007963169999996</v>
      </c>
      <c r="F7" s="16">
        <v>1.2117509399999999</v>
      </c>
      <c r="G7" s="14">
        <v>36.992036830000004</v>
      </c>
      <c r="H7" s="16">
        <v>1.2117509399999999</v>
      </c>
      <c r="I7" s="14" t="s">
        <v>139</v>
      </c>
      <c r="J7" s="16" t="s">
        <v>139</v>
      </c>
      <c r="K7" s="14">
        <v>0</v>
      </c>
      <c r="L7" s="16">
        <v>0</v>
      </c>
      <c r="M7" s="14">
        <v>0</v>
      </c>
      <c r="N7" s="16">
        <v>0</v>
      </c>
      <c r="O7" s="14">
        <v>0</v>
      </c>
      <c r="P7" s="16">
        <v>0</v>
      </c>
      <c r="Q7" s="14">
        <v>0</v>
      </c>
      <c r="R7" s="16">
        <v>0</v>
      </c>
    </row>
    <row r="8" spans="1:18" x14ac:dyDescent="0.25">
      <c r="A8" s="11" t="s">
        <v>140</v>
      </c>
      <c r="B8" s="13">
        <v>7007</v>
      </c>
      <c r="C8" s="14">
        <f>(5802/B8*100)</f>
        <v>82.802911374339942</v>
      </c>
      <c r="D8" s="15">
        <v>1205</v>
      </c>
      <c r="E8" s="14">
        <v>59.74577515</v>
      </c>
      <c r="F8" s="16">
        <v>1.30049503</v>
      </c>
      <c r="G8" s="14">
        <v>40.25422485</v>
      </c>
      <c r="H8" s="16">
        <v>1.30049503</v>
      </c>
      <c r="I8" s="14" t="s">
        <v>139</v>
      </c>
      <c r="J8" s="16" t="s">
        <v>139</v>
      </c>
      <c r="K8" s="14">
        <v>0</v>
      </c>
      <c r="L8" s="16">
        <v>0</v>
      </c>
      <c r="M8" s="14">
        <v>0</v>
      </c>
      <c r="N8" s="16">
        <v>0</v>
      </c>
      <c r="O8" s="14">
        <v>0</v>
      </c>
      <c r="P8" s="16">
        <v>0</v>
      </c>
      <c r="Q8" s="14">
        <v>0</v>
      </c>
      <c r="R8" s="16">
        <v>0</v>
      </c>
    </row>
    <row r="9" spans="1:18" x14ac:dyDescent="0.25">
      <c r="A9" s="11" t="s">
        <v>141</v>
      </c>
      <c r="B9" s="13">
        <v>9651</v>
      </c>
      <c r="C9" s="14">
        <f>(8069/B9*100)</f>
        <v>83.607916278105904</v>
      </c>
      <c r="D9" s="15">
        <v>1582</v>
      </c>
      <c r="E9" s="14">
        <v>65.766776440000001</v>
      </c>
      <c r="F9" s="16">
        <v>1.2183605500000001</v>
      </c>
      <c r="G9" s="14">
        <v>34.233223559999999</v>
      </c>
      <c r="H9" s="16">
        <v>1.2183605500000001</v>
      </c>
      <c r="I9" s="14" t="s">
        <v>139</v>
      </c>
      <c r="J9" s="16" t="s">
        <v>139</v>
      </c>
      <c r="K9" s="14">
        <v>0</v>
      </c>
      <c r="L9" s="16">
        <v>0</v>
      </c>
      <c r="M9" s="14">
        <v>0</v>
      </c>
      <c r="N9" s="16">
        <v>0</v>
      </c>
      <c r="O9" s="14">
        <v>0</v>
      </c>
      <c r="P9" s="16">
        <v>0</v>
      </c>
      <c r="Q9" s="14">
        <v>0</v>
      </c>
      <c r="R9" s="16">
        <v>0</v>
      </c>
    </row>
    <row r="10" spans="1:18" x14ac:dyDescent="0.25">
      <c r="A10" s="11" t="s">
        <v>142</v>
      </c>
      <c r="B10" s="13">
        <v>20058</v>
      </c>
      <c r="C10" s="14">
        <f>(16625/B10*100)</f>
        <v>82.884634559776643</v>
      </c>
      <c r="D10" s="15">
        <v>3433</v>
      </c>
      <c r="E10" s="14">
        <v>58.40735136</v>
      </c>
      <c r="F10" s="16">
        <v>1.3464000199999999</v>
      </c>
      <c r="G10" s="14">
        <v>41.59264864</v>
      </c>
      <c r="H10" s="16">
        <v>1.3464000199999999</v>
      </c>
      <c r="I10" s="14" t="s">
        <v>139</v>
      </c>
      <c r="J10" s="16" t="s">
        <v>139</v>
      </c>
      <c r="K10" s="14">
        <v>0</v>
      </c>
      <c r="L10" s="16">
        <v>0</v>
      </c>
      <c r="M10" s="14">
        <v>0</v>
      </c>
      <c r="N10" s="16">
        <v>0</v>
      </c>
      <c r="O10" s="14">
        <v>0</v>
      </c>
      <c r="P10" s="16">
        <v>0</v>
      </c>
      <c r="Q10" s="14">
        <v>0</v>
      </c>
      <c r="R10" s="16">
        <v>0</v>
      </c>
    </row>
    <row r="11" spans="1:18" x14ac:dyDescent="0.25">
      <c r="A11" s="11" t="s">
        <v>143</v>
      </c>
      <c r="B11" s="13">
        <v>7053</v>
      </c>
      <c r="C11" s="14">
        <f>(5877/B11*100)</f>
        <v>83.326244151424916</v>
      </c>
      <c r="D11" s="15">
        <v>1176</v>
      </c>
      <c r="E11" s="14">
        <v>66.108882710000003</v>
      </c>
      <c r="F11" s="16">
        <v>1.4951869900000001</v>
      </c>
      <c r="G11" s="14">
        <v>33.891117289999997</v>
      </c>
      <c r="H11" s="16">
        <v>1.4951869900000001</v>
      </c>
      <c r="I11" s="14" t="s">
        <v>139</v>
      </c>
      <c r="J11" s="16" t="s">
        <v>139</v>
      </c>
      <c r="K11" s="14">
        <v>0</v>
      </c>
      <c r="L11" s="16">
        <v>0</v>
      </c>
      <c r="M11" s="14">
        <v>0</v>
      </c>
      <c r="N11" s="16">
        <v>0</v>
      </c>
      <c r="O11" s="14">
        <v>0</v>
      </c>
      <c r="P11" s="16">
        <v>0</v>
      </c>
      <c r="Q11" s="14">
        <v>0</v>
      </c>
      <c r="R11" s="16">
        <v>0</v>
      </c>
    </row>
    <row r="12" spans="1:18" x14ac:dyDescent="0.25">
      <c r="A12" s="11" t="s">
        <v>144</v>
      </c>
      <c r="B12" s="13">
        <v>6894</v>
      </c>
      <c r="C12" s="14">
        <f>(5739/B12*100)</f>
        <v>83.246301131418619</v>
      </c>
      <c r="D12" s="15">
        <v>1155</v>
      </c>
      <c r="E12" s="14">
        <v>72.412304759999998</v>
      </c>
      <c r="F12" s="16">
        <v>1.75791064</v>
      </c>
      <c r="G12" s="14">
        <v>27.587695239999999</v>
      </c>
      <c r="H12" s="16">
        <v>1.75791064</v>
      </c>
      <c r="I12" s="14" t="s">
        <v>139</v>
      </c>
      <c r="J12" s="16" t="s">
        <v>139</v>
      </c>
      <c r="K12" s="14">
        <v>0</v>
      </c>
      <c r="L12" s="16">
        <v>0</v>
      </c>
      <c r="M12" s="14">
        <v>0</v>
      </c>
      <c r="N12" s="16">
        <v>0</v>
      </c>
      <c r="O12" s="14">
        <v>0</v>
      </c>
      <c r="P12" s="16">
        <v>0</v>
      </c>
      <c r="Q12" s="14">
        <v>0</v>
      </c>
      <c r="R12" s="16">
        <v>0</v>
      </c>
    </row>
    <row r="13" spans="1:18" x14ac:dyDescent="0.25">
      <c r="A13" s="11" t="s">
        <v>145</v>
      </c>
      <c r="B13" s="13">
        <v>7161</v>
      </c>
      <c r="C13" s="14">
        <f>(6011/B13*100)</f>
        <v>83.940790392403301</v>
      </c>
      <c r="D13" s="15">
        <v>1150</v>
      </c>
      <c r="E13" s="14">
        <v>64.36968392</v>
      </c>
      <c r="F13" s="16">
        <v>1.7091985999999999</v>
      </c>
      <c r="G13" s="14">
        <v>35.63031608</v>
      </c>
      <c r="H13" s="16">
        <v>1.7091985999999999</v>
      </c>
      <c r="I13" s="14" t="s">
        <v>139</v>
      </c>
      <c r="J13" s="16" t="s">
        <v>139</v>
      </c>
      <c r="K13" s="14">
        <v>0</v>
      </c>
      <c r="L13" s="16">
        <v>0</v>
      </c>
      <c r="M13" s="14">
        <v>0</v>
      </c>
      <c r="N13" s="16">
        <v>0</v>
      </c>
      <c r="O13" s="14">
        <v>0</v>
      </c>
      <c r="P13" s="16">
        <v>0</v>
      </c>
      <c r="Q13" s="14">
        <v>0</v>
      </c>
      <c r="R13" s="16">
        <v>0</v>
      </c>
    </row>
    <row r="14" spans="1:18" x14ac:dyDescent="0.25">
      <c r="A14" s="11" t="s">
        <v>146</v>
      </c>
      <c r="B14" s="13">
        <v>5587</v>
      </c>
      <c r="C14" s="14">
        <f>(4637/B14*100)</f>
        <v>82.996241274386975</v>
      </c>
      <c r="D14" s="15">
        <v>950</v>
      </c>
      <c r="E14" s="14">
        <v>66.890058150000002</v>
      </c>
      <c r="F14" s="16">
        <v>1.78261275</v>
      </c>
      <c r="G14" s="14">
        <v>33.109941849999998</v>
      </c>
      <c r="H14" s="16">
        <v>1.78261275</v>
      </c>
      <c r="I14" s="14" t="s">
        <v>139</v>
      </c>
      <c r="J14" s="16" t="s">
        <v>139</v>
      </c>
      <c r="K14" s="14">
        <v>0</v>
      </c>
      <c r="L14" s="16">
        <v>0</v>
      </c>
      <c r="M14" s="14">
        <v>0</v>
      </c>
      <c r="N14" s="16">
        <v>0</v>
      </c>
      <c r="O14" s="14">
        <v>0</v>
      </c>
      <c r="P14" s="16">
        <v>0</v>
      </c>
      <c r="Q14" s="14">
        <v>0</v>
      </c>
      <c r="R14" s="16">
        <v>0</v>
      </c>
    </row>
    <row r="15" spans="1:18" x14ac:dyDescent="0.25">
      <c r="A15" s="11" t="s">
        <v>147</v>
      </c>
      <c r="B15" s="13">
        <v>5882</v>
      </c>
      <c r="C15" s="14">
        <f>(4908/B15*100)</f>
        <v>83.441006460387626</v>
      </c>
      <c r="D15" s="15">
        <v>974</v>
      </c>
      <c r="E15" s="14">
        <v>66.355076879999999</v>
      </c>
      <c r="F15" s="16">
        <v>1.8743446699999999</v>
      </c>
      <c r="G15" s="14">
        <v>33.644923120000001</v>
      </c>
      <c r="H15" s="16">
        <v>1.8743446699999999</v>
      </c>
      <c r="I15" s="14" t="s">
        <v>139</v>
      </c>
      <c r="J15" s="16" t="s">
        <v>139</v>
      </c>
      <c r="K15" s="14">
        <v>0</v>
      </c>
      <c r="L15" s="16">
        <v>0</v>
      </c>
      <c r="M15" s="14">
        <v>0</v>
      </c>
      <c r="N15" s="16">
        <v>0</v>
      </c>
      <c r="O15" s="14">
        <v>0</v>
      </c>
      <c r="P15" s="16">
        <v>0</v>
      </c>
      <c r="Q15" s="14">
        <v>0</v>
      </c>
      <c r="R15" s="16">
        <v>0</v>
      </c>
    </row>
    <row r="16" spans="1:18" x14ac:dyDescent="0.25">
      <c r="A16" s="11" t="s">
        <v>148</v>
      </c>
      <c r="B16" s="13">
        <v>6108</v>
      </c>
      <c r="C16" s="14">
        <f>(5066/B16*100)</f>
        <v>82.940406024885391</v>
      </c>
      <c r="D16" s="15">
        <v>1042</v>
      </c>
      <c r="E16" s="14">
        <v>68.833056959999993</v>
      </c>
      <c r="F16" s="16">
        <v>1.4030403300000001</v>
      </c>
      <c r="G16" s="14">
        <v>31.16694304</v>
      </c>
      <c r="H16" s="16">
        <v>1.4030403300000001</v>
      </c>
      <c r="I16" s="14" t="s">
        <v>139</v>
      </c>
      <c r="J16" s="16" t="s">
        <v>139</v>
      </c>
      <c r="K16" s="14">
        <v>0</v>
      </c>
      <c r="L16" s="16">
        <v>0</v>
      </c>
      <c r="M16" s="14">
        <v>0</v>
      </c>
      <c r="N16" s="16">
        <v>0</v>
      </c>
      <c r="O16" s="14">
        <v>0</v>
      </c>
      <c r="P16" s="16">
        <v>0</v>
      </c>
      <c r="Q16" s="14">
        <v>0</v>
      </c>
      <c r="R16" s="16">
        <v>0</v>
      </c>
    </row>
    <row r="17" spans="1:18" x14ac:dyDescent="0.25">
      <c r="A17" s="11" t="s">
        <v>149</v>
      </c>
      <c r="B17" s="13">
        <v>6504</v>
      </c>
      <c r="C17" s="14">
        <f>(5429/B17*100)</f>
        <v>83.47170971709717</v>
      </c>
      <c r="D17" s="15">
        <v>1075</v>
      </c>
      <c r="E17" s="14">
        <v>57.442624299999999</v>
      </c>
      <c r="F17" s="16">
        <v>1.4007050700000001</v>
      </c>
      <c r="G17" s="14">
        <v>42.557375700000001</v>
      </c>
      <c r="H17" s="16">
        <v>1.4007050700000001</v>
      </c>
      <c r="I17" s="14" t="s">
        <v>139</v>
      </c>
      <c r="J17" s="16" t="s">
        <v>139</v>
      </c>
      <c r="K17" s="14">
        <v>0</v>
      </c>
      <c r="L17" s="16">
        <v>0</v>
      </c>
      <c r="M17" s="14">
        <v>0</v>
      </c>
      <c r="N17" s="16">
        <v>0</v>
      </c>
      <c r="O17" s="14">
        <v>0</v>
      </c>
      <c r="P17" s="16">
        <v>0</v>
      </c>
      <c r="Q17" s="14">
        <v>0</v>
      </c>
      <c r="R17" s="16">
        <v>0</v>
      </c>
    </row>
    <row r="18" spans="1:18" x14ac:dyDescent="0.25">
      <c r="A18" s="11" t="s">
        <v>150</v>
      </c>
      <c r="B18" s="13">
        <v>5532</v>
      </c>
      <c r="C18" s="14">
        <f>(4571/B18*100)</f>
        <v>82.628344179320322</v>
      </c>
      <c r="D18" s="15">
        <v>961</v>
      </c>
      <c r="E18" s="14">
        <v>74.595717140000005</v>
      </c>
      <c r="F18" s="16">
        <v>1.5238900799999999</v>
      </c>
      <c r="G18" s="14">
        <v>25.404282859999999</v>
      </c>
      <c r="H18" s="16">
        <v>1.5238900799999999</v>
      </c>
      <c r="I18" s="14" t="s">
        <v>139</v>
      </c>
      <c r="J18" s="16" t="s">
        <v>139</v>
      </c>
      <c r="K18" s="14">
        <v>0</v>
      </c>
      <c r="L18" s="16">
        <v>0</v>
      </c>
      <c r="M18" s="14">
        <v>0</v>
      </c>
      <c r="N18" s="16">
        <v>0</v>
      </c>
      <c r="O18" s="14">
        <v>0</v>
      </c>
      <c r="P18" s="16">
        <v>0</v>
      </c>
      <c r="Q18" s="14">
        <v>0</v>
      </c>
      <c r="R18" s="16">
        <v>0</v>
      </c>
    </row>
    <row r="19" spans="1:18" x14ac:dyDescent="0.25">
      <c r="A19" s="11" t="s">
        <v>151</v>
      </c>
      <c r="B19" s="13">
        <v>5658</v>
      </c>
      <c r="C19" s="14">
        <f>(4723/B19*100)</f>
        <v>83.474726051608343</v>
      </c>
      <c r="D19" s="15">
        <v>935</v>
      </c>
      <c r="E19" s="14">
        <v>67.203983089999994</v>
      </c>
      <c r="F19" s="16">
        <v>1.7071555700000001</v>
      </c>
      <c r="G19" s="14">
        <v>32.796016909999999</v>
      </c>
      <c r="H19" s="16">
        <v>1.7071555700000001</v>
      </c>
      <c r="I19" s="14" t="s">
        <v>139</v>
      </c>
      <c r="J19" s="16" t="s">
        <v>139</v>
      </c>
      <c r="K19" s="14">
        <v>0</v>
      </c>
      <c r="L19" s="16">
        <v>0</v>
      </c>
      <c r="M19" s="14">
        <v>0</v>
      </c>
      <c r="N19" s="16">
        <v>0</v>
      </c>
      <c r="O19" s="14">
        <v>0</v>
      </c>
      <c r="P19" s="16">
        <v>0</v>
      </c>
      <c r="Q19" s="14">
        <v>0</v>
      </c>
      <c r="R19" s="16">
        <v>0</v>
      </c>
    </row>
    <row r="20" spans="1:18" x14ac:dyDescent="0.25">
      <c r="A20" s="11" t="s">
        <v>152</v>
      </c>
      <c r="B20" s="13">
        <v>3371</v>
      </c>
      <c r="C20" s="14">
        <f>(2797/B20*100)</f>
        <v>82.972411747256004</v>
      </c>
      <c r="D20" s="15">
        <v>574</v>
      </c>
      <c r="E20" s="14">
        <v>70.400511989999998</v>
      </c>
      <c r="F20" s="16">
        <v>1.87982654</v>
      </c>
      <c r="G20" s="14">
        <v>29.599488010000002</v>
      </c>
      <c r="H20" s="16">
        <v>1.87982654</v>
      </c>
      <c r="I20" s="14" t="s">
        <v>139</v>
      </c>
      <c r="J20" s="16" t="s">
        <v>139</v>
      </c>
      <c r="K20" s="14">
        <v>0</v>
      </c>
      <c r="L20" s="16">
        <v>0</v>
      </c>
      <c r="M20" s="14">
        <v>0</v>
      </c>
      <c r="N20" s="16">
        <v>0</v>
      </c>
      <c r="O20" s="14">
        <v>0</v>
      </c>
      <c r="P20" s="16">
        <v>0</v>
      </c>
      <c r="Q20" s="14">
        <v>0</v>
      </c>
      <c r="R20" s="16">
        <v>0</v>
      </c>
    </row>
    <row r="21" spans="1:18" x14ac:dyDescent="0.25">
      <c r="A21" s="11" t="s">
        <v>153</v>
      </c>
      <c r="B21" s="17" t="s">
        <v>154</v>
      </c>
      <c r="C21" s="17" t="s">
        <v>154</v>
      </c>
      <c r="D21" s="18" t="s">
        <v>154</v>
      </c>
      <c r="E21" s="17" t="s">
        <v>154</v>
      </c>
      <c r="F21" s="18" t="s">
        <v>154</v>
      </c>
      <c r="G21" s="17" t="s">
        <v>154</v>
      </c>
      <c r="H21" s="18" t="s">
        <v>154</v>
      </c>
      <c r="I21" s="17" t="s">
        <v>154</v>
      </c>
      <c r="J21" s="18" t="s">
        <v>154</v>
      </c>
      <c r="K21" s="17" t="s">
        <v>154</v>
      </c>
      <c r="L21" s="18" t="s">
        <v>154</v>
      </c>
      <c r="M21" s="17" t="s">
        <v>154</v>
      </c>
      <c r="N21" s="18" t="s">
        <v>154</v>
      </c>
      <c r="O21" s="17" t="s">
        <v>154</v>
      </c>
      <c r="P21" s="18" t="s">
        <v>154</v>
      </c>
      <c r="Q21" s="17" t="s">
        <v>154</v>
      </c>
      <c r="R21" s="18" t="s">
        <v>154</v>
      </c>
    </row>
    <row r="22" spans="1:18" x14ac:dyDescent="0.25">
      <c r="A22" s="11" t="s">
        <v>155</v>
      </c>
      <c r="B22" s="13">
        <v>6598</v>
      </c>
      <c r="C22" s="14">
        <f>(5580/B22*100)</f>
        <v>84.571082146104885</v>
      </c>
      <c r="D22" s="15">
        <v>1018</v>
      </c>
      <c r="E22" s="14">
        <v>69.874953020000007</v>
      </c>
      <c r="F22" s="16">
        <v>1.4724352300000001</v>
      </c>
      <c r="G22" s="14">
        <v>30.12504698</v>
      </c>
      <c r="H22" s="16">
        <v>1.4724352300000001</v>
      </c>
      <c r="I22" s="14" t="s">
        <v>139</v>
      </c>
      <c r="J22" s="16" t="s">
        <v>139</v>
      </c>
      <c r="K22" s="14">
        <v>0</v>
      </c>
      <c r="L22" s="16">
        <v>0</v>
      </c>
      <c r="M22" s="14">
        <v>0</v>
      </c>
      <c r="N22" s="16">
        <v>0</v>
      </c>
      <c r="O22" s="14">
        <v>0</v>
      </c>
      <c r="P22" s="16">
        <v>0</v>
      </c>
      <c r="Q22" s="14">
        <v>0</v>
      </c>
      <c r="R22" s="16">
        <v>0</v>
      </c>
    </row>
    <row r="23" spans="1:18" x14ac:dyDescent="0.25">
      <c r="A23" s="11" t="s">
        <v>156</v>
      </c>
      <c r="B23" s="13">
        <v>11583</v>
      </c>
      <c r="C23" s="14">
        <f>(9624/B23*100)</f>
        <v>83.087283087283097</v>
      </c>
      <c r="D23" s="15">
        <v>1959</v>
      </c>
      <c r="E23" s="14">
        <v>68.272001160000002</v>
      </c>
      <c r="F23" s="16">
        <v>1.40304903</v>
      </c>
      <c r="G23" s="14">
        <v>31.727998840000001</v>
      </c>
      <c r="H23" s="16">
        <v>1.40304903</v>
      </c>
      <c r="I23" s="14" t="s">
        <v>139</v>
      </c>
      <c r="J23" s="16" t="s">
        <v>139</v>
      </c>
      <c r="K23" s="14">
        <v>0</v>
      </c>
      <c r="L23" s="16">
        <v>0</v>
      </c>
      <c r="M23" s="14">
        <v>0</v>
      </c>
      <c r="N23" s="16">
        <v>0</v>
      </c>
      <c r="O23" s="14">
        <v>0</v>
      </c>
      <c r="P23" s="16">
        <v>0</v>
      </c>
      <c r="Q23" s="14">
        <v>0</v>
      </c>
      <c r="R23" s="16">
        <v>0</v>
      </c>
    </row>
    <row r="24" spans="1:18" x14ac:dyDescent="0.25">
      <c r="A24" s="11" t="s">
        <v>157</v>
      </c>
      <c r="B24" s="13">
        <v>6647</v>
      </c>
      <c r="C24" s="14">
        <f>(5492/B24*100)</f>
        <v>82.623740033097633</v>
      </c>
      <c r="D24" s="15">
        <v>1155</v>
      </c>
      <c r="E24" s="14">
        <v>68.084062360000004</v>
      </c>
      <c r="F24" s="16">
        <v>1.2722786100000001</v>
      </c>
      <c r="G24" s="14">
        <v>31.915937639999999</v>
      </c>
      <c r="H24" s="16">
        <v>1.2722786100000001</v>
      </c>
      <c r="I24" s="14" t="s">
        <v>139</v>
      </c>
      <c r="J24" s="16" t="s">
        <v>139</v>
      </c>
      <c r="K24" s="14">
        <v>0</v>
      </c>
      <c r="L24" s="16">
        <v>0</v>
      </c>
      <c r="M24" s="14">
        <v>0</v>
      </c>
      <c r="N24" s="16">
        <v>0</v>
      </c>
      <c r="O24" s="14">
        <v>0</v>
      </c>
      <c r="P24" s="16">
        <v>0</v>
      </c>
      <c r="Q24" s="14">
        <v>0</v>
      </c>
      <c r="R24" s="16">
        <v>0</v>
      </c>
    </row>
    <row r="25" spans="1:18" x14ac:dyDescent="0.25">
      <c r="A25" s="11" t="s">
        <v>158</v>
      </c>
      <c r="B25" s="13">
        <v>5581</v>
      </c>
      <c r="C25" s="14">
        <f>(4618/B25*100)</f>
        <v>82.745027772800569</v>
      </c>
      <c r="D25" s="15">
        <v>963</v>
      </c>
      <c r="E25" s="14">
        <v>67.741802590000006</v>
      </c>
      <c r="F25" s="16">
        <v>1.56764999</v>
      </c>
      <c r="G25" s="14">
        <v>32.258197410000001</v>
      </c>
      <c r="H25" s="16">
        <v>1.56764999</v>
      </c>
      <c r="I25" s="14" t="s">
        <v>139</v>
      </c>
      <c r="J25" s="16" t="s">
        <v>139</v>
      </c>
      <c r="K25" s="14">
        <v>0</v>
      </c>
      <c r="L25" s="16">
        <v>0</v>
      </c>
      <c r="M25" s="14">
        <v>0</v>
      </c>
      <c r="N25" s="16">
        <v>0</v>
      </c>
      <c r="O25" s="14">
        <v>0</v>
      </c>
      <c r="P25" s="16">
        <v>0</v>
      </c>
      <c r="Q25" s="14">
        <v>0</v>
      </c>
      <c r="R25" s="16">
        <v>0</v>
      </c>
    </row>
    <row r="26" spans="1:18" x14ac:dyDescent="0.25">
      <c r="A26" s="11" t="s">
        <v>159</v>
      </c>
      <c r="B26" s="13">
        <v>4869</v>
      </c>
      <c r="C26" s="14">
        <f>(4016/B26*100)</f>
        <v>82.481002259190788</v>
      </c>
      <c r="D26" s="15">
        <v>853</v>
      </c>
      <c r="E26" s="14">
        <v>78.104537350000001</v>
      </c>
      <c r="F26" s="16">
        <v>1.6530601899999999</v>
      </c>
      <c r="G26" s="14">
        <v>21.895462649999999</v>
      </c>
      <c r="H26" s="16">
        <v>1.6530601899999999</v>
      </c>
      <c r="I26" s="14" t="s">
        <v>139</v>
      </c>
      <c r="J26" s="16" t="s">
        <v>139</v>
      </c>
      <c r="K26" s="14">
        <v>0</v>
      </c>
      <c r="L26" s="16">
        <v>0</v>
      </c>
      <c r="M26" s="14">
        <v>0</v>
      </c>
      <c r="N26" s="16">
        <v>0</v>
      </c>
      <c r="O26" s="14">
        <v>0</v>
      </c>
      <c r="P26" s="16">
        <v>0</v>
      </c>
      <c r="Q26" s="14">
        <v>0</v>
      </c>
      <c r="R26" s="16">
        <v>0</v>
      </c>
    </row>
    <row r="27" spans="1:18" x14ac:dyDescent="0.25">
      <c r="A27" s="11" t="s">
        <v>160</v>
      </c>
      <c r="B27" s="13">
        <v>5299</v>
      </c>
      <c r="C27" s="14">
        <f>(4406/B27*100)</f>
        <v>83.147763729005476</v>
      </c>
      <c r="D27" s="15">
        <v>893</v>
      </c>
      <c r="E27" s="14">
        <v>67.27560785</v>
      </c>
      <c r="F27" s="16">
        <v>1.6074283599999999</v>
      </c>
      <c r="G27" s="14">
        <v>32.72439215</v>
      </c>
      <c r="H27" s="16">
        <v>1.6074283599999999</v>
      </c>
      <c r="I27" s="14" t="s">
        <v>139</v>
      </c>
      <c r="J27" s="16" t="s">
        <v>139</v>
      </c>
      <c r="K27" s="14">
        <v>0</v>
      </c>
      <c r="L27" s="16">
        <v>0</v>
      </c>
      <c r="M27" s="14">
        <v>0</v>
      </c>
      <c r="N27" s="16">
        <v>0</v>
      </c>
      <c r="O27" s="14">
        <v>0</v>
      </c>
      <c r="P27" s="16">
        <v>0</v>
      </c>
      <c r="Q27" s="14">
        <v>0</v>
      </c>
      <c r="R27" s="16">
        <v>0</v>
      </c>
    </row>
    <row r="28" spans="1:18" x14ac:dyDescent="0.25">
      <c r="A28" s="11" t="s">
        <v>161</v>
      </c>
      <c r="B28" s="13">
        <v>7568</v>
      </c>
      <c r="C28" s="14">
        <f>(6417/B28*100)</f>
        <v>84.791226215644826</v>
      </c>
      <c r="D28" s="15">
        <v>1151</v>
      </c>
      <c r="E28" s="14">
        <v>76.526638270000007</v>
      </c>
      <c r="F28" s="16">
        <v>1.4520127899999999</v>
      </c>
      <c r="G28" s="14">
        <v>23.473361730000001</v>
      </c>
      <c r="H28" s="16">
        <v>1.4520127899999999</v>
      </c>
      <c r="I28" s="14" t="s">
        <v>139</v>
      </c>
      <c r="J28" s="16" t="s">
        <v>139</v>
      </c>
      <c r="K28" s="14">
        <v>0</v>
      </c>
      <c r="L28" s="16">
        <v>0</v>
      </c>
      <c r="M28" s="14">
        <v>0</v>
      </c>
      <c r="N28" s="16">
        <v>0</v>
      </c>
      <c r="O28" s="14">
        <v>0</v>
      </c>
      <c r="P28" s="16">
        <v>0</v>
      </c>
      <c r="Q28" s="14">
        <v>0</v>
      </c>
      <c r="R28" s="16">
        <v>0</v>
      </c>
    </row>
    <row r="29" spans="1:18" x14ac:dyDescent="0.25">
      <c r="A29" s="11" t="s">
        <v>162</v>
      </c>
      <c r="B29" s="13">
        <v>5385</v>
      </c>
      <c r="C29" s="14">
        <f>(4470/B29*100)</f>
        <v>83.008356545961007</v>
      </c>
      <c r="D29" s="15">
        <v>915</v>
      </c>
      <c r="E29" s="14">
        <v>70.512830219999998</v>
      </c>
      <c r="F29" s="16">
        <v>1.59825251</v>
      </c>
      <c r="G29" s="14">
        <v>29.487169779999999</v>
      </c>
      <c r="H29" s="16">
        <v>1.59825251</v>
      </c>
      <c r="I29" s="14" t="s">
        <v>139</v>
      </c>
      <c r="J29" s="16" t="s">
        <v>139</v>
      </c>
      <c r="K29" s="14">
        <v>0</v>
      </c>
      <c r="L29" s="16">
        <v>0</v>
      </c>
      <c r="M29" s="14">
        <v>0</v>
      </c>
      <c r="N29" s="16">
        <v>0</v>
      </c>
      <c r="O29" s="14">
        <v>0</v>
      </c>
      <c r="P29" s="16">
        <v>0</v>
      </c>
      <c r="Q29" s="14">
        <v>0</v>
      </c>
      <c r="R29" s="16">
        <v>0</v>
      </c>
    </row>
    <row r="30" spans="1:18" x14ac:dyDescent="0.25">
      <c r="A30" s="11" t="s">
        <v>163</v>
      </c>
      <c r="B30" s="13">
        <v>4520</v>
      </c>
      <c r="C30" s="14">
        <f>(3759/B30*100)</f>
        <v>83.163716814159301</v>
      </c>
      <c r="D30" s="15">
        <v>761</v>
      </c>
      <c r="E30" s="14">
        <v>70.071666739999998</v>
      </c>
      <c r="F30" s="16">
        <v>1.59351574</v>
      </c>
      <c r="G30" s="14">
        <v>29.928333259999999</v>
      </c>
      <c r="H30" s="16">
        <v>1.59351574</v>
      </c>
      <c r="I30" s="14" t="s">
        <v>139</v>
      </c>
      <c r="J30" s="16" t="s">
        <v>139</v>
      </c>
      <c r="K30" s="14">
        <v>0</v>
      </c>
      <c r="L30" s="16">
        <v>0</v>
      </c>
      <c r="M30" s="14">
        <v>0</v>
      </c>
      <c r="N30" s="16">
        <v>0</v>
      </c>
      <c r="O30" s="14">
        <v>0</v>
      </c>
      <c r="P30" s="16">
        <v>0</v>
      </c>
      <c r="Q30" s="14">
        <v>0</v>
      </c>
      <c r="R30" s="16">
        <v>0</v>
      </c>
    </row>
    <row r="31" spans="1:18" x14ac:dyDescent="0.25">
      <c r="A31" s="11" t="s">
        <v>164</v>
      </c>
      <c r="B31" s="13">
        <v>5456</v>
      </c>
      <c r="C31" s="14">
        <f>(4553/B31*100)</f>
        <v>83.449413489736074</v>
      </c>
      <c r="D31" s="15">
        <v>903</v>
      </c>
      <c r="E31" s="14">
        <v>59.398882200000003</v>
      </c>
      <c r="F31" s="16">
        <v>1.72537194</v>
      </c>
      <c r="G31" s="14">
        <v>40.601117799999997</v>
      </c>
      <c r="H31" s="16">
        <v>1.72537194</v>
      </c>
      <c r="I31" s="14" t="s">
        <v>139</v>
      </c>
      <c r="J31" s="16" t="s">
        <v>139</v>
      </c>
      <c r="K31" s="14">
        <v>0</v>
      </c>
      <c r="L31" s="16">
        <v>0</v>
      </c>
      <c r="M31" s="14">
        <v>0</v>
      </c>
      <c r="N31" s="16">
        <v>0</v>
      </c>
      <c r="O31" s="14">
        <v>0</v>
      </c>
      <c r="P31" s="16">
        <v>0</v>
      </c>
      <c r="Q31" s="14">
        <v>0</v>
      </c>
      <c r="R31" s="16">
        <v>0</v>
      </c>
    </row>
    <row r="32" spans="1:18" x14ac:dyDescent="0.25">
      <c r="A32" s="11" t="s">
        <v>165</v>
      </c>
      <c r="B32" s="17" t="s">
        <v>154</v>
      </c>
      <c r="C32" s="17" t="s">
        <v>154</v>
      </c>
      <c r="D32" s="18" t="s">
        <v>154</v>
      </c>
      <c r="E32" s="17" t="s">
        <v>154</v>
      </c>
      <c r="F32" s="18" t="s">
        <v>154</v>
      </c>
      <c r="G32" s="17" t="s">
        <v>154</v>
      </c>
      <c r="H32" s="18" t="s">
        <v>154</v>
      </c>
      <c r="I32" s="17" t="s">
        <v>154</v>
      </c>
      <c r="J32" s="18" t="s">
        <v>154</v>
      </c>
      <c r="K32" s="17" t="s">
        <v>154</v>
      </c>
      <c r="L32" s="18" t="s">
        <v>154</v>
      </c>
      <c r="M32" s="17" t="s">
        <v>154</v>
      </c>
      <c r="N32" s="18" t="s">
        <v>154</v>
      </c>
      <c r="O32" s="17" t="s">
        <v>154</v>
      </c>
      <c r="P32" s="18" t="s">
        <v>154</v>
      </c>
      <c r="Q32" s="17" t="s">
        <v>154</v>
      </c>
      <c r="R32" s="18" t="s">
        <v>154</v>
      </c>
    </row>
    <row r="33" spans="1:18" x14ac:dyDescent="0.25">
      <c r="A33" s="11" t="s">
        <v>166</v>
      </c>
      <c r="B33" s="13">
        <v>7325</v>
      </c>
      <c r="C33" s="14">
        <f>(6143/B33*100)</f>
        <v>83.863481228668945</v>
      </c>
      <c r="D33" s="15">
        <v>1182</v>
      </c>
      <c r="E33" s="14">
        <v>73.270852739999995</v>
      </c>
      <c r="F33" s="16">
        <v>1.5224810499999999</v>
      </c>
      <c r="G33" s="14">
        <v>26.729147260000001</v>
      </c>
      <c r="H33" s="16">
        <v>1.5224810499999999</v>
      </c>
      <c r="I33" s="14" t="s">
        <v>139</v>
      </c>
      <c r="J33" s="16" t="s">
        <v>139</v>
      </c>
      <c r="K33" s="14">
        <v>0</v>
      </c>
      <c r="L33" s="16">
        <v>0</v>
      </c>
      <c r="M33" s="14">
        <v>0</v>
      </c>
      <c r="N33" s="16">
        <v>0</v>
      </c>
      <c r="O33" s="14">
        <v>0</v>
      </c>
      <c r="P33" s="16">
        <v>0</v>
      </c>
      <c r="Q33" s="14">
        <v>0</v>
      </c>
      <c r="R33" s="16">
        <v>0</v>
      </c>
    </row>
    <row r="34" spans="1:18" x14ac:dyDescent="0.25">
      <c r="A34" s="11" t="s">
        <v>167</v>
      </c>
      <c r="B34" s="13">
        <v>6350</v>
      </c>
      <c r="C34" s="14">
        <f>(5310/B34*100)</f>
        <v>83.622047244094489</v>
      </c>
      <c r="D34" s="15">
        <v>1040</v>
      </c>
      <c r="E34" s="14">
        <v>74.284839149999996</v>
      </c>
      <c r="F34" s="16">
        <v>1.3781069100000001</v>
      </c>
      <c r="G34" s="14">
        <v>25.71516085</v>
      </c>
      <c r="H34" s="16">
        <v>1.3781069100000001</v>
      </c>
      <c r="I34" s="14" t="s">
        <v>139</v>
      </c>
      <c r="J34" s="16" t="s">
        <v>139</v>
      </c>
      <c r="K34" s="14">
        <v>0</v>
      </c>
      <c r="L34" s="16">
        <v>0</v>
      </c>
      <c r="M34" s="14">
        <v>0</v>
      </c>
      <c r="N34" s="16">
        <v>0</v>
      </c>
      <c r="O34" s="14">
        <v>0</v>
      </c>
      <c r="P34" s="16">
        <v>0</v>
      </c>
      <c r="Q34" s="14">
        <v>0</v>
      </c>
      <c r="R34" s="16">
        <v>0</v>
      </c>
    </row>
    <row r="35" spans="1:18" x14ac:dyDescent="0.25">
      <c r="A35" s="11" t="s">
        <v>168</v>
      </c>
      <c r="B35" s="13">
        <v>6406</v>
      </c>
      <c r="C35" s="14">
        <f>(5306/B35*100)</f>
        <v>82.828598189197621</v>
      </c>
      <c r="D35" s="15">
        <v>1100</v>
      </c>
      <c r="E35" s="14">
        <v>75.223481939999999</v>
      </c>
      <c r="F35" s="16">
        <v>1.6224547</v>
      </c>
      <c r="G35" s="14">
        <v>24.776518060000001</v>
      </c>
      <c r="H35" s="16">
        <v>1.6224547</v>
      </c>
      <c r="I35" s="14" t="s">
        <v>139</v>
      </c>
      <c r="J35" s="16" t="s">
        <v>139</v>
      </c>
      <c r="K35" s="14">
        <v>0</v>
      </c>
      <c r="L35" s="16">
        <v>0</v>
      </c>
      <c r="M35" s="14">
        <v>0</v>
      </c>
      <c r="N35" s="16">
        <v>0</v>
      </c>
      <c r="O35" s="14">
        <v>0</v>
      </c>
      <c r="P35" s="16">
        <v>0</v>
      </c>
      <c r="Q35" s="14">
        <v>0</v>
      </c>
      <c r="R35" s="16">
        <v>0</v>
      </c>
    </row>
    <row r="36" spans="1:18" x14ac:dyDescent="0.25">
      <c r="A36" s="11" t="s">
        <v>169</v>
      </c>
      <c r="B36" s="13">
        <v>6736</v>
      </c>
      <c r="C36" s="14">
        <f>(5609/B36*100)</f>
        <v>83.269002375296907</v>
      </c>
      <c r="D36" s="15">
        <v>1127</v>
      </c>
      <c r="E36" s="14">
        <v>68.090263480000004</v>
      </c>
      <c r="F36" s="16">
        <v>1.43090918</v>
      </c>
      <c r="G36" s="14">
        <v>31.909736519999999</v>
      </c>
      <c r="H36" s="16">
        <v>1.43090918</v>
      </c>
      <c r="I36" s="14" t="s">
        <v>139</v>
      </c>
      <c r="J36" s="16" t="s">
        <v>139</v>
      </c>
      <c r="K36" s="14">
        <v>0</v>
      </c>
      <c r="L36" s="16">
        <v>0</v>
      </c>
      <c r="M36" s="14">
        <v>0</v>
      </c>
      <c r="N36" s="16">
        <v>0</v>
      </c>
      <c r="O36" s="14">
        <v>0</v>
      </c>
      <c r="P36" s="16">
        <v>0</v>
      </c>
      <c r="Q36" s="14">
        <v>0</v>
      </c>
      <c r="R36" s="16">
        <v>0</v>
      </c>
    </row>
    <row r="37" spans="1:18" x14ac:dyDescent="0.25">
      <c r="A37" s="11" t="s">
        <v>170</v>
      </c>
      <c r="B37" s="13">
        <v>5458</v>
      </c>
      <c r="C37" s="14">
        <f>(4579/B37*100)</f>
        <v>83.895199706852324</v>
      </c>
      <c r="D37" s="15">
        <v>879</v>
      </c>
      <c r="E37" s="14">
        <v>63.086764160000001</v>
      </c>
      <c r="F37" s="16">
        <v>1.83775819</v>
      </c>
      <c r="G37" s="14">
        <v>36.913235839999999</v>
      </c>
      <c r="H37" s="16">
        <v>1.83775819</v>
      </c>
      <c r="I37" s="14" t="s">
        <v>139</v>
      </c>
      <c r="J37" s="16" t="s">
        <v>139</v>
      </c>
      <c r="K37" s="14">
        <v>0</v>
      </c>
      <c r="L37" s="16">
        <v>0</v>
      </c>
      <c r="M37" s="14">
        <v>0</v>
      </c>
      <c r="N37" s="16">
        <v>0</v>
      </c>
      <c r="O37" s="14">
        <v>0</v>
      </c>
      <c r="P37" s="16">
        <v>0</v>
      </c>
      <c r="Q37" s="14">
        <v>0</v>
      </c>
      <c r="R37" s="16">
        <v>0</v>
      </c>
    </row>
    <row r="38" spans="1:18" x14ac:dyDescent="0.25">
      <c r="A38" s="11" t="s">
        <v>171</v>
      </c>
      <c r="B38" s="17" t="s">
        <v>154</v>
      </c>
      <c r="C38" s="17" t="s">
        <v>154</v>
      </c>
      <c r="D38" s="18" t="s">
        <v>154</v>
      </c>
      <c r="E38" s="17" t="s">
        <v>154</v>
      </c>
      <c r="F38" s="18" t="s">
        <v>154</v>
      </c>
      <c r="G38" s="17" t="s">
        <v>154</v>
      </c>
      <c r="H38" s="18" t="s">
        <v>154</v>
      </c>
      <c r="I38" s="17" t="s">
        <v>154</v>
      </c>
      <c r="J38" s="18" t="s">
        <v>154</v>
      </c>
      <c r="K38" s="17" t="s">
        <v>154</v>
      </c>
      <c r="L38" s="18" t="s">
        <v>154</v>
      </c>
      <c r="M38" s="17" t="s">
        <v>154</v>
      </c>
      <c r="N38" s="18" t="s">
        <v>154</v>
      </c>
      <c r="O38" s="17" t="s">
        <v>154</v>
      </c>
      <c r="P38" s="18" t="s">
        <v>154</v>
      </c>
      <c r="Q38" s="17" t="s">
        <v>154</v>
      </c>
      <c r="R38" s="18" t="s">
        <v>154</v>
      </c>
    </row>
    <row r="39" spans="1:18" x14ac:dyDescent="0.25">
      <c r="A39" s="11" t="s">
        <v>172</v>
      </c>
      <c r="B39" s="13">
        <v>5895</v>
      </c>
      <c r="C39" s="14">
        <f>(4871/B39*100)</f>
        <v>82.629346904156066</v>
      </c>
      <c r="D39" s="15">
        <v>1024</v>
      </c>
      <c r="E39" s="14">
        <v>75.916611349999997</v>
      </c>
      <c r="F39" s="16">
        <v>1.48775378</v>
      </c>
      <c r="G39" s="14">
        <v>24.08338865</v>
      </c>
      <c r="H39" s="16">
        <v>1.48775378</v>
      </c>
      <c r="I39" s="14" t="s">
        <v>139</v>
      </c>
      <c r="J39" s="16" t="s">
        <v>139</v>
      </c>
      <c r="K39" s="14">
        <v>0</v>
      </c>
      <c r="L39" s="16">
        <v>0</v>
      </c>
      <c r="M39" s="14">
        <v>0</v>
      </c>
      <c r="N39" s="16">
        <v>0</v>
      </c>
      <c r="O39" s="14">
        <v>0</v>
      </c>
      <c r="P39" s="16">
        <v>0</v>
      </c>
      <c r="Q39" s="14">
        <v>0</v>
      </c>
      <c r="R39" s="16">
        <v>0</v>
      </c>
    </row>
    <row r="40" spans="1:18" x14ac:dyDescent="0.25">
      <c r="A40" s="11" t="s">
        <v>173</v>
      </c>
      <c r="B40" s="13">
        <v>14157</v>
      </c>
      <c r="C40" s="14">
        <f>(11654/B40*100)</f>
        <v>82.319700501518682</v>
      </c>
      <c r="D40" s="15">
        <v>2503</v>
      </c>
      <c r="E40" s="14">
        <v>69.777035819999995</v>
      </c>
      <c r="F40" s="16">
        <v>1.4091326200000001</v>
      </c>
      <c r="G40" s="14">
        <v>30.222964180000002</v>
      </c>
      <c r="H40" s="16">
        <v>1.4091326200000001</v>
      </c>
      <c r="I40" s="14" t="s">
        <v>139</v>
      </c>
      <c r="J40" s="16" t="s">
        <v>139</v>
      </c>
      <c r="K40" s="14">
        <v>0</v>
      </c>
      <c r="L40" s="16">
        <v>0</v>
      </c>
      <c r="M40" s="14">
        <v>0</v>
      </c>
      <c r="N40" s="16">
        <v>0</v>
      </c>
      <c r="O40" s="14">
        <v>0</v>
      </c>
      <c r="P40" s="16">
        <v>0</v>
      </c>
      <c r="Q40" s="14">
        <v>0</v>
      </c>
      <c r="R40" s="16">
        <v>0</v>
      </c>
    </row>
    <row r="41" spans="1:18" x14ac:dyDescent="0.25">
      <c r="A41" s="11" t="s">
        <v>174</v>
      </c>
      <c r="B41" s="13">
        <v>5712</v>
      </c>
      <c r="C41" s="14">
        <f>(4777/B41*100)</f>
        <v>83.63095238095238</v>
      </c>
      <c r="D41" s="15">
        <v>935</v>
      </c>
      <c r="E41" s="14">
        <v>62.655126430000003</v>
      </c>
      <c r="F41" s="16">
        <v>1.6942432199999999</v>
      </c>
      <c r="G41" s="14">
        <v>37.344873569999997</v>
      </c>
      <c r="H41" s="16">
        <v>1.6942432199999999</v>
      </c>
      <c r="I41" s="14" t="s">
        <v>139</v>
      </c>
      <c r="J41" s="16" t="s">
        <v>139</v>
      </c>
      <c r="K41" s="14">
        <v>0</v>
      </c>
      <c r="L41" s="16">
        <v>0</v>
      </c>
      <c r="M41" s="14">
        <v>0</v>
      </c>
      <c r="N41" s="16">
        <v>0</v>
      </c>
      <c r="O41" s="14">
        <v>0</v>
      </c>
      <c r="P41" s="16">
        <v>0</v>
      </c>
      <c r="Q41" s="14">
        <v>0</v>
      </c>
      <c r="R41" s="16">
        <v>0</v>
      </c>
    </row>
    <row r="42" spans="1:18" x14ac:dyDescent="0.25">
      <c r="A42" s="11" t="s">
        <v>175</v>
      </c>
      <c r="B42" s="13">
        <f>IF(COUNT(B7:B41) &gt; 0, AVERAGE(B7:B41), "\u2014")</f>
        <v>7266.90625</v>
      </c>
      <c r="C42" s="14">
        <f>IF(COUNT(C7:C41) &gt; 0, AVERAGE(C7:C41), "—")</f>
        <v>83.26007459787489</v>
      </c>
      <c r="D42" s="15">
        <f>IF(COUNT(D7:D41) &gt; 0, AVERAGE(D7:D41), "—")</f>
        <v>1218</v>
      </c>
      <c r="E42" s="14">
        <f>IF(COUNT(E7:E41) &gt; 0, AVERAGE(E7:E41), "—")</f>
        <v>68.115866339062507</v>
      </c>
      <c r="F42" s="16">
        <f>IF(COUNT(F7:F41) &gt; 0, SQRT(SUMSQ(F7:F41)/(COUNT(F7:F41)*COUNT(F7:F41)) ), "—")</f>
        <v>0.27448077056120118</v>
      </c>
      <c r="G42" s="14">
        <f>IF(COUNT(G7:G41) &gt; 0, AVERAGE(G7:G41), "—")</f>
        <v>31.884133660937497</v>
      </c>
      <c r="H42" s="16">
        <f>IF(COUNT(H7:H41) &gt; 0, SQRT(SUMSQ(H7:H41)/(COUNT(H7:H41)*COUNT(H7:H41)) ), "—")</f>
        <v>0.27448077056120118</v>
      </c>
      <c r="I42" s="14" t="str">
        <f>IF(COUNT(I7:I41) &gt; 0, AVERAGE(I7:I41), "—")</f>
        <v>—</v>
      </c>
      <c r="J42" s="16" t="str">
        <f>IF(COUNT(J7:J41) &gt; 0, SQRT(SUMSQ(J7:J41)/(COUNT(J7:J41)*COUNT(J7:J41)) ), "—")</f>
        <v>—</v>
      </c>
      <c r="K42" s="14">
        <f>IF(COUNT(K7:K41) &gt; 0, AVERAGE(K7:K41), "—")</f>
        <v>0</v>
      </c>
      <c r="L42" s="16">
        <f>IF(COUNT(L7:L41) &gt; 0, SQRT(SUMSQ(L7:L41)/(COUNT(L7:L41)*COUNT(L7:L41)) ), "—")</f>
        <v>0</v>
      </c>
      <c r="M42" s="14">
        <f>IF(COUNT(M7:M41) &gt; 0, AVERAGE(M7:M41), "—")</f>
        <v>0</v>
      </c>
      <c r="N42" s="16">
        <f>IF(COUNT(N7:N41) &gt; 0, SQRT(SUMSQ(N7:N41)/(COUNT(N7:N41)*COUNT(N7:N41)) ), "—")</f>
        <v>0</v>
      </c>
      <c r="O42" s="14">
        <f>IF(COUNT(O7:O41) &gt; 0, AVERAGE(O7:O41), "—")</f>
        <v>0</v>
      </c>
      <c r="P42" s="16">
        <f>IF(COUNT(P7:P41) &gt; 0, SQRT(SUMSQ(P7:P41)/(COUNT(P7:P41)*COUNT(P7:P41)) ), "—")</f>
        <v>0</v>
      </c>
      <c r="Q42" s="14">
        <f>IF(COUNT(Q7:Q41) &gt; 0, AVERAGE(Q7:Q41), "—")</f>
        <v>0</v>
      </c>
      <c r="R42" s="16">
        <f>IF(COUNT(R7:R41) &gt; 0, SQRT(SUMSQ(R7:R41)/(COUNT(R7:R41)*COUNT(R7:R41)) ), "—")</f>
        <v>0</v>
      </c>
    </row>
    <row r="43" spans="1:18" x14ac:dyDescent="0.25">
      <c r="A43" s="9" t="s">
        <v>176</v>
      </c>
      <c r="B43" s="10"/>
      <c r="C43" s="10"/>
      <c r="D43" s="11"/>
      <c r="E43" s="10"/>
      <c r="F43" s="11"/>
      <c r="G43" s="10"/>
      <c r="H43" s="11"/>
      <c r="I43" s="10"/>
      <c r="J43" s="11"/>
      <c r="K43" s="10"/>
      <c r="L43" s="11"/>
      <c r="M43" s="10"/>
      <c r="N43" s="11"/>
      <c r="O43" s="10"/>
      <c r="P43" s="11"/>
      <c r="Q43" s="10"/>
      <c r="R43" s="12"/>
    </row>
    <row r="44" spans="1:18" x14ac:dyDescent="0.25">
      <c r="A44" s="11" t="s">
        <v>177</v>
      </c>
      <c r="B44" s="17" t="s">
        <v>154</v>
      </c>
      <c r="C44" s="17" t="s">
        <v>154</v>
      </c>
      <c r="D44" s="18" t="s">
        <v>154</v>
      </c>
      <c r="E44" s="17" t="s">
        <v>154</v>
      </c>
      <c r="F44" s="18" t="s">
        <v>154</v>
      </c>
      <c r="G44" s="17" t="s">
        <v>154</v>
      </c>
      <c r="H44" s="18" t="s">
        <v>154</v>
      </c>
      <c r="I44" s="17" t="s">
        <v>154</v>
      </c>
      <c r="J44" s="18" t="s">
        <v>154</v>
      </c>
      <c r="K44" s="17" t="s">
        <v>154</v>
      </c>
      <c r="L44" s="18" t="s">
        <v>154</v>
      </c>
      <c r="M44" s="17" t="s">
        <v>154</v>
      </c>
      <c r="N44" s="18" t="s">
        <v>154</v>
      </c>
      <c r="O44" s="17" t="s">
        <v>154</v>
      </c>
      <c r="P44" s="18" t="s">
        <v>154</v>
      </c>
      <c r="Q44" s="17" t="s">
        <v>154</v>
      </c>
      <c r="R44" s="18" t="s">
        <v>154</v>
      </c>
    </row>
    <row r="45" spans="1:18" x14ac:dyDescent="0.25">
      <c r="A45" s="11" t="s">
        <v>178</v>
      </c>
      <c r="B45" s="17" t="s">
        <v>154</v>
      </c>
      <c r="C45" s="17" t="s">
        <v>154</v>
      </c>
      <c r="D45" s="18" t="s">
        <v>154</v>
      </c>
      <c r="E45" s="17" t="s">
        <v>154</v>
      </c>
      <c r="F45" s="18" t="s">
        <v>154</v>
      </c>
      <c r="G45" s="17" t="s">
        <v>154</v>
      </c>
      <c r="H45" s="18" t="s">
        <v>154</v>
      </c>
      <c r="I45" s="17" t="s">
        <v>154</v>
      </c>
      <c r="J45" s="18" t="s">
        <v>154</v>
      </c>
      <c r="K45" s="17" t="s">
        <v>154</v>
      </c>
      <c r="L45" s="18" t="s">
        <v>154</v>
      </c>
      <c r="M45" s="17" t="s">
        <v>154</v>
      </c>
      <c r="N45" s="18" t="s">
        <v>154</v>
      </c>
      <c r="O45" s="17" t="s">
        <v>154</v>
      </c>
      <c r="P45" s="18" t="s">
        <v>154</v>
      </c>
      <c r="Q45" s="17" t="s">
        <v>154</v>
      </c>
      <c r="R45" s="18" t="s">
        <v>154</v>
      </c>
    </row>
    <row r="46" spans="1:18" x14ac:dyDescent="0.25">
      <c r="A46" s="11" t="s">
        <v>179</v>
      </c>
      <c r="B46" s="13">
        <v>23141</v>
      </c>
      <c r="C46" s="14">
        <f>(20176/B46*100)</f>
        <v>87.18724342076834</v>
      </c>
      <c r="D46" s="15">
        <v>2965</v>
      </c>
      <c r="E46" s="14">
        <v>81.623893519999996</v>
      </c>
      <c r="F46" s="16">
        <v>0.99775665000000002</v>
      </c>
      <c r="G46" s="14">
        <v>18.376106480000001</v>
      </c>
      <c r="H46" s="16">
        <v>0.99775665000000002</v>
      </c>
      <c r="I46" s="14" t="s">
        <v>139</v>
      </c>
      <c r="J46" s="16" t="s">
        <v>139</v>
      </c>
      <c r="K46" s="14">
        <v>0</v>
      </c>
      <c r="L46" s="16">
        <v>0</v>
      </c>
      <c r="M46" s="14">
        <v>0</v>
      </c>
      <c r="N46" s="16">
        <v>0</v>
      </c>
      <c r="O46" s="14">
        <v>0</v>
      </c>
      <c r="P46" s="16">
        <v>0</v>
      </c>
      <c r="Q46" s="14">
        <v>0</v>
      </c>
      <c r="R46" s="16">
        <v>0</v>
      </c>
    </row>
    <row r="47" spans="1:18" x14ac:dyDescent="0.25">
      <c r="A47" s="11" t="s">
        <v>180</v>
      </c>
      <c r="B47" s="13">
        <v>5928</v>
      </c>
      <c r="C47" s="14">
        <f>(4958/B47*100)</f>
        <v>83.6369770580297</v>
      </c>
      <c r="D47" s="15">
        <v>970</v>
      </c>
      <c r="E47" s="14">
        <v>67.645520489999996</v>
      </c>
      <c r="F47" s="16">
        <v>1.6495491600000001</v>
      </c>
      <c r="G47" s="14">
        <v>32.354479509999997</v>
      </c>
      <c r="H47" s="16">
        <v>1.6495491600000001</v>
      </c>
      <c r="I47" s="14" t="s">
        <v>139</v>
      </c>
      <c r="J47" s="16" t="s">
        <v>139</v>
      </c>
      <c r="K47" s="14">
        <v>0</v>
      </c>
      <c r="L47" s="16">
        <v>0</v>
      </c>
      <c r="M47" s="14">
        <v>0</v>
      </c>
      <c r="N47" s="16">
        <v>0</v>
      </c>
      <c r="O47" s="14">
        <v>0</v>
      </c>
      <c r="P47" s="16">
        <v>0</v>
      </c>
      <c r="Q47" s="14">
        <v>0</v>
      </c>
      <c r="R47" s="16">
        <v>0</v>
      </c>
    </row>
    <row r="48" spans="1:18" x14ac:dyDescent="0.25">
      <c r="A48" s="11" t="s">
        <v>181</v>
      </c>
      <c r="B48" s="13">
        <v>9841</v>
      </c>
      <c r="C48" s="14">
        <f>(8160/B48*100)</f>
        <v>82.918402601361649</v>
      </c>
      <c r="D48" s="15">
        <v>1681</v>
      </c>
      <c r="E48" s="14">
        <v>75.928325830000006</v>
      </c>
      <c r="F48" s="16">
        <v>1.2474348500000001</v>
      </c>
      <c r="G48" s="14">
        <v>24.071674170000001</v>
      </c>
      <c r="H48" s="16">
        <v>1.2474348500000001</v>
      </c>
      <c r="I48" s="14" t="s">
        <v>139</v>
      </c>
      <c r="J48" s="16" t="s">
        <v>139</v>
      </c>
      <c r="K48" s="14">
        <v>0</v>
      </c>
      <c r="L48" s="16">
        <v>0</v>
      </c>
      <c r="M48" s="14">
        <v>0</v>
      </c>
      <c r="N48" s="16">
        <v>0</v>
      </c>
      <c r="O48" s="14">
        <v>0</v>
      </c>
      <c r="P48" s="16">
        <v>0</v>
      </c>
      <c r="Q48" s="14">
        <v>0</v>
      </c>
      <c r="R48" s="16">
        <v>0</v>
      </c>
    </row>
    <row r="49" spans="1:18" x14ac:dyDescent="0.25">
      <c r="A49" s="11" t="s">
        <v>182</v>
      </c>
      <c r="B49" s="17" t="s">
        <v>154</v>
      </c>
      <c r="C49" s="17" t="s">
        <v>154</v>
      </c>
      <c r="D49" s="18" t="s">
        <v>154</v>
      </c>
      <c r="E49" s="17" t="s">
        <v>154</v>
      </c>
      <c r="F49" s="18" t="s">
        <v>154</v>
      </c>
      <c r="G49" s="17" t="s">
        <v>154</v>
      </c>
      <c r="H49" s="18" t="s">
        <v>154</v>
      </c>
      <c r="I49" s="17" t="s">
        <v>154</v>
      </c>
      <c r="J49" s="18" t="s">
        <v>154</v>
      </c>
      <c r="K49" s="17" t="s">
        <v>154</v>
      </c>
      <c r="L49" s="18" t="s">
        <v>154</v>
      </c>
      <c r="M49" s="17" t="s">
        <v>154</v>
      </c>
      <c r="N49" s="18" t="s">
        <v>154</v>
      </c>
      <c r="O49" s="17" t="s">
        <v>154</v>
      </c>
      <c r="P49" s="18" t="s">
        <v>154</v>
      </c>
      <c r="Q49" s="17" t="s">
        <v>154</v>
      </c>
      <c r="R49" s="18" t="s">
        <v>154</v>
      </c>
    </row>
    <row r="50" spans="1:18" x14ac:dyDescent="0.25">
      <c r="A50" s="11" t="s">
        <v>183</v>
      </c>
      <c r="B50" s="13">
        <v>11795</v>
      </c>
      <c r="C50" s="14">
        <f>(9898/B50*100)</f>
        <v>83.916913946587528</v>
      </c>
      <c r="D50" s="15">
        <v>1897</v>
      </c>
      <c r="E50" s="14">
        <v>66.524641610000003</v>
      </c>
      <c r="F50" s="16">
        <v>1.3643931499999999</v>
      </c>
      <c r="G50" s="14">
        <v>33.475358389999997</v>
      </c>
      <c r="H50" s="16">
        <v>1.3643931499999999</v>
      </c>
      <c r="I50" s="14" t="s">
        <v>139</v>
      </c>
      <c r="J50" s="16" t="s">
        <v>139</v>
      </c>
      <c r="K50" s="14">
        <v>0</v>
      </c>
      <c r="L50" s="16">
        <v>0</v>
      </c>
      <c r="M50" s="14">
        <v>0</v>
      </c>
      <c r="N50" s="16">
        <v>0</v>
      </c>
      <c r="O50" s="14">
        <v>0</v>
      </c>
      <c r="P50" s="16">
        <v>0</v>
      </c>
      <c r="Q50" s="14">
        <v>0</v>
      </c>
      <c r="R50" s="16">
        <v>0</v>
      </c>
    </row>
    <row r="51" spans="1:18" x14ac:dyDescent="0.25">
      <c r="A51" s="11" t="s">
        <v>184</v>
      </c>
      <c r="B51" s="13">
        <v>6866</v>
      </c>
      <c r="C51" s="14">
        <f>(5894/B51*100)</f>
        <v>85.843285755898634</v>
      </c>
      <c r="D51" s="15">
        <v>972</v>
      </c>
      <c r="E51" s="14">
        <v>76.019841299999996</v>
      </c>
      <c r="F51" s="16">
        <v>1.7459032000000001</v>
      </c>
      <c r="G51" s="14">
        <v>23.9801587</v>
      </c>
      <c r="H51" s="16">
        <v>1.7459032000000001</v>
      </c>
      <c r="I51" s="14" t="s">
        <v>139</v>
      </c>
      <c r="J51" s="16" t="s">
        <v>139</v>
      </c>
      <c r="K51" s="14">
        <v>0</v>
      </c>
      <c r="L51" s="16">
        <v>0</v>
      </c>
      <c r="M51" s="14">
        <v>0</v>
      </c>
      <c r="N51" s="16">
        <v>0</v>
      </c>
      <c r="O51" s="14">
        <v>0</v>
      </c>
      <c r="P51" s="16">
        <v>0</v>
      </c>
      <c r="Q51" s="14">
        <v>0</v>
      </c>
      <c r="R51" s="16">
        <v>0</v>
      </c>
    </row>
    <row r="52" spans="1:18" x14ac:dyDescent="0.25">
      <c r="A52" s="11" t="s">
        <v>185</v>
      </c>
      <c r="B52" s="13">
        <v>5809</v>
      </c>
      <c r="C52" s="14">
        <f>(4808/B52*100)</f>
        <v>82.768118436908239</v>
      </c>
      <c r="D52" s="15">
        <v>1001</v>
      </c>
      <c r="E52" s="14">
        <v>72.684411710000006</v>
      </c>
      <c r="F52" s="16">
        <v>1.37078341</v>
      </c>
      <c r="G52" s="14">
        <v>27.315588290000001</v>
      </c>
      <c r="H52" s="16">
        <v>1.37078341</v>
      </c>
      <c r="I52" s="14" t="s">
        <v>139</v>
      </c>
      <c r="J52" s="16" t="s">
        <v>139</v>
      </c>
      <c r="K52" s="14">
        <v>0</v>
      </c>
      <c r="L52" s="16">
        <v>0</v>
      </c>
      <c r="M52" s="14">
        <v>0</v>
      </c>
      <c r="N52" s="16">
        <v>0</v>
      </c>
      <c r="O52" s="14">
        <v>0</v>
      </c>
      <c r="P52" s="16">
        <v>0</v>
      </c>
      <c r="Q52" s="14">
        <v>0</v>
      </c>
      <c r="R52" s="16">
        <v>0</v>
      </c>
    </row>
    <row r="53" spans="1:18" x14ac:dyDescent="0.25">
      <c r="A53" s="11" t="s">
        <v>186</v>
      </c>
      <c r="B53" s="13">
        <v>5571</v>
      </c>
      <c r="C53" s="14">
        <f>(4622/B53*100)</f>
        <v>82.965356309459708</v>
      </c>
      <c r="D53" s="15">
        <v>949</v>
      </c>
      <c r="E53" s="14">
        <v>77.930957320000005</v>
      </c>
      <c r="F53" s="16">
        <v>1.41094053</v>
      </c>
      <c r="G53" s="14">
        <v>22.069042679999999</v>
      </c>
      <c r="H53" s="16">
        <v>1.41094053</v>
      </c>
      <c r="I53" s="14" t="s">
        <v>139</v>
      </c>
      <c r="J53" s="16" t="s">
        <v>139</v>
      </c>
      <c r="K53" s="14">
        <v>0</v>
      </c>
      <c r="L53" s="16">
        <v>0</v>
      </c>
      <c r="M53" s="14">
        <v>0</v>
      </c>
      <c r="N53" s="16">
        <v>0</v>
      </c>
      <c r="O53" s="14">
        <v>0</v>
      </c>
      <c r="P53" s="16">
        <v>0</v>
      </c>
      <c r="Q53" s="14">
        <v>0</v>
      </c>
      <c r="R53" s="16">
        <v>0</v>
      </c>
    </row>
    <row r="54" spans="1:18" x14ac:dyDescent="0.25">
      <c r="A54" s="11" t="s">
        <v>187</v>
      </c>
      <c r="B54" s="17" t="s">
        <v>154</v>
      </c>
      <c r="C54" s="17" t="s">
        <v>154</v>
      </c>
      <c r="D54" s="18" t="s">
        <v>154</v>
      </c>
      <c r="E54" s="17" t="s">
        <v>154</v>
      </c>
      <c r="F54" s="18" t="s">
        <v>154</v>
      </c>
      <c r="G54" s="17" t="s">
        <v>154</v>
      </c>
      <c r="H54" s="18" t="s">
        <v>154</v>
      </c>
      <c r="I54" s="17" t="s">
        <v>154</v>
      </c>
      <c r="J54" s="18" t="s">
        <v>154</v>
      </c>
      <c r="K54" s="17" t="s">
        <v>154</v>
      </c>
      <c r="L54" s="18" t="s">
        <v>154</v>
      </c>
      <c r="M54" s="17" t="s">
        <v>154</v>
      </c>
      <c r="N54" s="18" t="s">
        <v>154</v>
      </c>
      <c r="O54" s="17" t="s">
        <v>154</v>
      </c>
      <c r="P54" s="18" t="s">
        <v>154</v>
      </c>
      <c r="Q54" s="17" t="s">
        <v>154</v>
      </c>
      <c r="R54" s="18" t="s">
        <v>154</v>
      </c>
    </row>
    <row r="55" spans="1:18" x14ac:dyDescent="0.25">
      <c r="A55" s="11" t="s">
        <v>188</v>
      </c>
      <c r="B55" s="17" t="s">
        <v>154</v>
      </c>
      <c r="C55" s="17" t="s">
        <v>154</v>
      </c>
      <c r="D55" s="18" t="s">
        <v>154</v>
      </c>
      <c r="E55" s="17" t="s">
        <v>154</v>
      </c>
      <c r="F55" s="18" t="s">
        <v>154</v>
      </c>
      <c r="G55" s="17" t="s">
        <v>154</v>
      </c>
      <c r="H55" s="18" t="s">
        <v>154</v>
      </c>
      <c r="I55" s="17" t="s">
        <v>154</v>
      </c>
      <c r="J55" s="18" t="s">
        <v>154</v>
      </c>
      <c r="K55" s="17" t="s">
        <v>154</v>
      </c>
      <c r="L55" s="18" t="s">
        <v>154</v>
      </c>
      <c r="M55" s="17" t="s">
        <v>154</v>
      </c>
      <c r="N55" s="18" t="s">
        <v>154</v>
      </c>
      <c r="O55" s="17" t="s">
        <v>154</v>
      </c>
      <c r="P55" s="18" t="s">
        <v>154</v>
      </c>
      <c r="Q55" s="17" t="s">
        <v>154</v>
      </c>
      <c r="R55" s="18" t="s">
        <v>154</v>
      </c>
    </row>
    <row r="56" spans="1:18" x14ac:dyDescent="0.25">
      <c r="A56" s="11" t="s">
        <v>189</v>
      </c>
      <c r="B56" s="13">
        <v>5359</v>
      </c>
      <c r="C56" s="14">
        <f>(4449/B56*100)</f>
        <v>83.019220003732045</v>
      </c>
      <c r="D56" s="15">
        <v>910</v>
      </c>
      <c r="E56" s="14">
        <v>0</v>
      </c>
      <c r="F56" s="16">
        <v>0</v>
      </c>
      <c r="G56" s="14">
        <v>0</v>
      </c>
      <c r="H56" s="16">
        <v>0</v>
      </c>
      <c r="I56" s="14" t="s">
        <v>139</v>
      </c>
      <c r="J56" s="16" t="s">
        <v>139</v>
      </c>
      <c r="K56" s="14">
        <v>0</v>
      </c>
      <c r="L56" s="16">
        <v>0</v>
      </c>
      <c r="M56" s="14">
        <v>100</v>
      </c>
      <c r="N56" s="16">
        <v>0</v>
      </c>
      <c r="O56" s="14">
        <v>0</v>
      </c>
      <c r="P56" s="16">
        <v>0</v>
      </c>
      <c r="Q56" s="14">
        <v>0</v>
      </c>
      <c r="R56" s="16">
        <v>0</v>
      </c>
    </row>
    <row r="57" spans="1:18" x14ac:dyDescent="0.25">
      <c r="A57" s="11" t="s">
        <v>190</v>
      </c>
      <c r="B57" s="17" t="s">
        <v>154</v>
      </c>
      <c r="C57" s="17" t="s">
        <v>154</v>
      </c>
      <c r="D57" s="18" t="s">
        <v>154</v>
      </c>
      <c r="E57" s="17" t="s">
        <v>154</v>
      </c>
      <c r="F57" s="18" t="s">
        <v>154</v>
      </c>
      <c r="G57" s="17" t="s">
        <v>154</v>
      </c>
      <c r="H57" s="18" t="s">
        <v>154</v>
      </c>
      <c r="I57" s="17" t="s">
        <v>154</v>
      </c>
      <c r="J57" s="18" t="s">
        <v>154</v>
      </c>
      <c r="K57" s="17" t="s">
        <v>154</v>
      </c>
      <c r="L57" s="18" t="s">
        <v>154</v>
      </c>
      <c r="M57" s="17" t="s">
        <v>154</v>
      </c>
      <c r="N57" s="18" t="s">
        <v>154</v>
      </c>
      <c r="O57" s="17" t="s">
        <v>154</v>
      </c>
      <c r="P57" s="18" t="s">
        <v>154</v>
      </c>
      <c r="Q57" s="17" t="s">
        <v>154</v>
      </c>
      <c r="R57" s="18" t="s">
        <v>154</v>
      </c>
    </row>
    <row r="58" spans="1:18" x14ac:dyDescent="0.25">
      <c r="A58" s="11" t="s">
        <v>191</v>
      </c>
      <c r="B58" s="17" t="s">
        <v>154</v>
      </c>
      <c r="C58" s="17" t="s">
        <v>154</v>
      </c>
      <c r="D58" s="18" t="s">
        <v>154</v>
      </c>
      <c r="E58" s="17" t="s">
        <v>154</v>
      </c>
      <c r="F58" s="18" t="s">
        <v>154</v>
      </c>
      <c r="G58" s="17" t="s">
        <v>154</v>
      </c>
      <c r="H58" s="18" t="s">
        <v>154</v>
      </c>
      <c r="I58" s="17" t="s">
        <v>154</v>
      </c>
      <c r="J58" s="18" t="s">
        <v>154</v>
      </c>
      <c r="K58" s="17" t="s">
        <v>154</v>
      </c>
      <c r="L58" s="18" t="s">
        <v>154</v>
      </c>
      <c r="M58" s="17" t="s">
        <v>154</v>
      </c>
      <c r="N58" s="18" t="s">
        <v>154</v>
      </c>
      <c r="O58" s="17" t="s">
        <v>154</v>
      </c>
      <c r="P58" s="18" t="s">
        <v>154</v>
      </c>
      <c r="Q58" s="17" t="s">
        <v>154</v>
      </c>
      <c r="R58" s="18" t="s">
        <v>154</v>
      </c>
    </row>
    <row r="59" spans="1:18" x14ac:dyDescent="0.25">
      <c r="A59" s="11" t="s">
        <v>192</v>
      </c>
      <c r="B59" s="17" t="s">
        <v>154</v>
      </c>
      <c r="C59" s="17" t="s">
        <v>154</v>
      </c>
      <c r="D59" s="18" t="s">
        <v>154</v>
      </c>
      <c r="E59" s="17" t="s">
        <v>154</v>
      </c>
      <c r="F59" s="18" t="s">
        <v>154</v>
      </c>
      <c r="G59" s="17" t="s">
        <v>154</v>
      </c>
      <c r="H59" s="18" t="s">
        <v>154</v>
      </c>
      <c r="I59" s="17" t="s">
        <v>154</v>
      </c>
      <c r="J59" s="18" t="s">
        <v>154</v>
      </c>
      <c r="K59" s="17" t="s">
        <v>154</v>
      </c>
      <c r="L59" s="18" t="s">
        <v>154</v>
      </c>
      <c r="M59" s="17" t="s">
        <v>154</v>
      </c>
      <c r="N59" s="18" t="s">
        <v>154</v>
      </c>
      <c r="O59" s="17" t="s">
        <v>154</v>
      </c>
      <c r="P59" s="18" t="s">
        <v>154</v>
      </c>
      <c r="Q59" s="17" t="s">
        <v>154</v>
      </c>
      <c r="R59" s="18" t="s">
        <v>154</v>
      </c>
    </row>
    <row r="60" spans="1:18" x14ac:dyDescent="0.25">
      <c r="A60" s="11" t="s">
        <v>193</v>
      </c>
      <c r="B60" s="17" t="s">
        <v>154</v>
      </c>
      <c r="C60" s="17" t="s">
        <v>154</v>
      </c>
      <c r="D60" s="18" t="s">
        <v>154</v>
      </c>
      <c r="E60" s="17" t="s">
        <v>154</v>
      </c>
      <c r="F60" s="18" t="s">
        <v>154</v>
      </c>
      <c r="G60" s="17" t="s">
        <v>154</v>
      </c>
      <c r="H60" s="18" t="s">
        <v>154</v>
      </c>
      <c r="I60" s="17" t="s">
        <v>154</v>
      </c>
      <c r="J60" s="18" t="s">
        <v>154</v>
      </c>
      <c r="K60" s="17" t="s">
        <v>154</v>
      </c>
      <c r="L60" s="18" t="s">
        <v>154</v>
      </c>
      <c r="M60" s="17" t="s">
        <v>154</v>
      </c>
      <c r="N60" s="18" t="s">
        <v>154</v>
      </c>
      <c r="O60" s="17" t="s">
        <v>154</v>
      </c>
      <c r="P60" s="18" t="s">
        <v>154</v>
      </c>
      <c r="Q60" s="17" t="s">
        <v>154</v>
      </c>
      <c r="R60" s="18" t="s">
        <v>154</v>
      </c>
    </row>
    <row r="61" spans="1:18" x14ac:dyDescent="0.25">
      <c r="A61" s="11" t="s">
        <v>194</v>
      </c>
      <c r="B61" s="13">
        <v>6525</v>
      </c>
      <c r="C61" s="14">
        <f>(5408/B61*100)</f>
        <v>82.88122605363985</v>
      </c>
      <c r="D61" s="15">
        <v>1117</v>
      </c>
      <c r="E61" s="14">
        <v>59.044286659999997</v>
      </c>
      <c r="F61" s="16">
        <v>1.7004620399999999</v>
      </c>
      <c r="G61" s="14">
        <v>40.955713340000003</v>
      </c>
      <c r="H61" s="16">
        <v>1.7004620399999999</v>
      </c>
      <c r="I61" s="14" t="s">
        <v>139</v>
      </c>
      <c r="J61" s="16" t="s">
        <v>139</v>
      </c>
      <c r="K61" s="14">
        <v>0</v>
      </c>
      <c r="L61" s="16">
        <v>0</v>
      </c>
      <c r="M61" s="14">
        <v>0</v>
      </c>
      <c r="N61" s="16">
        <v>0</v>
      </c>
      <c r="O61" s="14">
        <v>0</v>
      </c>
      <c r="P61" s="16">
        <v>0</v>
      </c>
      <c r="Q61" s="14">
        <v>0</v>
      </c>
      <c r="R61" s="16">
        <v>0</v>
      </c>
    </row>
    <row r="62" spans="1:18" x14ac:dyDescent="0.25">
      <c r="A62" s="11" t="s">
        <v>195</v>
      </c>
      <c r="B62" s="13">
        <v>4476</v>
      </c>
      <c r="C62" s="14">
        <f>(3712/B62*100)</f>
        <v>82.931188561215379</v>
      </c>
      <c r="D62" s="15">
        <v>764</v>
      </c>
      <c r="E62" s="14">
        <v>13.933371279999999</v>
      </c>
      <c r="F62" s="16">
        <v>1.4111722799999999</v>
      </c>
      <c r="G62" s="14">
        <v>4.5848071099999999</v>
      </c>
      <c r="H62" s="16">
        <v>0.81622802999999999</v>
      </c>
      <c r="I62" s="14" t="s">
        <v>139</v>
      </c>
      <c r="J62" s="16" t="s">
        <v>139</v>
      </c>
      <c r="K62" s="14">
        <v>0</v>
      </c>
      <c r="L62" s="16">
        <v>0</v>
      </c>
      <c r="M62" s="14">
        <v>81.481821609999997</v>
      </c>
      <c r="N62" s="16">
        <v>1.5878162600000001</v>
      </c>
      <c r="O62" s="14">
        <v>0</v>
      </c>
      <c r="P62" s="16">
        <v>0</v>
      </c>
      <c r="Q62" s="14">
        <v>0</v>
      </c>
      <c r="R62" s="16">
        <v>0</v>
      </c>
    </row>
    <row r="63" spans="1:18" x14ac:dyDescent="0.25">
      <c r="A63" s="11" t="s">
        <v>196</v>
      </c>
      <c r="B63" s="17" t="s">
        <v>154</v>
      </c>
      <c r="C63" s="17" t="s">
        <v>154</v>
      </c>
      <c r="D63" s="18" t="s">
        <v>154</v>
      </c>
      <c r="E63" s="17" t="s">
        <v>154</v>
      </c>
      <c r="F63" s="18" t="s">
        <v>154</v>
      </c>
      <c r="G63" s="17" t="s">
        <v>154</v>
      </c>
      <c r="H63" s="18" t="s">
        <v>154</v>
      </c>
      <c r="I63" s="17" t="s">
        <v>154</v>
      </c>
      <c r="J63" s="18" t="s">
        <v>154</v>
      </c>
      <c r="K63" s="17" t="s">
        <v>154</v>
      </c>
      <c r="L63" s="18" t="s">
        <v>154</v>
      </c>
      <c r="M63" s="17" t="s">
        <v>154</v>
      </c>
      <c r="N63" s="18" t="s">
        <v>154</v>
      </c>
      <c r="O63" s="17" t="s">
        <v>154</v>
      </c>
      <c r="P63" s="18" t="s">
        <v>154</v>
      </c>
      <c r="Q63" s="17" t="s">
        <v>154</v>
      </c>
      <c r="R63" s="18" t="s">
        <v>154</v>
      </c>
    </row>
    <row r="64" spans="1:18" x14ac:dyDescent="0.25">
      <c r="A64" s="11" t="s">
        <v>197</v>
      </c>
      <c r="B64" s="17" t="s">
        <v>154</v>
      </c>
      <c r="C64" s="17" t="s">
        <v>154</v>
      </c>
      <c r="D64" s="18" t="s">
        <v>154</v>
      </c>
      <c r="E64" s="17" t="s">
        <v>154</v>
      </c>
      <c r="F64" s="18" t="s">
        <v>154</v>
      </c>
      <c r="G64" s="17" t="s">
        <v>154</v>
      </c>
      <c r="H64" s="18" t="s">
        <v>154</v>
      </c>
      <c r="I64" s="17" t="s">
        <v>154</v>
      </c>
      <c r="J64" s="18" t="s">
        <v>154</v>
      </c>
      <c r="K64" s="17" t="s">
        <v>154</v>
      </c>
      <c r="L64" s="18" t="s">
        <v>154</v>
      </c>
      <c r="M64" s="17" t="s">
        <v>154</v>
      </c>
      <c r="N64" s="18" t="s">
        <v>154</v>
      </c>
      <c r="O64" s="17" t="s">
        <v>154</v>
      </c>
      <c r="P64" s="18" t="s">
        <v>154</v>
      </c>
      <c r="Q64" s="17" t="s">
        <v>154</v>
      </c>
      <c r="R64" s="18" t="s">
        <v>154</v>
      </c>
    </row>
    <row r="65" spans="1:18" x14ac:dyDescent="0.25">
      <c r="A65" s="11" t="s">
        <v>198</v>
      </c>
      <c r="B65" s="17" t="s">
        <v>154</v>
      </c>
      <c r="C65" s="17" t="s">
        <v>154</v>
      </c>
      <c r="D65" s="18" t="s">
        <v>154</v>
      </c>
      <c r="E65" s="17" t="s">
        <v>154</v>
      </c>
      <c r="F65" s="18" t="s">
        <v>154</v>
      </c>
      <c r="G65" s="17" t="s">
        <v>154</v>
      </c>
      <c r="H65" s="18" t="s">
        <v>154</v>
      </c>
      <c r="I65" s="17" t="s">
        <v>154</v>
      </c>
      <c r="J65" s="18" t="s">
        <v>154</v>
      </c>
      <c r="K65" s="17" t="s">
        <v>154</v>
      </c>
      <c r="L65" s="18" t="s">
        <v>154</v>
      </c>
      <c r="M65" s="17" t="s">
        <v>154</v>
      </c>
      <c r="N65" s="18" t="s">
        <v>154</v>
      </c>
      <c r="O65" s="17" t="s">
        <v>154</v>
      </c>
      <c r="P65" s="18" t="s">
        <v>154</v>
      </c>
      <c r="Q65" s="17" t="s">
        <v>154</v>
      </c>
      <c r="R65" s="18" t="s">
        <v>154</v>
      </c>
    </row>
    <row r="66" spans="1:18" x14ac:dyDescent="0.25">
      <c r="A66" s="11" t="s">
        <v>199</v>
      </c>
      <c r="B66" s="13">
        <v>5665</v>
      </c>
      <c r="C66" s="14">
        <f>(4730/B66*100)</f>
        <v>83.495145631067956</v>
      </c>
      <c r="D66" s="15">
        <v>935</v>
      </c>
      <c r="E66" s="14">
        <v>68.194079790000004</v>
      </c>
      <c r="F66" s="16">
        <v>1.3661836999999999</v>
      </c>
      <c r="G66" s="14">
        <v>31.80592021</v>
      </c>
      <c r="H66" s="16">
        <v>1.3661836999999999</v>
      </c>
      <c r="I66" s="14" t="s">
        <v>139</v>
      </c>
      <c r="J66" s="16" t="s">
        <v>139</v>
      </c>
      <c r="K66" s="14">
        <v>0</v>
      </c>
      <c r="L66" s="16">
        <v>0</v>
      </c>
      <c r="M66" s="14">
        <v>0</v>
      </c>
      <c r="N66" s="16">
        <v>0</v>
      </c>
      <c r="O66" s="14">
        <v>0</v>
      </c>
      <c r="P66" s="16">
        <v>0</v>
      </c>
      <c r="Q66" s="14">
        <v>0</v>
      </c>
      <c r="R66" s="16">
        <v>0</v>
      </c>
    </row>
    <row r="67" spans="1:18" x14ac:dyDescent="0.25">
      <c r="A67" s="11" t="s">
        <v>200</v>
      </c>
      <c r="B67" s="13">
        <v>6971</v>
      </c>
      <c r="C67" s="14">
        <f>(5966/B67*100)</f>
        <v>85.583130110457603</v>
      </c>
      <c r="D67" s="15">
        <v>1005</v>
      </c>
      <c r="E67" s="14">
        <v>75.735257430000004</v>
      </c>
      <c r="F67" s="16">
        <v>1.25231768</v>
      </c>
      <c r="G67" s="14">
        <v>24.264742569999999</v>
      </c>
      <c r="H67" s="16">
        <v>1.25231768</v>
      </c>
      <c r="I67" s="14" t="s">
        <v>139</v>
      </c>
      <c r="J67" s="16" t="s">
        <v>139</v>
      </c>
      <c r="K67" s="14">
        <v>0</v>
      </c>
      <c r="L67" s="16">
        <v>0</v>
      </c>
      <c r="M67" s="14">
        <v>0</v>
      </c>
      <c r="N67" s="16">
        <v>0</v>
      </c>
      <c r="O67" s="14">
        <v>0</v>
      </c>
      <c r="P67" s="16">
        <v>0</v>
      </c>
      <c r="Q67" s="14">
        <v>0</v>
      </c>
      <c r="R67" s="16">
        <v>0</v>
      </c>
    </row>
    <row r="68" spans="1:18" x14ac:dyDescent="0.25">
      <c r="A68" s="11" t="s">
        <v>201</v>
      </c>
      <c r="B68" s="17" t="s">
        <v>154</v>
      </c>
      <c r="C68" s="17" t="s">
        <v>154</v>
      </c>
      <c r="D68" s="18" t="s">
        <v>154</v>
      </c>
      <c r="E68" s="17" t="s">
        <v>154</v>
      </c>
      <c r="F68" s="18" t="s">
        <v>154</v>
      </c>
      <c r="G68" s="17" t="s">
        <v>154</v>
      </c>
      <c r="H68" s="18" t="s">
        <v>154</v>
      </c>
      <c r="I68" s="17" t="s">
        <v>154</v>
      </c>
      <c r="J68" s="18" t="s">
        <v>154</v>
      </c>
      <c r="K68" s="17" t="s">
        <v>154</v>
      </c>
      <c r="L68" s="18" t="s">
        <v>154</v>
      </c>
      <c r="M68" s="17" t="s">
        <v>154</v>
      </c>
      <c r="N68" s="18" t="s">
        <v>154</v>
      </c>
      <c r="O68" s="17" t="s">
        <v>154</v>
      </c>
      <c r="P68" s="18" t="s">
        <v>154</v>
      </c>
      <c r="Q68" s="17" t="s">
        <v>154</v>
      </c>
      <c r="R68" s="18" t="s">
        <v>154</v>
      </c>
    </row>
    <row r="69" spans="1:18" x14ac:dyDescent="0.25">
      <c r="A69" s="11" t="s">
        <v>202</v>
      </c>
      <c r="B69" s="17" t="s">
        <v>154</v>
      </c>
      <c r="C69" s="17" t="s">
        <v>154</v>
      </c>
      <c r="D69" s="18" t="s">
        <v>154</v>
      </c>
      <c r="E69" s="17" t="s">
        <v>154</v>
      </c>
      <c r="F69" s="18" t="s">
        <v>154</v>
      </c>
      <c r="G69" s="17" t="s">
        <v>154</v>
      </c>
      <c r="H69" s="18" t="s">
        <v>154</v>
      </c>
      <c r="I69" s="17" t="s">
        <v>154</v>
      </c>
      <c r="J69" s="18" t="s">
        <v>154</v>
      </c>
      <c r="K69" s="17" t="s">
        <v>154</v>
      </c>
      <c r="L69" s="18" t="s">
        <v>154</v>
      </c>
      <c r="M69" s="17" t="s">
        <v>154</v>
      </c>
      <c r="N69" s="18" t="s">
        <v>154</v>
      </c>
      <c r="O69" s="17" t="s">
        <v>154</v>
      </c>
      <c r="P69" s="18" t="s">
        <v>154</v>
      </c>
      <c r="Q69" s="17" t="s">
        <v>154</v>
      </c>
      <c r="R69" s="18" t="s">
        <v>154</v>
      </c>
    </row>
    <row r="70" spans="1:18" x14ac:dyDescent="0.25">
      <c r="A70" s="11" t="s">
        <v>203</v>
      </c>
      <c r="B70" s="13">
        <v>6036</v>
      </c>
      <c r="C70" s="14">
        <f>(5036/B70*100)</f>
        <v>83.432736911862165</v>
      </c>
      <c r="D70" s="15">
        <v>1000</v>
      </c>
      <c r="E70" s="14">
        <v>74.478295950000003</v>
      </c>
      <c r="F70" s="16">
        <v>1.50198744</v>
      </c>
      <c r="G70" s="14">
        <v>25.52170405</v>
      </c>
      <c r="H70" s="16">
        <v>1.50198744</v>
      </c>
      <c r="I70" s="14" t="s">
        <v>139</v>
      </c>
      <c r="J70" s="16" t="s">
        <v>139</v>
      </c>
      <c r="K70" s="14">
        <v>0</v>
      </c>
      <c r="L70" s="16">
        <v>0</v>
      </c>
      <c r="M70" s="14">
        <v>0</v>
      </c>
      <c r="N70" s="16">
        <v>0</v>
      </c>
      <c r="O70" s="14">
        <v>0</v>
      </c>
      <c r="P70" s="16">
        <v>0</v>
      </c>
      <c r="Q70" s="14">
        <v>0</v>
      </c>
      <c r="R70" s="16">
        <v>0</v>
      </c>
    </row>
    <row r="71" spans="1:18" x14ac:dyDescent="0.25">
      <c r="A71" s="11" t="s">
        <v>204</v>
      </c>
      <c r="B71" s="17" t="s">
        <v>154</v>
      </c>
      <c r="C71" s="17" t="s">
        <v>154</v>
      </c>
      <c r="D71" s="18" t="s">
        <v>154</v>
      </c>
      <c r="E71" s="17" t="s">
        <v>154</v>
      </c>
      <c r="F71" s="18" t="s">
        <v>154</v>
      </c>
      <c r="G71" s="17" t="s">
        <v>154</v>
      </c>
      <c r="H71" s="18" t="s">
        <v>154</v>
      </c>
      <c r="I71" s="17" t="s">
        <v>154</v>
      </c>
      <c r="J71" s="18" t="s">
        <v>154</v>
      </c>
      <c r="K71" s="17" t="s">
        <v>154</v>
      </c>
      <c r="L71" s="18" t="s">
        <v>154</v>
      </c>
      <c r="M71" s="17" t="s">
        <v>154</v>
      </c>
      <c r="N71" s="18" t="s">
        <v>154</v>
      </c>
      <c r="O71" s="17" t="s">
        <v>154</v>
      </c>
      <c r="P71" s="18" t="s">
        <v>154</v>
      </c>
      <c r="Q71" s="17" t="s">
        <v>154</v>
      </c>
      <c r="R71" s="18" t="s">
        <v>154</v>
      </c>
    </row>
    <row r="72" spans="1:18" x14ac:dyDescent="0.25">
      <c r="A72" s="11" t="s">
        <v>205</v>
      </c>
      <c r="B72" s="13">
        <v>7708</v>
      </c>
      <c r="C72" s="14">
        <f>(6391/B72*100)</f>
        <v>82.913855734302018</v>
      </c>
      <c r="D72" s="15">
        <v>1317</v>
      </c>
      <c r="E72" s="14">
        <v>77.137364230000003</v>
      </c>
      <c r="F72" s="16">
        <v>1.3323048500000001</v>
      </c>
      <c r="G72" s="14">
        <v>22.862635770000001</v>
      </c>
      <c r="H72" s="16">
        <v>1.3323048500000001</v>
      </c>
      <c r="I72" s="14" t="s">
        <v>139</v>
      </c>
      <c r="J72" s="16" t="s">
        <v>139</v>
      </c>
      <c r="K72" s="14">
        <v>0</v>
      </c>
      <c r="L72" s="16">
        <v>0</v>
      </c>
      <c r="M72" s="14">
        <v>0</v>
      </c>
      <c r="N72" s="16">
        <v>0</v>
      </c>
      <c r="O72" s="14">
        <v>0</v>
      </c>
      <c r="P72" s="16">
        <v>0</v>
      </c>
      <c r="Q72" s="14">
        <v>0</v>
      </c>
      <c r="R72" s="16">
        <v>0</v>
      </c>
    </row>
    <row r="73" spans="1:18" x14ac:dyDescent="0.25">
      <c r="A73" s="11" t="s">
        <v>206</v>
      </c>
      <c r="B73" s="13">
        <v>8249</v>
      </c>
      <c r="C73" s="14">
        <f>(6936/B73*100)</f>
        <v>84.082919141714157</v>
      </c>
      <c r="D73" s="15">
        <v>1313</v>
      </c>
      <c r="E73" s="14">
        <v>74.712533359999995</v>
      </c>
      <c r="F73" s="16">
        <v>1.5394989699999999</v>
      </c>
      <c r="G73" s="14">
        <v>25.287466640000002</v>
      </c>
      <c r="H73" s="16">
        <v>1.5394989699999999</v>
      </c>
      <c r="I73" s="14" t="s">
        <v>139</v>
      </c>
      <c r="J73" s="16" t="s">
        <v>139</v>
      </c>
      <c r="K73" s="14">
        <v>0</v>
      </c>
      <c r="L73" s="16">
        <v>0</v>
      </c>
      <c r="M73" s="14">
        <v>0</v>
      </c>
      <c r="N73" s="16">
        <v>0</v>
      </c>
      <c r="O73" s="14">
        <v>0</v>
      </c>
      <c r="P73" s="16">
        <v>0</v>
      </c>
      <c r="Q73" s="14">
        <v>0</v>
      </c>
      <c r="R73" s="16">
        <v>0</v>
      </c>
    </row>
    <row r="74" spans="1:18" x14ac:dyDescent="0.25">
      <c r="A74" s="11" t="s">
        <v>207</v>
      </c>
      <c r="B74" s="17" t="s">
        <v>154</v>
      </c>
      <c r="C74" s="17" t="s">
        <v>154</v>
      </c>
      <c r="D74" s="18" t="s">
        <v>154</v>
      </c>
      <c r="E74" s="17" t="s">
        <v>154</v>
      </c>
      <c r="F74" s="18" t="s">
        <v>154</v>
      </c>
      <c r="G74" s="17" t="s">
        <v>154</v>
      </c>
      <c r="H74" s="18" t="s">
        <v>154</v>
      </c>
      <c r="I74" s="17" t="s">
        <v>154</v>
      </c>
      <c r="J74" s="18" t="s">
        <v>154</v>
      </c>
      <c r="K74" s="17" t="s">
        <v>154</v>
      </c>
      <c r="L74" s="18" t="s">
        <v>154</v>
      </c>
      <c r="M74" s="17" t="s">
        <v>154</v>
      </c>
      <c r="N74" s="18" t="s">
        <v>154</v>
      </c>
      <c r="O74" s="17" t="s">
        <v>154</v>
      </c>
      <c r="P74" s="18" t="s">
        <v>154</v>
      </c>
      <c r="Q74" s="17" t="s">
        <v>154</v>
      </c>
      <c r="R74" s="18" t="s">
        <v>154</v>
      </c>
    </row>
    <row r="75" spans="1:18" x14ac:dyDescent="0.25">
      <c r="A75" s="11" t="s">
        <v>208</v>
      </c>
      <c r="B75" s="13">
        <v>5375</v>
      </c>
      <c r="C75" s="14">
        <f>(4541/B75*100)</f>
        <v>84.48372093023255</v>
      </c>
      <c r="D75" s="15">
        <v>834</v>
      </c>
      <c r="E75" s="14">
        <v>72.697995379999995</v>
      </c>
      <c r="F75" s="16">
        <v>1.46556117</v>
      </c>
      <c r="G75" s="14">
        <v>27.302004620000002</v>
      </c>
      <c r="H75" s="16">
        <v>1.46556117</v>
      </c>
      <c r="I75" s="14" t="s">
        <v>139</v>
      </c>
      <c r="J75" s="16" t="s">
        <v>139</v>
      </c>
      <c r="K75" s="14">
        <v>0</v>
      </c>
      <c r="L75" s="16">
        <v>0</v>
      </c>
      <c r="M75" s="14">
        <v>0</v>
      </c>
      <c r="N75" s="16">
        <v>0</v>
      </c>
      <c r="O75" s="14">
        <v>0</v>
      </c>
      <c r="P75" s="16">
        <v>0</v>
      </c>
      <c r="Q75" s="14">
        <v>0</v>
      </c>
      <c r="R75" s="16">
        <v>0</v>
      </c>
    </row>
    <row r="76" spans="1:18" x14ac:dyDescent="0.25">
      <c r="A76" s="11" t="s">
        <v>209</v>
      </c>
      <c r="B76" s="13">
        <v>14167</v>
      </c>
      <c r="C76" s="14">
        <f>(11797/B76*100)</f>
        <v>83.270981859250369</v>
      </c>
      <c r="D76" s="15">
        <v>2370</v>
      </c>
      <c r="E76" s="14">
        <v>76.850205799999998</v>
      </c>
      <c r="F76" s="16">
        <v>0.97534087999999997</v>
      </c>
      <c r="G76" s="14">
        <v>23.149794199999999</v>
      </c>
      <c r="H76" s="16">
        <v>0.97534087999999997</v>
      </c>
      <c r="I76" s="14" t="s">
        <v>139</v>
      </c>
      <c r="J76" s="16" t="s">
        <v>139</v>
      </c>
      <c r="K76" s="14">
        <v>0</v>
      </c>
      <c r="L76" s="16">
        <v>0</v>
      </c>
      <c r="M76" s="14">
        <v>0</v>
      </c>
      <c r="N76" s="16">
        <v>0</v>
      </c>
      <c r="O76" s="14">
        <v>0</v>
      </c>
      <c r="P76" s="16">
        <v>0</v>
      </c>
      <c r="Q76" s="14">
        <v>0</v>
      </c>
      <c r="R76" s="16">
        <v>0</v>
      </c>
    </row>
    <row r="77" spans="1:18" x14ac:dyDescent="0.25">
      <c r="A77" s="11" t="s">
        <v>210</v>
      </c>
      <c r="B77" s="13">
        <v>6062</v>
      </c>
      <c r="C77" s="14">
        <f>(5056/B77*100)</f>
        <v>83.404816892114809</v>
      </c>
      <c r="D77" s="15">
        <v>1006</v>
      </c>
      <c r="E77" s="14">
        <v>70.277946349999993</v>
      </c>
      <c r="F77" s="16">
        <v>1.46360158</v>
      </c>
      <c r="G77" s="14">
        <v>29.722053649999999</v>
      </c>
      <c r="H77" s="16">
        <v>1.46360158</v>
      </c>
      <c r="I77" s="14" t="s">
        <v>139</v>
      </c>
      <c r="J77" s="16" t="s">
        <v>139</v>
      </c>
      <c r="K77" s="14">
        <v>0</v>
      </c>
      <c r="L77" s="16">
        <v>0</v>
      </c>
      <c r="M77" s="14">
        <v>0</v>
      </c>
      <c r="N77" s="16">
        <v>0</v>
      </c>
      <c r="O77" s="14">
        <v>0</v>
      </c>
      <c r="P77" s="16">
        <v>0</v>
      </c>
      <c r="Q77" s="14">
        <v>0</v>
      </c>
      <c r="R77" s="16">
        <v>0</v>
      </c>
    </row>
    <row r="78" spans="1:18" x14ac:dyDescent="0.25">
      <c r="A78" s="11" t="s">
        <v>211</v>
      </c>
      <c r="B78" s="17" t="s">
        <v>154</v>
      </c>
      <c r="C78" s="17" t="s">
        <v>154</v>
      </c>
      <c r="D78" s="18" t="s">
        <v>154</v>
      </c>
      <c r="E78" s="17" t="s">
        <v>154</v>
      </c>
      <c r="F78" s="18" t="s">
        <v>154</v>
      </c>
      <c r="G78" s="17" t="s">
        <v>154</v>
      </c>
      <c r="H78" s="18" t="s">
        <v>154</v>
      </c>
      <c r="I78" s="17" t="s">
        <v>154</v>
      </c>
      <c r="J78" s="18" t="s">
        <v>154</v>
      </c>
      <c r="K78" s="17" t="s">
        <v>154</v>
      </c>
      <c r="L78" s="18" t="s">
        <v>154</v>
      </c>
      <c r="M78" s="17" t="s">
        <v>154</v>
      </c>
      <c r="N78" s="18" t="s">
        <v>154</v>
      </c>
      <c r="O78" s="17" t="s">
        <v>154</v>
      </c>
      <c r="P78" s="18" t="s">
        <v>154</v>
      </c>
      <c r="Q78" s="17" t="s">
        <v>154</v>
      </c>
      <c r="R78" s="18" t="s">
        <v>154</v>
      </c>
    </row>
    <row r="79" spans="1:18" ht="24.95" customHeight="1" x14ac:dyDescent="0.25">
      <c r="A79" s="11" t="s">
        <v>212</v>
      </c>
      <c r="B79" s="17" t="s">
        <v>154</v>
      </c>
      <c r="C79" s="17" t="s">
        <v>154</v>
      </c>
      <c r="D79" s="18" t="s">
        <v>154</v>
      </c>
      <c r="E79" s="17" t="s">
        <v>154</v>
      </c>
      <c r="F79" s="18" t="s">
        <v>154</v>
      </c>
      <c r="G79" s="17" t="s">
        <v>154</v>
      </c>
      <c r="H79" s="18" t="s">
        <v>154</v>
      </c>
      <c r="I79" s="17" t="s">
        <v>154</v>
      </c>
      <c r="J79" s="18" t="s">
        <v>154</v>
      </c>
      <c r="K79" s="17" t="s">
        <v>154</v>
      </c>
      <c r="L79" s="18" t="s">
        <v>154</v>
      </c>
      <c r="M79" s="17" t="s">
        <v>154</v>
      </c>
      <c r="N79" s="18" t="s">
        <v>154</v>
      </c>
      <c r="O79" s="17" t="s">
        <v>154</v>
      </c>
      <c r="P79" s="18" t="s">
        <v>154</v>
      </c>
      <c r="Q79" s="17" t="s">
        <v>154</v>
      </c>
      <c r="R79" s="18" t="s">
        <v>154</v>
      </c>
    </row>
    <row r="80" spans="1:18" x14ac:dyDescent="0.25">
      <c r="A80" s="11" t="s">
        <v>213</v>
      </c>
      <c r="B80" s="17" t="s">
        <v>154</v>
      </c>
      <c r="C80" s="17" t="s">
        <v>154</v>
      </c>
      <c r="D80" s="18" t="s">
        <v>154</v>
      </c>
      <c r="E80" s="17" t="s">
        <v>154</v>
      </c>
      <c r="F80" s="18" t="s">
        <v>154</v>
      </c>
      <c r="G80" s="17" t="s">
        <v>154</v>
      </c>
      <c r="H80" s="18" t="s">
        <v>154</v>
      </c>
      <c r="I80" s="17" t="s">
        <v>154</v>
      </c>
      <c r="J80" s="18" t="s">
        <v>154</v>
      </c>
      <c r="K80" s="17" t="s">
        <v>154</v>
      </c>
      <c r="L80" s="18" t="s">
        <v>154</v>
      </c>
      <c r="M80" s="17" t="s">
        <v>154</v>
      </c>
      <c r="N80" s="18" t="s">
        <v>154</v>
      </c>
      <c r="O80" s="17" t="s">
        <v>154</v>
      </c>
      <c r="P80" s="18" t="s">
        <v>154</v>
      </c>
      <c r="Q80" s="17" t="s">
        <v>154</v>
      </c>
      <c r="R80" s="18" t="s">
        <v>154</v>
      </c>
    </row>
    <row r="81" spans="1:18" x14ac:dyDescent="0.25">
      <c r="A81" s="19" t="s">
        <v>214</v>
      </c>
      <c r="B81" s="13">
        <v>8861</v>
      </c>
      <c r="C81" s="14">
        <f>(7328/B81*100)</f>
        <v>82.699469585825526</v>
      </c>
      <c r="D81" s="15">
        <v>1533</v>
      </c>
      <c r="E81" s="14">
        <v>75.786855270000004</v>
      </c>
      <c r="F81" s="16">
        <v>1.3561674399999999</v>
      </c>
      <c r="G81" s="14">
        <v>24.21314473</v>
      </c>
      <c r="H81" s="16">
        <v>1.3561674399999999</v>
      </c>
      <c r="I81" s="14" t="s">
        <v>139</v>
      </c>
      <c r="J81" s="16" t="s">
        <v>139</v>
      </c>
      <c r="K81" s="14">
        <v>0</v>
      </c>
      <c r="L81" s="16">
        <v>0</v>
      </c>
      <c r="M81" s="14">
        <v>0</v>
      </c>
      <c r="N81" s="16">
        <v>0</v>
      </c>
      <c r="O81" s="14">
        <v>0</v>
      </c>
      <c r="P81" s="16">
        <v>0</v>
      </c>
      <c r="Q81" s="14">
        <v>0</v>
      </c>
      <c r="R81" s="16">
        <v>0</v>
      </c>
    </row>
    <row r="82" spans="1:18" x14ac:dyDescent="0.25">
      <c r="A82" s="20"/>
      <c r="B82" s="20" t="s">
        <v>215</v>
      </c>
      <c r="C82" s="20" t="s">
        <v>215</v>
      </c>
      <c r="D82" s="20" t="s">
        <v>215</v>
      </c>
      <c r="E82" s="20" t="s">
        <v>215</v>
      </c>
      <c r="F82" s="20" t="s">
        <v>215</v>
      </c>
      <c r="G82" s="20" t="s">
        <v>215</v>
      </c>
      <c r="H82" s="20" t="s">
        <v>215</v>
      </c>
      <c r="I82" s="20" t="s">
        <v>215</v>
      </c>
      <c r="J82" s="20" t="s">
        <v>215</v>
      </c>
      <c r="K82" s="20" t="s">
        <v>215</v>
      </c>
      <c r="L82" s="20" t="s">
        <v>215</v>
      </c>
      <c r="M82" s="20" t="s">
        <v>215</v>
      </c>
      <c r="N82" s="20" t="s">
        <v>215</v>
      </c>
      <c r="O82" s="20" t="s">
        <v>215</v>
      </c>
      <c r="P82" s="20" t="s">
        <v>215</v>
      </c>
      <c r="Q82" s="20" t="s">
        <v>215</v>
      </c>
      <c r="R82" s="20" t="s">
        <v>215</v>
      </c>
    </row>
    <row r="83" spans="1:18" x14ac:dyDescent="0.25">
      <c r="A83" s="3" t="s">
        <v>216</v>
      </c>
    </row>
    <row r="84" spans="1:18" x14ac:dyDescent="0.25">
      <c r="A84" s="22" t="s">
        <v>217</v>
      </c>
      <c r="B84" s="23"/>
      <c r="C84" s="23"/>
      <c r="D84" s="23"/>
      <c r="E84" s="23"/>
      <c r="F84" s="23"/>
      <c r="G84" s="23"/>
      <c r="H84" s="23"/>
      <c r="I84" s="23"/>
      <c r="J84" s="23"/>
      <c r="K84" s="23"/>
      <c r="L84" s="23"/>
      <c r="M84" s="23"/>
      <c r="N84" s="23"/>
      <c r="O84" s="23"/>
      <c r="P84" s="23"/>
      <c r="Q84" s="23"/>
      <c r="R84" s="23"/>
    </row>
    <row r="85" spans="1:18" x14ac:dyDescent="0.25">
      <c r="A85" s="22" t="s">
        <v>218</v>
      </c>
      <c r="B85" s="23"/>
      <c r="C85" s="23"/>
      <c r="D85" s="23"/>
      <c r="E85" s="23"/>
      <c r="F85" s="23"/>
      <c r="G85" s="23"/>
      <c r="H85" s="23"/>
      <c r="I85" s="23"/>
      <c r="J85" s="23"/>
      <c r="K85" s="23"/>
      <c r="L85" s="23"/>
      <c r="M85" s="23"/>
      <c r="N85" s="23"/>
      <c r="O85" s="23"/>
      <c r="P85" s="23"/>
      <c r="Q85" s="23"/>
      <c r="R85" s="23"/>
    </row>
    <row r="86" spans="1:18" ht="30" customHeight="1" x14ac:dyDescent="0.25">
      <c r="A86" s="22" t="s">
        <v>219</v>
      </c>
      <c r="B86" s="23"/>
      <c r="C86" s="23"/>
      <c r="D86" s="23"/>
      <c r="E86" s="23"/>
      <c r="F86" s="23"/>
      <c r="G86" s="23"/>
      <c r="H86" s="23"/>
      <c r="I86" s="23"/>
      <c r="J86" s="23"/>
      <c r="K86" s="23"/>
      <c r="L86" s="23"/>
      <c r="M86" s="23"/>
      <c r="N86" s="23"/>
      <c r="O86" s="23"/>
      <c r="P86" s="23"/>
      <c r="Q86" s="23"/>
      <c r="R86" s="23"/>
    </row>
    <row r="87" spans="1:18" ht="30" customHeight="1" x14ac:dyDescent="0.25">
      <c r="A87" s="22" t="s">
        <v>215</v>
      </c>
      <c r="B87" s="23"/>
      <c r="C87" s="23"/>
      <c r="D87" s="23"/>
      <c r="E87" s="23"/>
      <c r="F87" s="23"/>
      <c r="G87" s="23"/>
      <c r="H87" s="23"/>
      <c r="I87" s="23"/>
      <c r="J87" s="23"/>
      <c r="K87" s="23"/>
      <c r="L87" s="23"/>
      <c r="M87" s="23"/>
      <c r="N87" s="23"/>
      <c r="O87" s="23"/>
      <c r="P87" s="23"/>
      <c r="Q87" s="23"/>
      <c r="R87" s="23"/>
    </row>
    <row r="88" spans="1:18" ht="30" customHeight="1" x14ac:dyDescent="0.25">
      <c r="A88" s="22" t="s">
        <v>220</v>
      </c>
      <c r="B88" s="23"/>
      <c r="C88" s="23"/>
      <c r="D88" s="23"/>
      <c r="E88" s="23"/>
      <c r="F88" s="23"/>
      <c r="G88" s="23"/>
      <c r="H88" s="23"/>
      <c r="I88" s="23"/>
      <c r="J88" s="23"/>
      <c r="K88" s="23"/>
      <c r="L88" s="23"/>
      <c r="M88" s="23"/>
      <c r="N88" s="23"/>
      <c r="O88" s="23"/>
      <c r="P88" s="23"/>
      <c r="Q88" s="23"/>
      <c r="R88" s="23"/>
    </row>
    <row r="89" spans="1:18" ht="30" customHeight="1" x14ac:dyDescent="0.25">
      <c r="A89" s="22" t="s">
        <v>221</v>
      </c>
      <c r="B89" s="23"/>
      <c r="C89" s="23"/>
      <c r="D89" s="23"/>
      <c r="E89" s="23"/>
      <c r="F89" s="23"/>
      <c r="G89" s="23"/>
      <c r="H89" s="23"/>
      <c r="I89" s="23"/>
      <c r="J89" s="23"/>
      <c r="K89" s="23"/>
      <c r="L89" s="23"/>
      <c r="M89" s="23"/>
      <c r="N89" s="23"/>
      <c r="O89" s="23"/>
      <c r="P89" s="23"/>
      <c r="Q89" s="23"/>
      <c r="R89" s="23"/>
    </row>
    <row r="90" spans="1:18" ht="30" customHeight="1" x14ac:dyDescent="0.25">
      <c r="A90" s="22" t="s">
        <v>222</v>
      </c>
      <c r="B90" s="23"/>
      <c r="C90" s="23"/>
      <c r="D90" s="23"/>
      <c r="E90" s="23"/>
      <c r="F90" s="23"/>
      <c r="G90" s="23"/>
      <c r="H90" s="23"/>
      <c r="I90" s="23"/>
      <c r="J90" s="23"/>
      <c r="K90" s="23"/>
      <c r="L90" s="23"/>
      <c r="M90" s="23"/>
      <c r="N90" s="23"/>
      <c r="O90" s="23"/>
      <c r="P90" s="23"/>
      <c r="Q90" s="23"/>
      <c r="R90" s="23"/>
    </row>
    <row r="91" spans="1:18" ht="30" customHeight="1" x14ac:dyDescent="0.25">
      <c r="A91" s="22" t="s">
        <v>223</v>
      </c>
      <c r="B91" s="23"/>
      <c r="C91" s="23"/>
      <c r="D91" s="23"/>
      <c r="E91" s="23"/>
      <c r="F91" s="23"/>
      <c r="G91" s="23"/>
      <c r="H91" s="23"/>
      <c r="I91" s="23"/>
      <c r="J91" s="23"/>
      <c r="K91" s="23"/>
      <c r="L91" s="23"/>
      <c r="M91" s="23"/>
      <c r="N91" s="23"/>
      <c r="O91" s="23"/>
      <c r="P91" s="23"/>
      <c r="Q91" s="23"/>
      <c r="R91" s="23"/>
    </row>
    <row r="92" spans="1:18" ht="30" customHeight="1" x14ac:dyDescent="0.25">
      <c r="A92" s="22" t="s">
        <v>224</v>
      </c>
      <c r="B92" s="23"/>
      <c r="C92" s="23"/>
      <c r="D92" s="23"/>
      <c r="E92" s="23"/>
      <c r="F92" s="23"/>
      <c r="G92" s="23"/>
      <c r="H92" s="23"/>
      <c r="I92" s="23"/>
      <c r="J92" s="23"/>
      <c r="K92" s="23"/>
      <c r="L92" s="23"/>
      <c r="M92" s="23"/>
      <c r="N92" s="23"/>
      <c r="O92" s="23"/>
      <c r="P92" s="23"/>
      <c r="Q92" s="23"/>
      <c r="R92" s="23"/>
    </row>
    <row r="93" spans="1:18" ht="30" customHeight="1" x14ac:dyDescent="0.25">
      <c r="A93" s="22" t="s">
        <v>225</v>
      </c>
      <c r="B93" s="23"/>
      <c r="C93" s="23"/>
      <c r="D93" s="23"/>
      <c r="E93" s="23"/>
      <c r="F93" s="23"/>
      <c r="G93" s="23"/>
      <c r="H93" s="23"/>
      <c r="I93" s="23"/>
      <c r="J93" s="23"/>
      <c r="K93" s="23"/>
      <c r="L93" s="23"/>
      <c r="M93" s="23"/>
      <c r="N93" s="23"/>
      <c r="O93" s="23"/>
      <c r="P93" s="23"/>
      <c r="Q93" s="23"/>
      <c r="R93" s="23"/>
    </row>
    <row r="94" spans="1:18" ht="30" customHeight="1" x14ac:dyDescent="0.25">
      <c r="A94" s="22" t="s">
        <v>226</v>
      </c>
      <c r="B94" s="23"/>
      <c r="C94" s="23"/>
      <c r="D94" s="23"/>
      <c r="E94" s="23"/>
      <c r="F94" s="23"/>
      <c r="G94" s="23"/>
      <c r="H94" s="23"/>
      <c r="I94" s="23"/>
      <c r="J94" s="23"/>
      <c r="K94" s="23"/>
      <c r="L94" s="23"/>
      <c r="M94" s="23"/>
      <c r="N94" s="23"/>
      <c r="O94" s="23"/>
      <c r="P94" s="23"/>
      <c r="Q94" s="23"/>
      <c r="R94" s="23"/>
    </row>
    <row r="95" spans="1:18" ht="30" customHeight="1" x14ac:dyDescent="0.25">
      <c r="A95" s="22" t="s">
        <v>227</v>
      </c>
      <c r="B95" s="23"/>
      <c r="C95" s="23"/>
      <c r="D95" s="23"/>
      <c r="E95" s="23"/>
      <c r="F95" s="23"/>
      <c r="G95" s="23"/>
      <c r="H95" s="23"/>
      <c r="I95" s="23"/>
      <c r="J95" s="23"/>
      <c r="K95" s="23"/>
      <c r="L95" s="23"/>
      <c r="M95" s="23"/>
      <c r="N95" s="23"/>
      <c r="O95" s="23"/>
      <c r="P95" s="23"/>
      <c r="Q95" s="23"/>
      <c r="R95" s="23"/>
    </row>
    <row r="96" spans="1:18" ht="30" customHeight="1" x14ac:dyDescent="0.25">
      <c r="A96" s="22" t="s">
        <v>228</v>
      </c>
      <c r="B96" s="23"/>
      <c r="C96" s="23"/>
      <c r="D96" s="23"/>
      <c r="E96" s="23"/>
      <c r="F96" s="23"/>
      <c r="G96" s="23"/>
      <c r="H96" s="23"/>
      <c r="I96" s="23"/>
      <c r="J96" s="23"/>
      <c r="K96" s="23"/>
      <c r="L96" s="23"/>
      <c r="M96" s="23"/>
      <c r="N96" s="23"/>
      <c r="O96" s="23"/>
      <c r="P96" s="23"/>
      <c r="Q96" s="23"/>
      <c r="R96" s="23"/>
    </row>
  </sheetData>
  <mergeCells count="22">
    <mergeCell ref="O4:P4"/>
    <mergeCell ref="Q4:R4"/>
    <mergeCell ref="A1:R1"/>
    <mergeCell ref="A2:R2"/>
    <mergeCell ref="A84:R84"/>
    <mergeCell ref="E4:F4"/>
    <mergeCell ref="G4:H4"/>
    <mergeCell ref="I4:J4"/>
    <mergeCell ref="K4:L4"/>
    <mergeCell ref="M4:N4"/>
    <mergeCell ref="A85:R85"/>
    <mergeCell ref="A86:R86"/>
    <mergeCell ref="A87:R87"/>
    <mergeCell ref="A88:R88"/>
    <mergeCell ref="A89:R89"/>
    <mergeCell ref="A95:R95"/>
    <mergeCell ref="A96:R96"/>
    <mergeCell ref="A90:R90"/>
    <mergeCell ref="A91:R91"/>
    <mergeCell ref="A92:R92"/>
    <mergeCell ref="A93:R93"/>
    <mergeCell ref="A94:R94"/>
  </mergeCells>
  <pageMargins left="0.75" right="0.75" top="1" bottom="1" header="0.5" footer="0.5"/>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1"/>
  <dimension ref="A1:R96"/>
  <sheetViews>
    <sheetView zoomScale="80" workbookViewId="0">
      <pane xSplit="4" topLeftCell="E1" activePane="topRight" state="frozen"/>
      <selection sqref="A1:R1"/>
      <selection pane="topRight" sqref="A1:R1"/>
    </sheetView>
  </sheetViews>
  <sheetFormatPr defaultColWidth="11.42578125" defaultRowHeight="15" x14ac:dyDescent="0.25"/>
  <cols>
    <col min="1" max="1" width="50" customWidth="1"/>
  </cols>
  <sheetData>
    <row r="1" spans="1:18" x14ac:dyDescent="0.25">
      <c r="A1" s="26" t="s">
        <v>122</v>
      </c>
      <c r="B1" s="23"/>
      <c r="C1" s="23"/>
      <c r="D1" s="23"/>
      <c r="E1" s="23"/>
      <c r="F1" s="23"/>
      <c r="G1" s="23"/>
      <c r="H1" s="23"/>
      <c r="I1" s="23"/>
      <c r="J1" s="23"/>
      <c r="K1" s="23"/>
      <c r="L1" s="23"/>
      <c r="M1" s="23"/>
      <c r="N1" s="23"/>
      <c r="O1" s="23"/>
      <c r="P1" s="23"/>
      <c r="Q1" s="23"/>
      <c r="R1" s="23"/>
    </row>
    <row r="2" spans="1:18" x14ac:dyDescent="0.25">
      <c r="A2" s="27" t="s">
        <v>257</v>
      </c>
      <c r="B2" s="23"/>
      <c r="C2" s="23"/>
      <c r="D2" s="23"/>
      <c r="E2" s="23"/>
      <c r="F2" s="23"/>
      <c r="G2" s="23"/>
      <c r="H2" s="23"/>
      <c r="I2" s="23"/>
      <c r="J2" s="23"/>
      <c r="K2" s="23"/>
      <c r="L2" s="23"/>
      <c r="M2" s="23"/>
      <c r="N2" s="23"/>
      <c r="O2" s="23"/>
      <c r="P2" s="23"/>
      <c r="Q2" s="23"/>
      <c r="R2" s="23"/>
    </row>
    <row r="4" spans="1:18" ht="30" customHeight="1" x14ac:dyDescent="0.25">
      <c r="A4" s="4"/>
      <c r="B4" s="5" t="s">
        <v>123</v>
      </c>
      <c r="C4" s="5" t="s">
        <v>124</v>
      </c>
      <c r="D4" s="6" t="s">
        <v>123</v>
      </c>
      <c r="E4" s="24" t="s">
        <v>125</v>
      </c>
      <c r="F4" s="25"/>
      <c r="G4" s="24" t="s">
        <v>126</v>
      </c>
      <c r="H4" s="25"/>
      <c r="I4" s="24" t="s">
        <v>127</v>
      </c>
      <c r="J4" s="25"/>
      <c r="K4" s="24" t="s">
        <v>128</v>
      </c>
      <c r="L4" s="25"/>
      <c r="M4" s="24" t="s">
        <v>129</v>
      </c>
      <c r="N4" s="25"/>
      <c r="O4" s="24" t="s">
        <v>130</v>
      </c>
      <c r="P4" s="25"/>
      <c r="Q4" s="24" t="s">
        <v>131</v>
      </c>
      <c r="R4" s="25"/>
    </row>
    <row r="5" spans="1:18" x14ac:dyDescent="0.25">
      <c r="A5" s="7"/>
      <c r="B5" s="8" t="s">
        <v>132</v>
      </c>
      <c r="C5" s="8" t="s">
        <v>133</v>
      </c>
      <c r="D5" s="7" t="s">
        <v>134</v>
      </c>
      <c r="E5" s="8" t="s">
        <v>135</v>
      </c>
      <c r="F5" s="7" t="s">
        <v>136</v>
      </c>
      <c r="G5" s="8" t="s">
        <v>135</v>
      </c>
      <c r="H5" s="7" t="s">
        <v>136</v>
      </c>
      <c r="I5" s="8" t="s">
        <v>135</v>
      </c>
      <c r="J5" s="7" t="s">
        <v>136</v>
      </c>
      <c r="K5" s="8" t="s">
        <v>135</v>
      </c>
      <c r="L5" s="7" t="s">
        <v>136</v>
      </c>
      <c r="M5" s="8" t="s">
        <v>135</v>
      </c>
      <c r="N5" s="7" t="s">
        <v>136</v>
      </c>
      <c r="O5" s="8" t="s">
        <v>135</v>
      </c>
      <c r="P5" s="7" t="s">
        <v>136</v>
      </c>
      <c r="Q5" s="8" t="s">
        <v>135</v>
      </c>
      <c r="R5" s="7" t="s">
        <v>136</v>
      </c>
    </row>
    <row r="6" spans="1:18" x14ac:dyDescent="0.25">
      <c r="A6" s="9" t="s">
        <v>137</v>
      </c>
      <c r="B6" s="10"/>
      <c r="C6" s="10"/>
      <c r="D6" s="11"/>
      <c r="E6" s="10"/>
      <c r="F6" s="11"/>
      <c r="G6" s="10"/>
      <c r="H6" s="11"/>
      <c r="I6" s="10"/>
      <c r="J6" s="11"/>
      <c r="K6" s="10"/>
      <c r="L6" s="11"/>
      <c r="M6" s="10"/>
      <c r="N6" s="11"/>
      <c r="O6" s="10"/>
      <c r="P6" s="11"/>
      <c r="Q6" s="10"/>
      <c r="R6" s="12"/>
    </row>
    <row r="7" spans="1:18" x14ac:dyDescent="0.25">
      <c r="A7" s="11" t="s">
        <v>138</v>
      </c>
      <c r="B7" s="13">
        <v>14530</v>
      </c>
      <c r="C7" s="14">
        <f>(12127/B7*100)</f>
        <v>83.461803165863728</v>
      </c>
      <c r="D7" s="15">
        <v>2403</v>
      </c>
      <c r="E7" s="14">
        <v>34.425371030000001</v>
      </c>
      <c r="F7" s="16">
        <v>1.2040851299999999</v>
      </c>
      <c r="G7" s="14">
        <v>65.574628970000006</v>
      </c>
      <c r="H7" s="16">
        <v>1.2040851299999999</v>
      </c>
      <c r="I7" s="14" t="s">
        <v>139</v>
      </c>
      <c r="J7" s="16" t="s">
        <v>139</v>
      </c>
      <c r="K7" s="14">
        <v>0</v>
      </c>
      <c r="L7" s="16">
        <v>0</v>
      </c>
      <c r="M7" s="14">
        <v>0</v>
      </c>
      <c r="N7" s="16">
        <v>0</v>
      </c>
      <c r="O7" s="14">
        <v>0</v>
      </c>
      <c r="P7" s="16">
        <v>0</v>
      </c>
      <c r="Q7" s="14">
        <v>0</v>
      </c>
      <c r="R7" s="16">
        <v>0</v>
      </c>
    </row>
    <row r="8" spans="1:18" x14ac:dyDescent="0.25">
      <c r="A8" s="11" t="s">
        <v>140</v>
      </c>
      <c r="B8" s="13">
        <v>7007</v>
      </c>
      <c r="C8" s="14">
        <f>(5802/B8*100)</f>
        <v>82.802911374339942</v>
      </c>
      <c r="D8" s="15">
        <v>1205</v>
      </c>
      <c r="E8" s="14">
        <v>44.014832419999998</v>
      </c>
      <c r="F8" s="16">
        <v>1.6373676699999999</v>
      </c>
      <c r="G8" s="14">
        <v>55.985167580000002</v>
      </c>
      <c r="H8" s="16">
        <v>1.6373676699999999</v>
      </c>
      <c r="I8" s="14" t="s">
        <v>139</v>
      </c>
      <c r="J8" s="16" t="s">
        <v>139</v>
      </c>
      <c r="K8" s="14">
        <v>0</v>
      </c>
      <c r="L8" s="16">
        <v>0</v>
      </c>
      <c r="M8" s="14">
        <v>0</v>
      </c>
      <c r="N8" s="16">
        <v>0</v>
      </c>
      <c r="O8" s="14">
        <v>0</v>
      </c>
      <c r="P8" s="16">
        <v>0</v>
      </c>
      <c r="Q8" s="14">
        <v>0</v>
      </c>
      <c r="R8" s="16">
        <v>0</v>
      </c>
    </row>
    <row r="9" spans="1:18" x14ac:dyDescent="0.25">
      <c r="A9" s="11" t="s">
        <v>141</v>
      </c>
      <c r="B9" s="13">
        <v>9651</v>
      </c>
      <c r="C9" s="14">
        <f>(8069/B9*100)</f>
        <v>83.607916278105904</v>
      </c>
      <c r="D9" s="15">
        <v>1582</v>
      </c>
      <c r="E9" s="14">
        <v>39.138444450000001</v>
      </c>
      <c r="F9" s="16">
        <v>1.30646595</v>
      </c>
      <c r="G9" s="14">
        <v>60.861555549999999</v>
      </c>
      <c r="H9" s="16">
        <v>1.30646595</v>
      </c>
      <c r="I9" s="14" t="s">
        <v>139</v>
      </c>
      <c r="J9" s="16" t="s">
        <v>139</v>
      </c>
      <c r="K9" s="14">
        <v>0</v>
      </c>
      <c r="L9" s="16">
        <v>0</v>
      </c>
      <c r="M9" s="14">
        <v>0</v>
      </c>
      <c r="N9" s="16">
        <v>0</v>
      </c>
      <c r="O9" s="14">
        <v>0</v>
      </c>
      <c r="P9" s="16">
        <v>0</v>
      </c>
      <c r="Q9" s="14">
        <v>0</v>
      </c>
      <c r="R9" s="16">
        <v>0</v>
      </c>
    </row>
    <row r="10" spans="1:18" x14ac:dyDescent="0.25">
      <c r="A10" s="11" t="s">
        <v>142</v>
      </c>
      <c r="B10" s="13">
        <v>20058</v>
      </c>
      <c r="C10" s="14">
        <f>(16625/B10*100)</f>
        <v>82.884634559776643</v>
      </c>
      <c r="D10" s="15">
        <v>3433</v>
      </c>
      <c r="E10" s="14">
        <v>34.648909340000003</v>
      </c>
      <c r="F10" s="16">
        <v>1.0243302000000001</v>
      </c>
      <c r="G10" s="14">
        <v>65.351090659999997</v>
      </c>
      <c r="H10" s="16">
        <v>1.0243302000000001</v>
      </c>
      <c r="I10" s="14" t="s">
        <v>139</v>
      </c>
      <c r="J10" s="16" t="s">
        <v>139</v>
      </c>
      <c r="K10" s="14">
        <v>0</v>
      </c>
      <c r="L10" s="16">
        <v>0</v>
      </c>
      <c r="M10" s="14">
        <v>0</v>
      </c>
      <c r="N10" s="16">
        <v>0</v>
      </c>
      <c r="O10" s="14">
        <v>0</v>
      </c>
      <c r="P10" s="16">
        <v>0</v>
      </c>
      <c r="Q10" s="14">
        <v>0</v>
      </c>
      <c r="R10" s="16">
        <v>0</v>
      </c>
    </row>
    <row r="11" spans="1:18" x14ac:dyDescent="0.25">
      <c r="A11" s="11" t="s">
        <v>143</v>
      </c>
      <c r="B11" s="13">
        <v>7053</v>
      </c>
      <c r="C11" s="14">
        <f>(5877/B11*100)</f>
        <v>83.326244151424916</v>
      </c>
      <c r="D11" s="15">
        <v>1176</v>
      </c>
      <c r="E11" s="14">
        <v>48.629586510000003</v>
      </c>
      <c r="F11" s="16">
        <v>1.5103380500000001</v>
      </c>
      <c r="G11" s="14">
        <v>51.370413489999997</v>
      </c>
      <c r="H11" s="16">
        <v>1.5103380500000001</v>
      </c>
      <c r="I11" s="14" t="s">
        <v>139</v>
      </c>
      <c r="J11" s="16" t="s">
        <v>139</v>
      </c>
      <c r="K11" s="14">
        <v>0</v>
      </c>
      <c r="L11" s="16">
        <v>0</v>
      </c>
      <c r="M11" s="14">
        <v>0</v>
      </c>
      <c r="N11" s="16">
        <v>0</v>
      </c>
      <c r="O11" s="14">
        <v>0</v>
      </c>
      <c r="P11" s="16">
        <v>0</v>
      </c>
      <c r="Q11" s="14">
        <v>0</v>
      </c>
      <c r="R11" s="16">
        <v>0</v>
      </c>
    </row>
    <row r="12" spans="1:18" x14ac:dyDescent="0.25">
      <c r="A12" s="11" t="s">
        <v>144</v>
      </c>
      <c r="B12" s="13">
        <v>6894</v>
      </c>
      <c r="C12" s="14">
        <f>(5739/B12*100)</f>
        <v>83.246301131418619</v>
      </c>
      <c r="D12" s="15">
        <v>1155</v>
      </c>
      <c r="E12" s="14">
        <v>41.723475399999998</v>
      </c>
      <c r="F12" s="16">
        <v>1.7787424700000001</v>
      </c>
      <c r="G12" s="14">
        <v>58.276524600000002</v>
      </c>
      <c r="H12" s="16">
        <v>1.7787424700000001</v>
      </c>
      <c r="I12" s="14" t="s">
        <v>139</v>
      </c>
      <c r="J12" s="16" t="s">
        <v>139</v>
      </c>
      <c r="K12" s="14">
        <v>0</v>
      </c>
      <c r="L12" s="16">
        <v>0</v>
      </c>
      <c r="M12" s="14">
        <v>0</v>
      </c>
      <c r="N12" s="16">
        <v>0</v>
      </c>
      <c r="O12" s="14">
        <v>0</v>
      </c>
      <c r="P12" s="16">
        <v>0</v>
      </c>
      <c r="Q12" s="14">
        <v>0</v>
      </c>
      <c r="R12" s="16">
        <v>0</v>
      </c>
    </row>
    <row r="13" spans="1:18" x14ac:dyDescent="0.25">
      <c r="A13" s="11" t="s">
        <v>145</v>
      </c>
      <c r="B13" s="13">
        <v>7161</v>
      </c>
      <c r="C13" s="14">
        <f>(6011/B13*100)</f>
        <v>83.940790392403301</v>
      </c>
      <c r="D13" s="15">
        <v>1150</v>
      </c>
      <c r="E13" s="14">
        <v>40.909173780000003</v>
      </c>
      <c r="F13" s="16">
        <v>2.1179172799999999</v>
      </c>
      <c r="G13" s="14">
        <v>59.090826219999997</v>
      </c>
      <c r="H13" s="16">
        <v>2.1179172799999999</v>
      </c>
      <c r="I13" s="14" t="s">
        <v>139</v>
      </c>
      <c r="J13" s="16" t="s">
        <v>139</v>
      </c>
      <c r="K13" s="14">
        <v>0</v>
      </c>
      <c r="L13" s="16">
        <v>0</v>
      </c>
      <c r="M13" s="14">
        <v>0</v>
      </c>
      <c r="N13" s="16">
        <v>0</v>
      </c>
      <c r="O13" s="14">
        <v>0</v>
      </c>
      <c r="P13" s="16">
        <v>0</v>
      </c>
      <c r="Q13" s="14">
        <v>0</v>
      </c>
      <c r="R13" s="16">
        <v>0</v>
      </c>
    </row>
    <row r="14" spans="1:18" x14ac:dyDescent="0.25">
      <c r="A14" s="11" t="s">
        <v>146</v>
      </c>
      <c r="B14" s="13">
        <v>5587</v>
      </c>
      <c r="C14" s="14">
        <f>(4637/B14*100)</f>
        <v>82.996241274386975</v>
      </c>
      <c r="D14" s="15">
        <v>950</v>
      </c>
      <c r="E14" s="14">
        <v>29.404782000000001</v>
      </c>
      <c r="F14" s="16">
        <v>1.69691554</v>
      </c>
      <c r="G14" s="14">
        <v>70.595218000000003</v>
      </c>
      <c r="H14" s="16">
        <v>1.69691554</v>
      </c>
      <c r="I14" s="14" t="s">
        <v>139</v>
      </c>
      <c r="J14" s="16" t="s">
        <v>139</v>
      </c>
      <c r="K14" s="14">
        <v>0</v>
      </c>
      <c r="L14" s="16">
        <v>0</v>
      </c>
      <c r="M14" s="14">
        <v>0</v>
      </c>
      <c r="N14" s="16">
        <v>0</v>
      </c>
      <c r="O14" s="14">
        <v>0</v>
      </c>
      <c r="P14" s="16">
        <v>0</v>
      </c>
      <c r="Q14" s="14">
        <v>0</v>
      </c>
      <c r="R14" s="16">
        <v>0</v>
      </c>
    </row>
    <row r="15" spans="1:18" x14ac:dyDescent="0.25">
      <c r="A15" s="11" t="s">
        <v>147</v>
      </c>
      <c r="B15" s="13">
        <v>5882</v>
      </c>
      <c r="C15" s="14">
        <f>(4908/B15*100)</f>
        <v>83.441006460387626</v>
      </c>
      <c r="D15" s="15">
        <v>974</v>
      </c>
      <c r="E15" s="14">
        <v>31.794794419999999</v>
      </c>
      <c r="F15" s="16">
        <v>1.4893212300000001</v>
      </c>
      <c r="G15" s="14">
        <v>68.205205579999998</v>
      </c>
      <c r="H15" s="16">
        <v>1.4893212300000001</v>
      </c>
      <c r="I15" s="14" t="s">
        <v>139</v>
      </c>
      <c r="J15" s="16" t="s">
        <v>139</v>
      </c>
      <c r="K15" s="14">
        <v>0</v>
      </c>
      <c r="L15" s="16">
        <v>0</v>
      </c>
      <c r="M15" s="14">
        <v>0</v>
      </c>
      <c r="N15" s="16">
        <v>0</v>
      </c>
      <c r="O15" s="14">
        <v>0</v>
      </c>
      <c r="P15" s="16">
        <v>0</v>
      </c>
      <c r="Q15" s="14">
        <v>0</v>
      </c>
      <c r="R15" s="16">
        <v>0</v>
      </c>
    </row>
    <row r="16" spans="1:18" x14ac:dyDescent="0.25">
      <c r="A16" s="11" t="s">
        <v>148</v>
      </c>
      <c r="B16" s="13">
        <v>6108</v>
      </c>
      <c r="C16" s="14">
        <f>(5066/B16*100)</f>
        <v>82.940406024885391</v>
      </c>
      <c r="D16" s="15">
        <v>1042</v>
      </c>
      <c r="E16" s="14">
        <v>37.719851480000003</v>
      </c>
      <c r="F16" s="16">
        <v>1.2634364300000001</v>
      </c>
      <c r="G16" s="14">
        <v>62.280148519999997</v>
      </c>
      <c r="H16" s="16">
        <v>1.2634364300000001</v>
      </c>
      <c r="I16" s="14" t="s">
        <v>139</v>
      </c>
      <c r="J16" s="16" t="s">
        <v>139</v>
      </c>
      <c r="K16" s="14">
        <v>0</v>
      </c>
      <c r="L16" s="16">
        <v>0</v>
      </c>
      <c r="M16" s="14">
        <v>0</v>
      </c>
      <c r="N16" s="16">
        <v>0</v>
      </c>
      <c r="O16" s="14">
        <v>0</v>
      </c>
      <c r="P16" s="16">
        <v>0</v>
      </c>
      <c r="Q16" s="14">
        <v>0</v>
      </c>
      <c r="R16" s="16">
        <v>0</v>
      </c>
    </row>
    <row r="17" spans="1:18" x14ac:dyDescent="0.25">
      <c r="A17" s="11" t="s">
        <v>149</v>
      </c>
      <c r="B17" s="13">
        <v>6504</v>
      </c>
      <c r="C17" s="14">
        <f>(5429/B17*100)</f>
        <v>83.47170971709717</v>
      </c>
      <c r="D17" s="15">
        <v>1075</v>
      </c>
      <c r="E17" s="14">
        <v>42.008216109999999</v>
      </c>
      <c r="F17" s="16">
        <v>1.43756711</v>
      </c>
      <c r="G17" s="14">
        <v>57.991783890000001</v>
      </c>
      <c r="H17" s="16">
        <v>1.43756711</v>
      </c>
      <c r="I17" s="14" t="s">
        <v>139</v>
      </c>
      <c r="J17" s="16" t="s">
        <v>139</v>
      </c>
      <c r="K17" s="14">
        <v>0</v>
      </c>
      <c r="L17" s="16">
        <v>0</v>
      </c>
      <c r="M17" s="14">
        <v>0</v>
      </c>
      <c r="N17" s="16">
        <v>0</v>
      </c>
      <c r="O17" s="14">
        <v>0</v>
      </c>
      <c r="P17" s="16">
        <v>0</v>
      </c>
      <c r="Q17" s="14">
        <v>0</v>
      </c>
      <c r="R17" s="16">
        <v>0</v>
      </c>
    </row>
    <row r="18" spans="1:18" x14ac:dyDescent="0.25">
      <c r="A18" s="11" t="s">
        <v>150</v>
      </c>
      <c r="B18" s="13">
        <v>5532</v>
      </c>
      <c r="C18" s="14">
        <f>(4571/B18*100)</f>
        <v>82.628344179320322</v>
      </c>
      <c r="D18" s="15">
        <v>961</v>
      </c>
      <c r="E18" s="14">
        <v>52.697068960000003</v>
      </c>
      <c r="F18" s="16">
        <v>2.20176346</v>
      </c>
      <c r="G18" s="14">
        <v>47.302931039999997</v>
      </c>
      <c r="H18" s="16">
        <v>2.20176346</v>
      </c>
      <c r="I18" s="14" t="s">
        <v>139</v>
      </c>
      <c r="J18" s="16" t="s">
        <v>139</v>
      </c>
      <c r="K18" s="14">
        <v>0</v>
      </c>
      <c r="L18" s="16">
        <v>0</v>
      </c>
      <c r="M18" s="14">
        <v>0</v>
      </c>
      <c r="N18" s="16">
        <v>0</v>
      </c>
      <c r="O18" s="14">
        <v>0</v>
      </c>
      <c r="P18" s="16">
        <v>0</v>
      </c>
      <c r="Q18" s="14">
        <v>0</v>
      </c>
      <c r="R18" s="16">
        <v>0</v>
      </c>
    </row>
    <row r="19" spans="1:18" x14ac:dyDescent="0.25">
      <c r="A19" s="11" t="s">
        <v>151</v>
      </c>
      <c r="B19" s="13">
        <v>5658</v>
      </c>
      <c r="C19" s="14">
        <f>(4723/B19*100)</f>
        <v>83.474726051608343</v>
      </c>
      <c r="D19" s="15">
        <v>935</v>
      </c>
      <c r="E19" s="14">
        <v>49.175367520000002</v>
      </c>
      <c r="F19" s="16">
        <v>1.7236959700000001</v>
      </c>
      <c r="G19" s="14">
        <v>50.824632479999998</v>
      </c>
      <c r="H19" s="16">
        <v>1.7236959700000001</v>
      </c>
      <c r="I19" s="14" t="s">
        <v>139</v>
      </c>
      <c r="J19" s="16" t="s">
        <v>139</v>
      </c>
      <c r="K19" s="14">
        <v>0</v>
      </c>
      <c r="L19" s="16">
        <v>0</v>
      </c>
      <c r="M19" s="14">
        <v>0</v>
      </c>
      <c r="N19" s="16">
        <v>0</v>
      </c>
      <c r="O19" s="14">
        <v>0</v>
      </c>
      <c r="P19" s="16">
        <v>0</v>
      </c>
      <c r="Q19" s="14">
        <v>0</v>
      </c>
      <c r="R19" s="16">
        <v>0</v>
      </c>
    </row>
    <row r="20" spans="1:18" x14ac:dyDescent="0.25">
      <c r="A20" s="11" t="s">
        <v>152</v>
      </c>
      <c r="B20" s="13">
        <v>3371</v>
      </c>
      <c r="C20" s="14">
        <f>(2797/B20*100)</f>
        <v>82.972411747256004</v>
      </c>
      <c r="D20" s="15">
        <v>574</v>
      </c>
      <c r="E20" s="14">
        <v>47.515710830000003</v>
      </c>
      <c r="F20" s="16">
        <v>1.97596656</v>
      </c>
      <c r="G20" s="14">
        <v>52.484289169999997</v>
      </c>
      <c r="H20" s="16">
        <v>1.97596656</v>
      </c>
      <c r="I20" s="14" t="s">
        <v>139</v>
      </c>
      <c r="J20" s="16" t="s">
        <v>139</v>
      </c>
      <c r="K20" s="14">
        <v>0</v>
      </c>
      <c r="L20" s="16">
        <v>0</v>
      </c>
      <c r="M20" s="14">
        <v>0</v>
      </c>
      <c r="N20" s="16">
        <v>0</v>
      </c>
      <c r="O20" s="14">
        <v>0</v>
      </c>
      <c r="P20" s="16">
        <v>0</v>
      </c>
      <c r="Q20" s="14">
        <v>0</v>
      </c>
      <c r="R20" s="16">
        <v>0</v>
      </c>
    </row>
    <row r="21" spans="1:18" x14ac:dyDescent="0.25">
      <c r="A21" s="11" t="s">
        <v>153</v>
      </c>
      <c r="B21" s="17" t="s">
        <v>154</v>
      </c>
      <c r="C21" s="17" t="s">
        <v>154</v>
      </c>
      <c r="D21" s="18" t="s">
        <v>154</v>
      </c>
      <c r="E21" s="17" t="s">
        <v>154</v>
      </c>
      <c r="F21" s="18" t="s">
        <v>154</v>
      </c>
      <c r="G21" s="17" t="s">
        <v>154</v>
      </c>
      <c r="H21" s="18" t="s">
        <v>154</v>
      </c>
      <c r="I21" s="17" t="s">
        <v>154</v>
      </c>
      <c r="J21" s="18" t="s">
        <v>154</v>
      </c>
      <c r="K21" s="17" t="s">
        <v>154</v>
      </c>
      <c r="L21" s="18" t="s">
        <v>154</v>
      </c>
      <c r="M21" s="17" t="s">
        <v>154</v>
      </c>
      <c r="N21" s="18" t="s">
        <v>154</v>
      </c>
      <c r="O21" s="17" t="s">
        <v>154</v>
      </c>
      <c r="P21" s="18" t="s">
        <v>154</v>
      </c>
      <c r="Q21" s="17" t="s">
        <v>154</v>
      </c>
      <c r="R21" s="18" t="s">
        <v>154</v>
      </c>
    </row>
    <row r="22" spans="1:18" x14ac:dyDescent="0.25">
      <c r="A22" s="11" t="s">
        <v>155</v>
      </c>
      <c r="B22" s="13">
        <v>6598</v>
      </c>
      <c r="C22" s="14">
        <f>(5580/B22*100)</f>
        <v>84.571082146104885</v>
      </c>
      <c r="D22" s="15">
        <v>1018</v>
      </c>
      <c r="E22" s="14">
        <v>51.750872039999997</v>
      </c>
      <c r="F22" s="16">
        <v>1.65461999</v>
      </c>
      <c r="G22" s="14">
        <v>48.249127960000003</v>
      </c>
      <c r="H22" s="16">
        <v>1.65461999</v>
      </c>
      <c r="I22" s="14" t="s">
        <v>139</v>
      </c>
      <c r="J22" s="16" t="s">
        <v>139</v>
      </c>
      <c r="K22" s="14">
        <v>0</v>
      </c>
      <c r="L22" s="16">
        <v>0</v>
      </c>
      <c r="M22" s="14">
        <v>0</v>
      </c>
      <c r="N22" s="16">
        <v>0</v>
      </c>
      <c r="O22" s="14">
        <v>0</v>
      </c>
      <c r="P22" s="16">
        <v>0</v>
      </c>
      <c r="Q22" s="14">
        <v>0</v>
      </c>
      <c r="R22" s="16">
        <v>0</v>
      </c>
    </row>
    <row r="23" spans="1:18" x14ac:dyDescent="0.25">
      <c r="A23" s="11" t="s">
        <v>156</v>
      </c>
      <c r="B23" s="13">
        <v>11583</v>
      </c>
      <c r="C23" s="14">
        <f>(9624/B23*100)</f>
        <v>83.087283087283097</v>
      </c>
      <c r="D23" s="15">
        <v>1959</v>
      </c>
      <c r="E23" s="14">
        <v>47.53430676</v>
      </c>
      <c r="F23" s="16">
        <v>1.41860863</v>
      </c>
      <c r="G23" s="14">
        <v>52.46569324</v>
      </c>
      <c r="H23" s="16">
        <v>1.41860863</v>
      </c>
      <c r="I23" s="14" t="s">
        <v>139</v>
      </c>
      <c r="J23" s="16" t="s">
        <v>139</v>
      </c>
      <c r="K23" s="14">
        <v>0</v>
      </c>
      <c r="L23" s="16">
        <v>0</v>
      </c>
      <c r="M23" s="14">
        <v>0</v>
      </c>
      <c r="N23" s="16">
        <v>0</v>
      </c>
      <c r="O23" s="14">
        <v>0</v>
      </c>
      <c r="P23" s="16">
        <v>0</v>
      </c>
      <c r="Q23" s="14">
        <v>0</v>
      </c>
      <c r="R23" s="16">
        <v>0</v>
      </c>
    </row>
    <row r="24" spans="1:18" x14ac:dyDescent="0.25">
      <c r="A24" s="11" t="s">
        <v>157</v>
      </c>
      <c r="B24" s="13">
        <v>6647</v>
      </c>
      <c r="C24" s="14">
        <f>(5492/B24*100)</f>
        <v>82.623740033097633</v>
      </c>
      <c r="D24" s="15">
        <v>1155</v>
      </c>
      <c r="E24" s="14">
        <v>39.344446480000002</v>
      </c>
      <c r="F24" s="16">
        <v>1.55314164</v>
      </c>
      <c r="G24" s="14">
        <v>60.655553519999998</v>
      </c>
      <c r="H24" s="16">
        <v>1.55314164</v>
      </c>
      <c r="I24" s="14" t="s">
        <v>139</v>
      </c>
      <c r="J24" s="16" t="s">
        <v>139</v>
      </c>
      <c r="K24" s="14">
        <v>0</v>
      </c>
      <c r="L24" s="16">
        <v>0</v>
      </c>
      <c r="M24" s="14">
        <v>0</v>
      </c>
      <c r="N24" s="16">
        <v>0</v>
      </c>
      <c r="O24" s="14">
        <v>0</v>
      </c>
      <c r="P24" s="16">
        <v>0</v>
      </c>
      <c r="Q24" s="14">
        <v>0</v>
      </c>
      <c r="R24" s="16">
        <v>0</v>
      </c>
    </row>
    <row r="25" spans="1:18" x14ac:dyDescent="0.25">
      <c r="A25" s="11" t="s">
        <v>158</v>
      </c>
      <c r="B25" s="13">
        <v>5581</v>
      </c>
      <c r="C25" s="14">
        <f>(4618/B25*100)</f>
        <v>82.745027772800569</v>
      </c>
      <c r="D25" s="15">
        <v>963</v>
      </c>
      <c r="E25" s="14">
        <v>30.174259209999999</v>
      </c>
      <c r="F25" s="16">
        <v>1.5545091200000001</v>
      </c>
      <c r="G25" s="14">
        <v>69.825740789999998</v>
      </c>
      <c r="H25" s="16">
        <v>1.5545091200000001</v>
      </c>
      <c r="I25" s="14" t="s">
        <v>139</v>
      </c>
      <c r="J25" s="16" t="s">
        <v>139</v>
      </c>
      <c r="K25" s="14">
        <v>0</v>
      </c>
      <c r="L25" s="16">
        <v>0</v>
      </c>
      <c r="M25" s="14">
        <v>0</v>
      </c>
      <c r="N25" s="16">
        <v>0</v>
      </c>
      <c r="O25" s="14">
        <v>0</v>
      </c>
      <c r="P25" s="16">
        <v>0</v>
      </c>
      <c r="Q25" s="14">
        <v>0</v>
      </c>
      <c r="R25" s="16">
        <v>0</v>
      </c>
    </row>
    <row r="26" spans="1:18" x14ac:dyDescent="0.25">
      <c r="A26" s="11" t="s">
        <v>159</v>
      </c>
      <c r="B26" s="13">
        <v>4869</v>
      </c>
      <c r="C26" s="14">
        <f>(4016/B26*100)</f>
        <v>82.481002259190788</v>
      </c>
      <c r="D26" s="15">
        <v>853</v>
      </c>
      <c r="E26" s="14">
        <v>44.285090910000001</v>
      </c>
      <c r="F26" s="16">
        <v>1.6215010700000001</v>
      </c>
      <c r="G26" s="14">
        <v>55.714909089999999</v>
      </c>
      <c r="H26" s="16">
        <v>1.6215010700000001</v>
      </c>
      <c r="I26" s="14" t="s">
        <v>139</v>
      </c>
      <c r="J26" s="16" t="s">
        <v>139</v>
      </c>
      <c r="K26" s="14">
        <v>0</v>
      </c>
      <c r="L26" s="16">
        <v>0</v>
      </c>
      <c r="M26" s="14">
        <v>0</v>
      </c>
      <c r="N26" s="16">
        <v>0</v>
      </c>
      <c r="O26" s="14">
        <v>0</v>
      </c>
      <c r="P26" s="16">
        <v>0</v>
      </c>
      <c r="Q26" s="14">
        <v>0</v>
      </c>
      <c r="R26" s="16">
        <v>0</v>
      </c>
    </row>
    <row r="27" spans="1:18" x14ac:dyDescent="0.25">
      <c r="A27" s="11" t="s">
        <v>160</v>
      </c>
      <c r="B27" s="13">
        <v>5299</v>
      </c>
      <c r="C27" s="14">
        <f>(4406/B27*100)</f>
        <v>83.147763729005476</v>
      </c>
      <c r="D27" s="15">
        <v>893</v>
      </c>
      <c r="E27" s="14">
        <v>41.473045480000003</v>
      </c>
      <c r="F27" s="16">
        <v>1.7060060399999999</v>
      </c>
      <c r="G27" s="14">
        <v>58.526954519999997</v>
      </c>
      <c r="H27" s="16">
        <v>1.7060060399999999</v>
      </c>
      <c r="I27" s="14" t="s">
        <v>139</v>
      </c>
      <c r="J27" s="16" t="s">
        <v>139</v>
      </c>
      <c r="K27" s="14">
        <v>0</v>
      </c>
      <c r="L27" s="16">
        <v>0</v>
      </c>
      <c r="M27" s="14">
        <v>0</v>
      </c>
      <c r="N27" s="16">
        <v>0</v>
      </c>
      <c r="O27" s="14">
        <v>0</v>
      </c>
      <c r="P27" s="16">
        <v>0</v>
      </c>
      <c r="Q27" s="14">
        <v>0</v>
      </c>
      <c r="R27" s="16">
        <v>0</v>
      </c>
    </row>
    <row r="28" spans="1:18" x14ac:dyDescent="0.25">
      <c r="A28" s="11" t="s">
        <v>161</v>
      </c>
      <c r="B28" s="13">
        <v>7568</v>
      </c>
      <c r="C28" s="14">
        <f>(6417/B28*100)</f>
        <v>84.791226215644826</v>
      </c>
      <c r="D28" s="15">
        <v>1151</v>
      </c>
      <c r="E28" s="14">
        <v>54.465384280000002</v>
      </c>
      <c r="F28" s="16">
        <v>1.70872544</v>
      </c>
      <c r="G28" s="14">
        <v>45.534615719999998</v>
      </c>
      <c r="H28" s="16">
        <v>1.70872544</v>
      </c>
      <c r="I28" s="14" t="s">
        <v>139</v>
      </c>
      <c r="J28" s="16" t="s">
        <v>139</v>
      </c>
      <c r="K28" s="14">
        <v>0</v>
      </c>
      <c r="L28" s="16">
        <v>0</v>
      </c>
      <c r="M28" s="14">
        <v>0</v>
      </c>
      <c r="N28" s="16">
        <v>0</v>
      </c>
      <c r="O28" s="14">
        <v>0</v>
      </c>
      <c r="P28" s="16">
        <v>0</v>
      </c>
      <c r="Q28" s="14">
        <v>0</v>
      </c>
      <c r="R28" s="16">
        <v>0</v>
      </c>
    </row>
    <row r="29" spans="1:18" x14ac:dyDescent="0.25">
      <c r="A29" s="11" t="s">
        <v>162</v>
      </c>
      <c r="B29" s="13">
        <v>5385</v>
      </c>
      <c r="C29" s="14">
        <f>(4470/B29*100)</f>
        <v>83.008356545961007</v>
      </c>
      <c r="D29" s="15">
        <v>915</v>
      </c>
      <c r="E29" s="14">
        <v>42.63445823</v>
      </c>
      <c r="F29" s="16">
        <v>1.7184510500000001</v>
      </c>
      <c r="G29" s="14">
        <v>57.36554177</v>
      </c>
      <c r="H29" s="16">
        <v>1.7184510500000001</v>
      </c>
      <c r="I29" s="14" t="s">
        <v>139</v>
      </c>
      <c r="J29" s="16" t="s">
        <v>139</v>
      </c>
      <c r="K29" s="14">
        <v>0</v>
      </c>
      <c r="L29" s="16">
        <v>0</v>
      </c>
      <c r="M29" s="14">
        <v>0</v>
      </c>
      <c r="N29" s="16">
        <v>0</v>
      </c>
      <c r="O29" s="14">
        <v>0</v>
      </c>
      <c r="P29" s="16">
        <v>0</v>
      </c>
      <c r="Q29" s="14">
        <v>0</v>
      </c>
      <c r="R29" s="16">
        <v>0</v>
      </c>
    </row>
    <row r="30" spans="1:18" x14ac:dyDescent="0.25">
      <c r="A30" s="11" t="s">
        <v>163</v>
      </c>
      <c r="B30" s="13">
        <v>4520</v>
      </c>
      <c r="C30" s="14">
        <f>(3759/B30*100)</f>
        <v>83.163716814159301</v>
      </c>
      <c r="D30" s="15">
        <v>761</v>
      </c>
      <c r="E30" s="14">
        <v>31.425179549999999</v>
      </c>
      <c r="F30" s="16">
        <v>1.7008184099999999</v>
      </c>
      <c r="G30" s="14">
        <v>68.574820450000004</v>
      </c>
      <c r="H30" s="16">
        <v>1.7008184099999999</v>
      </c>
      <c r="I30" s="14" t="s">
        <v>139</v>
      </c>
      <c r="J30" s="16" t="s">
        <v>139</v>
      </c>
      <c r="K30" s="14">
        <v>0</v>
      </c>
      <c r="L30" s="16">
        <v>0</v>
      </c>
      <c r="M30" s="14">
        <v>0</v>
      </c>
      <c r="N30" s="16">
        <v>0</v>
      </c>
      <c r="O30" s="14">
        <v>0</v>
      </c>
      <c r="P30" s="16">
        <v>0</v>
      </c>
      <c r="Q30" s="14">
        <v>0</v>
      </c>
      <c r="R30" s="16">
        <v>0</v>
      </c>
    </row>
    <row r="31" spans="1:18" x14ac:dyDescent="0.25">
      <c r="A31" s="11" t="s">
        <v>164</v>
      </c>
      <c r="B31" s="13">
        <v>5456</v>
      </c>
      <c r="C31" s="14">
        <f>(4553/B31*100)</f>
        <v>83.449413489736074</v>
      </c>
      <c r="D31" s="15">
        <v>903</v>
      </c>
      <c r="E31" s="14">
        <v>49.069823849999999</v>
      </c>
      <c r="F31" s="16">
        <v>1.4528948100000001</v>
      </c>
      <c r="G31" s="14">
        <v>50.930176150000001</v>
      </c>
      <c r="H31" s="16">
        <v>1.4528948100000001</v>
      </c>
      <c r="I31" s="14" t="s">
        <v>139</v>
      </c>
      <c r="J31" s="16" t="s">
        <v>139</v>
      </c>
      <c r="K31" s="14">
        <v>0</v>
      </c>
      <c r="L31" s="16">
        <v>0</v>
      </c>
      <c r="M31" s="14">
        <v>0</v>
      </c>
      <c r="N31" s="16">
        <v>0</v>
      </c>
      <c r="O31" s="14">
        <v>0</v>
      </c>
      <c r="P31" s="16">
        <v>0</v>
      </c>
      <c r="Q31" s="14">
        <v>0</v>
      </c>
      <c r="R31" s="16">
        <v>0</v>
      </c>
    </row>
    <row r="32" spans="1:18" x14ac:dyDescent="0.25">
      <c r="A32" s="11" t="s">
        <v>165</v>
      </c>
      <c r="B32" s="17" t="s">
        <v>154</v>
      </c>
      <c r="C32" s="17" t="s">
        <v>154</v>
      </c>
      <c r="D32" s="18" t="s">
        <v>154</v>
      </c>
      <c r="E32" s="17" t="s">
        <v>154</v>
      </c>
      <c r="F32" s="18" t="s">
        <v>154</v>
      </c>
      <c r="G32" s="17" t="s">
        <v>154</v>
      </c>
      <c r="H32" s="18" t="s">
        <v>154</v>
      </c>
      <c r="I32" s="17" t="s">
        <v>154</v>
      </c>
      <c r="J32" s="18" t="s">
        <v>154</v>
      </c>
      <c r="K32" s="17" t="s">
        <v>154</v>
      </c>
      <c r="L32" s="18" t="s">
        <v>154</v>
      </c>
      <c r="M32" s="17" t="s">
        <v>154</v>
      </c>
      <c r="N32" s="18" t="s">
        <v>154</v>
      </c>
      <c r="O32" s="17" t="s">
        <v>154</v>
      </c>
      <c r="P32" s="18" t="s">
        <v>154</v>
      </c>
      <c r="Q32" s="17" t="s">
        <v>154</v>
      </c>
      <c r="R32" s="18" t="s">
        <v>154</v>
      </c>
    </row>
    <row r="33" spans="1:18" x14ac:dyDescent="0.25">
      <c r="A33" s="11" t="s">
        <v>166</v>
      </c>
      <c r="B33" s="13">
        <v>7325</v>
      </c>
      <c r="C33" s="14">
        <f>(6143/B33*100)</f>
        <v>83.863481228668945</v>
      </c>
      <c r="D33" s="15">
        <v>1182</v>
      </c>
      <c r="E33" s="14">
        <v>41.439304900000003</v>
      </c>
      <c r="F33" s="16">
        <v>1.6073521500000001</v>
      </c>
      <c r="G33" s="14">
        <v>58.560695099999997</v>
      </c>
      <c r="H33" s="16">
        <v>1.6073521500000001</v>
      </c>
      <c r="I33" s="14" t="s">
        <v>139</v>
      </c>
      <c r="J33" s="16" t="s">
        <v>139</v>
      </c>
      <c r="K33" s="14">
        <v>0</v>
      </c>
      <c r="L33" s="16">
        <v>0</v>
      </c>
      <c r="M33" s="14">
        <v>0</v>
      </c>
      <c r="N33" s="16">
        <v>0</v>
      </c>
      <c r="O33" s="14">
        <v>0</v>
      </c>
      <c r="P33" s="16">
        <v>0</v>
      </c>
      <c r="Q33" s="14">
        <v>0</v>
      </c>
      <c r="R33" s="16">
        <v>0</v>
      </c>
    </row>
    <row r="34" spans="1:18" x14ac:dyDescent="0.25">
      <c r="A34" s="11" t="s">
        <v>167</v>
      </c>
      <c r="B34" s="13">
        <v>6350</v>
      </c>
      <c r="C34" s="14">
        <f>(5310/B34*100)</f>
        <v>83.622047244094489</v>
      </c>
      <c r="D34" s="15">
        <v>1040</v>
      </c>
      <c r="E34" s="14">
        <v>47.256178300000002</v>
      </c>
      <c r="F34" s="16">
        <v>1.46499574</v>
      </c>
      <c r="G34" s="14">
        <v>52.743821699999998</v>
      </c>
      <c r="H34" s="16">
        <v>1.46499574</v>
      </c>
      <c r="I34" s="14" t="s">
        <v>139</v>
      </c>
      <c r="J34" s="16" t="s">
        <v>139</v>
      </c>
      <c r="K34" s="14">
        <v>0</v>
      </c>
      <c r="L34" s="16">
        <v>0</v>
      </c>
      <c r="M34" s="14">
        <v>0</v>
      </c>
      <c r="N34" s="16">
        <v>0</v>
      </c>
      <c r="O34" s="14">
        <v>0</v>
      </c>
      <c r="P34" s="16">
        <v>0</v>
      </c>
      <c r="Q34" s="14">
        <v>0</v>
      </c>
      <c r="R34" s="16">
        <v>0</v>
      </c>
    </row>
    <row r="35" spans="1:18" x14ac:dyDescent="0.25">
      <c r="A35" s="11" t="s">
        <v>168</v>
      </c>
      <c r="B35" s="13">
        <v>6406</v>
      </c>
      <c r="C35" s="14">
        <f>(5306/B35*100)</f>
        <v>82.828598189197621</v>
      </c>
      <c r="D35" s="15">
        <v>1100</v>
      </c>
      <c r="E35" s="14">
        <v>47.777106080000003</v>
      </c>
      <c r="F35" s="16">
        <v>1.9124107299999999</v>
      </c>
      <c r="G35" s="14">
        <v>52.222893919999997</v>
      </c>
      <c r="H35" s="16">
        <v>1.9124107299999999</v>
      </c>
      <c r="I35" s="14" t="s">
        <v>139</v>
      </c>
      <c r="J35" s="16" t="s">
        <v>139</v>
      </c>
      <c r="K35" s="14">
        <v>0</v>
      </c>
      <c r="L35" s="16">
        <v>0</v>
      </c>
      <c r="M35" s="14">
        <v>0</v>
      </c>
      <c r="N35" s="16">
        <v>0</v>
      </c>
      <c r="O35" s="14">
        <v>0</v>
      </c>
      <c r="P35" s="16">
        <v>0</v>
      </c>
      <c r="Q35" s="14">
        <v>0</v>
      </c>
      <c r="R35" s="16">
        <v>0</v>
      </c>
    </row>
    <row r="36" spans="1:18" x14ac:dyDescent="0.25">
      <c r="A36" s="11" t="s">
        <v>169</v>
      </c>
      <c r="B36" s="13">
        <v>6736</v>
      </c>
      <c r="C36" s="14">
        <f>(5609/B36*100)</f>
        <v>83.269002375296907</v>
      </c>
      <c r="D36" s="15">
        <v>1127</v>
      </c>
      <c r="E36" s="14">
        <v>42.766451949999997</v>
      </c>
      <c r="F36" s="16">
        <v>1.65301743</v>
      </c>
      <c r="G36" s="14">
        <v>57.233548050000003</v>
      </c>
      <c r="H36" s="16">
        <v>1.65301743</v>
      </c>
      <c r="I36" s="14" t="s">
        <v>139</v>
      </c>
      <c r="J36" s="16" t="s">
        <v>139</v>
      </c>
      <c r="K36" s="14">
        <v>0</v>
      </c>
      <c r="L36" s="16">
        <v>0</v>
      </c>
      <c r="M36" s="14">
        <v>0</v>
      </c>
      <c r="N36" s="16">
        <v>0</v>
      </c>
      <c r="O36" s="14">
        <v>0</v>
      </c>
      <c r="P36" s="16">
        <v>0</v>
      </c>
      <c r="Q36" s="14">
        <v>0</v>
      </c>
      <c r="R36" s="16">
        <v>0</v>
      </c>
    </row>
    <row r="37" spans="1:18" x14ac:dyDescent="0.25">
      <c r="A37" s="11" t="s">
        <v>170</v>
      </c>
      <c r="B37" s="13">
        <v>5458</v>
      </c>
      <c r="C37" s="14">
        <f>(4579/B37*100)</f>
        <v>83.895199706852324</v>
      </c>
      <c r="D37" s="15">
        <v>879</v>
      </c>
      <c r="E37" s="14">
        <v>47.944560209999999</v>
      </c>
      <c r="F37" s="16">
        <v>1.8431376799999999</v>
      </c>
      <c r="G37" s="14">
        <v>52.055439790000001</v>
      </c>
      <c r="H37" s="16">
        <v>1.8431376799999999</v>
      </c>
      <c r="I37" s="14" t="s">
        <v>139</v>
      </c>
      <c r="J37" s="16" t="s">
        <v>139</v>
      </c>
      <c r="K37" s="14">
        <v>0</v>
      </c>
      <c r="L37" s="16">
        <v>0</v>
      </c>
      <c r="M37" s="14">
        <v>0</v>
      </c>
      <c r="N37" s="16">
        <v>0</v>
      </c>
      <c r="O37" s="14">
        <v>0</v>
      </c>
      <c r="P37" s="16">
        <v>0</v>
      </c>
      <c r="Q37" s="14">
        <v>0</v>
      </c>
      <c r="R37" s="16">
        <v>0</v>
      </c>
    </row>
    <row r="38" spans="1:18" x14ac:dyDescent="0.25">
      <c r="A38" s="11" t="s">
        <v>171</v>
      </c>
      <c r="B38" s="17" t="s">
        <v>154</v>
      </c>
      <c r="C38" s="17" t="s">
        <v>154</v>
      </c>
      <c r="D38" s="18" t="s">
        <v>154</v>
      </c>
      <c r="E38" s="17" t="s">
        <v>154</v>
      </c>
      <c r="F38" s="18" t="s">
        <v>154</v>
      </c>
      <c r="G38" s="17" t="s">
        <v>154</v>
      </c>
      <c r="H38" s="18" t="s">
        <v>154</v>
      </c>
      <c r="I38" s="17" t="s">
        <v>154</v>
      </c>
      <c r="J38" s="18" t="s">
        <v>154</v>
      </c>
      <c r="K38" s="17" t="s">
        <v>154</v>
      </c>
      <c r="L38" s="18" t="s">
        <v>154</v>
      </c>
      <c r="M38" s="17" t="s">
        <v>154</v>
      </c>
      <c r="N38" s="18" t="s">
        <v>154</v>
      </c>
      <c r="O38" s="17" t="s">
        <v>154</v>
      </c>
      <c r="P38" s="18" t="s">
        <v>154</v>
      </c>
      <c r="Q38" s="17" t="s">
        <v>154</v>
      </c>
      <c r="R38" s="18" t="s">
        <v>154</v>
      </c>
    </row>
    <row r="39" spans="1:18" x14ac:dyDescent="0.25">
      <c r="A39" s="11" t="s">
        <v>172</v>
      </c>
      <c r="B39" s="13">
        <v>5895</v>
      </c>
      <c r="C39" s="14">
        <f>(4871/B39*100)</f>
        <v>82.629346904156066</v>
      </c>
      <c r="D39" s="15">
        <v>1024</v>
      </c>
      <c r="E39" s="14">
        <v>60.689236469999997</v>
      </c>
      <c r="F39" s="16">
        <v>2.1409814800000002</v>
      </c>
      <c r="G39" s="14">
        <v>39.310763530000003</v>
      </c>
      <c r="H39" s="16">
        <v>2.1409814800000002</v>
      </c>
      <c r="I39" s="14" t="s">
        <v>139</v>
      </c>
      <c r="J39" s="16" t="s">
        <v>139</v>
      </c>
      <c r="K39" s="14">
        <v>0</v>
      </c>
      <c r="L39" s="16">
        <v>0</v>
      </c>
      <c r="M39" s="14">
        <v>0</v>
      </c>
      <c r="N39" s="16">
        <v>0</v>
      </c>
      <c r="O39" s="14">
        <v>0</v>
      </c>
      <c r="P39" s="16">
        <v>0</v>
      </c>
      <c r="Q39" s="14">
        <v>0</v>
      </c>
      <c r="R39" s="16">
        <v>0</v>
      </c>
    </row>
    <row r="40" spans="1:18" x14ac:dyDescent="0.25">
      <c r="A40" s="11" t="s">
        <v>173</v>
      </c>
      <c r="B40" s="13">
        <v>14157</v>
      </c>
      <c r="C40" s="14">
        <f>(11654/B40*100)</f>
        <v>82.319700501518682</v>
      </c>
      <c r="D40" s="15">
        <v>2503</v>
      </c>
      <c r="E40" s="14">
        <v>39.860828130000002</v>
      </c>
      <c r="F40" s="16">
        <v>1.5066112599999999</v>
      </c>
      <c r="G40" s="14">
        <v>60.139171869999998</v>
      </c>
      <c r="H40" s="16">
        <v>1.5066112599999999</v>
      </c>
      <c r="I40" s="14" t="s">
        <v>139</v>
      </c>
      <c r="J40" s="16" t="s">
        <v>139</v>
      </c>
      <c r="K40" s="14">
        <v>0</v>
      </c>
      <c r="L40" s="16">
        <v>0</v>
      </c>
      <c r="M40" s="14">
        <v>0</v>
      </c>
      <c r="N40" s="16">
        <v>0</v>
      </c>
      <c r="O40" s="14">
        <v>0</v>
      </c>
      <c r="P40" s="16">
        <v>0</v>
      </c>
      <c r="Q40" s="14">
        <v>0</v>
      </c>
      <c r="R40" s="16">
        <v>0</v>
      </c>
    </row>
    <row r="41" spans="1:18" x14ac:dyDescent="0.25">
      <c r="A41" s="11" t="s">
        <v>174</v>
      </c>
      <c r="B41" s="13">
        <v>5712</v>
      </c>
      <c r="C41" s="14">
        <f>(4777/B41*100)</f>
        <v>83.63095238095238</v>
      </c>
      <c r="D41" s="15">
        <v>935</v>
      </c>
      <c r="E41" s="14">
        <v>36.108450840000003</v>
      </c>
      <c r="F41" s="16">
        <v>1.68532974</v>
      </c>
      <c r="G41" s="14">
        <v>63.891549159999997</v>
      </c>
      <c r="H41" s="16">
        <v>1.68532974</v>
      </c>
      <c r="I41" s="14" t="s">
        <v>139</v>
      </c>
      <c r="J41" s="16" t="s">
        <v>139</v>
      </c>
      <c r="K41" s="14">
        <v>0</v>
      </c>
      <c r="L41" s="16">
        <v>0</v>
      </c>
      <c r="M41" s="14">
        <v>0</v>
      </c>
      <c r="N41" s="16">
        <v>0</v>
      </c>
      <c r="O41" s="14">
        <v>0</v>
      </c>
      <c r="P41" s="16">
        <v>0</v>
      </c>
      <c r="Q41" s="14">
        <v>0</v>
      </c>
      <c r="R41" s="16">
        <v>0</v>
      </c>
    </row>
    <row r="42" spans="1:18" x14ac:dyDescent="0.25">
      <c r="A42" s="11" t="s">
        <v>175</v>
      </c>
      <c r="B42" s="13">
        <f>IF(COUNT(B7:B41) &gt; 0, AVERAGE(B7:B41), "\u2014")</f>
        <v>7266.90625</v>
      </c>
      <c r="C42" s="14">
        <f>IF(COUNT(C7:C41) &gt; 0, AVERAGE(C7:C41), "—")</f>
        <v>83.26007459787489</v>
      </c>
      <c r="D42" s="15">
        <f>IF(COUNT(D7:D41) &gt; 0, AVERAGE(D7:D41), "—")</f>
        <v>1218</v>
      </c>
      <c r="E42" s="14">
        <f>IF(COUNT(E7:E41) &gt; 0, AVERAGE(E7:E41), "—")</f>
        <v>42.806392747499999</v>
      </c>
      <c r="F42" s="16">
        <f>IF(COUNT(F7:F41) &gt; 0, SQRT(SUMSQ(F7:F41)/(COUNT(F7:F41)*COUNT(F7:F41)) ), "—")</f>
        <v>0.29232911269068418</v>
      </c>
      <c r="G42" s="14">
        <f>IF(COUNT(G7:G41) &gt; 0, AVERAGE(G7:G41), "—")</f>
        <v>57.193607252499994</v>
      </c>
      <c r="H42" s="16">
        <f>IF(COUNT(H7:H41) &gt; 0, SQRT(SUMSQ(H7:H41)/(COUNT(H7:H41)*COUNT(H7:H41)) ), "—")</f>
        <v>0.29232911269068418</v>
      </c>
      <c r="I42" s="14" t="str">
        <f>IF(COUNT(I7:I41) &gt; 0, AVERAGE(I7:I41), "—")</f>
        <v>—</v>
      </c>
      <c r="J42" s="16" t="str">
        <f>IF(COUNT(J7:J41) &gt; 0, SQRT(SUMSQ(J7:J41)/(COUNT(J7:J41)*COUNT(J7:J41)) ), "—")</f>
        <v>—</v>
      </c>
      <c r="K42" s="14">
        <f>IF(COUNT(K7:K41) &gt; 0, AVERAGE(K7:K41), "—")</f>
        <v>0</v>
      </c>
      <c r="L42" s="16">
        <f>IF(COUNT(L7:L41) &gt; 0, SQRT(SUMSQ(L7:L41)/(COUNT(L7:L41)*COUNT(L7:L41)) ), "—")</f>
        <v>0</v>
      </c>
      <c r="M42" s="14">
        <f>IF(COUNT(M7:M41) &gt; 0, AVERAGE(M7:M41), "—")</f>
        <v>0</v>
      </c>
      <c r="N42" s="16">
        <f>IF(COUNT(N7:N41) &gt; 0, SQRT(SUMSQ(N7:N41)/(COUNT(N7:N41)*COUNT(N7:N41)) ), "—")</f>
        <v>0</v>
      </c>
      <c r="O42" s="14">
        <f>IF(COUNT(O7:O41) &gt; 0, AVERAGE(O7:O41), "—")</f>
        <v>0</v>
      </c>
      <c r="P42" s="16">
        <f>IF(COUNT(P7:P41) &gt; 0, SQRT(SUMSQ(P7:P41)/(COUNT(P7:P41)*COUNT(P7:P41)) ), "—")</f>
        <v>0</v>
      </c>
      <c r="Q42" s="14">
        <f>IF(COUNT(Q7:Q41) &gt; 0, AVERAGE(Q7:Q41), "—")</f>
        <v>0</v>
      </c>
      <c r="R42" s="16">
        <f>IF(COUNT(R7:R41) &gt; 0, SQRT(SUMSQ(R7:R41)/(COUNT(R7:R41)*COUNT(R7:R41)) ), "—")</f>
        <v>0</v>
      </c>
    </row>
    <row r="43" spans="1:18" x14ac:dyDescent="0.25">
      <c r="A43" s="9" t="s">
        <v>176</v>
      </c>
      <c r="B43" s="10"/>
      <c r="C43" s="10"/>
      <c r="D43" s="11"/>
      <c r="E43" s="10"/>
      <c r="F43" s="11"/>
      <c r="G43" s="10"/>
      <c r="H43" s="11"/>
      <c r="I43" s="10"/>
      <c r="J43" s="11"/>
      <c r="K43" s="10"/>
      <c r="L43" s="11"/>
      <c r="M43" s="10"/>
      <c r="N43" s="11"/>
      <c r="O43" s="10"/>
      <c r="P43" s="11"/>
      <c r="Q43" s="10"/>
      <c r="R43" s="12"/>
    </row>
    <row r="44" spans="1:18" x14ac:dyDescent="0.25">
      <c r="A44" s="11" t="s">
        <v>177</v>
      </c>
      <c r="B44" s="17" t="s">
        <v>154</v>
      </c>
      <c r="C44" s="17" t="s">
        <v>154</v>
      </c>
      <c r="D44" s="18" t="s">
        <v>154</v>
      </c>
      <c r="E44" s="17" t="s">
        <v>154</v>
      </c>
      <c r="F44" s="18" t="s">
        <v>154</v>
      </c>
      <c r="G44" s="17" t="s">
        <v>154</v>
      </c>
      <c r="H44" s="18" t="s">
        <v>154</v>
      </c>
      <c r="I44" s="17" t="s">
        <v>154</v>
      </c>
      <c r="J44" s="18" t="s">
        <v>154</v>
      </c>
      <c r="K44" s="17" t="s">
        <v>154</v>
      </c>
      <c r="L44" s="18" t="s">
        <v>154</v>
      </c>
      <c r="M44" s="17" t="s">
        <v>154</v>
      </c>
      <c r="N44" s="18" t="s">
        <v>154</v>
      </c>
      <c r="O44" s="17" t="s">
        <v>154</v>
      </c>
      <c r="P44" s="18" t="s">
        <v>154</v>
      </c>
      <c r="Q44" s="17" t="s">
        <v>154</v>
      </c>
      <c r="R44" s="18" t="s">
        <v>154</v>
      </c>
    </row>
    <row r="45" spans="1:18" x14ac:dyDescent="0.25">
      <c r="A45" s="11" t="s">
        <v>178</v>
      </c>
      <c r="B45" s="17" t="s">
        <v>154</v>
      </c>
      <c r="C45" s="17" t="s">
        <v>154</v>
      </c>
      <c r="D45" s="18" t="s">
        <v>154</v>
      </c>
      <c r="E45" s="17" t="s">
        <v>154</v>
      </c>
      <c r="F45" s="18" t="s">
        <v>154</v>
      </c>
      <c r="G45" s="17" t="s">
        <v>154</v>
      </c>
      <c r="H45" s="18" t="s">
        <v>154</v>
      </c>
      <c r="I45" s="17" t="s">
        <v>154</v>
      </c>
      <c r="J45" s="18" t="s">
        <v>154</v>
      </c>
      <c r="K45" s="17" t="s">
        <v>154</v>
      </c>
      <c r="L45" s="18" t="s">
        <v>154</v>
      </c>
      <c r="M45" s="17" t="s">
        <v>154</v>
      </c>
      <c r="N45" s="18" t="s">
        <v>154</v>
      </c>
      <c r="O45" s="17" t="s">
        <v>154</v>
      </c>
      <c r="P45" s="18" t="s">
        <v>154</v>
      </c>
      <c r="Q45" s="17" t="s">
        <v>154</v>
      </c>
      <c r="R45" s="18" t="s">
        <v>154</v>
      </c>
    </row>
    <row r="46" spans="1:18" x14ac:dyDescent="0.25">
      <c r="A46" s="11" t="s">
        <v>179</v>
      </c>
      <c r="B46" s="13">
        <v>23141</v>
      </c>
      <c r="C46" s="14">
        <f>(20176/B46*100)</f>
        <v>87.18724342076834</v>
      </c>
      <c r="D46" s="15">
        <v>2965</v>
      </c>
      <c r="E46" s="14">
        <v>55.939803740000002</v>
      </c>
      <c r="F46" s="16">
        <v>1.2658216600000001</v>
      </c>
      <c r="G46" s="14">
        <v>44.060196259999998</v>
      </c>
      <c r="H46" s="16">
        <v>1.2658216600000001</v>
      </c>
      <c r="I46" s="14" t="s">
        <v>139</v>
      </c>
      <c r="J46" s="16" t="s">
        <v>139</v>
      </c>
      <c r="K46" s="14">
        <v>0</v>
      </c>
      <c r="L46" s="16">
        <v>0</v>
      </c>
      <c r="M46" s="14">
        <v>0</v>
      </c>
      <c r="N46" s="16">
        <v>0</v>
      </c>
      <c r="O46" s="14">
        <v>0</v>
      </c>
      <c r="P46" s="16">
        <v>0</v>
      </c>
      <c r="Q46" s="14">
        <v>0</v>
      </c>
      <c r="R46" s="16">
        <v>0</v>
      </c>
    </row>
    <row r="47" spans="1:18" x14ac:dyDescent="0.25">
      <c r="A47" s="11" t="s">
        <v>180</v>
      </c>
      <c r="B47" s="13">
        <v>5928</v>
      </c>
      <c r="C47" s="14">
        <f>(4958/B47*100)</f>
        <v>83.6369770580297</v>
      </c>
      <c r="D47" s="15">
        <v>970</v>
      </c>
      <c r="E47" s="14">
        <v>56.34818482</v>
      </c>
      <c r="F47" s="16">
        <v>1.63399995</v>
      </c>
      <c r="G47" s="14">
        <v>43.65181518</v>
      </c>
      <c r="H47" s="16">
        <v>1.63399995</v>
      </c>
      <c r="I47" s="14" t="s">
        <v>139</v>
      </c>
      <c r="J47" s="16" t="s">
        <v>139</v>
      </c>
      <c r="K47" s="14">
        <v>0</v>
      </c>
      <c r="L47" s="16">
        <v>0</v>
      </c>
      <c r="M47" s="14">
        <v>0</v>
      </c>
      <c r="N47" s="16">
        <v>0</v>
      </c>
      <c r="O47" s="14">
        <v>0</v>
      </c>
      <c r="P47" s="16">
        <v>0</v>
      </c>
      <c r="Q47" s="14">
        <v>0</v>
      </c>
      <c r="R47" s="16">
        <v>0</v>
      </c>
    </row>
    <row r="48" spans="1:18" x14ac:dyDescent="0.25">
      <c r="A48" s="11" t="s">
        <v>181</v>
      </c>
      <c r="B48" s="13">
        <v>9841</v>
      </c>
      <c r="C48" s="14">
        <f>(8160/B48*100)</f>
        <v>82.918402601361649</v>
      </c>
      <c r="D48" s="15">
        <v>1681</v>
      </c>
      <c r="E48" s="14">
        <v>41.490235800000001</v>
      </c>
      <c r="F48" s="16">
        <v>1.5612423600000001</v>
      </c>
      <c r="G48" s="14">
        <v>58.509764199999999</v>
      </c>
      <c r="H48" s="16">
        <v>1.5612423600000001</v>
      </c>
      <c r="I48" s="14" t="s">
        <v>139</v>
      </c>
      <c r="J48" s="16" t="s">
        <v>139</v>
      </c>
      <c r="K48" s="14">
        <v>0</v>
      </c>
      <c r="L48" s="16">
        <v>0</v>
      </c>
      <c r="M48" s="14">
        <v>0</v>
      </c>
      <c r="N48" s="16">
        <v>0</v>
      </c>
      <c r="O48" s="14">
        <v>0</v>
      </c>
      <c r="P48" s="16">
        <v>0</v>
      </c>
      <c r="Q48" s="14">
        <v>0</v>
      </c>
      <c r="R48" s="16">
        <v>0</v>
      </c>
    </row>
    <row r="49" spans="1:18" x14ac:dyDescent="0.25">
      <c r="A49" s="11" t="s">
        <v>182</v>
      </c>
      <c r="B49" s="17" t="s">
        <v>154</v>
      </c>
      <c r="C49" s="17" t="s">
        <v>154</v>
      </c>
      <c r="D49" s="18" t="s">
        <v>154</v>
      </c>
      <c r="E49" s="17" t="s">
        <v>154</v>
      </c>
      <c r="F49" s="18" t="s">
        <v>154</v>
      </c>
      <c r="G49" s="17" t="s">
        <v>154</v>
      </c>
      <c r="H49" s="18" t="s">
        <v>154</v>
      </c>
      <c r="I49" s="17" t="s">
        <v>154</v>
      </c>
      <c r="J49" s="18" t="s">
        <v>154</v>
      </c>
      <c r="K49" s="17" t="s">
        <v>154</v>
      </c>
      <c r="L49" s="18" t="s">
        <v>154</v>
      </c>
      <c r="M49" s="17" t="s">
        <v>154</v>
      </c>
      <c r="N49" s="18" t="s">
        <v>154</v>
      </c>
      <c r="O49" s="17" t="s">
        <v>154</v>
      </c>
      <c r="P49" s="18" t="s">
        <v>154</v>
      </c>
      <c r="Q49" s="17" t="s">
        <v>154</v>
      </c>
      <c r="R49" s="18" t="s">
        <v>154</v>
      </c>
    </row>
    <row r="50" spans="1:18" x14ac:dyDescent="0.25">
      <c r="A50" s="11" t="s">
        <v>183</v>
      </c>
      <c r="B50" s="13">
        <v>11795</v>
      </c>
      <c r="C50" s="14">
        <f>(9898/B50*100)</f>
        <v>83.916913946587528</v>
      </c>
      <c r="D50" s="15">
        <v>1897</v>
      </c>
      <c r="E50" s="14">
        <v>55.599708679999999</v>
      </c>
      <c r="F50" s="16">
        <v>1.54952804</v>
      </c>
      <c r="G50" s="14">
        <v>44.400291320000001</v>
      </c>
      <c r="H50" s="16">
        <v>1.54952804</v>
      </c>
      <c r="I50" s="14" t="s">
        <v>139</v>
      </c>
      <c r="J50" s="16" t="s">
        <v>139</v>
      </c>
      <c r="K50" s="14">
        <v>0</v>
      </c>
      <c r="L50" s="16">
        <v>0</v>
      </c>
      <c r="M50" s="14">
        <v>0</v>
      </c>
      <c r="N50" s="16">
        <v>0</v>
      </c>
      <c r="O50" s="14">
        <v>0</v>
      </c>
      <c r="P50" s="16">
        <v>0</v>
      </c>
      <c r="Q50" s="14">
        <v>0</v>
      </c>
      <c r="R50" s="16">
        <v>0</v>
      </c>
    </row>
    <row r="51" spans="1:18" x14ac:dyDescent="0.25">
      <c r="A51" s="11" t="s">
        <v>184</v>
      </c>
      <c r="B51" s="13">
        <v>6866</v>
      </c>
      <c r="C51" s="14">
        <f>(5894/B51*100)</f>
        <v>85.843285755898634</v>
      </c>
      <c r="D51" s="15">
        <v>972</v>
      </c>
      <c r="E51" s="14">
        <v>45.529818480000003</v>
      </c>
      <c r="F51" s="16">
        <v>1.6107775799999999</v>
      </c>
      <c r="G51" s="14">
        <v>54.470181519999997</v>
      </c>
      <c r="H51" s="16">
        <v>1.6107775799999999</v>
      </c>
      <c r="I51" s="14" t="s">
        <v>139</v>
      </c>
      <c r="J51" s="16" t="s">
        <v>139</v>
      </c>
      <c r="K51" s="14">
        <v>0</v>
      </c>
      <c r="L51" s="16">
        <v>0</v>
      </c>
      <c r="M51" s="14">
        <v>0</v>
      </c>
      <c r="N51" s="16">
        <v>0</v>
      </c>
      <c r="O51" s="14">
        <v>0</v>
      </c>
      <c r="P51" s="16">
        <v>0</v>
      </c>
      <c r="Q51" s="14">
        <v>0</v>
      </c>
      <c r="R51" s="16">
        <v>0</v>
      </c>
    </row>
    <row r="52" spans="1:18" x14ac:dyDescent="0.25">
      <c r="A52" s="11" t="s">
        <v>185</v>
      </c>
      <c r="B52" s="13">
        <v>5809</v>
      </c>
      <c r="C52" s="14">
        <f>(4808/B52*100)</f>
        <v>82.768118436908239</v>
      </c>
      <c r="D52" s="15">
        <v>1001</v>
      </c>
      <c r="E52" s="14">
        <v>46.978464019999997</v>
      </c>
      <c r="F52" s="16">
        <v>1.54547397</v>
      </c>
      <c r="G52" s="14">
        <v>53.021535980000003</v>
      </c>
      <c r="H52" s="16">
        <v>1.54547397</v>
      </c>
      <c r="I52" s="14" t="s">
        <v>139</v>
      </c>
      <c r="J52" s="16" t="s">
        <v>139</v>
      </c>
      <c r="K52" s="14">
        <v>0</v>
      </c>
      <c r="L52" s="16">
        <v>0</v>
      </c>
      <c r="M52" s="14">
        <v>0</v>
      </c>
      <c r="N52" s="16">
        <v>0</v>
      </c>
      <c r="O52" s="14">
        <v>0</v>
      </c>
      <c r="P52" s="16">
        <v>0</v>
      </c>
      <c r="Q52" s="14">
        <v>0</v>
      </c>
      <c r="R52" s="16">
        <v>0</v>
      </c>
    </row>
    <row r="53" spans="1:18" x14ac:dyDescent="0.25">
      <c r="A53" s="11" t="s">
        <v>186</v>
      </c>
      <c r="B53" s="13">
        <v>5571</v>
      </c>
      <c r="C53" s="14">
        <f>(4622/B53*100)</f>
        <v>82.965356309459708</v>
      </c>
      <c r="D53" s="15">
        <v>949</v>
      </c>
      <c r="E53" s="14">
        <v>52.722782809999998</v>
      </c>
      <c r="F53" s="16">
        <v>1.77367765</v>
      </c>
      <c r="G53" s="14">
        <v>47.277217190000002</v>
      </c>
      <c r="H53" s="16">
        <v>1.77367765</v>
      </c>
      <c r="I53" s="14" t="s">
        <v>139</v>
      </c>
      <c r="J53" s="16" t="s">
        <v>139</v>
      </c>
      <c r="K53" s="14">
        <v>0</v>
      </c>
      <c r="L53" s="16">
        <v>0</v>
      </c>
      <c r="M53" s="14">
        <v>0</v>
      </c>
      <c r="N53" s="16">
        <v>0</v>
      </c>
      <c r="O53" s="14">
        <v>0</v>
      </c>
      <c r="P53" s="16">
        <v>0</v>
      </c>
      <c r="Q53" s="14">
        <v>0</v>
      </c>
      <c r="R53" s="16">
        <v>0</v>
      </c>
    </row>
    <row r="54" spans="1:18" x14ac:dyDescent="0.25">
      <c r="A54" s="11" t="s">
        <v>187</v>
      </c>
      <c r="B54" s="17" t="s">
        <v>154</v>
      </c>
      <c r="C54" s="17" t="s">
        <v>154</v>
      </c>
      <c r="D54" s="18" t="s">
        <v>154</v>
      </c>
      <c r="E54" s="17" t="s">
        <v>154</v>
      </c>
      <c r="F54" s="18" t="s">
        <v>154</v>
      </c>
      <c r="G54" s="17" t="s">
        <v>154</v>
      </c>
      <c r="H54" s="18" t="s">
        <v>154</v>
      </c>
      <c r="I54" s="17" t="s">
        <v>154</v>
      </c>
      <c r="J54" s="18" t="s">
        <v>154</v>
      </c>
      <c r="K54" s="17" t="s">
        <v>154</v>
      </c>
      <c r="L54" s="18" t="s">
        <v>154</v>
      </c>
      <c r="M54" s="17" t="s">
        <v>154</v>
      </c>
      <c r="N54" s="18" t="s">
        <v>154</v>
      </c>
      <c r="O54" s="17" t="s">
        <v>154</v>
      </c>
      <c r="P54" s="18" t="s">
        <v>154</v>
      </c>
      <c r="Q54" s="17" t="s">
        <v>154</v>
      </c>
      <c r="R54" s="18" t="s">
        <v>154</v>
      </c>
    </row>
    <row r="55" spans="1:18" x14ac:dyDescent="0.25">
      <c r="A55" s="11" t="s">
        <v>188</v>
      </c>
      <c r="B55" s="17" t="s">
        <v>154</v>
      </c>
      <c r="C55" s="17" t="s">
        <v>154</v>
      </c>
      <c r="D55" s="18" t="s">
        <v>154</v>
      </c>
      <c r="E55" s="17" t="s">
        <v>154</v>
      </c>
      <c r="F55" s="18" t="s">
        <v>154</v>
      </c>
      <c r="G55" s="17" t="s">
        <v>154</v>
      </c>
      <c r="H55" s="18" t="s">
        <v>154</v>
      </c>
      <c r="I55" s="17" t="s">
        <v>154</v>
      </c>
      <c r="J55" s="18" t="s">
        <v>154</v>
      </c>
      <c r="K55" s="17" t="s">
        <v>154</v>
      </c>
      <c r="L55" s="18" t="s">
        <v>154</v>
      </c>
      <c r="M55" s="17" t="s">
        <v>154</v>
      </c>
      <c r="N55" s="18" t="s">
        <v>154</v>
      </c>
      <c r="O55" s="17" t="s">
        <v>154</v>
      </c>
      <c r="P55" s="18" t="s">
        <v>154</v>
      </c>
      <c r="Q55" s="17" t="s">
        <v>154</v>
      </c>
      <c r="R55" s="18" t="s">
        <v>154</v>
      </c>
    </row>
    <row r="56" spans="1:18" x14ac:dyDescent="0.25">
      <c r="A56" s="11" t="s">
        <v>189</v>
      </c>
      <c r="B56" s="13">
        <v>5359</v>
      </c>
      <c r="C56" s="14">
        <f>(4449/B56*100)</f>
        <v>83.019220003732045</v>
      </c>
      <c r="D56" s="15">
        <v>910</v>
      </c>
      <c r="E56" s="14">
        <v>28.17910243</v>
      </c>
      <c r="F56" s="16">
        <v>1.5405357900000001</v>
      </c>
      <c r="G56" s="14">
        <v>71.82089757</v>
      </c>
      <c r="H56" s="16">
        <v>1.5405357900000001</v>
      </c>
      <c r="I56" s="14" t="s">
        <v>139</v>
      </c>
      <c r="J56" s="16" t="s">
        <v>139</v>
      </c>
      <c r="K56" s="14">
        <v>0</v>
      </c>
      <c r="L56" s="16">
        <v>0</v>
      </c>
      <c r="M56" s="14">
        <v>0</v>
      </c>
      <c r="N56" s="16">
        <v>0</v>
      </c>
      <c r="O56" s="14">
        <v>0</v>
      </c>
      <c r="P56" s="16">
        <v>0</v>
      </c>
      <c r="Q56" s="14">
        <v>0</v>
      </c>
      <c r="R56" s="16">
        <v>0</v>
      </c>
    </row>
    <row r="57" spans="1:18" x14ac:dyDescent="0.25">
      <c r="A57" s="11" t="s">
        <v>190</v>
      </c>
      <c r="B57" s="17" t="s">
        <v>154</v>
      </c>
      <c r="C57" s="17" t="s">
        <v>154</v>
      </c>
      <c r="D57" s="18" t="s">
        <v>154</v>
      </c>
      <c r="E57" s="17" t="s">
        <v>154</v>
      </c>
      <c r="F57" s="18" t="s">
        <v>154</v>
      </c>
      <c r="G57" s="17" t="s">
        <v>154</v>
      </c>
      <c r="H57" s="18" t="s">
        <v>154</v>
      </c>
      <c r="I57" s="17" t="s">
        <v>154</v>
      </c>
      <c r="J57" s="18" t="s">
        <v>154</v>
      </c>
      <c r="K57" s="17" t="s">
        <v>154</v>
      </c>
      <c r="L57" s="18" t="s">
        <v>154</v>
      </c>
      <c r="M57" s="17" t="s">
        <v>154</v>
      </c>
      <c r="N57" s="18" t="s">
        <v>154</v>
      </c>
      <c r="O57" s="17" t="s">
        <v>154</v>
      </c>
      <c r="P57" s="18" t="s">
        <v>154</v>
      </c>
      <c r="Q57" s="17" t="s">
        <v>154</v>
      </c>
      <c r="R57" s="18" t="s">
        <v>154</v>
      </c>
    </row>
    <row r="58" spans="1:18" x14ac:dyDescent="0.25">
      <c r="A58" s="11" t="s">
        <v>191</v>
      </c>
      <c r="B58" s="17" t="s">
        <v>154</v>
      </c>
      <c r="C58" s="17" t="s">
        <v>154</v>
      </c>
      <c r="D58" s="18" t="s">
        <v>154</v>
      </c>
      <c r="E58" s="17" t="s">
        <v>154</v>
      </c>
      <c r="F58" s="18" t="s">
        <v>154</v>
      </c>
      <c r="G58" s="17" t="s">
        <v>154</v>
      </c>
      <c r="H58" s="18" t="s">
        <v>154</v>
      </c>
      <c r="I58" s="17" t="s">
        <v>154</v>
      </c>
      <c r="J58" s="18" t="s">
        <v>154</v>
      </c>
      <c r="K58" s="17" t="s">
        <v>154</v>
      </c>
      <c r="L58" s="18" t="s">
        <v>154</v>
      </c>
      <c r="M58" s="17" t="s">
        <v>154</v>
      </c>
      <c r="N58" s="18" t="s">
        <v>154</v>
      </c>
      <c r="O58" s="17" t="s">
        <v>154</v>
      </c>
      <c r="P58" s="18" t="s">
        <v>154</v>
      </c>
      <c r="Q58" s="17" t="s">
        <v>154</v>
      </c>
      <c r="R58" s="18" t="s">
        <v>154</v>
      </c>
    </row>
    <row r="59" spans="1:18" x14ac:dyDescent="0.25">
      <c r="A59" s="11" t="s">
        <v>192</v>
      </c>
      <c r="B59" s="17" t="s">
        <v>154</v>
      </c>
      <c r="C59" s="17" t="s">
        <v>154</v>
      </c>
      <c r="D59" s="18" t="s">
        <v>154</v>
      </c>
      <c r="E59" s="17" t="s">
        <v>154</v>
      </c>
      <c r="F59" s="18" t="s">
        <v>154</v>
      </c>
      <c r="G59" s="17" t="s">
        <v>154</v>
      </c>
      <c r="H59" s="18" t="s">
        <v>154</v>
      </c>
      <c r="I59" s="17" t="s">
        <v>154</v>
      </c>
      <c r="J59" s="18" t="s">
        <v>154</v>
      </c>
      <c r="K59" s="17" t="s">
        <v>154</v>
      </c>
      <c r="L59" s="18" t="s">
        <v>154</v>
      </c>
      <c r="M59" s="17" t="s">
        <v>154</v>
      </c>
      <c r="N59" s="18" t="s">
        <v>154</v>
      </c>
      <c r="O59" s="17" t="s">
        <v>154</v>
      </c>
      <c r="P59" s="18" t="s">
        <v>154</v>
      </c>
      <c r="Q59" s="17" t="s">
        <v>154</v>
      </c>
      <c r="R59" s="18" t="s">
        <v>154</v>
      </c>
    </row>
    <row r="60" spans="1:18" x14ac:dyDescent="0.25">
      <c r="A60" s="11" t="s">
        <v>193</v>
      </c>
      <c r="B60" s="17" t="s">
        <v>154</v>
      </c>
      <c r="C60" s="17" t="s">
        <v>154</v>
      </c>
      <c r="D60" s="18" t="s">
        <v>154</v>
      </c>
      <c r="E60" s="17" t="s">
        <v>154</v>
      </c>
      <c r="F60" s="18" t="s">
        <v>154</v>
      </c>
      <c r="G60" s="17" t="s">
        <v>154</v>
      </c>
      <c r="H60" s="18" t="s">
        <v>154</v>
      </c>
      <c r="I60" s="17" t="s">
        <v>154</v>
      </c>
      <c r="J60" s="18" t="s">
        <v>154</v>
      </c>
      <c r="K60" s="17" t="s">
        <v>154</v>
      </c>
      <c r="L60" s="18" t="s">
        <v>154</v>
      </c>
      <c r="M60" s="17" t="s">
        <v>154</v>
      </c>
      <c r="N60" s="18" t="s">
        <v>154</v>
      </c>
      <c r="O60" s="17" t="s">
        <v>154</v>
      </c>
      <c r="P60" s="18" t="s">
        <v>154</v>
      </c>
      <c r="Q60" s="17" t="s">
        <v>154</v>
      </c>
      <c r="R60" s="18" t="s">
        <v>154</v>
      </c>
    </row>
    <row r="61" spans="1:18" x14ac:dyDescent="0.25">
      <c r="A61" s="11" t="s">
        <v>194</v>
      </c>
      <c r="B61" s="13">
        <v>6525</v>
      </c>
      <c r="C61" s="14">
        <f>(5408/B61*100)</f>
        <v>82.88122605363985</v>
      </c>
      <c r="D61" s="15">
        <v>1117</v>
      </c>
      <c r="E61" s="14">
        <v>48.785433859999998</v>
      </c>
      <c r="F61" s="16">
        <v>1.81511355</v>
      </c>
      <c r="G61" s="14">
        <v>51.214566140000002</v>
      </c>
      <c r="H61" s="16">
        <v>1.81511355</v>
      </c>
      <c r="I61" s="14" t="s">
        <v>139</v>
      </c>
      <c r="J61" s="16" t="s">
        <v>139</v>
      </c>
      <c r="K61" s="14">
        <v>0</v>
      </c>
      <c r="L61" s="16">
        <v>0</v>
      </c>
      <c r="M61" s="14">
        <v>0</v>
      </c>
      <c r="N61" s="16">
        <v>0</v>
      </c>
      <c r="O61" s="14">
        <v>0</v>
      </c>
      <c r="P61" s="16">
        <v>0</v>
      </c>
      <c r="Q61" s="14">
        <v>0</v>
      </c>
      <c r="R61" s="16">
        <v>0</v>
      </c>
    </row>
    <row r="62" spans="1:18" x14ac:dyDescent="0.25">
      <c r="A62" s="11" t="s">
        <v>195</v>
      </c>
      <c r="B62" s="13">
        <v>4476</v>
      </c>
      <c r="C62" s="14">
        <f>(3712/B62*100)</f>
        <v>82.931188561215379</v>
      </c>
      <c r="D62" s="15">
        <v>764</v>
      </c>
      <c r="E62" s="14">
        <v>27.930913050000001</v>
      </c>
      <c r="F62" s="16">
        <v>1.86275623</v>
      </c>
      <c r="G62" s="14">
        <v>72.069086949999999</v>
      </c>
      <c r="H62" s="16">
        <v>1.86275623</v>
      </c>
      <c r="I62" s="14" t="s">
        <v>139</v>
      </c>
      <c r="J62" s="16" t="s">
        <v>139</v>
      </c>
      <c r="K62" s="14">
        <v>0</v>
      </c>
      <c r="L62" s="16">
        <v>0</v>
      </c>
      <c r="M62" s="14">
        <v>0</v>
      </c>
      <c r="N62" s="16">
        <v>0</v>
      </c>
      <c r="O62" s="14">
        <v>0</v>
      </c>
      <c r="P62" s="16">
        <v>0</v>
      </c>
      <c r="Q62" s="14">
        <v>0</v>
      </c>
      <c r="R62" s="16">
        <v>0</v>
      </c>
    </row>
    <row r="63" spans="1:18" x14ac:dyDescent="0.25">
      <c r="A63" s="11" t="s">
        <v>196</v>
      </c>
      <c r="B63" s="17" t="s">
        <v>154</v>
      </c>
      <c r="C63" s="17" t="s">
        <v>154</v>
      </c>
      <c r="D63" s="18" t="s">
        <v>154</v>
      </c>
      <c r="E63" s="17" t="s">
        <v>154</v>
      </c>
      <c r="F63" s="18" t="s">
        <v>154</v>
      </c>
      <c r="G63" s="17" t="s">
        <v>154</v>
      </c>
      <c r="H63" s="18" t="s">
        <v>154</v>
      </c>
      <c r="I63" s="17" t="s">
        <v>154</v>
      </c>
      <c r="J63" s="18" t="s">
        <v>154</v>
      </c>
      <c r="K63" s="17" t="s">
        <v>154</v>
      </c>
      <c r="L63" s="18" t="s">
        <v>154</v>
      </c>
      <c r="M63" s="17" t="s">
        <v>154</v>
      </c>
      <c r="N63" s="18" t="s">
        <v>154</v>
      </c>
      <c r="O63" s="17" t="s">
        <v>154</v>
      </c>
      <c r="P63" s="18" t="s">
        <v>154</v>
      </c>
      <c r="Q63" s="17" t="s">
        <v>154</v>
      </c>
      <c r="R63" s="18" t="s">
        <v>154</v>
      </c>
    </row>
    <row r="64" spans="1:18" x14ac:dyDescent="0.25">
      <c r="A64" s="11" t="s">
        <v>197</v>
      </c>
      <c r="B64" s="17" t="s">
        <v>154</v>
      </c>
      <c r="C64" s="17" t="s">
        <v>154</v>
      </c>
      <c r="D64" s="18" t="s">
        <v>154</v>
      </c>
      <c r="E64" s="17" t="s">
        <v>154</v>
      </c>
      <c r="F64" s="18" t="s">
        <v>154</v>
      </c>
      <c r="G64" s="17" t="s">
        <v>154</v>
      </c>
      <c r="H64" s="18" t="s">
        <v>154</v>
      </c>
      <c r="I64" s="17" t="s">
        <v>154</v>
      </c>
      <c r="J64" s="18" t="s">
        <v>154</v>
      </c>
      <c r="K64" s="17" t="s">
        <v>154</v>
      </c>
      <c r="L64" s="18" t="s">
        <v>154</v>
      </c>
      <c r="M64" s="17" t="s">
        <v>154</v>
      </c>
      <c r="N64" s="18" t="s">
        <v>154</v>
      </c>
      <c r="O64" s="17" t="s">
        <v>154</v>
      </c>
      <c r="P64" s="18" t="s">
        <v>154</v>
      </c>
      <c r="Q64" s="17" t="s">
        <v>154</v>
      </c>
      <c r="R64" s="18" t="s">
        <v>154</v>
      </c>
    </row>
    <row r="65" spans="1:18" x14ac:dyDescent="0.25">
      <c r="A65" s="11" t="s">
        <v>198</v>
      </c>
      <c r="B65" s="17" t="s">
        <v>154</v>
      </c>
      <c r="C65" s="17" t="s">
        <v>154</v>
      </c>
      <c r="D65" s="18" t="s">
        <v>154</v>
      </c>
      <c r="E65" s="17" t="s">
        <v>154</v>
      </c>
      <c r="F65" s="18" t="s">
        <v>154</v>
      </c>
      <c r="G65" s="17" t="s">
        <v>154</v>
      </c>
      <c r="H65" s="18" t="s">
        <v>154</v>
      </c>
      <c r="I65" s="17" t="s">
        <v>154</v>
      </c>
      <c r="J65" s="18" t="s">
        <v>154</v>
      </c>
      <c r="K65" s="17" t="s">
        <v>154</v>
      </c>
      <c r="L65" s="18" t="s">
        <v>154</v>
      </c>
      <c r="M65" s="17" t="s">
        <v>154</v>
      </c>
      <c r="N65" s="18" t="s">
        <v>154</v>
      </c>
      <c r="O65" s="17" t="s">
        <v>154</v>
      </c>
      <c r="P65" s="18" t="s">
        <v>154</v>
      </c>
      <c r="Q65" s="17" t="s">
        <v>154</v>
      </c>
      <c r="R65" s="18" t="s">
        <v>154</v>
      </c>
    </row>
    <row r="66" spans="1:18" x14ac:dyDescent="0.25">
      <c r="A66" s="11" t="s">
        <v>199</v>
      </c>
      <c r="B66" s="13">
        <v>5665</v>
      </c>
      <c r="C66" s="14">
        <f>(4730/B66*100)</f>
        <v>83.495145631067956</v>
      </c>
      <c r="D66" s="15">
        <v>935</v>
      </c>
      <c r="E66" s="14">
        <v>60.080529509999998</v>
      </c>
      <c r="F66" s="16">
        <v>1.7141913099999999</v>
      </c>
      <c r="G66" s="14">
        <v>39.919470490000002</v>
      </c>
      <c r="H66" s="16">
        <v>1.7141913099999999</v>
      </c>
      <c r="I66" s="14" t="s">
        <v>139</v>
      </c>
      <c r="J66" s="16" t="s">
        <v>139</v>
      </c>
      <c r="K66" s="14">
        <v>0</v>
      </c>
      <c r="L66" s="16">
        <v>0</v>
      </c>
      <c r="M66" s="14">
        <v>0</v>
      </c>
      <c r="N66" s="16">
        <v>0</v>
      </c>
      <c r="O66" s="14">
        <v>0</v>
      </c>
      <c r="P66" s="16">
        <v>0</v>
      </c>
      <c r="Q66" s="14">
        <v>0</v>
      </c>
      <c r="R66" s="16">
        <v>0</v>
      </c>
    </row>
    <row r="67" spans="1:18" x14ac:dyDescent="0.25">
      <c r="A67" s="11" t="s">
        <v>200</v>
      </c>
      <c r="B67" s="13">
        <v>6971</v>
      </c>
      <c r="C67" s="14">
        <f>(5966/B67*100)</f>
        <v>85.583130110457603</v>
      </c>
      <c r="D67" s="15">
        <v>1005</v>
      </c>
      <c r="E67" s="14">
        <v>50.03357287</v>
      </c>
      <c r="F67" s="16">
        <v>1.7617508099999999</v>
      </c>
      <c r="G67" s="14">
        <v>49.96642713</v>
      </c>
      <c r="H67" s="16">
        <v>1.7617508099999999</v>
      </c>
      <c r="I67" s="14" t="s">
        <v>139</v>
      </c>
      <c r="J67" s="16" t="s">
        <v>139</v>
      </c>
      <c r="K67" s="14">
        <v>0</v>
      </c>
      <c r="L67" s="16">
        <v>0</v>
      </c>
      <c r="M67" s="14">
        <v>0</v>
      </c>
      <c r="N67" s="16">
        <v>0</v>
      </c>
      <c r="O67" s="14">
        <v>0</v>
      </c>
      <c r="P67" s="16">
        <v>0</v>
      </c>
      <c r="Q67" s="14">
        <v>0</v>
      </c>
      <c r="R67" s="16">
        <v>0</v>
      </c>
    </row>
    <row r="68" spans="1:18" x14ac:dyDescent="0.25">
      <c r="A68" s="11" t="s">
        <v>201</v>
      </c>
      <c r="B68" s="17" t="s">
        <v>154</v>
      </c>
      <c r="C68" s="17" t="s">
        <v>154</v>
      </c>
      <c r="D68" s="18" t="s">
        <v>154</v>
      </c>
      <c r="E68" s="17" t="s">
        <v>154</v>
      </c>
      <c r="F68" s="18" t="s">
        <v>154</v>
      </c>
      <c r="G68" s="17" t="s">
        <v>154</v>
      </c>
      <c r="H68" s="18" t="s">
        <v>154</v>
      </c>
      <c r="I68" s="17" t="s">
        <v>154</v>
      </c>
      <c r="J68" s="18" t="s">
        <v>154</v>
      </c>
      <c r="K68" s="17" t="s">
        <v>154</v>
      </c>
      <c r="L68" s="18" t="s">
        <v>154</v>
      </c>
      <c r="M68" s="17" t="s">
        <v>154</v>
      </c>
      <c r="N68" s="18" t="s">
        <v>154</v>
      </c>
      <c r="O68" s="17" t="s">
        <v>154</v>
      </c>
      <c r="P68" s="18" t="s">
        <v>154</v>
      </c>
      <c r="Q68" s="17" t="s">
        <v>154</v>
      </c>
      <c r="R68" s="18" t="s">
        <v>154</v>
      </c>
    </row>
    <row r="69" spans="1:18" x14ac:dyDescent="0.25">
      <c r="A69" s="11" t="s">
        <v>202</v>
      </c>
      <c r="B69" s="17" t="s">
        <v>154</v>
      </c>
      <c r="C69" s="17" t="s">
        <v>154</v>
      </c>
      <c r="D69" s="18" t="s">
        <v>154</v>
      </c>
      <c r="E69" s="17" t="s">
        <v>154</v>
      </c>
      <c r="F69" s="18" t="s">
        <v>154</v>
      </c>
      <c r="G69" s="17" t="s">
        <v>154</v>
      </c>
      <c r="H69" s="18" t="s">
        <v>154</v>
      </c>
      <c r="I69" s="17" t="s">
        <v>154</v>
      </c>
      <c r="J69" s="18" t="s">
        <v>154</v>
      </c>
      <c r="K69" s="17" t="s">
        <v>154</v>
      </c>
      <c r="L69" s="18" t="s">
        <v>154</v>
      </c>
      <c r="M69" s="17" t="s">
        <v>154</v>
      </c>
      <c r="N69" s="18" t="s">
        <v>154</v>
      </c>
      <c r="O69" s="17" t="s">
        <v>154</v>
      </c>
      <c r="P69" s="18" t="s">
        <v>154</v>
      </c>
      <c r="Q69" s="17" t="s">
        <v>154</v>
      </c>
      <c r="R69" s="18" t="s">
        <v>154</v>
      </c>
    </row>
    <row r="70" spans="1:18" x14ac:dyDescent="0.25">
      <c r="A70" s="11" t="s">
        <v>203</v>
      </c>
      <c r="B70" s="13">
        <v>6036</v>
      </c>
      <c r="C70" s="14">
        <f>(5036/B70*100)</f>
        <v>83.432736911862165</v>
      </c>
      <c r="D70" s="15">
        <v>1000</v>
      </c>
      <c r="E70" s="14">
        <v>50.134509950000002</v>
      </c>
      <c r="F70" s="16">
        <v>1.47310703</v>
      </c>
      <c r="G70" s="14">
        <v>49.865490049999998</v>
      </c>
      <c r="H70" s="16">
        <v>1.47310703</v>
      </c>
      <c r="I70" s="14" t="s">
        <v>139</v>
      </c>
      <c r="J70" s="16" t="s">
        <v>139</v>
      </c>
      <c r="K70" s="14">
        <v>0</v>
      </c>
      <c r="L70" s="16">
        <v>0</v>
      </c>
      <c r="M70" s="14">
        <v>0</v>
      </c>
      <c r="N70" s="16">
        <v>0</v>
      </c>
      <c r="O70" s="14">
        <v>0</v>
      </c>
      <c r="P70" s="16">
        <v>0</v>
      </c>
      <c r="Q70" s="14">
        <v>0</v>
      </c>
      <c r="R70" s="16">
        <v>0</v>
      </c>
    </row>
    <row r="71" spans="1:18" x14ac:dyDescent="0.25">
      <c r="A71" s="11" t="s">
        <v>204</v>
      </c>
      <c r="B71" s="17" t="s">
        <v>154</v>
      </c>
      <c r="C71" s="17" t="s">
        <v>154</v>
      </c>
      <c r="D71" s="18" t="s">
        <v>154</v>
      </c>
      <c r="E71" s="17" t="s">
        <v>154</v>
      </c>
      <c r="F71" s="18" t="s">
        <v>154</v>
      </c>
      <c r="G71" s="17" t="s">
        <v>154</v>
      </c>
      <c r="H71" s="18" t="s">
        <v>154</v>
      </c>
      <c r="I71" s="17" t="s">
        <v>154</v>
      </c>
      <c r="J71" s="18" t="s">
        <v>154</v>
      </c>
      <c r="K71" s="17" t="s">
        <v>154</v>
      </c>
      <c r="L71" s="18" t="s">
        <v>154</v>
      </c>
      <c r="M71" s="17" t="s">
        <v>154</v>
      </c>
      <c r="N71" s="18" t="s">
        <v>154</v>
      </c>
      <c r="O71" s="17" t="s">
        <v>154</v>
      </c>
      <c r="P71" s="18" t="s">
        <v>154</v>
      </c>
      <c r="Q71" s="17" t="s">
        <v>154</v>
      </c>
      <c r="R71" s="18" t="s">
        <v>154</v>
      </c>
    </row>
    <row r="72" spans="1:18" x14ac:dyDescent="0.25">
      <c r="A72" s="11" t="s">
        <v>205</v>
      </c>
      <c r="B72" s="13">
        <v>7708</v>
      </c>
      <c r="C72" s="14">
        <f>(6391/B72*100)</f>
        <v>82.913855734302018</v>
      </c>
      <c r="D72" s="15">
        <v>1317</v>
      </c>
      <c r="E72" s="14">
        <v>37.490559500000003</v>
      </c>
      <c r="F72" s="16">
        <v>1.1213838599999999</v>
      </c>
      <c r="G72" s="14">
        <v>62.509440499999997</v>
      </c>
      <c r="H72" s="16">
        <v>1.1213838599999999</v>
      </c>
      <c r="I72" s="14" t="s">
        <v>139</v>
      </c>
      <c r="J72" s="16" t="s">
        <v>139</v>
      </c>
      <c r="K72" s="14">
        <v>0</v>
      </c>
      <c r="L72" s="16">
        <v>0</v>
      </c>
      <c r="M72" s="14">
        <v>0</v>
      </c>
      <c r="N72" s="16">
        <v>0</v>
      </c>
      <c r="O72" s="14">
        <v>0</v>
      </c>
      <c r="P72" s="16">
        <v>0</v>
      </c>
      <c r="Q72" s="14">
        <v>0</v>
      </c>
      <c r="R72" s="16">
        <v>0</v>
      </c>
    </row>
    <row r="73" spans="1:18" x14ac:dyDescent="0.25">
      <c r="A73" s="11" t="s">
        <v>206</v>
      </c>
      <c r="B73" s="13">
        <v>8249</v>
      </c>
      <c r="C73" s="14">
        <f>(6936/B73*100)</f>
        <v>84.082919141714157</v>
      </c>
      <c r="D73" s="15">
        <v>1313</v>
      </c>
      <c r="E73" s="14">
        <v>59.49283904</v>
      </c>
      <c r="F73" s="16">
        <v>1.5965871199999999</v>
      </c>
      <c r="G73" s="14">
        <v>40.50716096</v>
      </c>
      <c r="H73" s="16">
        <v>1.5965871199999999</v>
      </c>
      <c r="I73" s="14" t="s">
        <v>139</v>
      </c>
      <c r="J73" s="16" t="s">
        <v>139</v>
      </c>
      <c r="K73" s="14">
        <v>0</v>
      </c>
      <c r="L73" s="16">
        <v>0</v>
      </c>
      <c r="M73" s="14">
        <v>0</v>
      </c>
      <c r="N73" s="16">
        <v>0</v>
      </c>
      <c r="O73" s="14">
        <v>0</v>
      </c>
      <c r="P73" s="16">
        <v>0</v>
      </c>
      <c r="Q73" s="14">
        <v>0</v>
      </c>
      <c r="R73" s="16">
        <v>0</v>
      </c>
    </row>
    <row r="74" spans="1:18" x14ac:dyDescent="0.25">
      <c r="A74" s="11" t="s">
        <v>207</v>
      </c>
      <c r="B74" s="17" t="s">
        <v>154</v>
      </c>
      <c r="C74" s="17" t="s">
        <v>154</v>
      </c>
      <c r="D74" s="18" t="s">
        <v>154</v>
      </c>
      <c r="E74" s="17" t="s">
        <v>154</v>
      </c>
      <c r="F74" s="18" t="s">
        <v>154</v>
      </c>
      <c r="G74" s="17" t="s">
        <v>154</v>
      </c>
      <c r="H74" s="18" t="s">
        <v>154</v>
      </c>
      <c r="I74" s="17" t="s">
        <v>154</v>
      </c>
      <c r="J74" s="18" t="s">
        <v>154</v>
      </c>
      <c r="K74" s="17" t="s">
        <v>154</v>
      </c>
      <c r="L74" s="18" t="s">
        <v>154</v>
      </c>
      <c r="M74" s="17" t="s">
        <v>154</v>
      </c>
      <c r="N74" s="18" t="s">
        <v>154</v>
      </c>
      <c r="O74" s="17" t="s">
        <v>154</v>
      </c>
      <c r="P74" s="18" t="s">
        <v>154</v>
      </c>
      <c r="Q74" s="17" t="s">
        <v>154</v>
      </c>
      <c r="R74" s="18" t="s">
        <v>154</v>
      </c>
    </row>
    <row r="75" spans="1:18" x14ac:dyDescent="0.25">
      <c r="A75" s="11" t="s">
        <v>208</v>
      </c>
      <c r="B75" s="13">
        <v>5375</v>
      </c>
      <c r="C75" s="14">
        <f>(4541/B75*100)</f>
        <v>84.48372093023255</v>
      </c>
      <c r="D75" s="15">
        <v>834</v>
      </c>
      <c r="E75" s="14">
        <v>63.400041809999998</v>
      </c>
      <c r="F75" s="16">
        <v>1.8589379500000001</v>
      </c>
      <c r="G75" s="14">
        <v>36.599958190000002</v>
      </c>
      <c r="H75" s="16">
        <v>1.8589379500000001</v>
      </c>
      <c r="I75" s="14" t="s">
        <v>139</v>
      </c>
      <c r="J75" s="16" t="s">
        <v>139</v>
      </c>
      <c r="K75" s="14">
        <v>0</v>
      </c>
      <c r="L75" s="16">
        <v>0</v>
      </c>
      <c r="M75" s="14">
        <v>0</v>
      </c>
      <c r="N75" s="16">
        <v>0</v>
      </c>
      <c r="O75" s="14">
        <v>0</v>
      </c>
      <c r="P75" s="16">
        <v>0</v>
      </c>
      <c r="Q75" s="14">
        <v>0</v>
      </c>
      <c r="R75" s="16">
        <v>0</v>
      </c>
    </row>
    <row r="76" spans="1:18" x14ac:dyDescent="0.25">
      <c r="A76" s="11" t="s">
        <v>209</v>
      </c>
      <c r="B76" s="13">
        <v>14167</v>
      </c>
      <c r="C76" s="14">
        <f>(11797/B76*100)</f>
        <v>83.270981859250369</v>
      </c>
      <c r="D76" s="15">
        <v>2370</v>
      </c>
      <c r="E76" s="14">
        <v>52.663996949999998</v>
      </c>
      <c r="F76" s="16">
        <v>1.2629230600000001</v>
      </c>
      <c r="G76" s="14">
        <v>47.336003050000002</v>
      </c>
      <c r="H76" s="16">
        <v>1.2629230600000001</v>
      </c>
      <c r="I76" s="14" t="s">
        <v>139</v>
      </c>
      <c r="J76" s="16" t="s">
        <v>139</v>
      </c>
      <c r="K76" s="14">
        <v>0</v>
      </c>
      <c r="L76" s="16">
        <v>0</v>
      </c>
      <c r="M76" s="14">
        <v>0</v>
      </c>
      <c r="N76" s="16">
        <v>0</v>
      </c>
      <c r="O76" s="14">
        <v>0</v>
      </c>
      <c r="P76" s="16">
        <v>0</v>
      </c>
      <c r="Q76" s="14">
        <v>0</v>
      </c>
      <c r="R76" s="16">
        <v>0</v>
      </c>
    </row>
    <row r="77" spans="1:18" x14ac:dyDescent="0.25">
      <c r="A77" s="11" t="s">
        <v>210</v>
      </c>
      <c r="B77" s="13">
        <v>6062</v>
      </c>
      <c r="C77" s="14">
        <f>(5056/B77*100)</f>
        <v>83.404816892114809</v>
      </c>
      <c r="D77" s="15">
        <v>1006</v>
      </c>
      <c r="E77" s="14">
        <v>55.752313870000002</v>
      </c>
      <c r="F77" s="16">
        <v>1.57511369</v>
      </c>
      <c r="G77" s="14">
        <v>44.247686129999998</v>
      </c>
      <c r="H77" s="16">
        <v>1.57511369</v>
      </c>
      <c r="I77" s="14" t="s">
        <v>139</v>
      </c>
      <c r="J77" s="16" t="s">
        <v>139</v>
      </c>
      <c r="K77" s="14">
        <v>0</v>
      </c>
      <c r="L77" s="16">
        <v>0</v>
      </c>
      <c r="M77" s="14">
        <v>0</v>
      </c>
      <c r="N77" s="16">
        <v>0</v>
      </c>
      <c r="O77" s="14">
        <v>0</v>
      </c>
      <c r="P77" s="16">
        <v>0</v>
      </c>
      <c r="Q77" s="14">
        <v>0</v>
      </c>
      <c r="R77" s="16">
        <v>0</v>
      </c>
    </row>
    <row r="78" spans="1:18" x14ac:dyDescent="0.25">
      <c r="A78" s="11" t="s">
        <v>211</v>
      </c>
      <c r="B78" s="17" t="s">
        <v>154</v>
      </c>
      <c r="C78" s="17" t="s">
        <v>154</v>
      </c>
      <c r="D78" s="18" t="s">
        <v>154</v>
      </c>
      <c r="E78" s="17" t="s">
        <v>154</v>
      </c>
      <c r="F78" s="18" t="s">
        <v>154</v>
      </c>
      <c r="G78" s="17" t="s">
        <v>154</v>
      </c>
      <c r="H78" s="18" t="s">
        <v>154</v>
      </c>
      <c r="I78" s="17" t="s">
        <v>154</v>
      </c>
      <c r="J78" s="18" t="s">
        <v>154</v>
      </c>
      <c r="K78" s="17" t="s">
        <v>154</v>
      </c>
      <c r="L78" s="18" t="s">
        <v>154</v>
      </c>
      <c r="M78" s="17" t="s">
        <v>154</v>
      </c>
      <c r="N78" s="18" t="s">
        <v>154</v>
      </c>
      <c r="O78" s="17" t="s">
        <v>154</v>
      </c>
      <c r="P78" s="18" t="s">
        <v>154</v>
      </c>
      <c r="Q78" s="17" t="s">
        <v>154</v>
      </c>
      <c r="R78" s="18" t="s">
        <v>154</v>
      </c>
    </row>
    <row r="79" spans="1:18" ht="24.95" customHeight="1" x14ac:dyDescent="0.25">
      <c r="A79" s="11" t="s">
        <v>212</v>
      </c>
      <c r="B79" s="17" t="s">
        <v>154</v>
      </c>
      <c r="C79" s="17" t="s">
        <v>154</v>
      </c>
      <c r="D79" s="18" t="s">
        <v>154</v>
      </c>
      <c r="E79" s="17" t="s">
        <v>154</v>
      </c>
      <c r="F79" s="18" t="s">
        <v>154</v>
      </c>
      <c r="G79" s="17" t="s">
        <v>154</v>
      </c>
      <c r="H79" s="18" t="s">
        <v>154</v>
      </c>
      <c r="I79" s="17" t="s">
        <v>154</v>
      </c>
      <c r="J79" s="18" t="s">
        <v>154</v>
      </c>
      <c r="K79" s="17" t="s">
        <v>154</v>
      </c>
      <c r="L79" s="18" t="s">
        <v>154</v>
      </c>
      <c r="M79" s="17" t="s">
        <v>154</v>
      </c>
      <c r="N79" s="18" t="s">
        <v>154</v>
      </c>
      <c r="O79" s="17" t="s">
        <v>154</v>
      </c>
      <c r="P79" s="18" t="s">
        <v>154</v>
      </c>
      <c r="Q79" s="17" t="s">
        <v>154</v>
      </c>
      <c r="R79" s="18" t="s">
        <v>154</v>
      </c>
    </row>
    <row r="80" spans="1:18" x14ac:dyDescent="0.25">
      <c r="A80" s="11" t="s">
        <v>213</v>
      </c>
      <c r="B80" s="17" t="s">
        <v>154</v>
      </c>
      <c r="C80" s="17" t="s">
        <v>154</v>
      </c>
      <c r="D80" s="18" t="s">
        <v>154</v>
      </c>
      <c r="E80" s="17" t="s">
        <v>154</v>
      </c>
      <c r="F80" s="18" t="s">
        <v>154</v>
      </c>
      <c r="G80" s="17" t="s">
        <v>154</v>
      </c>
      <c r="H80" s="18" t="s">
        <v>154</v>
      </c>
      <c r="I80" s="17" t="s">
        <v>154</v>
      </c>
      <c r="J80" s="18" t="s">
        <v>154</v>
      </c>
      <c r="K80" s="17" t="s">
        <v>154</v>
      </c>
      <c r="L80" s="18" t="s">
        <v>154</v>
      </c>
      <c r="M80" s="17" t="s">
        <v>154</v>
      </c>
      <c r="N80" s="18" t="s">
        <v>154</v>
      </c>
      <c r="O80" s="17" t="s">
        <v>154</v>
      </c>
      <c r="P80" s="18" t="s">
        <v>154</v>
      </c>
      <c r="Q80" s="17" t="s">
        <v>154</v>
      </c>
      <c r="R80" s="18" t="s">
        <v>154</v>
      </c>
    </row>
    <row r="81" spans="1:18" x14ac:dyDescent="0.25">
      <c r="A81" s="19" t="s">
        <v>214</v>
      </c>
      <c r="B81" s="13">
        <v>8861</v>
      </c>
      <c r="C81" s="14">
        <f>(7328/B81*100)</f>
        <v>82.699469585825526</v>
      </c>
      <c r="D81" s="15">
        <v>1533</v>
      </c>
      <c r="E81" s="14">
        <v>54.25750867</v>
      </c>
      <c r="F81" s="16">
        <v>1.6324986699999999</v>
      </c>
      <c r="G81" s="14">
        <v>45.74249133</v>
      </c>
      <c r="H81" s="16">
        <v>1.6324986699999999</v>
      </c>
      <c r="I81" s="14" t="s">
        <v>139</v>
      </c>
      <c r="J81" s="16" t="s">
        <v>139</v>
      </c>
      <c r="K81" s="14">
        <v>0</v>
      </c>
      <c r="L81" s="16">
        <v>0</v>
      </c>
      <c r="M81" s="14">
        <v>0</v>
      </c>
      <c r="N81" s="16">
        <v>0</v>
      </c>
      <c r="O81" s="14">
        <v>0</v>
      </c>
      <c r="P81" s="16">
        <v>0</v>
      </c>
      <c r="Q81" s="14">
        <v>0</v>
      </c>
      <c r="R81" s="16">
        <v>0</v>
      </c>
    </row>
    <row r="82" spans="1:18" x14ac:dyDescent="0.25">
      <c r="A82" s="20"/>
      <c r="B82" s="20" t="s">
        <v>215</v>
      </c>
      <c r="C82" s="20" t="s">
        <v>215</v>
      </c>
      <c r="D82" s="20" t="s">
        <v>215</v>
      </c>
      <c r="E82" s="20" t="s">
        <v>215</v>
      </c>
      <c r="F82" s="20" t="s">
        <v>215</v>
      </c>
      <c r="G82" s="20" t="s">
        <v>215</v>
      </c>
      <c r="H82" s="20" t="s">
        <v>215</v>
      </c>
      <c r="I82" s="20" t="s">
        <v>215</v>
      </c>
      <c r="J82" s="20" t="s">
        <v>215</v>
      </c>
      <c r="K82" s="20" t="s">
        <v>215</v>
      </c>
      <c r="L82" s="20" t="s">
        <v>215</v>
      </c>
      <c r="M82" s="20" t="s">
        <v>215</v>
      </c>
      <c r="N82" s="20" t="s">
        <v>215</v>
      </c>
      <c r="O82" s="20" t="s">
        <v>215</v>
      </c>
      <c r="P82" s="20" t="s">
        <v>215</v>
      </c>
      <c r="Q82" s="20" t="s">
        <v>215</v>
      </c>
      <c r="R82" s="20" t="s">
        <v>215</v>
      </c>
    </row>
    <row r="83" spans="1:18" x14ac:dyDescent="0.25">
      <c r="A83" s="3" t="s">
        <v>216</v>
      </c>
    </row>
    <row r="84" spans="1:18" x14ac:dyDescent="0.25">
      <c r="A84" s="22" t="s">
        <v>217</v>
      </c>
      <c r="B84" s="23"/>
      <c r="C84" s="23"/>
      <c r="D84" s="23"/>
      <c r="E84" s="23"/>
      <c r="F84" s="23"/>
      <c r="G84" s="23"/>
      <c r="H84" s="23"/>
      <c r="I84" s="23"/>
      <c r="J84" s="23"/>
      <c r="K84" s="23"/>
      <c r="L84" s="23"/>
      <c r="M84" s="23"/>
      <c r="N84" s="23"/>
      <c r="O84" s="23"/>
      <c r="P84" s="23"/>
      <c r="Q84" s="23"/>
      <c r="R84" s="23"/>
    </row>
    <row r="85" spans="1:18" x14ac:dyDescent="0.25">
      <c r="A85" s="22" t="s">
        <v>218</v>
      </c>
      <c r="B85" s="23"/>
      <c r="C85" s="23"/>
      <c r="D85" s="23"/>
      <c r="E85" s="23"/>
      <c r="F85" s="23"/>
      <c r="G85" s="23"/>
      <c r="H85" s="23"/>
      <c r="I85" s="23"/>
      <c r="J85" s="23"/>
      <c r="K85" s="23"/>
      <c r="L85" s="23"/>
      <c r="M85" s="23"/>
      <c r="N85" s="23"/>
      <c r="O85" s="23"/>
      <c r="P85" s="23"/>
      <c r="Q85" s="23"/>
      <c r="R85" s="23"/>
    </row>
    <row r="86" spans="1:18" ht="30" customHeight="1" x14ac:dyDescent="0.25">
      <c r="A86" s="22" t="s">
        <v>219</v>
      </c>
      <c r="B86" s="23"/>
      <c r="C86" s="23"/>
      <c r="D86" s="23"/>
      <c r="E86" s="23"/>
      <c r="F86" s="23"/>
      <c r="G86" s="23"/>
      <c r="H86" s="23"/>
      <c r="I86" s="23"/>
      <c r="J86" s="23"/>
      <c r="K86" s="23"/>
      <c r="L86" s="23"/>
      <c r="M86" s="23"/>
      <c r="N86" s="23"/>
      <c r="O86" s="23"/>
      <c r="P86" s="23"/>
      <c r="Q86" s="23"/>
      <c r="R86" s="23"/>
    </row>
    <row r="87" spans="1:18" ht="30" customHeight="1" x14ac:dyDescent="0.25">
      <c r="A87" s="22" t="s">
        <v>215</v>
      </c>
      <c r="B87" s="23"/>
      <c r="C87" s="23"/>
      <c r="D87" s="23"/>
      <c r="E87" s="23"/>
      <c r="F87" s="23"/>
      <c r="G87" s="23"/>
      <c r="H87" s="23"/>
      <c r="I87" s="23"/>
      <c r="J87" s="23"/>
      <c r="K87" s="23"/>
      <c r="L87" s="23"/>
      <c r="M87" s="23"/>
      <c r="N87" s="23"/>
      <c r="O87" s="23"/>
      <c r="P87" s="23"/>
      <c r="Q87" s="23"/>
      <c r="R87" s="23"/>
    </row>
    <row r="88" spans="1:18" ht="30" customHeight="1" x14ac:dyDescent="0.25">
      <c r="A88" s="22" t="s">
        <v>220</v>
      </c>
      <c r="B88" s="23"/>
      <c r="C88" s="23"/>
      <c r="D88" s="23"/>
      <c r="E88" s="23"/>
      <c r="F88" s="23"/>
      <c r="G88" s="23"/>
      <c r="H88" s="23"/>
      <c r="I88" s="23"/>
      <c r="J88" s="23"/>
      <c r="K88" s="23"/>
      <c r="L88" s="23"/>
      <c r="M88" s="23"/>
      <c r="N88" s="23"/>
      <c r="O88" s="23"/>
      <c r="P88" s="23"/>
      <c r="Q88" s="23"/>
      <c r="R88" s="23"/>
    </row>
    <row r="89" spans="1:18" ht="30" customHeight="1" x14ac:dyDescent="0.25">
      <c r="A89" s="22" t="s">
        <v>221</v>
      </c>
      <c r="B89" s="23"/>
      <c r="C89" s="23"/>
      <c r="D89" s="23"/>
      <c r="E89" s="23"/>
      <c r="F89" s="23"/>
      <c r="G89" s="23"/>
      <c r="H89" s="23"/>
      <c r="I89" s="23"/>
      <c r="J89" s="23"/>
      <c r="K89" s="23"/>
      <c r="L89" s="23"/>
      <c r="M89" s="23"/>
      <c r="N89" s="23"/>
      <c r="O89" s="23"/>
      <c r="P89" s="23"/>
      <c r="Q89" s="23"/>
      <c r="R89" s="23"/>
    </row>
    <row r="90" spans="1:18" ht="30" customHeight="1" x14ac:dyDescent="0.25">
      <c r="A90" s="22" t="s">
        <v>222</v>
      </c>
      <c r="B90" s="23"/>
      <c r="C90" s="23"/>
      <c r="D90" s="23"/>
      <c r="E90" s="23"/>
      <c r="F90" s="23"/>
      <c r="G90" s="23"/>
      <c r="H90" s="23"/>
      <c r="I90" s="23"/>
      <c r="J90" s="23"/>
      <c r="K90" s="23"/>
      <c r="L90" s="23"/>
      <c r="M90" s="23"/>
      <c r="N90" s="23"/>
      <c r="O90" s="23"/>
      <c r="P90" s="23"/>
      <c r="Q90" s="23"/>
      <c r="R90" s="23"/>
    </row>
    <row r="91" spans="1:18" ht="30" customHeight="1" x14ac:dyDescent="0.25">
      <c r="A91" s="22" t="s">
        <v>223</v>
      </c>
      <c r="B91" s="23"/>
      <c r="C91" s="23"/>
      <c r="D91" s="23"/>
      <c r="E91" s="23"/>
      <c r="F91" s="23"/>
      <c r="G91" s="23"/>
      <c r="H91" s="23"/>
      <c r="I91" s="23"/>
      <c r="J91" s="23"/>
      <c r="K91" s="23"/>
      <c r="L91" s="23"/>
      <c r="M91" s="23"/>
      <c r="N91" s="23"/>
      <c r="O91" s="23"/>
      <c r="P91" s="23"/>
      <c r="Q91" s="23"/>
      <c r="R91" s="23"/>
    </row>
    <row r="92" spans="1:18" ht="30" customHeight="1" x14ac:dyDescent="0.25">
      <c r="A92" s="22" t="s">
        <v>224</v>
      </c>
      <c r="B92" s="23"/>
      <c r="C92" s="23"/>
      <c r="D92" s="23"/>
      <c r="E92" s="23"/>
      <c r="F92" s="23"/>
      <c r="G92" s="23"/>
      <c r="H92" s="23"/>
      <c r="I92" s="23"/>
      <c r="J92" s="23"/>
      <c r="K92" s="23"/>
      <c r="L92" s="23"/>
      <c r="M92" s="23"/>
      <c r="N92" s="23"/>
      <c r="O92" s="23"/>
      <c r="P92" s="23"/>
      <c r="Q92" s="23"/>
      <c r="R92" s="23"/>
    </row>
    <row r="93" spans="1:18" ht="30" customHeight="1" x14ac:dyDescent="0.25">
      <c r="A93" s="22" t="s">
        <v>225</v>
      </c>
      <c r="B93" s="23"/>
      <c r="C93" s="23"/>
      <c r="D93" s="23"/>
      <c r="E93" s="23"/>
      <c r="F93" s="23"/>
      <c r="G93" s="23"/>
      <c r="H93" s="23"/>
      <c r="I93" s="23"/>
      <c r="J93" s="23"/>
      <c r="K93" s="23"/>
      <c r="L93" s="23"/>
      <c r="M93" s="23"/>
      <c r="N93" s="23"/>
      <c r="O93" s="23"/>
      <c r="P93" s="23"/>
      <c r="Q93" s="23"/>
      <c r="R93" s="23"/>
    </row>
    <row r="94" spans="1:18" ht="30" customHeight="1" x14ac:dyDescent="0.25">
      <c r="A94" s="22" t="s">
        <v>226</v>
      </c>
      <c r="B94" s="23"/>
      <c r="C94" s="23"/>
      <c r="D94" s="23"/>
      <c r="E94" s="23"/>
      <c r="F94" s="23"/>
      <c r="G94" s="23"/>
      <c r="H94" s="23"/>
      <c r="I94" s="23"/>
      <c r="J94" s="23"/>
      <c r="K94" s="23"/>
      <c r="L94" s="23"/>
      <c r="M94" s="23"/>
      <c r="N94" s="23"/>
      <c r="O94" s="23"/>
      <c r="P94" s="23"/>
      <c r="Q94" s="23"/>
      <c r="R94" s="23"/>
    </row>
    <row r="95" spans="1:18" ht="30" customHeight="1" x14ac:dyDescent="0.25">
      <c r="A95" s="22" t="s">
        <v>227</v>
      </c>
      <c r="B95" s="23"/>
      <c r="C95" s="23"/>
      <c r="D95" s="23"/>
      <c r="E95" s="23"/>
      <c r="F95" s="23"/>
      <c r="G95" s="23"/>
      <c r="H95" s="23"/>
      <c r="I95" s="23"/>
      <c r="J95" s="23"/>
      <c r="K95" s="23"/>
      <c r="L95" s="23"/>
      <c r="M95" s="23"/>
      <c r="N95" s="23"/>
      <c r="O95" s="23"/>
      <c r="P95" s="23"/>
      <c r="Q95" s="23"/>
      <c r="R95" s="23"/>
    </row>
    <row r="96" spans="1:18" ht="30" customHeight="1" x14ac:dyDescent="0.25">
      <c r="A96" s="22" t="s">
        <v>228</v>
      </c>
      <c r="B96" s="23"/>
      <c r="C96" s="23"/>
      <c r="D96" s="23"/>
      <c r="E96" s="23"/>
      <c r="F96" s="23"/>
      <c r="G96" s="23"/>
      <c r="H96" s="23"/>
      <c r="I96" s="23"/>
      <c r="J96" s="23"/>
      <c r="K96" s="23"/>
      <c r="L96" s="23"/>
      <c r="M96" s="23"/>
      <c r="N96" s="23"/>
      <c r="O96" s="23"/>
      <c r="P96" s="23"/>
      <c r="Q96" s="23"/>
      <c r="R96" s="23"/>
    </row>
  </sheetData>
  <mergeCells count="22">
    <mergeCell ref="O4:P4"/>
    <mergeCell ref="Q4:R4"/>
    <mergeCell ref="A1:R1"/>
    <mergeCell ref="A2:R2"/>
    <mergeCell ref="A84:R84"/>
    <mergeCell ref="E4:F4"/>
    <mergeCell ref="G4:H4"/>
    <mergeCell ref="I4:J4"/>
    <mergeCell ref="K4:L4"/>
    <mergeCell ref="M4:N4"/>
    <mergeCell ref="A85:R85"/>
    <mergeCell ref="A86:R86"/>
    <mergeCell ref="A87:R87"/>
    <mergeCell ref="A88:R88"/>
    <mergeCell ref="A89:R89"/>
    <mergeCell ref="A95:R95"/>
    <mergeCell ref="A96:R96"/>
    <mergeCell ref="A90:R90"/>
    <mergeCell ref="A91:R91"/>
    <mergeCell ref="A92:R92"/>
    <mergeCell ref="A93:R93"/>
    <mergeCell ref="A94:R94"/>
  </mergeCells>
  <pageMargins left="0.75" right="0.75" top="1" bottom="1" header="0.5" footer="0.5"/>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2"/>
  <dimension ref="A1:R96"/>
  <sheetViews>
    <sheetView zoomScale="80" workbookViewId="0">
      <pane xSplit="4" topLeftCell="E1" activePane="topRight" state="frozen"/>
      <selection sqref="A1:R1"/>
      <selection pane="topRight" sqref="A1:R1"/>
    </sheetView>
  </sheetViews>
  <sheetFormatPr defaultColWidth="11.42578125" defaultRowHeight="15" x14ac:dyDescent="0.25"/>
  <cols>
    <col min="1" max="1" width="50" customWidth="1"/>
  </cols>
  <sheetData>
    <row r="1" spans="1:18" x14ac:dyDescent="0.25">
      <c r="A1" s="26" t="s">
        <v>122</v>
      </c>
      <c r="B1" s="23"/>
      <c r="C1" s="23"/>
      <c r="D1" s="23"/>
      <c r="E1" s="23"/>
      <c r="F1" s="23"/>
      <c r="G1" s="23"/>
      <c r="H1" s="23"/>
      <c r="I1" s="23"/>
      <c r="J1" s="23"/>
      <c r="K1" s="23"/>
      <c r="L1" s="23"/>
      <c r="M1" s="23"/>
      <c r="N1" s="23"/>
      <c r="O1" s="23"/>
      <c r="P1" s="23"/>
      <c r="Q1" s="23"/>
      <c r="R1" s="23"/>
    </row>
    <row r="2" spans="1:18" x14ac:dyDescent="0.25">
      <c r="A2" s="27" t="s">
        <v>258</v>
      </c>
      <c r="B2" s="23"/>
      <c r="C2" s="23"/>
      <c r="D2" s="23"/>
      <c r="E2" s="23"/>
      <c r="F2" s="23"/>
      <c r="G2" s="23"/>
      <c r="H2" s="23"/>
      <c r="I2" s="23"/>
      <c r="J2" s="23"/>
      <c r="K2" s="23"/>
      <c r="L2" s="23"/>
      <c r="M2" s="23"/>
      <c r="N2" s="23"/>
      <c r="O2" s="23"/>
      <c r="P2" s="23"/>
      <c r="Q2" s="23"/>
      <c r="R2" s="23"/>
    </row>
    <row r="4" spans="1:18" ht="30" customHeight="1" x14ac:dyDescent="0.25">
      <c r="A4" s="4"/>
      <c r="B4" s="5" t="s">
        <v>123</v>
      </c>
      <c r="C4" s="5" t="s">
        <v>124</v>
      </c>
      <c r="D4" s="6" t="s">
        <v>123</v>
      </c>
      <c r="E4" s="24" t="s">
        <v>125</v>
      </c>
      <c r="F4" s="25"/>
      <c r="G4" s="24" t="s">
        <v>126</v>
      </c>
      <c r="H4" s="25"/>
      <c r="I4" s="24" t="s">
        <v>127</v>
      </c>
      <c r="J4" s="25"/>
      <c r="K4" s="24" t="s">
        <v>128</v>
      </c>
      <c r="L4" s="25"/>
      <c r="M4" s="24" t="s">
        <v>129</v>
      </c>
      <c r="N4" s="25"/>
      <c r="O4" s="24" t="s">
        <v>130</v>
      </c>
      <c r="P4" s="25"/>
      <c r="Q4" s="24" t="s">
        <v>131</v>
      </c>
      <c r="R4" s="25"/>
    </row>
    <row r="5" spans="1:18" x14ac:dyDescent="0.25">
      <c r="A5" s="7"/>
      <c r="B5" s="8" t="s">
        <v>132</v>
      </c>
      <c r="C5" s="8" t="s">
        <v>133</v>
      </c>
      <c r="D5" s="7" t="s">
        <v>134</v>
      </c>
      <c r="E5" s="8" t="s">
        <v>135</v>
      </c>
      <c r="F5" s="7" t="s">
        <v>136</v>
      </c>
      <c r="G5" s="8" t="s">
        <v>135</v>
      </c>
      <c r="H5" s="7" t="s">
        <v>136</v>
      </c>
      <c r="I5" s="8" t="s">
        <v>135</v>
      </c>
      <c r="J5" s="7" t="s">
        <v>136</v>
      </c>
      <c r="K5" s="8" t="s">
        <v>135</v>
      </c>
      <c r="L5" s="7" t="s">
        <v>136</v>
      </c>
      <c r="M5" s="8" t="s">
        <v>135</v>
      </c>
      <c r="N5" s="7" t="s">
        <v>136</v>
      </c>
      <c r="O5" s="8" t="s">
        <v>135</v>
      </c>
      <c r="P5" s="7" t="s">
        <v>136</v>
      </c>
      <c r="Q5" s="8" t="s">
        <v>135</v>
      </c>
      <c r="R5" s="7" t="s">
        <v>136</v>
      </c>
    </row>
    <row r="6" spans="1:18" x14ac:dyDescent="0.25">
      <c r="A6" s="9" t="s">
        <v>137</v>
      </c>
      <c r="B6" s="10"/>
      <c r="C6" s="10"/>
      <c r="D6" s="11"/>
      <c r="E6" s="10"/>
      <c r="F6" s="11"/>
      <c r="G6" s="10"/>
      <c r="H6" s="11"/>
      <c r="I6" s="10"/>
      <c r="J6" s="11"/>
      <c r="K6" s="10"/>
      <c r="L6" s="11"/>
      <c r="M6" s="10"/>
      <c r="N6" s="11"/>
      <c r="O6" s="10"/>
      <c r="P6" s="11"/>
      <c r="Q6" s="10"/>
      <c r="R6" s="12"/>
    </row>
    <row r="7" spans="1:18" x14ac:dyDescent="0.25">
      <c r="A7" s="11" t="s">
        <v>138</v>
      </c>
      <c r="B7" s="13">
        <v>14530</v>
      </c>
      <c r="C7" s="14">
        <f>(12127/B7*100)</f>
        <v>83.461803165863728</v>
      </c>
      <c r="D7" s="15">
        <v>2403</v>
      </c>
      <c r="E7" s="14">
        <v>26.386145500000001</v>
      </c>
      <c r="F7" s="16">
        <v>1.1708807699999999</v>
      </c>
      <c r="G7" s="14">
        <v>73.613854500000002</v>
      </c>
      <c r="H7" s="16">
        <v>1.1708807699999999</v>
      </c>
      <c r="I7" s="14" t="s">
        <v>139</v>
      </c>
      <c r="J7" s="16" t="s">
        <v>139</v>
      </c>
      <c r="K7" s="14">
        <v>0</v>
      </c>
      <c r="L7" s="16">
        <v>0</v>
      </c>
      <c r="M7" s="14">
        <v>0</v>
      </c>
      <c r="N7" s="16">
        <v>0</v>
      </c>
      <c r="O7" s="14">
        <v>0</v>
      </c>
      <c r="P7" s="16">
        <v>0</v>
      </c>
      <c r="Q7" s="14">
        <v>0</v>
      </c>
      <c r="R7" s="16">
        <v>0</v>
      </c>
    </row>
    <row r="8" spans="1:18" x14ac:dyDescent="0.25">
      <c r="A8" s="11" t="s">
        <v>140</v>
      </c>
      <c r="B8" s="13">
        <v>7007</v>
      </c>
      <c r="C8" s="14">
        <f>(5802/B8*100)</f>
        <v>82.802911374339942</v>
      </c>
      <c r="D8" s="15">
        <v>1205</v>
      </c>
      <c r="E8" s="14">
        <v>44.380007640000002</v>
      </c>
      <c r="F8" s="16">
        <v>1.5649917600000001</v>
      </c>
      <c r="G8" s="14">
        <v>55.619992359999998</v>
      </c>
      <c r="H8" s="16">
        <v>1.5649917600000001</v>
      </c>
      <c r="I8" s="14" t="s">
        <v>139</v>
      </c>
      <c r="J8" s="16" t="s">
        <v>139</v>
      </c>
      <c r="K8" s="14">
        <v>0</v>
      </c>
      <c r="L8" s="16">
        <v>0</v>
      </c>
      <c r="M8" s="14">
        <v>0</v>
      </c>
      <c r="N8" s="16">
        <v>0</v>
      </c>
      <c r="O8" s="14">
        <v>0</v>
      </c>
      <c r="P8" s="16">
        <v>0</v>
      </c>
      <c r="Q8" s="14">
        <v>0</v>
      </c>
      <c r="R8" s="16">
        <v>0</v>
      </c>
    </row>
    <row r="9" spans="1:18" x14ac:dyDescent="0.25">
      <c r="A9" s="11" t="s">
        <v>141</v>
      </c>
      <c r="B9" s="13">
        <v>9651</v>
      </c>
      <c r="C9" s="14">
        <f>(8069/B9*100)</f>
        <v>83.607916278105904</v>
      </c>
      <c r="D9" s="15">
        <v>1582</v>
      </c>
      <c r="E9" s="14">
        <v>39.892971250000002</v>
      </c>
      <c r="F9" s="16">
        <v>1.27383891</v>
      </c>
      <c r="G9" s="14">
        <v>60.107028749999998</v>
      </c>
      <c r="H9" s="16">
        <v>1.27383891</v>
      </c>
      <c r="I9" s="14" t="s">
        <v>139</v>
      </c>
      <c r="J9" s="16" t="s">
        <v>139</v>
      </c>
      <c r="K9" s="14">
        <v>0</v>
      </c>
      <c r="L9" s="16">
        <v>0</v>
      </c>
      <c r="M9" s="14">
        <v>0</v>
      </c>
      <c r="N9" s="16">
        <v>0</v>
      </c>
      <c r="O9" s="14">
        <v>0</v>
      </c>
      <c r="P9" s="16">
        <v>0</v>
      </c>
      <c r="Q9" s="14">
        <v>0</v>
      </c>
      <c r="R9" s="16">
        <v>0</v>
      </c>
    </row>
    <row r="10" spans="1:18" x14ac:dyDescent="0.25">
      <c r="A10" s="11" t="s">
        <v>142</v>
      </c>
      <c r="B10" s="13">
        <v>20058</v>
      </c>
      <c r="C10" s="14">
        <f>(16625/B10*100)</f>
        <v>82.884634559776643</v>
      </c>
      <c r="D10" s="15">
        <v>3433</v>
      </c>
      <c r="E10" s="14">
        <v>33.054322689999999</v>
      </c>
      <c r="F10" s="16">
        <v>1.0908017699999999</v>
      </c>
      <c r="G10" s="14">
        <v>66.945677309999994</v>
      </c>
      <c r="H10" s="16">
        <v>1.0908017699999999</v>
      </c>
      <c r="I10" s="14" t="s">
        <v>139</v>
      </c>
      <c r="J10" s="16" t="s">
        <v>139</v>
      </c>
      <c r="K10" s="14">
        <v>0</v>
      </c>
      <c r="L10" s="16">
        <v>0</v>
      </c>
      <c r="M10" s="14">
        <v>0</v>
      </c>
      <c r="N10" s="16">
        <v>0</v>
      </c>
      <c r="O10" s="14">
        <v>0</v>
      </c>
      <c r="P10" s="16">
        <v>0</v>
      </c>
      <c r="Q10" s="14">
        <v>0</v>
      </c>
      <c r="R10" s="16">
        <v>0</v>
      </c>
    </row>
    <row r="11" spans="1:18" x14ac:dyDescent="0.25">
      <c r="A11" s="11" t="s">
        <v>143</v>
      </c>
      <c r="B11" s="13">
        <v>7053</v>
      </c>
      <c r="C11" s="14">
        <f>(5877/B11*100)</f>
        <v>83.326244151424916</v>
      </c>
      <c r="D11" s="15">
        <v>1176</v>
      </c>
      <c r="E11" s="14">
        <v>49.266672</v>
      </c>
      <c r="F11" s="16">
        <v>1.87864407</v>
      </c>
      <c r="G11" s="14">
        <v>50.733328</v>
      </c>
      <c r="H11" s="16">
        <v>1.87864407</v>
      </c>
      <c r="I11" s="14" t="s">
        <v>139</v>
      </c>
      <c r="J11" s="16" t="s">
        <v>139</v>
      </c>
      <c r="K11" s="14">
        <v>0</v>
      </c>
      <c r="L11" s="16">
        <v>0</v>
      </c>
      <c r="M11" s="14">
        <v>0</v>
      </c>
      <c r="N11" s="16">
        <v>0</v>
      </c>
      <c r="O11" s="14">
        <v>0</v>
      </c>
      <c r="P11" s="16">
        <v>0</v>
      </c>
      <c r="Q11" s="14">
        <v>0</v>
      </c>
      <c r="R11" s="16">
        <v>0</v>
      </c>
    </row>
    <row r="12" spans="1:18" x14ac:dyDescent="0.25">
      <c r="A12" s="11" t="s">
        <v>144</v>
      </c>
      <c r="B12" s="13">
        <v>6894</v>
      </c>
      <c r="C12" s="14">
        <f>(5739/B12*100)</f>
        <v>83.246301131418619</v>
      </c>
      <c r="D12" s="15">
        <v>1155</v>
      </c>
      <c r="E12" s="14">
        <v>47.642122100000002</v>
      </c>
      <c r="F12" s="16">
        <v>1.58574802</v>
      </c>
      <c r="G12" s="14">
        <v>52.357877899999998</v>
      </c>
      <c r="H12" s="16">
        <v>1.58574802</v>
      </c>
      <c r="I12" s="14" t="s">
        <v>139</v>
      </c>
      <c r="J12" s="16" t="s">
        <v>139</v>
      </c>
      <c r="K12" s="14">
        <v>0</v>
      </c>
      <c r="L12" s="16">
        <v>0</v>
      </c>
      <c r="M12" s="14">
        <v>0</v>
      </c>
      <c r="N12" s="16">
        <v>0</v>
      </c>
      <c r="O12" s="14">
        <v>0</v>
      </c>
      <c r="P12" s="16">
        <v>0</v>
      </c>
      <c r="Q12" s="14">
        <v>0</v>
      </c>
      <c r="R12" s="16">
        <v>0</v>
      </c>
    </row>
    <row r="13" spans="1:18" x14ac:dyDescent="0.25">
      <c r="A13" s="11" t="s">
        <v>145</v>
      </c>
      <c r="B13" s="13">
        <v>7161</v>
      </c>
      <c r="C13" s="14">
        <f>(6011/B13*100)</f>
        <v>83.940790392403301</v>
      </c>
      <c r="D13" s="15">
        <v>1150</v>
      </c>
      <c r="E13" s="14">
        <v>39.353070350000003</v>
      </c>
      <c r="F13" s="16">
        <v>1.4088026899999999</v>
      </c>
      <c r="G13" s="14">
        <v>60.646929649999997</v>
      </c>
      <c r="H13" s="16">
        <v>1.4088026899999999</v>
      </c>
      <c r="I13" s="14" t="s">
        <v>139</v>
      </c>
      <c r="J13" s="16" t="s">
        <v>139</v>
      </c>
      <c r="K13" s="14">
        <v>0</v>
      </c>
      <c r="L13" s="16">
        <v>0</v>
      </c>
      <c r="M13" s="14">
        <v>0</v>
      </c>
      <c r="N13" s="16">
        <v>0</v>
      </c>
      <c r="O13" s="14">
        <v>0</v>
      </c>
      <c r="P13" s="16">
        <v>0</v>
      </c>
      <c r="Q13" s="14">
        <v>0</v>
      </c>
      <c r="R13" s="16">
        <v>0</v>
      </c>
    </row>
    <row r="14" spans="1:18" x14ac:dyDescent="0.25">
      <c r="A14" s="11" t="s">
        <v>146</v>
      </c>
      <c r="B14" s="13">
        <v>5587</v>
      </c>
      <c r="C14" s="14">
        <f>(4637/B14*100)</f>
        <v>82.996241274386975</v>
      </c>
      <c r="D14" s="15">
        <v>950</v>
      </c>
      <c r="E14" s="14">
        <v>35.743116659999998</v>
      </c>
      <c r="F14" s="16">
        <v>1.7215040399999999</v>
      </c>
      <c r="G14" s="14">
        <v>64.256883340000002</v>
      </c>
      <c r="H14" s="16">
        <v>1.7215040399999999</v>
      </c>
      <c r="I14" s="14" t="s">
        <v>139</v>
      </c>
      <c r="J14" s="16" t="s">
        <v>139</v>
      </c>
      <c r="K14" s="14">
        <v>0</v>
      </c>
      <c r="L14" s="16">
        <v>0</v>
      </c>
      <c r="M14" s="14">
        <v>0</v>
      </c>
      <c r="N14" s="16">
        <v>0</v>
      </c>
      <c r="O14" s="14">
        <v>0</v>
      </c>
      <c r="P14" s="16">
        <v>0</v>
      </c>
      <c r="Q14" s="14">
        <v>0</v>
      </c>
      <c r="R14" s="16">
        <v>0</v>
      </c>
    </row>
    <row r="15" spans="1:18" x14ac:dyDescent="0.25">
      <c r="A15" s="11" t="s">
        <v>147</v>
      </c>
      <c r="B15" s="13">
        <v>5882</v>
      </c>
      <c r="C15" s="14">
        <f>(4908/B15*100)</f>
        <v>83.441006460387626</v>
      </c>
      <c r="D15" s="15">
        <v>974</v>
      </c>
      <c r="E15" s="14">
        <v>35.260936780000002</v>
      </c>
      <c r="F15" s="16">
        <v>1.7282269699999999</v>
      </c>
      <c r="G15" s="14">
        <v>64.739063220000006</v>
      </c>
      <c r="H15" s="16">
        <v>1.7282269699999999</v>
      </c>
      <c r="I15" s="14" t="s">
        <v>139</v>
      </c>
      <c r="J15" s="16" t="s">
        <v>139</v>
      </c>
      <c r="K15" s="14">
        <v>0</v>
      </c>
      <c r="L15" s="16">
        <v>0</v>
      </c>
      <c r="M15" s="14">
        <v>0</v>
      </c>
      <c r="N15" s="16">
        <v>0</v>
      </c>
      <c r="O15" s="14">
        <v>0</v>
      </c>
      <c r="P15" s="16">
        <v>0</v>
      </c>
      <c r="Q15" s="14">
        <v>0</v>
      </c>
      <c r="R15" s="16">
        <v>0</v>
      </c>
    </row>
    <row r="16" spans="1:18" x14ac:dyDescent="0.25">
      <c r="A16" s="11" t="s">
        <v>148</v>
      </c>
      <c r="B16" s="13">
        <v>6108</v>
      </c>
      <c r="C16" s="14">
        <f>(5066/B16*100)</f>
        <v>82.940406024885391</v>
      </c>
      <c r="D16" s="15">
        <v>1042</v>
      </c>
      <c r="E16" s="14">
        <v>49.461382139999998</v>
      </c>
      <c r="F16" s="16">
        <v>1.4403278100000001</v>
      </c>
      <c r="G16" s="14">
        <v>50.538617860000002</v>
      </c>
      <c r="H16" s="16">
        <v>1.4403278100000001</v>
      </c>
      <c r="I16" s="14" t="s">
        <v>139</v>
      </c>
      <c r="J16" s="16" t="s">
        <v>139</v>
      </c>
      <c r="K16" s="14">
        <v>0</v>
      </c>
      <c r="L16" s="16">
        <v>0</v>
      </c>
      <c r="M16" s="14">
        <v>0</v>
      </c>
      <c r="N16" s="16">
        <v>0</v>
      </c>
      <c r="O16" s="14">
        <v>0</v>
      </c>
      <c r="P16" s="16">
        <v>0</v>
      </c>
      <c r="Q16" s="14">
        <v>0</v>
      </c>
      <c r="R16" s="16">
        <v>0</v>
      </c>
    </row>
    <row r="17" spans="1:18" x14ac:dyDescent="0.25">
      <c r="A17" s="11" t="s">
        <v>149</v>
      </c>
      <c r="B17" s="13">
        <v>6504</v>
      </c>
      <c r="C17" s="14">
        <f>(5429/B17*100)</f>
        <v>83.47170971709717</v>
      </c>
      <c r="D17" s="15">
        <v>1075</v>
      </c>
      <c r="E17" s="14">
        <v>44.233609880000003</v>
      </c>
      <c r="F17" s="16">
        <v>1.5446751000000001</v>
      </c>
      <c r="G17" s="14">
        <v>55.766390119999997</v>
      </c>
      <c r="H17" s="16">
        <v>1.5446751000000001</v>
      </c>
      <c r="I17" s="14" t="s">
        <v>139</v>
      </c>
      <c r="J17" s="16" t="s">
        <v>139</v>
      </c>
      <c r="K17" s="14">
        <v>0</v>
      </c>
      <c r="L17" s="16">
        <v>0</v>
      </c>
      <c r="M17" s="14">
        <v>0</v>
      </c>
      <c r="N17" s="16">
        <v>0</v>
      </c>
      <c r="O17" s="14">
        <v>0</v>
      </c>
      <c r="P17" s="16">
        <v>0</v>
      </c>
      <c r="Q17" s="14">
        <v>0</v>
      </c>
      <c r="R17" s="16">
        <v>0</v>
      </c>
    </row>
    <row r="18" spans="1:18" x14ac:dyDescent="0.25">
      <c r="A18" s="11" t="s">
        <v>150</v>
      </c>
      <c r="B18" s="13">
        <v>5532</v>
      </c>
      <c r="C18" s="14">
        <f>(4571/B18*100)</f>
        <v>82.628344179320322</v>
      </c>
      <c r="D18" s="15">
        <v>961</v>
      </c>
      <c r="E18" s="14">
        <v>43.070203040000003</v>
      </c>
      <c r="F18" s="16">
        <v>1.88402764</v>
      </c>
      <c r="G18" s="14">
        <v>56.929796959999997</v>
      </c>
      <c r="H18" s="16">
        <v>1.88402764</v>
      </c>
      <c r="I18" s="14" t="s">
        <v>139</v>
      </c>
      <c r="J18" s="16" t="s">
        <v>139</v>
      </c>
      <c r="K18" s="14">
        <v>0</v>
      </c>
      <c r="L18" s="16">
        <v>0</v>
      </c>
      <c r="M18" s="14">
        <v>0</v>
      </c>
      <c r="N18" s="16">
        <v>0</v>
      </c>
      <c r="O18" s="14">
        <v>0</v>
      </c>
      <c r="P18" s="16">
        <v>0</v>
      </c>
      <c r="Q18" s="14">
        <v>0</v>
      </c>
      <c r="R18" s="16">
        <v>0</v>
      </c>
    </row>
    <row r="19" spans="1:18" x14ac:dyDescent="0.25">
      <c r="A19" s="11" t="s">
        <v>151</v>
      </c>
      <c r="B19" s="13">
        <v>5658</v>
      </c>
      <c r="C19" s="14">
        <f>(4723/B19*100)</f>
        <v>83.474726051608343</v>
      </c>
      <c r="D19" s="15">
        <v>935</v>
      </c>
      <c r="E19" s="14">
        <v>51.404863900000002</v>
      </c>
      <c r="F19" s="16">
        <v>1.5576265</v>
      </c>
      <c r="G19" s="14">
        <v>48.595136099999998</v>
      </c>
      <c r="H19" s="16">
        <v>1.5576265</v>
      </c>
      <c r="I19" s="14" t="s">
        <v>139</v>
      </c>
      <c r="J19" s="16" t="s">
        <v>139</v>
      </c>
      <c r="K19" s="14">
        <v>0</v>
      </c>
      <c r="L19" s="16">
        <v>0</v>
      </c>
      <c r="M19" s="14">
        <v>0</v>
      </c>
      <c r="N19" s="16">
        <v>0</v>
      </c>
      <c r="O19" s="14">
        <v>0</v>
      </c>
      <c r="P19" s="16">
        <v>0</v>
      </c>
      <c r="Q19" s="14">
        <v>0</v>
      </c>
      <c r="R19" s="16">
        <v>0</v>
      </c>
    </row>
    <row r="20" spans="1:18" x14ac:dyDescent="0.25">
      <c r="A20" s="11" t="s">
        <v>152</v>
      </c>
      <c r="B20" s="13">
        <v>3371</v>
      </c>
      <c r="C20" s="14">
        <f>(2797/B20*100)</f>
        <v>82.972411747256004</v>
      </c>
      <c r="D20" s="15">
        <v>574</v>
      </c>
      <c r="E20" s="14">
        <v>43.114749830000001</v>
      </c>
      <c r="F20" s="16">
        <v>2.0333989699999999</v>
      </c>
      <c r="G20" s="14">
        <v>56.885250169999999</v>
      </c>
      <c r="H20" s="16">
        <v>2.0333989699999999</v>
      </c>
      <c r="I20" s="14" t="s">
        <v>139</v>
      </c>
      <c r="J20" s="16" t="s">
        <v>139</v>
      </c>
      <c r="K20" s="14">
        <v>0</v>
      </c>
      <c r="L20" s="16">
        <v>0</v>
      </c>
      <c r="M20" s="14">
        <v>0</v>
      </c>
      <c r="N20" s="16">
        <v>0</v>
      </c>
      <c r="O20" s="14">
        <v>0</v>
      </c>
      <c r="P20" s="16">
        <v>0</v>
      </c>
      <c r="Q20" s="14">
        <v>0</v>
      </c>
      <c r="R20" s="16">
        <v>0</v>
      </c>
    </row>
    <row r="21" spans="1:18" x14ac:dyDescent="0.25">
      <c r="A21" s="11" t="s">
        <v>153</v>
      </c>
      <c r="B21" s="17" t="s">
        <v>154</v>
      </c>
      <c r="C21" s="17" t="s">
        <v>154</v>
      </c>
      <c r="D21" s="18" t="s">
        <v>154</v>
      </c>
      <c r="E21" s="17" t="s">
        <v>154</v>
      </c>
      <c r="F21" s="18" t="s">
        <v>154</v>
      </c>
      <c r="G21" s="17" t="s">
        <v>154</v>
      </c>
      <c r="H21" s="18" t="s">
        <v>154</v>
      </c>
      <c r="I21" s="17" t="s">
        <v>154</v>
      </c>
      <c r="J21" s="18" t="s">
        <v>154</v>
      </c>
      <c r="K21" s="17" t="s">
        <v>154</v>
      </c>
      <c r="L21" s="18" t="s">
        <v>154</v>
      </c>
      <c r="M21" s="17" t="s">
        <v>154</v>
      </c>
      <c r="N21" s="18" t="s">
        <v>154</v>
      </c>
      <c r="O21" s="17" t="s">
        <v>154</v>
      </c>
      <c r="P21" s="18" t="s">
        <v>154</v>
      </c>
      <c r="Q21" s="17" t="s">
        <v>154</v>
      </c>
      <c r="R21" s="18" t="s">
        <v>154</v>
      </c>
    </row>
    <row r="22" spans="1:18" x14ac:dyDescent="0.25">
      <c r="A22" s="11" t="s">
        <v>155</v>
      </c>
      <c r="B22" s="13">
        <v>6598</v>
      </c>
      <c r="C22" s="14">
        <f>(5580/B22*100)</f>
        <v>84.571082146104885</v>
      </c>
      <c r="D22" s="15">
        <v>1018</v>
      </c>
      <c r="E22" s="14">
        <v>56.831872910000001</v>
      </c>
      <c r="F22" s="16">
        <v>1.4772781399999999</v>
      </c>
      <c r="G22" s="14">
        <v>43.168127089999999</v>
      </c>
      <c r="H22" s="16">
        <v>1.4772781399999999</v>
      </c>
      <c r="I22" s="14" t="s">
        <v>139</v>
      </c>
      <c r="J22" s="16" t="s">
        <v>139</v>
      </c>
      <c r="K22" s="14">
        <v>0</v>
      </c>
      <c r="L22" s="16">
        <v>0</v>
      </c>
      <c r="M22" s="14">
        <v>0</v>
      </c>
      <c r="N22" s="16">
        <v>0</v>
      </c>
      <c r="O22" s="14">
        <v>0</v>
      </c>
      <c r="P22" s="16">
        <v>0</v>
      </c>
      <c r="Q22" s="14">
        <v>0</v>
      </c>
      <c r="R22" s="16">
        <v>0</v>
      </c>
    </row>
    <row r="23" spans="1:18" x14ac:dyDescent="0.25">
      <c r="A23" s="11" t="s">
        <v>156</v>
      </c>
      <c r="B23" s="13">
        <v>11583</v>
      </c>
      <c r="C23" s="14">
        <f>(9624/B23*100)</f>
        <v>83.087283087283097</v>
      </c>
      <c r="D23" s="15">
        <v>1959</v>
      </c>
      <c r="E23" s="14">
        <v>46.799615009999997</v>
      </c>
      <c r="F23" s="16">
        <v>1.8802393900000001</v>
      </c>
      <c r="G23" s="14">
        <v>53.200384990000003</v>
      </c>
      <c r="H23" s="16">
        <v>1.8802393900000001</v>
      </c>
      <c r="I23" s="14" t="s">
        <v>139</v>
      </c>
      <c r="J23" s="16" t="s">
        <v>139</v>
      </c>
      <c r="K23" s="14">
        <v>0</v>
      </c>
      <c r="L23" s="16">
        <v>0</v>
      </c>
      <c r="M23" s="14">
        <v>0</v>
      </c>
      <c r="N23" s="16">
        <v>0</v>
      </c>
      <c r="O23" s="14">
        <v>0</v>
      </c>
      <c r="P23" s="16">
        <v>0</v>
      </c>
      <c r="Q23" s="14">
        <v>0</v>
      </c>
      <c r="R23" s="16">
        <v>0</v>
      </c>
    </row>
    <row r="24" spans="1:18" x14ac:dyDescent="0.25">
      <c r="A24" s="11" t="s">
        <v>157</v>
      </c>
      <c r="B24" s="13">
        <v>6647</v>
      </c>
      <c r="C24" s="14">
        <f>(5492/B24*100)</f>
        <v>82.623740033097633</v>
      </c>
      <c r="D24" s="15">
        <v>1155</v>
      </c>
      <c r="E24" s="14">
        <v>24.071179140000002</v>
      </c>
      <c r="F24" s="16">
        <v>1.3394606600000001</v>
      </c>
      <c r="G24" s="14">
        <v>75.928820860000002</v>
      </c>
      <c r="H24" s="16">
        <v>1.3394606600000001</v>
      </c>
      <c r="I24" s="14" t="s">
        <v>139</v>
      </c>
      <c r="J24" s="16" t="s">
        <v>139</v>
      </c>
      <c r="K24" s="14">
        <v>0</v>
      </c>
      <c r="L24" s="16">
        <v>0</v>
      </c>
      <c r="M24" s="14">
        <v>0</v>
      </c>
      <c r="N24" s="16">
        <v>0</v>
      </c>
      <c r="O24" s="14">
        <v>0</v>
      </c>
      <c r="P24" s="16">
        <v>0</v>
      </c>
      <c r="Q24" s="14">
        <v>0</v>
      </c>
      <c r="R24" s="16">
        <v>0</v>
      </c>
    </row>
    <row r="25" spans="1:18" x14ac:dyDescent="0.25">
      <c r="A25" s="11" t="s">
        <v>158</v>
      </c>
      <c r="B25" s="13">
        <v>5581</v>
      </c>
      <c r="C25" s="14">
        <f>(4618/B25*100)</f>
        <v>82.745027772800569</v>
      </c>
      <c r="D25" s="15">
        <v>963</v>
      </c>
      <c r="E25" s="14">
        <v>31.523530279999999</v>
      </c>
      <c r="F25" s="16">
        <v>1.38807689</v>
      </c>
      <c r="G25" s="14">
        <v>68.476469719999997</v>
      </c>
      <c r="H25" s="16">
        <v>1.38807689</v>
      </c>
      <c r="I25" s="14" t="s">
        <v>139</v>
      </c>
      <c r="J25" s="16" t="s">
        <v>139</v>
      </c>
      <c r="K25" s="14">
        <v>0</v>
      </c>
      <c r="L25" s="16">
        <v>0</v>
      </c>
      <c r="M25" s="14">
        <v>0</v>
      </c>
      <c r="N25" s="16">
        <v>0</v>
      </c>
      <c r="O25" s="14">
        <v>0</v>
      </c>
      <c r="P25" s="16">
        <v>0</v>
      </c>
      <c r="Q25" s="14">
        <v>0</v>
      </c>
      <c r="R25" s="16">
        <v>0</v>
      </c>
    </row>
    <row r="26" spans="1:18" x14ac:dyDescent="0.25">
      <c r="A26" s="11" t="s">
        <v>159</v>
      </c>
      <c r="B26" s="13">
        <v>4869</v>
      </c>
      <c r="C26" s="14">
        <f>(4016/B26*100)</f>
        <v>82.481002259190788</v>
      </c>
      <c r="D26" s="15">
        <v>853</v>
      </c>
      <c r="E26" s="14">
        <v>32.959900640000001</v>
      </c>
      <c r="F26" s="16">
        <v>1.41979956</v>
      </c>
      <c r="G26" s="14">
        <v>67.040099359999999</v>
      </c>
      <c r="H26" s="16">
        <v>1.41979956</v>
      </c>
      <c r="I26" s="14" t="s">
        <v>139</v>
      </c>
      <c r="J26" s="16" t="s">
        <v>139</v>
      </c>
      <c r="K26" s="14">
        <v>0</v>
      </c>
      <c r="L26" s="16">
        <v>0</v>
      </c>
      <c r="M26" s="14">
        <v>0</v>
      </c>
      <c r="N26" s="16">
        <v>0</v>
      </c>
      <c r="O26" s="14">
        <v>0</v>
      </c>
      <c r="P26" s="16">
        <v>0</v>
      </c>
      <c r="Q26" s="14">
        <v>0</v>
      </c>
      <c r="R26" s="16">
        <v>0</v>
      </c>
    </row>
    <row r="27" spans="1:18" x14ac:dyDescent="0.25">
      <c r="A27" s="11" t="s">
        <v>160</v>
      </c>
      <c r="B27" s="13">
        <v>5299</v>
      </c>
      <c r="C27" s="14">
        <f>(4406/B27*100)</f>
        <v>83.147763729005476</v>
      </c>
      <c r="D27" s="15">
        <v>893</v>
      </c>
      <c r="E27" s="14">
        <v>47.374902859999999</v>
      </c>
      <c r="F27" s="16">
        <v>1.60553692</v>
      </c>
      <c r="G27" s="14">
        <v>52.625097140000001</v>
      </c>
      <c r="H27" s="16">
        <v>1.60553692</v>
      </c>
      <c r="I27" s="14" t="s">
        <v>139</v>
      </c>
      <c r="J27" s="16" t="s">
        <v>139</v>
      </c>
      <c r="K27" s="14">
        <v>0</v>
      </c>
      <c r="L27" s="16">
        <v>0</v>
      </c>
      <c r="M27" s="14">
        <v>0</v>
      </c>
      <c r="N27" s="16">
        <v>0</v>
      </c>
      <c r="O27" s="14">
        <v>0</v>
      </c>
      <c r="P27" s="16">
        <v>0</v>
      </c>
      <c r="Q27" s="14">
        <v>0</v>
      </c>
      <c r="R27" s="16">
        <v>0</v>
      </c>
    </row>
    <row r="28" spans="1:18" x14ac:dyDescent="0.25">
      <c r="A28" s="11" t="s">
        <v>161</v>
      </c>
      <c r="B28" s="13">
        <v>7568</v>
      </c>
      <c r="C28" s="14">
        <f>(6417/B28*100)</f>
        <v>84.791226215644826</v>
      </c>
      <c r="D28" s="15">
        <v>1151</v>
      </c>
      <c r="E28" s="14">
        <v>50.12909981</v>
      </c>
      <c r="F28" s="16">
        <v>1.2273113499999999</v>
      </c>
      <c r="G28" s="14">
        <v>49.87090019</v>
      </c>
      <c r="H28" s="16">
        <v>1.2273113499999999</v>
      </c>
      <c r="I28" s="14" t="s">
        <v>139</v>
      </c>
      <c r="J28" s="16" t="s">
        <v>139</v>
      </c>
      <c r="K28" s="14">
        <v>0</v>
      </c>
      <c r="L28" s="16">
        <v>0</v>
      </c>
      <c r="M28" s="14">
        <v>0</v>
      </c>
      <c r="N28" s="16">
        <v>0</v>
      </c>
      <c r="O28" s="14">
        <v>0</v>
      </c>
      <c r="P28" s="16">
        <v>0</v>
      </c>
      <c r="Q28" s="14">
        <v>0</v>
      </c>
      <c r="R28" s="16">
        <v>0</v>
      </c>
    </row>
    <row r="29" spans="1:18" x14ac:dyDescent="0.25">
      <c r="A29" s="11" t="s">
        <v>162</v>
      </c>
      <c r="B29" s="13">
        <v>5385</v>
      </c>
      <c r="C29" s="14">
        <f>(4470/B29*100)</f>
        <v>83.008356545961007</v>
      </c>
      <c r="D29" s="15">
        <v>915</v>
      </c>
      <c r="E29" s="14">
        <v>40.634329479999998</v>
      </c>
      <c r="F29" s="16">
        <v>1.7422388799999999</v>
      </c>
      <c r="G29" s="14">
        <v>59.365670520000002</v>
      </c>
      <c r="H29" s="16">
        <v>1.7422388799999999</v>
      </c>
      <c r="I29" s="14" t="s">
        <v>139</v>
      </c>
      <c r="J29" s="16" t="s">
        <v>139</v>
      </c>
      <c r="K29" s="14">
        <v>0</v>
      </c>
      <c r="L29" s="16">
        <v>0</v>
      </c>
      <c r="M29" s="14">
        <v>0</v>
      </c>
      <c r="N29" s="16">
        <v>0</v>
      </c>
      <c r="O29" s="14">
        <v>0</v>
      </c>
      <c r="P29" s="16">
        <v>0</v>
      </c>
      <c r="Q29" s="14">
        <v>0</v>
      </c>
      <c r="R29" s="16">
        <v>0</v>
      </c>
    </row>
    <row r="30" spans="1:18" x14ac:dyDescent="0.25">
      <c r="A30" s="11" t="s">
        <v>163</v>
      </c>
      <c r="B30" s="13">
        <v>4520</v>
      </c>
      <c r="C30" s="14">
        <f>(3759/B30*100)</f>
        <v>83.163716814159301</v>
      </c>
      <c r="D30" s="15">
        <v>761</v>
      </c>
      <c r="E30" s="14">
        <v>24.718687559999999</v>
      </c>
      <c r="F30" s="16">
        <v>1.6164110599999999</v>
      </c>
      <c r="G30" s="14">
        <v>75.281312439999994</v>
      </c>
      <c r="H30" s="16">
        <v>1.6164110599999999</v>
      </c>
      <c r="I30" s="14" t="s">
        <v>139</v>
      </c>
      <c r="J30" s="16" t="s">
        <v>139</v>
      </c>
      <c r="K30" s="14">
        <v>0</v>
      </c>
      <c r="L30" s="16">
        <v>0</v>
      </c>
      <c r="M30" s="14">
        <v>0</v>
      </c>
      <c r="N30" s="16">
        <v>0</v>
      </c>
      <c r="O30" s="14">
        <v>0</v>
      </c>
      <c r="P30" s="16">
        <v>0</v>
      </c>
      <c r="Q30" s="14">
        <v>0</v>
      </c>
      <c r="R30" s="16">
        <v>0</v>
      </c>
    </row>
    <row r="31" spans="1:18" x14ac:dyDescent="0.25">
      <c r="A31" s="11" t="s">
        <v>164</v>
      </c>
      <c r="B31" s="13">
        <v>5456</v>
      </c>
      <c r="C31" s="14">
        <f>(4553/B31*100)</f>
        <v>83.449413489736074</v>
      </c>
      <c r="D31" s="15">
        <v>903</v>
      </c>
      <c r="E31" s="14">
        <v>38.995997950000003</v>
      </c>
      <c r="F31" s="16">
        <v>1.5923037799999999</v>
      </c>
      <c r="G31" s="14">
        <v>61.004002049999997</v>
      </c>
      <c r="H31" s="16">
        <v>1.5923037799999999</v>
      </c>
      <c r="I31" s="14" t="s">
        <v>139</v>
      </c>
      <c r="J31" s="16" t="s">
        <v>139</v>
      </c>
      <c r="K31" s="14">
        <v>0</v>
      </c>
      <c r="L31" s="16">
        <v>0</v>
      </c>
      <c r="M31" s="14">
        <v>0</v>
      </c>
      <c r="N31" s="16">
        <v>0</v>
      </c>
      <c r="O31" s="14">
        <v>0</v>
      </c>
      <c r="P31" s="16">
        <v>0</v>
      </c>
      <c r="Q31" s="14">
        <v>0</v>
      </c>
      <c r="R31" s="16">
        <v>0</v>
      </c>
    </row>
    <row r="32" spans="1:18" x14ac:dyDescent="0.25">
      <c r="A32" s="11" t="s">
        <v>165</v>
      </c>
      <c r="B32" s="17" t="s">
        <v>154</v>
      </c>
      <c r="C32" s="17" t="s">
        <v>154</v>
      </c>
      <c r="D32" s="18" t="s">
        <v>154</v>
      </c>
      <c r="E32" s="17" t="s">
        <v>154</v>
      </c>
      <c r="F32" s="18" t="s">
        <v>154</v>
      </c>
      <c r="G32" s="17" t="s">
        <v>154</v>
      </c>
      <c r="H32" s="18" t="s">
        <v>154</v>
      </c>
      <c r="I32" s="17" t="s">
        <v>154</v>
      </c>
      <c r="J32" s="18" t="s">
        <v>154</v>
      </c>
      <c r="K32" s="17" t="s">
        <v>154</v>
      </c>
      <c r="L32" s="18" t="s">
        <v>154</v>
      </c>
      <c r="M32" s="17" t="s">
        <v>154</v>
      </c>
      <c r="N32" s="18" t="s">
        <v>154</v>
      </c>
      <c r="O32" s="17" t="s">
        <v>154</v>
      </c>
      <c r="P32" s="18" t="s">
        <v>154</v>
      </c>
      <c r="Q32" s="17" t="s">
        <v>154</v>
      </c>
      <c r="R32" s="18" t="s">
        <v>154</v>
      </c>
    </row>
    <row r="33" spans="1:18" x14ac:dyDescent="0.25">
      <c r="A33" s="11" t="s">
        <v>166</v>
      </c>
      <c r="B33" s="13">
        <v>7325</v>
      </c>
      <c r="C33" s="14">
        <f>(6143/B33*100)</f>
        <v>83.863481228668945</v>
      </c>
      <c r="D33" s="15">
        <v>1182</v>
      </c>
      <c r="E33" s="14">
        <v>52.574045439999999</v>
      </c>
      <c r="F33" s="16">
        <v>1.59850318</v>
      </c>
      <c r="G33" s="14">
        <v>47.425954560000001</v>
      </c>
      <c r="H33" s="16">
        <v>1.59850318</v>
      </c>
      <c r="I33" s="14" t="s">
        <v>139</v>
      </c>
      <c r="J33" s="16" t="s">
        <v>139</v>
      </c>
      <c r="K33" s="14">
        <v>0</v>
      </c>
      <c r="L33" s="16">
        <v>0</v>
      </c>
      <c r="M33" s="14">
        <v>0</v>
      </c>
      <c r="N33" s="16">
        <v>0</v>
      </c>
      <c r="O33" s="14">
        <v>0</v>
      </c>
      <c r="P33" s="16">
        <v>0</v>
      </c>
      <c r="Q33" s="14">
        <v>0</v>
      </c>
      <c r="R33" s="16">
        <v>0</v>
      </c>
    </row>
    <row r="34" spans="1:18" x14ac:dyDescent="0.25">
      <c r="A34" s="11" t="s">
        <v>167</v>
      </c>
      <c r="B34" s="13">
        <v>6350</v>
      </c>
      <c r="C34" s="14">
        <f>(5310/B34*100)</f>
        <v>83.622047244094489</v>
      </c>
      <c r="D34" s="15">
        <v>1040</v>
      </c>
      <c r="E34" s="14">
        <v>46.187334720000003</v>
      </c>
      <c r="F34" s="16">
        <v>1.5605631799999999</v>
      </c>
      <c r="G34" s="14">
        <v>53.812665279999997</v>
      </c>
      <c r="H34" s="16">
        <v>1.5605631799999999</v>
      </c>
      <c r="I34" s="14" t="s">
        <v>139</v>
      </c>
      <c r="J34" s="16" t="s">
        <v>139</v>
      </c>
      <c r="K34" s="14">
        <v>0</v>
      </c>
      <c r="L34" s="16">
        <v>0</v>
      </c>
      <c r="M34" s="14">
        <v>0</v>
      </c>
      <c r="N34" s="16">
        <v>0</v>
      </c>
      <c r="O34" s="14">
        <v>0</v>
      </c>
      <c r="P34" s="16">
        <v>0</v>
      </c>
      <c r="Q34" s="14">
        <v>0</v>
      </c>
      <c r="R34" s="16">
        <v>0</v>
      </c>
    </row>
    <row r="35" spans="1:18" x14ac:dyDescent="0.25">
      <c r="A35" s="11" t="s">
        <v>168</v>
      </c>
      <c r="B35" s="13">
        <v>6406</v>
      </c>
      <c r="C35" s="14">
        <f>(5306/B35*100)</f>
        <v>82.828598189197621</v>
      </c>
      <c r="D35" s="15">
        <v>1100</v>
      </c>
      <c r="E35" s="14">
        <v>29.27453405</v>
      </c>
      <c r="F35" s="16">
        <v>1.7862828799999999</v>
      </c>
      <c r="G35" s="14">
        <v>70.72546595</v>
      </c>
      <c r="H35" s="16">
        <v>1.7862828799999999</v>
      </c>
      <c r="I35" s="14" t="s">
        <v>139</v>
      </c>
      <c r="J35" s="16" t="s">
        <v>139</v>
      </c>
      <c r="K35" s="14">
        <v>0</v>
      </c>
      <c r="L35" s="16">
        <v>0</v>
      </c>
      <c r="M35" s="14">
        <v>0</v>
      </c>
      <c r="N35" s="16">
        <v>0</v>
      </c>
      <c r="O35" s="14">
        <v>0</v>
      </c>
      <c r="P35" s="16">
        <v>0</v>
      </c>
      <c r="Q35" s="14">
        <v>0</v>
      </c>
      <c r="R35" s="16">
        <v>0</v>
      </c>
    </row>
    <row r="36" spans="1:18" x14ac:dyDescent="0.25">
      <c r="A36" s="11" t="s">
        <v>169</v>
      </c>
      <c r="B36" s="13">
        <v>6736</v>
      </c>
      <c r="C36" s="14">
        <f>(5609/B36*100)</f>
        <v>83.269002375296907</v>
      </c>
      <c r="D36" s="15">
        <v>1127</v>
      </c>
      <c r="E36" s="14">
        <v>42.883890190000002</v>
      </c>
      <c r="F36" s="16">
        <v>1.42565319</v>
      </c>
      <c r="G36" s="14">
        <v>57.116109809999998</v>
      </c>
      <c r="H36" s="16">
        <v>1.42565319</v>
      </c>
      <c r="I36" s="14" t="s">
        <v>139</v>
      </c>
      <c r="J36" s="16" t="s">
        <v>139</v>
      </c>
      <c r="K36" s="14">
        <v>0</v>
      </c>
      <c r="L36" s="16">
        <v>0</v>
      </c>
      <c r="M36" s="14">
        <v>0</v>
      </c>
      <c r="N36" s="16">
        <v>0</v>
      </c>
      <c r="O36" s="14">
        <v>0</v>
      </c>
      <c r="P36" s="16">
        <v>0</v>
      </c>
      <c r="Q36" s="14">
        <v>0</v>
      </c>
      <c r="R36" s="16">
        <v>0</v>
      </c>
    </row>
    <row r="37" spans="1:18" x14ac:dyDescent="0.25">
      <c r="A37" s="11" t="s">
        <v>170</v>
      </c>
      <c r="B37" s="13">
        <v>5458</v>
      </c>
      <c r="C37" s="14">
        <f>(4579/B37*100)</f>
        <v>83.895199706852324</v>
      </c>
      <c r="D37" s="15">
        <v>879</v>
      </c>
      <c r="E37" s="14">
        <v>42.906452559999998</v>
      </c>
      <c r="F37" s="16">
        <v>1.83820603</v>
      </c>
      <c r="G37" s="14">
        <v>57.093547440000002</v>
      </c>
      <c r="H37" s="16">
        <v>1.83820603</v>
      </c>
      <c r="I37" s="14" t="s">
        <v>139</v>
      </c>
      <c r="J37" s="16" t="s">
        <v>139</v>
      </c>
      <c r="K37" s="14">
        <v>0</v>
      </c>
      <c r="L37" s="16">
        <v>0</v>
      </c>
      <c r="M37" s="14">
        <v>0</v>
      </c>
      <c r="N37" s="16">
        <v>0</v>
      </c>
      <c r="O37" s="14">
        <v>0</v>
      </c>
      <c r="P37" s="16">
        <v>0</v>
      </c>
      <c r="Q37" s="14">
        <v>0</v>
      </c>
      <c r="R37" s="16">
        <v>0</v>
      </c>
    </row>
    <row r="38" spans="1:18" x14ac:dyDescent="0.25">
      <c r="A38" s="11" t="s">
        <v>171</v>
      </c>
      <c r="B38" s="17" t="s">
        <v>154</v>
      </c>
      <c r="C38" s="17" t="s">
        <v>154</v>
      </c>
      <c r="D38" s="18" t="s">
        <v>154</v>
      </c>
      <c r="E38" s="17" t="s">
        <v>154</v>
      </c>
      <c r="F38" s="18" t="s">
        <v>154</v>
      </c>
      <c r="G38" s="17" t="s">
        <v>154</v>
      </c>
      <c r="H38" s="18" t="s">
        <v>154</v>
      </c>
      <c r="I38" s="17" t="s">
        <v>154</v>
      </c>
      <c r="J38" s="18" t="s">
        <v>154</v>
      </c>
      <c r="K38" s="17" t="s">
        <v>154</v>
      </c>
      <c r="L38" s="18" t="s">
        <v>154</v>
      </c>
      <c r="M38" s="17" t="s">
        <v>154</v>
      </c>
      <c r="N38" s="18" t="s">
        <v>154</v>
      </c>
      <c r="O38" s="17" t="s">
        <v>154</v>
      </c>
      <c r="P38" s="18" t="s">
        <v>154</v>
      </c>
      <c r="Q38" s="17" t="s">
        <v>154</v>
      </c>
      <c r="R38" s="18" t="s">
        <v>154</v>
      </c>
    </row>
    <row r="39" spans="1:18" x14ac:dyDescent="0.25">
      <c r="A39" s="11" t="s">
        <v>172</v>
      </c>
      <c r="B39" s="13">
        <v>5895</v>
      </c>
      <c r="C39" s="14">
        <f>(4871/B39*100)</f>
        <v>82.629346904156066</v>
      </c>
      <c r="D39" s="15">
        <v>1024</v>
      </c>
      <c r="E39" s="14">
        <v>59.556444329999998</v>
      </c>
      <c r="F39" s="16">
        <v>1.53318887</v>
      </c>
      <c r="G39" s="14">
        <v>40.443555670000002</v>
      </c>
      <c r="H39" s="16">
        <v>1.53318887</v>
      </c>
      <c r="I39" s="14" t="s">
        <v>139</v>
      </c>
      <c r="J39" s="16" t="s">
        <v>139</v>
      </c>
      <c r="K39" s="14">
        <v>0</v>
      </c>
      <c r="L39" s="16">
        <v>0</v>
      </c>
      <c r="M39" s="14">
        <v>0</v>
      </c>
      <c r="N39" s="16">
        <v>0</v>
      </c>
      <c r="O39" s="14">
        <v>0</v>
      </c>
      <c r="P39" s="16">
        <v>0</v>
      </c>
      <c r="Q39" s="14">
        <v>0</v>
      </c>
      <c r="R39" s="16">
        <v>0</v>
      </c>
    </row>
    <row r="40" spans="1:18" x14ac:dyDescent="0.25">
      <c r="A40" s="11" t="s">
        <v>173</v>
      </c>
      <c r="B40" s="13">
        <v>14157</v>
      </c>
      <c r="C40" s="14">
        <f>(11654/B40*100)</f>
        <v>82.319700501518682</v>
      </c>
      <c r="D40" s="15">
        <v>2503</v>
      </c>
      <c r="E40" s="14">
        <v>34.550249100000002</v>
      </c>
      <c r="F40" s="16">
        <v>1.4966131199999999</v>
      </c>
      <c r="G40" s="14">
        <v>65.449750899999998</v>
      </c>
      <c r="H40" s="16">
        <v>1.4966131199999999</v>
      </c>
      <c r="I40" s="14" t="s">
        <v>139</v>
      </c>
      <c r="J40" s="16" t="s">
        <v>139</v>
      </c>
      <c r="K40" s="14">
        <v>0</v>
      </c>
      <c r="L40" s="16">
        <v>0</v>
      </c>
      <c r="M40" s="14">
        <v>0</v>
      </c>
      <c r="N40" s="16">
        <v>0</v>
      </c>
      <c r="O40" s="14">
        <v>0</v>
      </c>
      <c r="P40" s="16">
        <v>0</v>
      </c>
      <c r="Q40" s="14">
        <v>0</v>
      </c>
      <c r="R40" s="16">
        <v>0</v>
      </c>
    </row>
    <row r="41" spans="1:18" x14ac:dyDescent="0.25">
      <c r="A41" s="11" t="s">
        <v>174</v>
      </c>
      <c r="B41" s="13">
        <v>5712</v>
      </c>
      <c r="C41" s="14">
        <f>(4777/B41*100)</f>
        <v>83.63095238095238</v>
      </c>
      <c r="D41" s="15">
        <v>935</v>
      </c>
      <c r="E41" s="14">
        <v>30.449394689999998</v>
      </c>
      <c r="F41" s="16">
        <v>1.6393962200000001</v>
      </c>
      <c r="G41" s="14">
        <v>69.550605309999995</v>
      </c>
      <c r="H41" s="16">
        <v>1.6393962200000001</v>
      </c>
      <c r="I41" s="14" t="s">
        <v>139</v>
      </c>
      <c r="J41" s="16" t="s">
        <v>139</v>
      </c>
      <c r="K41" s="14">
        <v>0</v>
      </c>
      <c r="L41" s="16">
        <v>0</v>
      </c>
      <c r="M41" s="14">
        <v>0</v>
      </c>
      <c r="N41" s="16">
        <v>0</v>
      </c>
      <c r="O41" s="14">
        <v>0</v>
      </c>
      <c r="P41" s="16">
        <v>0</v>
      </c>
      <c r="Q41" s="14">
        <v>0</v>
      </c>
      <c r="R41" s="16">
        <v>0</v>
      </c>
    </row>
    <row r="42" spans="1:18" x14ac:dyDescent="0.25">
      <c r="A42" s="11" t="s">
        <v>175</v>
      </c>
      <c r="B42" s="13">
        <f>IF(COUNT(B7:B41) &gt; 0, AVERAGE(B7:B41), "\u2014")</f>
        <v>7266.90625</v>
      </c>
      <c r="C42" s="14">
        <f>IF(COUNT(C7:C41) &gt; 0, AVERAGE(C7:C41), "—")</f>
        <v>83.26007459787489</v>
      </c>
      <c r="D42" s="15">
        <f>IF(COUNT(D7:D41) &gt; 0, AVERAGE(D7:D41), "—")</f>
        <v>1218</v>
      </c>
      <c r="E42" s="14">
        <f>IF(COUNT(E7:E41) &gt; 0, AVERAGE(E7:E41), "—")</f>
        <v>41.08392607750001</v>
      </c>
      <c r="F42" s="16">
        <f>IF(COUNT(F7:F41) &gt; 0, SQRT(SUMSQ(F7:F41)/(COUNT(F7:F41)*COUNT(F7:F41)) ), "—")</f>
        <v>0.27911644602818214</v>
      </c>
      <c r="G42" s="14">
        <f>IF(COUNT(G7:G41) &gt; 0, AVERAGE(G7:G41), "—")</f>
        <v>58.916073922499997</v>
      </c>
      <c r="H42" s="16">
        <f>IF(COUNT(H7:H41) &gt; 0, SQRT(SUMSQ(H7:H41)/(COUNT(H7:H41)*COUNT(H7:H41)) ), "—")</f>
        <v>0.27911644602818214</v>
      </c>
      <c r="I42" s="14" t="str">
        <f>IF(COUNT(I7:I41) &gt; 0, AVERAGE(I7:I41), "—")</f>
        <v>—</v>
      </c>
      <c r="J42" s="16" t="str">
        <f>IF(COUNT(J7:J41) &gt; 0, SQRT(SUMSQ(J7:J41)/(COUNT(J7:J41)*COUNT(J7:J41)) ), "—")</f>
        <v>—</v>
      </c>
      <c r="K42" s="14">
        <f>IF(COUNT(K7:K41) &gt; 0, AVERAGE(K7:K41), "—")</f>
        <v>0</v>
      </c>
      <c r="L42" s="16">
        <f>IF(COUNT(L7:L41) &gt; 0, SQRT(SUMSQ(L7:L41)/(COUNT(L7:L41)*COUNT(L7:L41)) ), "—")</f>
        <v>0</v>
      </c>
      <c r="M42" s="14">
        <f>IF(COUNT(M7:M41) &gt; 0, AVERAGE(M7:M41), "—")</f>
        <v>0</v>
      </c>
      <c r="N42" s="16">
        <f>IF(COUNT(N7:N41) &gt; 0, SQRT(SUMSQ(N7:N41)/(COUNT(N7:N41)*COUNT(N7:N41)) ), "—")</f>
        <v>0</v>
      </c>
      <c r="O42" s="14">
        <f>IF(COUNT(O7:O41) &gt; 0, AVERAGE(O7:O41), "—")</f>
        <v>0</v>
      </c>
      <c r="P42" s="16">
        <f>IF(COUNT(P7:P41) &gt; 0, SQRT(SUMSQ(P7:P41)/(COUNT(P7:P41)*COUNT(P7:P41)) ), "—")</f>
        <v>0</v>
      </c>
      <c r="Q42" s="14">
        <f>IF(COUNT(Q7:Q41) &gt; 0, AVERAGE(Q7:Q41), "—")</f>
        <v>0</v>
      </c>
      <c r="R42" s="16">
        <f>IF(COUNT(R7:R41) &gt; 0, SQRT(SUMSQ(R7:R41)/(COUNT(R7:R41)*COUNT(R7:R41)) ), "—")</f>
        <v>0</v>
      </c>
    </row>
    <row r="43" spans="1:18" x14ac:dyDescent="0.25">
      <c r="A43" s="9" t="s">
        <v>176</v>
      </c>
      <c r="B43" s="10"/>
      <c r="C43" s="10"/>
      <c r="D43" s="11"/>
      <c r="E43" s="10"/>
      <c r="F43" s="11"/>
      <c r="G43" s="10"/>
      <c r="H43" s="11"/>
      <c r="I43" s="10"/>
      <c r="J43" s="11"/>
      <c r="K43" s="10"/>
      <c r="L43" s="11"/>
      <c r="M43" s="10"/>
      <c r="N43" s="11"/>
      <c r="O43" s="10"/>
      <c r="P43" s="11"/>
      <c r="Q43" s="10"/>
      <c r="R43" s="12"/>
    </row>
    <row r="44" spans="1:18" x14ac:dyDescent="0.25">
      <c r="A44" s="11" t="s">
        <v>177</v>
      </c>
      <c r="B44" s="17" t="s">
        <v>154</v>
      </c>
      <c r="C44" s="17" t="s">
        <v>154</v>
      </c>
      <c r="D44" s="18" t="s">
        <v>154</v>
      </c>
      <c r="E44" s="17" t="s">
        <v>154</v>
      </c>
      <c r="F44" s="18" t="s">
        <v>154</v>
      </c>
      <c r="G44" s="17" t="s">
        <v>154</v>
      </c>
      <c r="H44" s="18" t="s">
        <v>154</v>
      </c>
      <c r="I44" s="17" t="s">
        <v>154</v>
      </c>
      <c r="J44" s="18" t="s">
        <v>154</v>
      </c>
      <c r="K44" s="17" t="s">
        <v>154</v>
      </c>
      <c r="L44" s="18" t="s">
        <v>154</v>
      </c>
      <c r="M44" s="17" t="s">
        <v>154</v>
      </c>
      <c r="N44" s="18" t="s">
        <v>154</v>
      </c>
      <c r="O44" s="17" t="s">
        <v>154</v>
      </c>
      <c r="P44" s="18" t="s">
        <v>154</v>
      </c>
      <c r="Q44" s="17" t="s">
        <v>154</v>
      </c>
      <c r="R44" s="18" t="s">
        <v>154</v>
      </c>
    </row>
    <row r="45" spans="1:18" x14ac:dyDescent="0.25">
      <c r="A45" s="11" t="s">
        <v>178</v>
      </c>
      <c r="B45" s="17" t="s">
        <v>154</v>
      </c>
      <c r="C45" s="17" t="s">
        <v>154</v>
      </c>
      <c r="D45" s="18" t="s">
        <v>154</v>
      </c>
      <c r="E45" s="17" t="s">
        <v>154</v>
      </c>
      <c r="F45" s="18" t="s">
        <v>154</v>
      </c>
      <c r="G45" s="17" t="s">
        <v>154</v>
      </c>
      <c r="H45" s="18" t="s">
        <v>154</v>
      </c>
      <c r="I45" s="17" t="s">
        <v>154</v>
      </c>
      <c r="J45" s="18" t="s">
        <v>154</v>
      </c>
      <c r="K45" s="17" t="s">
        <v>154</v>
      </c>
      <c r="L45" s="18" t="s">
        <v>154</v>
      </c>
      <c r="M45" s="17" t="s">
        <v>154</v>
      </c>
      <c r="N45" s="18" t="s">
        <v>154</v>
      </c>
      <c r="O45" s="17" t="s">
        <v>154</v>
      </c>
      <c r="P45" s="18" t="s">
        <v>154</v>
      </c>
      <c r="Q45" s="17" t="s">
        <v>154</v>
      </c>
      <c r="R45" s="18" t="s">
        <v>154</v>
      </c>
    </row>
    <row r="46" spans="1:18" x14ac:dyDescent="0.25">
      <c r="A46" s="11" t="s">
        <v>179</v>
      </c>
      <c r="B46" s="13">
        <v>23141</v>
      </c>
      <c r="C46" s="14">
        <f>(20176/B46*100)</f>
        <v>87.18724342076834</v>
      </c>
      <c r="D46" s="15">
        <v>2965</v>
      </c>
      <c r="E46" s="14">
        <v>50.655111589999997</v>
      </c>
      <c r="F46" s="16">
        <v>1.0794035399999999</v>
      </c>
      <c r="G46" s="14">
        <v>49.344888410000003</v>
      </c>
      <c r="H46" s="16">
        <v>1.0794035399999999</v>
      </c>
      <c r="I46" s="14" t="s">
        <v>139</v>
      </c>
      <c r="J46" s="16" t="s">
        <v>139</v>
      </c>
      <c r="K46" s="14">
        <v>0</v>
      </c>
      <c r="L46" s="16">
        <v>0</v>
      </c>
      <c r="M46" s="14">
        <v>0</v>
      </c>
      <c r="N46" s="16">
        <v>0</v>
      </c>
      <c r="O46" s="14">
        <v>0</v>
      </c>
      <c r="P46" s="16">
        <v>0</v>
      </c>
      <c r="Q46" s="14">
        <v>0</v>
      </c>
      <c r="R46" s="16">
        <v>0</v>
      </c>
    </row>
    <row r="47" spans="1:18" x14ac:dyDescent="0.25">
      <c r="A47" s="11" t="s">
        <v>180</v>
      </c>
      <c r="B47" s="13">
        <v>5928</v>
      </c>
      <c r="C47" s="14">
        <f>(4958/B47*100)</f>
        <v>83.6369770580297</v>
      </c>
      <c r="D47" s="15">
        <v>970</v>
      </c>
      <c r="E47" s="14">
        <v>38.796875470000003</v>
      </c>
      <c r="F47" s="16">
        <v>1.8245344400000001</v>
      </c>
      <c r="G47" s="14">
        <v>61.203124529999997</v>
      </c>
      <c r="H47" s="16">
        <v>1.8245344400000001</v>
      </c>
      <c r="I47" s="14" t="s">
        <v>139</v>
      </c>
      <c r="J47" s="16" t="s">
        <v>139</v>
      </c>
      <c r="K47" s="14">
        <v>0</v>
      </c>
      <c r="L47" s="16">
        <v>0</v>
      </c>
      <c r="M47" s="14">
        <v>0</v>
      </c>
      <c r="N47" s="16">
        <v>0</v>
      </c>
      <c r="O47" s="14">
        <v>0</v>
      </c>
      <c r="P47" s="16">
        <v>0</v>
      </c>
      <c r="Q47" s="14">
        <v>0</v>
      </c>
      <c r="R47" s="16">
        <v>0</v>
      </c>
    </row>
    <row r="48" spans="1:18" x14ac:dyDescent="0.25">
      <c r="A48" s="11" t="s">
        <v>181</v>
      </c>
      <c r="B48" s="13">
        <v>9841</v>
      </c>
      <c r="C48" s="14">
        <f>(8160/B48*100)</f>
        <v>82.918402601361649</v>
      </c>
      <c r="D48" s="15">
        <v>1681</v>
      </c>
      <c r="E48" s="14">
        <v>26.549460069999999</v>
      </c>
      <c r="F48" s="16">
        <v>1.3172338800000001</v>
      </c>
      <c r="G48" s="14">
        <v>73.450539930000005</v>
      </c>
      <c r="H48" s="16">
        <v>1.3172338800000001</v>
      </c>
      <c r="I48" s="14" t="s">
        <v>139</v>
      </c>
      <c r="J48" s="16" t="s">
        <v>139</v>
      </c>
      <c r="K48" s="14">
        <v>0</v>
      </c>
      <c r="L48" s="16">
        <v>0</v>
      </c>
      <c r="M48" s="14">
        <v>0</v>
      </c>
      <c r="N48" s="16">
        <v>0</v>
      </c>
      <c r="O48" s="14">
        <v>0</v>
      </c>
      <c r="P48" s="16">
        <v>0</v>
      </c>
      <c r="Q48" s="14">
        <v>0</v>
      </c>
      <c r="R48" s="16">
        <v>0</v>
      </c>
    </row>
    <row r="49" spans="1:18" x14ac:dyDescent="0.25">
      <c r="A49" s="11" t="s">
        <v>182</v>
      </c>
      <c r="B49" s="17" t="s">
        <v>154</v>
      </c>
      <c r="C49" s="17" t="s">
        <v>154</v>
      </c>
      <c r="D49" s="18" t="s">
        <v>154</v>
      </c>
      <c r="E49" s="17" t="s">
        <v>154</v>
      </c>
      <c r="F49" s="18" t="s">
        <v>154</v>
      </c>
      <c r="G49" s="17" t="s">
        <v>154</v>
      </c>
      <c r="H49" s="18" t="s">
        <v>154</v>
      </c>
      <c r="I49" s="17" t="s">
        <v>154</v>
      </c>
      <c r="J49" s="18" t="s">
        <v>154</v>
      </c>
      <c r="K49" s="17" t="s">
        <v>154</v>
      </c>
      <c r="L49" s="18" t="s">
        <v>154</v>
      </c>
      <c r="M49" s="17" t="s">
        <v>154</v>
      </c>
      <c r="N49" s="18" t="s">
        <v>154</v>
      </c>
      <c r="O49" s="17" t="s">
        <v>154</v>
      </c>
      <c r="P49" s="18" t="s">
        <v>154</v>
      </c>
      <c r="Q49" s="17" t="s">
        <v>154</v>
      </c>
      <c r="R49" s="18" t="s">
        <v>154</v>
      </c>
    </row>
    <row r="50" spans="1:18" x14ac:dyDescent="0.25">
      <c r="A50" s="11" t="s">
        <v>183</v>
      </c>
      <c r="B50" s="13">
        <v>11795</v>
      </c>
      <c r="C50" s="14">
        <f>(9898/B50*100)</f>
        <v>83.916913946587528</v>
      </c>
      <c r="D50" s="15">
        <v>1897</v>
      </c>
      <c r="E50" s="14">
        <v>48.00604396</v>
      </c>
      <c r="F50" s="16">
        <v>1.56887618</v>
      </c>
      <c r="G50" s="14">
        <v>51.99395604</v>
      </c>
      <c r="H50" s="16">
        <v>1.56887618</v>
      </c>
      <c r="I50" s="14" t="s">
        <v>139</v>
      </c>
      <c r="J50" s="16" t="s">
        <v>139</v>
      </c>
      <c r="K50" s="14">
        <v>0</v>
      </c>
      <c r="L50" s="16">
        <v>0</v>
      </c>
      <c r="M50" s="14">
        <v>0</v>
      </c>
      <c r="N50" s="16">
        <v>0</v>
      </c>
      <c r="O50" s="14">
        <v>0</v>
      </c>
      <c r="P50" s="16">
        <v>0</v>
      </c>
      <c r="Q50" s="14">
        <v>0</v>
      </c>
      <c r="R50" s="16">
        <v>0</v>
      </c>
    </row>
    <row r="51" spans="1:18" x14ac:dyDescent="0.25">
      <c r="A51" s="11" t="s">
        <v>184</v>
      </c>
      <c r="B51" s="13">
        <v>6866</v>
      </c>
      <c r="C51" s="14">
        <f>(5894/B51*100)</f>
        <v>85.843285755898634</v>
      </c>
      <c r="D51" s="15">
        <v>972</v>
      </c>
      <c r="E51" s="14">
        <v>53.92531803</v>
      </c>
      <c r="F51" s="16">
        <v>1.7970316500000001</v>
      </c>
      <c r="G51" s="14">
        <v>46.07468197</v>
      </c>
      <c r="H51" s="16">
        <v>1.7970316500000001</v>
      </c>
      <c r="I51" s="14" t="s">
        <v>139</v>
      </c>
      <c r="J51" s="16" t="s">
        <v>139</v>
      </c>
      <c r="K51" s="14">
        <v>0</v>
      </c>
      <c r="L51" s="16">
        <v>0</v>
      </c>
      <c r="M51" s="14">
        <v>0</v>
      </c>
      <c r="N51" s="16">
        <v>0</v>
      </c>
      <c r="O51" s="14">
        <v>0</v>
      </c>
      <c r="P51" s="16">
        <v>0</v>
      </c>
      <c r="Q51" s="14">
        <v>0</v>
      </c>
      <c r="R51" s="16">
        <v>0</v>
      </c>
    </row>
    <row r="52" spans="1:18" x14ac:dyDescent="0.25">
      <c r="A52" s="11" t="s">
        <v>185</v>
      </c>
      <c r="B52" s="13">
        <v>5809</v>
      </c>
      <c r="C52" s="14">
        <f>(4808/B52*100)</f>
        <v>82.768118436908239</v>
      </c>
      <c r="D52" s="15">
        <v>1001</v>
      </c>
      <c r="E52" s="14">
        <v>40.33558815</v>
      </c>
      <c r="F52" s="16">
        <v>1.62763905</v>
      </c>
      <c r="G52" s="14">
        <v>59.66441185</v>
      </c>
      <c r="H52" s="16">
        <v>1.62763905</v>
      </c>
      <c r="I52" s="14" t="s">
        <v>139</v>
      </c>
      <c r="J52" s="16" t="s">
        <v>139</v>
      </c>
      <c r="K52" s="14">
        <v>0</v>
      </c>
      <c r="L52" s="16">
        <v>0</v>
      </c>
      <c r="M52" s="14">
        <v>0</v>
      </c>
      <c r="N52" s="16">
        <v>0</v>
      </c>
      <c r="O52" s="14">
        <v>0</v>
      </c>
      <c r="P52" s="16">
        <v>0</v>
      </c>
      <c r="Q52" s="14">
        <v>0</v>
      </c>
      <c r="R52" s="16">
        <v>0</v>
      </c>
    </row>
    <row r="53" spans="1:18" x14ac:dyDescent="0.25">
      <c r="A53" s="11" t="s">
        <v>186</v>
      </c>
      <c r="B53" s="13">
        <v>5571</v>
      </c>
      <c r="C53" s="14">
        <f>(4622/B53*100)</f>
        <v>82.965356309459708</v>
      </c>
      <c r="D53" s="15">
        <v>949</v>
      </c>
      <c r="E53" s="14">
        <v>43.068475409999998</v>
      </c>
      <c r="F53" s="16">
        <v>1.9563931000000001</v>
      </c>
      <c r="G53" s="14">
        <v>56.931524590000002</v>
      </c>
      <c r="H53" s="16">
        <v>1.9563931000000001</v>
      </c>
      <c r="I53" s="14" t="s">
        <v>139</v>
      </c>
      <c r="J53" s="16" t="s">
        <v>139</v>
      </c>
      <c r="K53" s="14">
        <v>0</v>
      </c>
      <c r="L53" s="16">
        <v>0</v>
      </c>
      <c r="M53" s="14">
        <v>0</v>
      </c>
      <c r="N53" s="16">
        <v>0</v>
      </c>
      <c r="O53" s="14">
        <v>0</v>
      </c>
      <c r="P53" s="16">
        <v>0</v>
      </c>
      <c r="Q53" s="14">
        <v>0</v>
      </c>
      <c r="R53" s="16">
        <v>0</v>
      </c>
    </row>
    <row r="54" spans="1:18" x14ac:dyDescent="0.25">
      <c r="A54" s="11" t="s">
        <v>187</v>
      </c>
      <c r="B54" s="17" t="s">
        <v>154</v>
      </c>
      <c r="C54" s="17" t="s">
        <v>154</v>
      </c>
      <c r="D54" s="18" t="s">
        <v>154</v>
      </c>
      <c r="E54" s="17" t="s">
        <v>154</v>
      </c>
      <c r="F54" s="18" t="s">
        <v>154</v>
      </c>
      <c r="G54" s="17" t="s">
        <v>154</v>
      </c>
      <c r="H54" s="18" t="s">
        <v>154</v>
      </c>
      <c r="I54" s="17" t="s">
        <v>154</v>
      </c>
      <c r="J54" s="18" t="s">
        <v>154</v>
      </c>
      <c r="K54" s="17" t="s">
        <v>154</v>
      </c>
      <c r="L54" s="18" t="s">
        <v>154</v>
      </c>
      <c r="M54" s="17" t="s">
        <v>154</v>
      </c>
      <c r="N54" s="18" t="s">
        <v>154</v>
      </c>
      <c r="O54" s="17" t="s">
        <v>154</v>
      </c>
      <c r="P54" s="18" t="s">
        <v>154</v>
      </c>
      <c r="Q54" s="17" t="s">
        <v>154</v>
      </c>
      <c r="R54" s="18" t="s">
        <v>154</v>
      </c>
    </row>
    <row r="55" spans="1:18" x14ac:dyDescent="0.25">
      <c r="A55" s="11" t="s">
        <v>188</v>
      </c>
      <c r="B55" s="17" t="s">
        <v>154</v>
      </c>
      <c r="C55" s="17" t="s">
        <v>154</v>
      </c>
      <c r="D55" s="18" t="s">
        <v>154</v>
      </c>
      <c r="E55" s="17" t="s">
        <v>154</v>
      </c>
      <c r="F55" s="18" t="s">
        <v>154</v>
      </c>
      <c r="G55" s="17" t="s">
        <v>154</v>
      </c>
      <c r="H55" s="18" t="s">
        <v>154</v>
      </c>
      <c r="I55" s="17" t="s">
        <v>154</v>
      </c>
      <c r="J55" s="18" t="s">
        <v>154</v>
      </c>
      <c r="K55" s="17" t="s">
        <v>154</v>
      </c>
      <c r="L55" s="18" t="s">
        <v>154</v>
      </c>
      <c r="M55" s="17" t="s">
        <v>154</v>
      </c>
      <c r="N55" s="18" t="s">
        <v>154</v>
      </c>
      <c r="O55" s="17" t="s">
        <v>154</v>
      </c>
      <c r="P55" s="18" t="s">
        <v>154</v>
      </c>
      <c r="Q55" s="17" t="s">
        <v>154</v>
      </c>
      <c r="R55" s="18" t="s">
        <v>154</v>
      </c>
    </row>
    <row r="56" spans="1:18" x14ac:dyDescent="0.25">
      <c r="A56" s="11" t="s">
        <v>189</v>
      </c>
      <c r="B56" s="13">
        <v>5359</v>
      </c>
      <c r="C56" s="14">
        <f>(4449/B56*100)</f>
        <v>83.019220003732045</v>
      </c>
      <c r="D56" s="15">
        <v>910</v>
      </c>
      <c r="E56" s="14">
        <v>15.629922069999999</v>
      </c>
      <c r="F56" s="16">
        <v>1.2004596300000001</v>
      </c>
      <c r="G56" s="14">
        <v>84.370077929999994</v>
      </c>
      <c r="H56" s="16">
        <v>1.2004596300000001</v>
      </c>
      <c r="I56" s="14" t="s">
        <v>139</v>
      </c>
      <c r="J56" s="16" t="s">
        <v>139</v>
      </c>
      <c r="K56" s="14">
        <v>0</v>
      </c>
      <c r="L56" s="16">
        <v>0</v>
      </c>
      <c r="M56" s="14">
        <v>0</v>
      </c>
      <c r="N56" s="16">
        <v>0</v>
      </c>
      <c r="O56" s="14">
        <v>0</v>
      </c>
      <c r="P56" s="16">
        <v>0</v>
      </c>
      <c r="Q56" s="14">
        <v>0</v>
      </c>
      <c r="R56" s="16">
        <v>0</v>
      </c>
    </row>
    <row r="57" spans="1:18" x14ac:dyDescent="0.25">
      <c r="A57" s="11" t="s">
        <v>190</v>
      </c>
      <c r="B57" s="17" t="s">
        <v>154</v>
      </c>
      <c r="C57" s="17" t="s">
        <v>154</v>
      </c>
      <c r="D57" s="18" t="s">
        <v>154</v>
      </c>
      <c r="E57" s="17" t="s">
        <v>154</v>
      </c>
      <c r="F57" s="18" t="s">
        <v>154</v>
      </c>
      <c r="G57" s="17" t="s">
        <v>154</v>
      </c>
      <c r="H57" s="18" t="s">
        <v>154</v>
      </c>
      <c r="I57" s="17" t="s">
        <v>154</v>
      </c>
      <c r="J57" s="18" t="s">
        <v>154</v>
      </c>
      <c r="K57" s="17" t="s">
        <v>154</v>
      </c>
      <c r="L57" s="18" t="s">
        <v>154</v>
      </c>
      <c r="M57" s="17" t="s">
        <v>154</v>
      </c>
      <c r="N57" s="18" t="s">
        <v>154</v>
      </c>
      <c r="O57" s="17" t="s">
        <v>154</v>
      </c>
      <c r="P57" s="18" t="s">
        <v>154</v>
      </c>
      <c r="Q57" s="17" t="s">
        <v>154</v>
      </c>
      <c r="R57" s="18" t="s">
        <v>154</v>
      </c>
    </row>
    <row r="58" spans="1:18" x14ac:dyDescent="0.25">
      <c r="A58" s="11" t="s">
        <v>191</v>
      </c>
      <c r="B58" s="17" t="s">
        <v>154</v>
      </c>
      <c r="C58" s="17" t="s">
        <v>154</v>
      </c>
      <c r="D58" s="18" t="s">
        <v>154</v>
      </c>
      <c r="E58" s="17" t="s">
        <v>154</v>
      </c>
      <c r="F58" s="18" t="s">
        <v>154</v>
      </c>
      <c r="G58" s="17" t="s">
        <v>154</v>
      </c>
      <c r="H58" s="18" t="s">
        <v>154</v>
      </c>
      <c r="I58" s="17" t="s">
        <v>154</v>
      </c>
      <c r="J58" s="18" t="s">
        <v>154</v>
      </c>
      <c r="K58" s="17" t="s">
        <v>154</v>
      </c>
      <c r="L58" s="18" t="s">
        <v>154</v>
      </c>
      <c r="M58" s="17" t="s">
        <v>154</v>
      </c>
      <c r="N58" s="18" t="s">
        <v>154</v>
      </c>
      <c r="O58" s="17" t="s">
        <v>154</v>
      </c>
      <c r="P58" s="18" t="s">
        <v>154</v>
      </c>
      <c r="Q58" s="17" t="s">
        <v>154</v>
      </c>
      <c r="R58" s="18" t="s">
        <v>154</v>
      </c>
    </row>
    <row r="59" spans="1:18" x14ac:dyDescent="0.25">
      <c r="A59" s="11" t="s">
        <v>192</v>
      </c>
      <c r="B59" s="17" t="s">
        <v>154</v>
      </c>
      <c r="C59" s="17" t="s">
        <v>154</v>
      </c>
      <c r="D59" s="18" t="s">
        <v>154</v>
      </c>
      <c r="E59" s="17" t="s">
        <v>154</v>
      </c>
      <c r="F59" s="18" t="s">
        <v>154</v>
      </c>
      <c r="G59" s="17" t="s">
        <v>154</v>
      </c>
      <c r="H59" s="18" t="s">
        <v>154</v>
      </c>
      <c r="I59" s="17" t="s">
        <v>154</v>
      </c>
      <c r="J59" s="18" t="s">
        <v>154</v>
      </c>
      <c r="K59" s="17" t="s">
        <v>154</v>
      </c>
      <c r="L59" s="18" t="s">
        <v>154</v>
      </c>
      <c r="M59" s="17" t="s">
        <v>154</v>
      </c>
      <c r="N59" s="18" t="s">
        <v>154</v>
      </c>
      <c r="O59" s="17" t="s">
        <v>154</v>
      </c>
      <c r="P59" s="18" t="s">
        <v>154</v>
      </c>
      <c r="Q59" s="17" t="s">
        <v>154</v>
      </c>
      <c r="R59" s="18" t="s">
        <v>154</v>
      </c>
    </row>
    <row r="60" spans="1:18" x14ac:dyDescent="0.25">
      <c r="A60" s="11" t="s">
        <v>193</v>
      </c>
      <c r="B60" s="17" t="s">
        <v>154</v>
      </c>
      <c r="C60" s="17" t="s">
        <v>154</v>
      </c>
      <c r="D60" s="18" t="s">
        <v>154</v>
      </c>
      <c r="E60" s="17" t="s">
        <v>154</v>
      </c>
      <c r="F60" s="18" t="s">
        <v>154</v>
      </c>
      <c r="G60" s="17" t="s">
        <v>154</v>
      </c>
      <c r="H60" s="18" t="s">
        <v>154</v>
      </c>
      <c r="I60" s="17" t="s">
        <v>154</v>
      </c>
      <c r="J60" s="18" t="s">
        <v>154</v>
      </c>
      <c r="K60" s="17" t="s">
        <v>154</v>
      </c>
      <c r="L60" s="18" t="s">
        <v>154</v>
      </c>
      <c r="M60" s="17" t="s">
        <v>154</v>
      </c>
      <c r="N60" s="18" t="s">
        <v>154</v>
      </c>
      <c r="O60" s="17" t="s">
        <v>154</v>
      </c>
      <c r="P60" s="18" t="s">
        <v>154</v>
      </c>
      <c r="Q60" s="17" t="s">
        <v>154</v>
      </c>
      <c r="R60" s="18" t="s">
        <v>154</v>
      </c>
    </row>
    <row r="61" spans="1:18" x14ac:dyDescent="0.25">
      <c r="A61" s="11" t="s">
        <v>194</v>
      </c>
      <c r="B61" s="13">
        <v>6525</v>
      </c>
      <c r="C61" s="14">
        <f>(5408/B61*100)</f>
        <v>82.88122605363985</v>
      </c>
      <c r="D61" s="15">
        <v>1117</v>
      </c>
      <c r="E61" s="14">
        <v>31.335284569999999</v>
      </c>
      <c r="F61" s="16">
        <v>1.56890146</v>
      </c>
      <c r="G61" s="14">
        <v>68.664715430000001</v>
      </c>
      <c r="H61" s="16">
        <v>1.56890146</v>
      </c>
      <c r="I61" s="14" t="s">
        <v>139</v>
      </c>
      <c r="J61" s="16" t="s">
        <v>139</v>
      </c>
      <c r="K61" s="14">
        <v>0</v>
      </c>
      <c r="L61" s="16">
        <v>0</v>
      </c>
      <c r="M61" s="14">
        <v>0</v>
      </c>
      <c r="N61" s="16">
        <v>0</v>
      </c>
      <c r="O61" s="14">
        <v>0</v>
      </c>
      <c r="P61" s="16">
        <v>0</v>
      </c>
      <c r="Q61" s="14">
        <v>0</v>
      </c>
      <c r="R61" s="16">
        <v>0</v>
      </c>
    </row>
    <row r="62" spans="1:18" x14ac:dyDescent="0.25">
      <c r="A62" s="11" t="s">
        <v>195</v>
      </c>
      <c r="B62" s="13">
        <v>4476</v>
      </c>
      <c r="C62" s="14">
        <f>(3712/B62*100)</f>
        <v>82.931188561215379</v>
      </c>
      <c r="D62" s="15">
        <v>764</v>
      </c>
      <c r="E62" s="14">
        <v>14.119805879999999</v>
      </c>
      <c r="F62" s="16">
        <v>1.31831933</v>
      </c>
      <c r="G62" s="14">
        <v>85.880194119999999</v>
      </c>
      <c r="H62" s="16">
        <v>1.31831933</v>
      </c>
      <c r="I62" s="14" t="s">
        <v>139</v>
      </c>
      <c r="J62" s="16" t="s">
        <v>139</v>
      </c>
      <c r="K62" s="14">
        <v>0</v>
      </c>
      <c r="L62" s="16">
        <v>0</v>
      </c>
      <c r="M62" s="14">
        <v>0</v>
      </c>
      <c r="N62" s="16">
        <v>0</v>
      </c>
      <c r="O62" s="14">
        <v>0</v>
      </c>
      <c r="P62" s="16">
        <v>0</v>
      </c>
      <c r="Q62" s="14">
        <v>0</v>
      </c>
      <c r="R62" s="16">
        <v>0</v>
      </c>
    </row>
    <row r="63" spans="1:18" x14ac:dyDescent="0.25">
      <c r="A63" s="11" t="s">
        <v>196</v>
      </c>
      <c r="B63" s="17" t="s">
        <v>154</v>
      </c>
      <c r="C63" s="17" t="s">
        <v>154</v>
      </c>
      <c r="D63" s="18" t="s">
        <v>154</v>
      </c>
      <c r="E63" s="17" t="s">
        <v>154</v>
      </c>
      <c r="F63" s="18" t="s">
        <v>154</v>
      </c>
      <c r="G63" s="17" t="s">
        <v>154</v>
      </c>
      <c r="H63" s="18" t="s">
        <v>154</v>
      </c>
      <c r="I63" s="17" t="s">
        <v>154</v>
      </c>
      <c r="J63" s="18" t="s">
        <v>154</v>
      </c>
      <c r="K63" s="17" t="s">
        <v>154</v>
      </c>
      <c r="L63" s="18" t="s">
        <v>154</v>
      </c>
      <c r="M63" s="17" t="s">
        <v>154</v>
      </c>
      <c r="N63" s="18" t="s">
        <v>154</v>
      </c>
      <c r="O63" s="17" t="s">
        <v>154</v>
      </c>
      <c r="P63" s="18" t="s">
        <v>154</v>
      </c>
      <c r="Q63" s="17" t="s">
        <v>154</v>
      </c>
      <c r="R63" s="18" t="s">
        <v>154</v>
      </c>
    </row>
    <row r="64" spans="1:18" x14ac:dyDescent="0.25">
      <c r="A64" s="11" t="s">
        <v>197</v>
      </c>
      <c r="B64" s="17" t="s">
        <v>154</v>
      </c>
      <c r="C64" s="17" t="s">
        <v>154</v>
      </c>
      <c r="D64" s="18" t="s">
        <v>154</v>
      </c>
      <c r="E64" s="17" t="s">
        <v>154</v>
      </c>
      <c r="F64" s="18" t="s">
        <v>154</v>
      </c>
      <c r="G64" s="17" t="s">
        <v>154</v>
      </c>
      <c r="H64" s="18" t="s">
        <v>154</v>
      </c>
      <c r="I64" s="17" t="s">
        <v>154</v>
      </c>
      <c r="J64" s="18" t="s">
        <v>154</v>
      </c>
      <c r="K64" s="17" t="s">
        <v>154</v>
      </c>
      <c r="L64" s="18" t="s">
        <v>154</v>
      </c>
      <c r="M64" s="17" t="s">
        <v>154</v>
      </c>
      <c r="N64" s="18" t="s">
        <v>154</v>
      </c>
      <c r="O64" s="17" t="s">
        <v>154</v>
      </c>
      <c r="P64" s="18" t="s">
        <v>154</v>
      </c>
      <c r="Q64" s="17" t="s">
        <v>154</v>
      </c>
      <c r="R64" s="18" t="s">
        <v>154</v>
      </c>
    </row>
    <row r="65" spans="1:18" x14ac:dyDescent="0.25">
      <c r="A65" s="11" t="s">
        <v>198</v>
      </c>
      <c r="B65" s="17" t="s">
        <v>154</v>
      </c>
      <c r="C65" s="17" t="s">
        <v>154</v>
      </c>
      <c r="D65" s="18" t="s">
        <v>154</v>
      </c>
      <c r="E65" s="17" t="s">
        <v>154</v>
      </c>
      <c r="F65" s="18" t="s">
        <v>154</v>
      </c>
      <c r="G65" s="17" t="s">
        <v>154</v>
      </c>
      <c r="H65" s="18" t="s">
        <v>154</v>
      </c>
      <c r="I65" s="17" t="s">
        <v>154</v>
      </c>
      <c r="J65" s="18" t="s">
        <v>154</v>
      </c>
      <c r="K65" s="17" t="s">
        <v>154</v>
      </c>
      <c r="L65" s="18" t="s">
        <v>154</v>
      </c>
      <c r="M65" s="17" t="s">
        <v>154</v>
      </c>
      <c r="N65" s="18" t="s">
        <v>154</v>
      </c>
      <c r="O65" s="17" t="s">
        <v>154</v>
      </c>
      <c r="P65" s="18" t="s">
        <v>154</v>
      </c>
      <c r="Q65" s="17" t="s">
        <v>154</v>
      </c>
      <c r="R65" s="18" t="s">
        <v>154</v>
      </c>
    </row>
    <row r="66" spans="1:18" x14ac:dyDescent="0.25">
      <c r="A66" s="11" t="s">
        <v>199</v>
      </c>
      <c r="B66" s="13">
        <v>5665</v>
      </c>
      <c r="C66" s="14">
        <f>(4730/B66*100)</f>
        <v>83.495145631067956</v>
      </c>
      <c r="D66" s="15">
        <v>935</v>
      </c>
      <c r="E66" s="14">
        <v>49.69229009</v>
      </c>
      <c r="F66" s="16">
        <v>1.5868995400000001</v>
      </c>
      <c r="G66" s="14">
        <v>50.30770991</v>
      </c>
      <c r="H66" s="16">
        <v>1.5868995400000001</v>
      </c>
      <c r="I66" s="14" t="s">
        <v>139</v>
      </c>
      <c r="J66" s="16" t="s">
        <v>139</v>
      </c>
      <c r="K66" s="14">
        <v>0</v>
      </c>
      <c r="L66" s="16">
        <v>0</v>
      </c>
      <c r="M66" s="14">
        <v>0</v>
      </c>
      <c r="N66" s="16">
        <v>0</v>
      </c>
      <c r="O66" s="14">
        <v>0</v>
      </c>
      <c r="P66" s="16">
        <v>0</v>
      </c>
      <c r="Q66" s="14">
        <v>0</v>
      </c>
      <c r="R66" s="16">
        <v>0</v>
      </c>
    </row>
    <row r="67" spans="1:18" x14ac:dyDescent="0.25">
      <c r="A67" s="11" t="s">
        <v>200</v>
      </c>
      <c r="B67" s="13">
        <v>6971</v>
      </c>
      <c r="C67" s="14">
        <f>(5966/B67*100)</f>
        <v>85.583130110457603</v>
      </c>
      <c r="D67" s="15">
        <v>1005</v>
      </c>
      <c r="E67" s="14">
        <v>42.558487139999997</v>
      </c>
      <c r="F67" s="16">
        <v>1.8266171</v>
      </c>
      <c r="G67" s="14">
        <v>57.441512860000003</v>
      </c>
      <c r="H67" s="16">
        <v>1.8266171</v>
      </c>
      <c r="I67" s="14" t="s">
        <v>139</v>
      </c>
      <c r="J67" s="16" t="s">
        <v>139</v>
      </c>
      <c r="K67" s="14">
        <v>0</v>
      </c>
      <c r="L67" s="16">
        <v>0</v>
      </c>
      <c r="M67" s="14">
        <v>0</v>
      </c>
      <c r="N67" s="16">
        <v>0</v>
      </c>
      <c r="O67" s="14">
        <v>0</v>
      </c>
      <c r="P67" s="16">
        <v>0</v>
      </c>
      <c r="Q67" s="14">
        <v>0</v>
      </c>
      <c r="R67" s="16">
        <v>0</v>
      </c>
    </row>
    <row r="68" spans="1:18" x14ac:dyDescent="0.25">
      <c r="A68" s="11" t="s">
        <v>201</v>
      </c>
      <c r="B68" s="17" t="s">
        <v>154</v>
      </c>
      <c r="C68" s="17" t="s">
        <v>154</v>
      </c>
      <c r="D68" s="18" t="s">
        <v>154</v>
      </c>
      <c r="E68" s="17" t="s">
        <v>154</v>
      </c>
      <c r="F68" s="18" t="s">
        <v>154</v>
      </c>
      <c r="G68" s="17" t="s">
        <v>154</v>
      </c>
      <c r="H68" s="18" t="s">
        <v>154</v>
      </c>
      <c r="I68" s="17" t="s">
        <v>154</v>
      </c>
      <c r="J68" s="18" t="s">
        <v>154</v>
      </c>
      <c r="K68" s="17" t="s">
        <v>154</v>
      </c>
      <c r="L68" s="18" t="s">
        <v>154</v>
      </c>
      <c r="M68" s="17" t="s">
        <v>154</v>
      </c>
      <c r="N68" s="18" t="s">
        <v>154</v>
      </c>
      <c r="O68" s="17" t="s">
        <v>154</v>
      </c>
      <c r="P68" s="18" t="s">
        <v>154</v>
      </c>
      <c r="Q68" s="17" t="s">
        <v>154</v>
      </c>
      <c r="R68" s="18" t="s">
        <v>154</v>
      </c>
    </row>
    <row r="69" spans="1:18" x14ac:dyDescent="0.25">
      <c r="A69" s="11" t="s">
        <v>202</v>
      </c>
      <c r="B69" s="17" t="s">
        <v>154</v>
      </c>
      <c r="C69" s="17" t="s">
        <v>154</v>
      </c>
      <c r="D69" s="18" t="s">
        <v>154</v>
      </c>
      <c r="E69" s="17" t="s">
        <v>154</v>
      </c>
      <c r="F69" s="18" t="s">
        <v>154</v>
      </c>
      <c r="G69" s="17" t="s">
        <v>154</v>
      </c>
      <c r="H69" s="18" t="s">
        <v>154</v>
      </c>
      <c r="I69" s="17" t="s">
        <v>154</v>
      </c>
      <c r="J69" s="18" t="s">
        <v>154</v>
      </c>
      <c r="K69" s="17" t="s">
        <v>154</v>
      </c>
      <c r="L69" s="18" t="s">
        <v>154</v>
      </c>
      <c r="M69" s="17" t="s">
        <v>154</v>
      </c>
      <c r="N69" s="18" t="s">
        <v>154</v>
      </c>
      <c r="O69" s="17" t="s">
        <v>154</v>
      </c>
      <c r="P69" s="18" t="s">
        <v>154</v>
      </c>
      <c r="Q69" s="17" t="s">
        <v>154</v>
      </c>
      <c r="R69" s="18" t="s">
        <v>154</v>
      </c>
    </row>
    <row r="70" spans="1:18" x14ac:dyDescent="0.25">
      <c r="A70" s="11" t="s">
        <v>203</v>
      </c>
      <c r="B70" s="13">
        <v>6036</v>
      </c>
      <c r="C70" s="14">
        <f>(5036/B70*100)</f>
        <v>83.432736911862165</v>
      </c>
      <c r="D70" s="15">
        <v>1000</v>
      </c>
      <c r="E70" s="14">
        <v>34.27245585</v>
      </c>
      <c r="F70" s="16">
        <v>1.9312435999999999</v>
      </c>
      <c r="G70" s="14">
        <v>65.72754415</v>
      </c>
      <c r="H70" s="16">
        <v>1.9312435999999999</v>
      </c>
      <c r="I70" s="14" t="s">
        <v>139</v>
      </c>
      <c r="J70" s="16" t="s">
        <v>139</v>
      </c>
      <c r="K70" s="14">
        <v>0</v>
      </c>
      <c r="L70" s="16">
        <v>0</v>
      </c>
      <c r="M70" s="14">
        <v>0</v>
      </c>
      <c r="N70" s="16">
        <v>0</v>
      </c>
      <c r="O70" s="14">
        <v>0</v>
      </c>
      <c r="P70" s="16">
        <v>0</v>
      </c>
      <c r="Q70" s="14">
        <v>0</v>
      </c>
      <c r="R70" s="16">
        <v>0</v>
      </c>
    </row>
    <row r="71" spans="1:18" x14ac:dyDescent="0.25">
      <c r="A71" s="11" t="s">
        <v>204</v>
      </c>
      <c r="B71" s="17" t="s">
        <v>154</v>
      </c>
      <c r="C71" s="17" t="s">
        <v>154</v>
      </c>
      <c r="D71" s="18" t="s">
        <v>154</v>
      </c>
      <c r="E71" s="17" t="s">
        <v>154</v>
      </c>
      <c r="F71" s="18" t="s">
        <v>154</v>
      </c>
      <c r="G71" s="17" t="s">
        <v>154</v>
      </c>
      <c r="H71" s="18" t="s">
        <v>154</v>
      </c>
      <c r="I71" s="17" t="s">
        <v>154</v>
      </c>
      <c r="J71" s="18" t="s">
        <v>154</v>
      </c>
      <c r="K71" s="17" t="s">
        <v>154</v>
      </c>
      <c r="L71" s="18" t="s">
        <v>154</v>
      </c>
      <c r="M71" s="17" t="s">
        <v>154</v>
      </c>
      <c r="N71" s="18" t="s">
        <v>154</v>
      </c>
      <c r="O71" s="17" t="s">
        <v>154</v>
      </c>
      <c r="P71" s="18" t="s">
        <v>154</v>
      </c>
      <c r="Q71" s="17" t="s">
        <v>154</v>
      </c>
      <c r="R71" s="18" t="s">
        <v>154</v>
      </c>
    </row>
    <row r="72" spans="1:18" x14ac:dyDescent="0.25">
      <c r="A72" s="11" t="s">
        <v>205</v>
      </c>
      <c r="B72" s="13">
        <v>7708</v>
      </c>
      <c r="C72" s="14">
        <f>(6391/B72*100)</f>
        <v>82.913855734302018</v>
      </c>
      <c r="D72" s="15">
        <v>1317</v>
      </c>
      <c r="E72" s="14">
        <v>36.819813770000003</v>
      </c>
      <c r="F72" s="16">
        <v>1.3854928</v>
      </c>
      <c r="G72" s="14">
        <v>63.180186229999997</v>
      </c>
      <c r="H72" s="16">
        <v>1.3854928</v>
      </c>
      <c r="I72" s="14" t="s">
        <v>139</v>
      </c>
      <c r="J72" s="16" t="s">
        <v>139</v>
      </c>
      <c r="K72" s="14">
        <v>0</v>
      </c>
      <c r="L72" s="16">
        <v>0</v>
      </c>
      <c r="M72" s="14">
        <v>0</v>
      </c>
      <c r="N72" s="16">
        <v>0</v>
      </c>
      <c r="O72" s="14">
        <v>0</v>
      </c>
      <c r="P72" s="16">
        <v>0</v>
      </c>
      <c r="Q72" s="14">
        <v>0</v>
      </c>
      <c r="R72" s="16">
        <v>0</v>
      </c>
    </row>
    <row r="73" spans="1:18" x14ac:dyDescent="0.25">
      <c r="A73" s="11" t="s">
        <v>206</v>
      </c>
      <c r="B73" s="13">
        <v>8249</v>
      </c>
      <c r="C73" s="14">
        <f>(6936/B73*100)</f>
        <v>84.082919141714157</v>
      </c>
      <c r="D73" s="15">
        <v>1313</v>
      </c>
      <c r="E73" s="14">
        <v>45.113184160000003</v>
      </c>
      <c r="F73" s="16">
        <v>1.7077702699999999</v>
      </c>
      <c r="G73" s="14">
        <v>54.886815839999997</v>
      </c>
      <c r="H73" s="16">
        <v>1.7077702699999999</v>
      </c>
      <c r="I73" s="14" t="s">
        <v>139</v>
      </c>
      <c r="J73" s="16" t="s">
        <v>139</v>
      </c>
      <c r="K73" s="14">
        <v>0</v>
      </c>
      <c r="L73" s="16">
        <v>0</v>
      </c>
      <c r="M73" s="14">
        <v>0</v>
      </c>
      <c r="N73" s="16">
        <v>0</v>
      </c>
      <c r="O73" s="14">
        <v>0</v>
      </c>
      <c r="P73" s="16">
        <v>0</v>
      </c>
      <c r="Q73" s="14">
        <v>0</v>
      </c>
      <c r="R73" s="16">
        <v>0</v>
      </c>
    </row>
    <row r="74" spans="1:18" x14ac:dyDescent="0.25">
      <c r="A74" s="11" t="s">
        <v>207</v>
      </c>
      <c r="B74" s="17" t="s">
        <v>154</v>
      </c>
      <c r="C74" s="17" t="s">
        <v>154</v>
      </c>
      <c r="D74" s="18" t="s">
        <v>154</v>
      </c>
      <c r="E74" s="17" t="s">
        <v>154</v>
      </c>
      <c r="F74" s="18" t="s">
        <v>154</v>
      </c>
      <c r="G74" s="17" t="s">
        <v>154</v>
      </c>
      <c r="H74" s="18" t="s">
        <v>154</v>
      </c>
      <c r="I74" s="17" t="s">
        <v>154</v>
      </c>
      <c r="J74" s="18" t="s">
        <v>154</v>
      </c>
      <c r="K74" s="17" t="s">
        <v>154</v>
      </c>
      <c r="L74" s="18" t="s">
        <v>154</v>
      </c>
      <c r="M74" s="17" t="s">
        <v>154</v>
      </c>
      <c r="N74" s="18" t="s">
        <v>154</v>
      </c>
      <c r="O74" s="17" t="s">
        <v>154</v>
      </c>
      <c r="P74" s="18" t="s">
        <v>154</v>
      </c>
      <c r="Q74" s="17" t="s">
        <v>154</v>
      </c>
      <c r="R74" s="18" t="s">
        <v>154</v>
      </c>
    </row>
    <row r="75" spans="1:18" x14ac:dyDescent="0.25">
      <c r="A75" s="11" t="s">
        <v>208</v>
      </c>
      <c r="B75" s="13">
        <v>5375</v>
      </c>
      <c r="C75" s="14">
        <f>(4541/B75*100)</f>
        <v>84.48372093023255</v>
      </c>
      <c r="D75" s="15">
        <v>834</v>
      </c>
      <c r="E75" s="14">
        <v>47.886902800000001</v>
      </c>
      <c r="F75" s="16">
        <v>1.89235175</v>
      </c>
      <c r="G75" s="14">
        <v>52.113097199999999</v>
      </c>
      <c r="H75" s="16">
        <v>1.89235175</v>
      </c>
      <c r="I75" s="14" t="s">
        <v>139</v>
      </c>
      <c r="J75" s="16" t="s">
        <v>139</v>
      </c>
      <c r="K75" s="14">
        <v>0</v>
      </c>
      <c r="L75" s="16">
        <v>0</v>
      </c>
      <c r="M75" s="14">
        <v>0</v>
      </c>
      <c r="N75" s="16">
        <v>0</v>
      </c>
      <c r="O75" s="14">
        <v>0</v>
      </c>
      <c r="P75" s="16">
        <v>0</v>
      </c>
      <c r="Q75" s="14">
        <v>0</v>
      </c>
      <c r="R75" s="16">
        <v>0</v>
      </c>
    </row>
    <row r="76" spans="1:18" x14ac:dyDescent="0.25">
      <c r="A76" s="11" t="s">
        <v>209</v>
      </c>
      <c r="B76" s="13">
        <v>14167</v>
      </c>
      <c r="C76" s="14">
        <f>(11797/B76*100)</f>
        <v>83.270981859250369</v>
      </c>
      <c r="D76" s="15">
        <v>2370</v>
      </c>
      <c r="E76" s="14">
        <v>37.588797200000002</v>
      </c>
      <c r="F76" s="16">
        <v>1.20348667</v>
      </c>
      <c r="G76" s="14">
        <v>62.411202799999998</v>
      </c>
      <c r="H76" s="16">
        <v>1.20348667</v>
      </c>
      <c r="I76" s="14" t="s">
        <v>139</v>
      </c>
      <c r="J76" s="16" t="s">
        <v>139</v>
      </c>
      <c r="K76" s="14">
        <v>0</v>
      </c>
      <c r="L76" s="16">
        <v>0</v>
      </c>
      <c r="M76" s="14">
        <v>0</v>
      </c>
      <c r="N76" s="16">
        <v>0</v>
      </c>
      <c r="O76" s="14">
        <v>0</v>
      </c>
      <c r="P76" s="16">
        <v>0</v>
      </c>
      <c r="Q76" s="14">
        <v>0</v>
      </c>
      <c r="R76" s="16">
        <v>0</v>
      </c>
    </row>
    <row r="77" spans="1:18" x14ac:dyDescent="0.25">
      <c r="A77" s="11" t="s">
        <v>210</v>
      </c>
      <c r="B77" s="13">
        <v>6062</v>
      </c>
      <c r="C77" s="14">
        <f>(5056/B77*100)</f>
        <v>83.404816892114809</v>
      </c>
      <c r="D77" s="15">
        <v>1006</v>
      </c>
      <c r="E77" s="14">
        <v>55.005695979999999</v>
      </c>
      <c r="F77" s="16">
        <v>1.8193230199999999</v>
      </c>
      <c r="G77" s="14">
        <v>44.994304020000001</v>
      </c>
      <c r="H77" s="16">
        <v>1.8193230199999999</v>
      </c>
      <c r="I77" s="14" t="s">
        <v>139</v>
      </c>
      <c r="J77" s="16" t="s">
        <v>139</v>
      </c>
      <c r="K77" s="14">
        <v>0</v>
      </c>
      <c r="L77" s="16">
        <v>0</v>
      </c>
      <c r="M77" s="14">
        <v>0</v>
      </c>
      <c r="N77" s="16">
        <v>0</v>
      </c>
      <c r="O77" s="14">
        <v>0</v>
      </c>
      <c r="P77" s="16">
        <v>0</v>
      </c>
      <c r="Q77" s="14">
        <v>0</v>
      </c>
      <c r="R77" s="16">
        <v>0</v>
      </c>
    </row>
    <row r="78" spans="1:18" x14ac:dyDescent="0.25">
      <c r="A78" s="11" t="s">
        <v>211</v>
      </c>
      <c r="B78" s="17" t="s">
        <v>154</v>
      </c>
      <c r="C78" s="17" t="s">
        <v>154</v>
      </c>
      <c r="D78" s="18" t="s">
        <v>154</v>
      </c>
      <c r="E78" s="17" t="s">
        <v>154</v>
      </c>
      <c r="F78" s="18" t="s">
        <v>154</v>
      </c>
      <c r="G78" s="17" t="s">
        <v>154</v>
      </c>
      <c r="H78" s="18" t="s">
        <v>154</v>
      </c>
      <c r="I78" s="17" t="s">
        <v>154</v>
      </c>
      <c r="J78" s="18" t="s">
        <v>154</v>
      </c>
      <c r="K78" s="17" t="s">
        <v>154</v>
      </c>
      <c r="L78" s="18" t="s">
        <v>154</v>
      </c>
      <c r="M78" s="17" t="s">
        <v>154</v>
      </c>
      <c r="N78" s="18" t="s">
        <v>154</v>
      </c>
      <c r="O78" s="17" t="s">
        <v>154</v>
      </c>
      <c r="P78" s="18" t="s">
        <v>154</v>
      </c>
      <c r="Q78" s="17" t="s">
        <v>154</v>
      </c>
      <c r="R78" s="18" t="s">
        <v>154</v>
      </c>
    </row>
    <row r="79" spans="1:18" ht="24.95" customHeight="1" x14ac:dyDescent="0.25">
      <c r="A79" s="11" t="s">
        <v>212</v>
      </c>
      <c r="B79" s="17" t="s">
        <v>154</v>
      </c>
      <c r="C79" s="17" t="s">
        <v>154</v>
      </c>
      <c r="D79" s="18" t="s">
        <v>154</v>
      </c>
      <c r="E79" s="17" t="s">
        <v>154</v>
      </c>
      <c r="F79" s="18" t="s">
        <v>154</v>
      </c>
      <c r="G79" s="17" t="s">
        <v>154</v>
      </c>
      <c r="H79" s="18" t="s">
        <v>154</v>
      </c>
      <c r="I79" s="17" t="s">
        <v>154</v>
      </c>
      <c r="J79" s="18" t="s">
        <v>154</v>
      </c>
      <c r="K79" s="17" t="s">
        <v>154</v>
      </c>
      <c r="L79" s="18" t="s">
        <v>154</v>
      </c>
      <c r="M79" s="17" t="s">
        <v>154</v>
      </c>
      <c r="N79" s="18" t="s">
        <v>154</v>
      </c>
      <c r="O79" s="17" t="s">
        <v>154</v>
      </c>
      <c r="P79" s="18" t="s">
        <v>154</v>
      </c>
      <c r="Q79" s="17" t="s">
        <v>154</v>
      </c>
      <c r="R79" s="18" t="s">
        <v>154</v>
      </c>
    </row>
    <row r="80" spans="1:18" x14ac:dyDescent="0.25">
      <c r="A80" s="11" t="s">
        <v>213</v>
      </c>
      <c r="B80" s="17" t="s">
        <v>154</v>
      </c>
      <c r="C80" s="17" t="s">
        <v>154</v>
      </c>
      <c r="D80" s="18" t="s">
        <v>154</v>
      </c>
      <c r="E80" s="17" t="s">
        <v>154</v>
      </c>
      <c r="F80" s="18" t="s">
        <v>154</v>
      </c>
      <c r="G80" s="17" t="s">
        <v>154</v>
      </c>
      <c r="H80" s="18" t="s">
        <v>154</v>
      </c>
      <c r="I80" s="17" t="s">
        <v>154</v>
      </c>
      <c r="J80" s="18" t="s">
        <v>154</v>
      </c>
      <c r="K80" s="17" t="s">
        <v>154</v>
      </c>
      <c r="L80" s="18" t="s">
        <v>154</v>
      </c>
      <c r="M80" s="17" t="s">
        <v>154</v>
      </c>
      <c r="N80" s="18" t="s">
        <v>154</v>
      </c>
      <c r="O80" s="17" t="s">
        <v>154</v>
      </c>
      <c r="P80" s="18" t="s">
        <v>154</v>
      </c>
      <c r="Q80" s="17" t="s">
        <v>154</v>
      </c>
      <c r="R80" s="18" t="s">
        <v>154</v>
      </c>
    </row>
    <row r="81" spans="1:18" x14ac:dyDescent="0.25">
      <c r="A81" s="19" t="s">
        <v>214</v>
      </c>
      <c r="B81" s="13">
        <v>8861</v>
      </c>
      <c r="C81" s="14">
        <f>(7328/B81*100)</f>
        <v>82.699469585825526</v>
      </c>
      <c r="D81" s="15">
        <v>1533</v>
      </c>
      <c r="E81" s="14">
        <v>5.9182560500000001</v>
      </c>
      <c r="F81" s="16">
        <v>1.00048497</v>
      </c>
      <c r="G81" s="14">
        <v>12.610280899999999</v>
      </c>
      <c r="H81" s="16">
        <v>1.6257843300000001</v>
      </c>
      <c r="I81" s="14" t="s">
        <v>139</v>
      </c>
      <c r="J81" s="16" t="s">
        <v>139</v>
      </c>
      <c r="K81" s="14">
        <v>0</v>
      </c>
      <c r="L81" s="16">
        <v>0</v>
      </c>
      <c r="M81" s="14">
        <v>81.471463049999997</v>
      </c>
      <c r="N81" s="16">
        <v>2.2954139200000001</v>
      </c>
      <c r="O81" s="14">
        <v>0</v>
      </c>
      <c r="P81" s="16">
        <v>0</v>
      </c>
      <c r="Q81" s="14">
        <v>0</v>
      </c>
      <c r="R81" s="16">
        <v>0</v>
      </c>
    </row>
    <row r="82" spans="1:18" x14ac:dyDescent="0.25">
      <c r="A82" s="20"/>
      <c r="B82" s="20" t="s">
        <v>215</v>
      </c>
      <c r="C82" s="20" t="s">
        <v>215</v>
      </c>
      <c r="D82" s="20" t="s">
        <v>215</v>
      </c>
      <c r="E82" s="20" t="s">
        <v>215</v>
      </c>
      <c r="F82" s="20" t="s">
        <v>215</v>
      </c>
      <c r="G82" s="20" t="s">
        <v>215</v>
      </c>
      <c r="H82" s="20" t="s">
        <v>215</v>
      </c>
      <c r="I82" s="20" t="s">
        <v>215</v>
      </c>
      <c r="J82" s="20" t="s">
        <v>215</v>
      </c>
      <c r="K82" s="20" t="s">
        <v>215</v>
      </c>
      <c r="L82" s="20" t="s">
        <v>215</v>
      </c>
      <c r="M82" s="20" t="s">
        <v>215</v>
      </c>
      <c r="N82" s="20" t="s">
        <v>215</v>
      </c>
      <c r="O82" s="20" t="s">
        <v>215</v>
      </c>
      <c r="P82" s="20" t="s">
        <v>215</v>
      </c>
      <c r="Q82" s="20" t="s">
        <v>215</v>
      </c>
      <c r="R82" s="20" t="s">
        <v>215</v>
      </c>
    </row>
    <row r="83" spans="1:18" x14ac:dyDescent="0.25">
      <c r="A83" s="3" t="s">
        <v>216</v>
      </c>
    </row>
    <row r="84" spans="1:18" x14ac:dyDescent="0.25">
      <c r="A84" s="22" t="s">
        <v>217</v>
      </c>
      <c r="B84" s="23"/>
      <c r="C84" s="23"/>
      <c r="D84" s="23"/>
      <c r="E84" s="23"/>
      <c r="F84" s="23"/>
      <c r="G84" s="23"/>
      <c r="H84" s="23"/>
      <c r="I84" s="23"/>
      <c r="J84" s="23"/>
      <c r="K84" s="23"/>
      <c r="L84" s="23"/>
      <c r="M84" s="23"/>
      <c r="N84" s="23"/>
      <c r="O84" s="23"/>
      <c r="P84" s="23"/>
      <c r="Q84" s="23"/>
      <c r="R84" s="23"/>
    </row>
    <row r="85" spans="1:18" x14ac:dyDescent="0.25">
      <c r="A85" s="22" t="s">
        <v>218</v>
      </c>
      <c r="B85" s="23"/>
      <c r="C85" s="23"/>
      <c r="D85" s="23"/>
      <c r="E85" s="23"/>
      <c r="F85" s="23"/>
      <c r="G85" s="23"/>
      <c r="H85" s="23"/>
      <c r="I85" s="23"/>
      <c r="J85" s="23"/>
      <c r="K85" s="23"/>
      <c r="L85" s="23"/>
      <c r="M85" s="23"/>
      <c r="N85" s="23"/>
      <c r="O85" s="23"/>
      <c r="P85" s="23"/>
      <c r="Q85" s="23"/>
      <c r="R85" s="23"/>
    </row>
    <row r="86" spans="1:18" ht="30" customHeight="1" x14ac:dyDescent="0.25">
      <c r="A86" s="22" t="s">
        <v>219</v>
      </c>
      <c r="B86" s="23"/>
      <c r="C86" s="23"/>
      <c r="D86" s="23"/>
      <c r="E86" s="23"/>
      <c r="F86" s="23"/>
      <c r="G86" s="23"/>
      <c r="H86" s="23"/>
      <c r="I86" s="23"/>
      <c r="J86" s="23"/>
      <c r="K86" s="23"/>
      <c r="L86" s="23"/>
      <c r="M86" s="23"/>
      <c r="N86" s="23"/>
      <c r="O86" s="23"/>
      <c r="P86" s="23"/>
      <c r="Q86" s="23"/>
      <c r="R86" s="23"/>
    </row>
    <row r="87" spans="1:18" ht="30" customHeight="1" x14ac:dyDescent="0.25">
      <c r="A87" s="22" t="s">
        <v>215</v>
      </c>
      <c r="B87" s="23"/>
      <c r="C87" s="23"/>
      <c r="D87" s="23"/>
      <c r="E87" s="23"/>
      <c r="F87" s="23"/>
      <c r="G87" s="23"/>
      <c r="H87" s="23"/>
      <c r="I87" s="23"/>
      <c r="J87" s="23"/>
      <c r="K87" s="23"/>
      <c r="L87" s="23"/>
      <c r="M87" s="23"/>
      <c r="N87" s="23"/>
      <c r="O87" s="23"/>
      <c r="P87" s="23"/>
      <c r="Q87" s="23"/>
      <c r="R87" s="23"/>
    </row>
    <row r="88" spans="1:18" ht="30" customHeight="1" x14ac:dyDescent="0.25">
      <c r="A88" s="22" t="s">
        <v>220</v>
      </c>
      <c r="B88" s="23"/>
      <c r="C88" s="23"/>
      <c r="D88" s="23"/>
      <c r="E88" s="23"/>
      <c r="F88" s="23"/>
      <c r="G88" s="23"/>
      <c r="H88" s="23"/>
      <c r="I88" s="23"/>
      <c r="J88" s="23"/>
      <c r="K88" s="23"/>
      <c r="L88" s="23"/>
      <c r="M88" s="23"/>
      <c r="N88" s="23"/>
      <c r="O88" s="23"/>
      <c r="P88" s="23"/>
      <c r="Q88" s="23"/>
      <c r="R88" s="23"/>
    </row>
    <row r="89" spans="1:18" ht="30" customHeight="1" x14ac:dyDescent="0.25">
      <c r="A89" s="22" t="s">
        <v>221</v>
      </c>
      <c r="B89" s="23"/>
      <c r="C89" s="23"/>
      <c r="D89" s="23"/>
      <c r="E89" s="23"/>
      <c r="F89" s="23"/>
      <c r="G89" s="23"/>
      <c r="H89" s="23"/>
      <c r="I89" s="23"/>
      <c r="J89" s="23"/>
      <c r="K89" s="23"/>
      <c r="L89" s="23"/>
      <c r="M89" s="23"/>
      <c r="N89" s="23"/>
      <c r="O89" s="23"/>
      <c r="P89" s="23"/>
      <c r="Q89" s="23"/>
      <c r="R89" s="23"/>
    </row>
    <row r="90" spans="1:18" ht="30" customHeight="1" x14ac:dyDescent="0.25">
      <c r="A90" s="22" t="s">
        <v>222</v>
      </c>
      <c r="B90" s="23"/>
      <c r="C90" s="23"/>
      <c r="D90" s="23"/>
      <c r="E90" s="23"/>
      <c r="F90" s="23"/>
      <c r="G90" s="23"/>
      <c r="H90" s="23"/>
      <c r="I90" s="23"/>
      <c r="J90" s="23"/>
      <c r="K90" s="23"/>
      <c r="L90" s="23"/>
      <c r="M90" s="23"/>
      <c r="N90" s="23"/>
      <c r="O90" s="23"/>
      <c r="P90" s="23"/>
      <c r="Q90" s="23"/>
      <c r="R90" s="23"/>
    </row>
    <row r="91" spans="1:18" ht="30" customHeight="1" x14ac:dyDescent="0.25">
      <c r="A91" s="22" t="s">
        <v>223</v>
      </c>
      <c r="B91" s="23"/>
      <c r="C91" s="23"/>
      <c r="D91" s="23"/>
      <c r="E91" s="23"/>
      <c r="F91" s="23"/>
      <c r="G91" s="23"/>
      <c r="H91" s="23"/>
      <c r="I91" s="23"/>
      <c r="J91" s="23"/>
      <c r="K91" s="23"/>
      <c r="L91" s="23"/>
      <c r="M91" s="23"/>
      <c r="N91" s="23"/>
      <c r="O91" s="23"/>
      <c r="P91" s="23"/>
      <c r="Q91" s="23"/>
      <c r="R91" s="23"/>
    </row>
    <row r="92" spans="1:18" ht="30" customHeight="1" x14ac:dyDescent="0.25">
      <c r="A92" s="22" t="s">
        <v>224</v>
      </c>
      <c r="B92" s="23"/>
      <c r="C92" s="23"/>
      <c r="D92" s="23"/>
      <c r="E92" s="23"/>
      <c r="F92" s="23"/>
      <c r="G92" s="23"/>
      <c r="H92" s="23"/>
      <c r="I92" s="23"/>
      <c r="J92" s="23"/>
      <c r="K92" s="23"/>
      <c r="L92" s="23"/>
      <c r="M92" s="23"/>
      <c r="N92" s="23"/>
      <c r="O92" s="23"/>
      <c r="P92" s="23"/>
      <c r="Q92" s="23"/>
      <c r="R92" s="23"/>
    </row>
    <row r="93" spans="1:18" ht="30" customHeight="1" x14ac:dyDescent="0.25">
      <c r="A93" s="22" t="s">
        <v>225</v>
      </c>
      <c r="B93" s="23"/>
      <c r="C93" s="23"/>
      <c r="D93" s="23"/>
      <c r="E93" s="23"/>
      <c r="F93" s="23"/>
      <c r="G93" s="23"/>
      <c r="H93" s="23"/>
      <c r="I93" s="23"/>
      <c r="J93" s="23"/>
      <c r="K93" s="23"/>
      <c r="L93" s="23"/>
      <c r="M93" s="23"/>
      <c r="N93" s="23"/>
      <c r="O93" s="23"/>
      <c r="P93" s="23"/>
      <c r="Q93" s="23"/>
      <c r="R93" s="23"/>
    </row>
    <row r="94" spans="1:18" ht="30" customHeight="1" x14ac:dyDescent="0.25">
      <c r="A94" s="22" t="s">
        <v>226</v>
      </c>
      <c r="B94" s="23"/>
      <c r="C94" s="23"/>
      <c r="D94" s="23"/>
      <c r="E94" s="23"/>
      <c r="F94" s="23"/>
      <c r="G94" s="23"/>
      <c r="H94" s="23"/>
      <c r="I94" s="23"/>
      <c r="J94" s="23"/>
      <c r="K94" s="23"/>
      <c r="L94" s="23"/>
      <c r="M94" s="23"/>
      <c r="N94" s="23"/>
      <c r="O94" s="23"/>
      <c r="P94" s="23"/>
      <c r="Q94" s="23"/>
      <c r="R94" s="23"/>
    </row>
    <row r="95" spans="1:18" ht="30" customHeight="1" x14ac:dyDescent="0.25">
      <c r="A95" s="22" t="s">
        <v>227</v>
      </c>
      <c r="B95" s="23"/>
      <c r="C95" s="23"/>
      <c r="D95" s="23"/>
      <c r="E95" s="23"/>
      <c r="F95" s="23"/>
      <c r="G95" s="23"/>
      <c r="H95" s="23"/>
      <c r="I95" s="23"/>
      <c r="J95" s="23"/>
      <c r="K95" s="23"/>
      <c r="L95" s="23"/>
      <c r="M95" s="23"/>
      <c r="N95" s="23"/>
      <c r="O95" s="23"/>
      <c r="P95" s="23"/>
      <c r="Q95" s="23"/>
      <c r="R95" s="23"/>
    </row>
    <row r="96" spans="1:18" ht="30" customHeight="1" x14ac:dyDescent="0.25">
      <c r="A96" s="22" t="s">
        <v>228</v>
      </c>
      <c r="B96" s="23"/>
      <c r="C96" s="23"/>
      <c r="D96" s="23"/>
      <c r="E96" s="23"/>
      <c r="F96" s="23"/>
      <c r="G96" s="23"/>
      <c r="H96" s="23"/>
      <c r="I96" s="23"/>
      <c r="J96" s="23"/>
      <c r="K96" s="23"/>
      <c r="L96" s="23"/>
      <c r="M96" s="23"/>
      <c r="N96" s="23"/>
      <c r="O96" s="23"/>
      <c r="P96" s="23"/>
      <c r="Q96" s="23"/>
      <c r="R96" s="23"/>
    </row>
  </sheetData>
  <mergeCells count="22">
    <mergeCell ref="O4:P4"/>
    <mergeCell ref="Q4:R4"/>
    <mergeCell ref="A1:R1"/>
    <mergeCell ref="A2:R2"/>
    <mergeCell ref="A84:R84"/>
    <mergeCell ref="E4:F4"/>
    <mergeCell ref="G4:H4"/>
    <mergeCell ref="I4:J4"/>
    <mergeCell ref="K4:L4"/>
    <mergeCell ref="M4:N4"/>
    <mergeCell ref="A85:R85"/>
    <mergeCell ref="A86:R86"/>
    <mergeCell ref="A87:R87"/>
    <mergeCell ref="A88:R88"/>
    <mergeCell ref="A89:R89"/>
    <mergeCell ref="A95:R95"/>
    <mergeCell ref="A96:R96"/>
    <mergeCell ref="A90:R90"/>
    <mergeCell ref="A91:R91"/>
    <mergeCell ref="A92:R92"/>
    <mergeCell ref="A93:R93"/>
    <mergeCell ref="A94:R94"/>
  </mergeCells>
  <pageMargins left="0.75" right="0.75" top="1" bottom="1" header="0.5" footer="0.5"/>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3"/>
  <dimension ref="A1:R96"/>
  <sheetViews>
    <sheetView zoomScale="80" workbookViewId="0">
      <pane xSplit="4" topLeftCell="E1" activePane="topRight" state="frozen"/>
      <selection sqref="A1:R1"/>
      <selection pane="topRight" sqref="A1:R1"/>
    </sheetView>
  </sheetViews>
  <sheetFormatPr defaultColWidth="11.42578125" defaultRowHeight="15" x14ac:dyDescent="0.25"/>
  <cols>
    <col min="1" max="1" width="50" customWidth="1"/>
  </cols>
  <sheetData>
    <row r="1" spans="1:18" x14ac:dyDescent="0.25">
      <c r="A1" s="26" t="s">
        <v>122</v>
      </c>
      <c r="B1" s="23"/>
      <c r="C1" s="23"/>
      <c r="D1" s="23"/>
      <c r="E1" s="23"/>
      <c r="F1" s="23"/>
      <c r="G1" s="23"/>
      <c r="H1" s="23"/>
      <c r="I1" s="23"/>
      <c r="J1" s="23"/>
      <c r="K1" s="23"/>
      <c r="L1" s="23"/>
      <c r="M1" s="23"/>
      <c r="N1" s="23"/>
      <c r="O1" s="23"/>
      <c r="P1" s="23"/>
      <c r="Q1" s="23"/>
      <c r="R1" s="23"/>
    </row>
    <row r="2" spans="1:18" x14ac:dyDescent="0.25">
      <c r="A2" s="27" t="s">
        <v>259</v>
      </c>
      <c r="B2" s="23"/>
      <c r="C2" s="23"/>
      <c r="D2" s="23"/>
      <c r="E2" s="23"/>
      <c r="F2" s="23"/>
      <c r="G2" s="23"/>
      <c r="H2" s="23"/>
      <c r="I2" s="23"/>
      <c r="J2" s="23"/>
      <c r="K2" s="23"/>
      <c r="L2" s="23"/>
      <c r="M2" s="23"/>
      <c r="N2" s="23"/>
      <c r="O2" s="23"/>
      <c r="P2" s="23"/>
      <c r="Q2" s="23"/>
      <c r="R2" s="23"/>
    </row>
    <row r="4" spans="1:18" ht="30" customHeight="1" x14ac:dyDescent="0.25">
      <c r="A4" s="4"/>
      <c r="B4" s="5" t="s">
        <v>123</v>
      </c>
      <c r="C4" s="5" t="s">
        <v>124</v>
      </c>
      <c r="D4" s="6" t="s">
        <v>123</v>
      </c>
      <c r="E4" s="24" t="s">
        <v>125</v>
      </c>
      <c r="F4" s="25"/>
      <c r="G4" s="24" t="s">
        <v>126</v>
      </c>
      <c r="H4" s="25"/>
      <c r="I4" s="24" t="s">
        <v>127</v>
      </c>
      <c r="J4" s="25"/>
      <c r="K4" s="24" t="s">
        <v>128</v>
      </c>
      <c r="L4" s="25"/>
      <c r="M4" s="24" t="s">
        <v>129</v>
      </c>
      <c r="N4" s="25"/>
      <c r="O4" s="24" t="s">
        <v>130</v>
      </c>
      <c r="P4" s="25"/>
      <c r="Q4" s="24" t="s">
        <v>131</v>
      </c>
      <c r="R4" s="25"/>
    </row>
    <row r="5" spans="1:18" x14ac:dyDescent="0.25">
      <c r="A5" s="7"/>
      <c r="B5" s="8" t="s">
        <v>132</v>
      </c>
      <c r="C5" s="8" t="s">
        <v>133</v>
      </c>
      <c r="D5" s="7" t="s">
        <v>134</v>
      </c>
      <c r="E5" s="8" t="s">
        <v>135</v>
      </c>
      <c r="F5" s="7" t="s">
        <v>136</v>
      </c>
      <c r="G5" s="8" t="s">
        <v>135</v>
      </c>
      <c r="H5" s="7" t="s">
        <v>136</v>
      </c>
      <c r="I5" s="8" t="s">
        <v>135</v>
      </c>
      <c r="J5" s="7" t="s">
        <v>136</v>
      </c>
      <c r="K5" s="8" t="s">
        <v>135</v>
      </c>
      <c r="L5" s="7" t="s">
        <v>136</v>
      </c>
      <c r="M5" s="8" t="s">
        <v>135</v>
      </c>
      <c r="N5" s="7" t="s">
        <v>136</v>
      </c>
      <c r="O5" s="8" t="s">
        <v>135</v>
      </c>
      <c r="P5" s="7" t="s">
        <v>136</v>
      </c>
      <c r="Q5" s="8" t="s">
        <v>135</v>
      </c>
      <c r="R5" s="7" t="s">
        <v>136</v>
      </c>
    </row>
    <row r="6" spans="1:18" x14ac:dyDescent="0.25">
      <c r="A6" s="9" t="s">
        <v>137</v>
      </c>
      <c r="B6" s="10"/>
      <c r="C6" s="10"/>
      <c r="D6" s="11"/>
      <c r="E6" s="10"/>
      <c r="F6" s="11"/>
      <c r="G6" s="10"/>
      <c r="H6" s="11"/>
      <c r="I6" s="10"/>
      <c r="J6" s="11"/>
      <c r="K6" s="10"/>
      <c r="L6" s="11"/>
      <c r="M6" s="10"/>
      <c r="N6" s="11"/>
      <c r="O6" s="10"/>
      <c r="P6" s="11"/>
      <c r="Q6" s="10"/>
      <c r="R6" s="12"/>
    </row>
    <row r="7" spans="1:18" x14ac:dyDescent="0.25">
      <c r="A7" s="11" t="s">
        <v>138</v>
      </c>
      <c r="B7" s="13">
        <v>14530</v>
      </c>
      <c r="C7" s="14">
        <f>(12127/B7*100)</f>
        <v>83.461803165863728</v>
      </c>
      <c r="D7" s="15">
        <v>2403</v>
      </c>
      <c r="E7" s="14">
        <v>31.506284730000001</v>
      </c>
      <c r="F7" s="16">
        <v>1.1163304700000001</v>
      </c>
      <c r="G7" s="14">
        <v>68.493715269999996</v>
      </c>
      <c r="H7" s="16">
        <v>1.1163304700000001</v>
      </c>
      <c r="I7" s="14" t="s">
        <v>139</v>
      </c>
      <c r="J7" s="16" t="s">
        <v>139</v>
      </c>
      <c r="K7" s="14">
        <v>0</v>
      </c>
      <c r="L7" s="16">
        <v>0</v>
      </c>
      <c r="M7" s="14">
        <v>0</v>
      </c>
      <c r="N7" s="16">
        <v>0</v>
      </c>
      <c r="O7" s="14">
        <v>0</v>
      </c>
      <c r="P7" s="16">
        <v>0</v>
      </c>
      <c r="Q7" s="14">
        <v>0</v>
      </c>
      <c r="R7" s="16">
        <v>0</v>
      </c>
    </row>
    <row r="8" spans="1:18" x14ac:dyDescent="0.25">
      <c r="A8" s="11" t="s">
        <v>140</v>
      </c>
      <c r="B8" s="13">
        <v>7007</v>
      </c>
      <c r="C8" s="14">
        <f>(5802/B8*100)</f>
        <v>82.802911374339942</v>
      </c>
      <c r="D8" s="15">
        <v>1205</v>
      </c>
      <c r="E8" s="14">
        <v>39.797524840000001</v>
      </c>
      <c r="F8" s="16">
        <v>1.26845078</v>
      </c>
      <c r="G8" s="14">
        <v>60.202475159999999</v>
      </c>
      <c r="H8" s="16">
        <v>1.26845078</v>
      </c>
      <c r="I8" s="14" t="s">
        <v>139</v>
      </c>
      <c r="J8" s="16" t="s">
        <v>139</v>
      </c>
      <c r="K8" s="14">
        <v>0</v>
      </c>
      <c r="L8" s="16">
        <v>0</v>
      </c>
      <c r="M8" s="14">
        <v>0</v>
      </c>
      <c r="N8" s="16">
        <v>0</v>
      </c>
      <c r="O8" s="14">
        <v>0</v>
      </c>
      <c r="P8" s="16">
        <v>0</v>
      </c>
      <c r="Q8" s="14">
        <v>0</v>
      </c>
      <c r="R8" s="16">
        <v>0</v>
      </c>
    </row>
    <row r="9" spans="1:18" x14ac:dyDescent="0.25">
      <c r="A9" s="11" t="s">
        <v>141</v>
      </c>
      <c r="B9" s="13">
        <v>9651</v>
      </c>
      <c r="C9" s="14">
        <f>(8069/B9*100)</f>
        <v>83.607916278105904</v>
      </c>
      <c r="D9" s="15">
        <v>1582</v>
      </c>
      <c r="E9" s="14">
        <v>48.418899209999999</v>
      </c>
      <c r="F9" s="16">
        <v>1.3213269400000001</v>
      </c>
      <c r="G9" s="14">
        <v>51.581100790000001</v>
      </c>
      <c r="H9" s="16">
        <v>1.3213269400000001</v>
      </c>
      <c r="I9" s="14" t="s">
        <v>139</v>
      </c>
      <c r="J9" s="16" t="s">
        <v>139</v>
      </c>
      <c r="K9" s="14">
        <v>0</v>
      </c>
      <c r="L9" s="16">
        <v>0</v>
      </c>
      <c r="M9" s="14">
        <v>0</v>
      </c>
      <c r="N9" s="16">
        <v>0</v>
      </c>
      <c r="O9" s="14">
        <v>0</v>
      </c>
      <c r="P9" s="16">
        <v>0</v>
      </c>
      <c r="Q9" s="14">
        <v>0</v>
      </c>
      <c r="R9" s="16">
        <v>0</v>
      </c>
    </row>
    <row r="10" spans="1:18" x14ac:dyDescent="0.25">
      <c r="A10" s="11" t="s">
        <v>142</v>
      </c>
      <c r="B10" s="13">
        <v>20058</v>
      </c>
      <c r="C10" s="14">
        <f>(16625/B10*100)</f>
        <v>82.884634559776643</v>
      </c>
      <c r="D10" s="15">
        <v>3433</v>
      </c>
      <c r="E10" s="14">
        <v>30.605856679999999</v>
      </c>
      <c r="F10" s="16">
        <v>1.20899866</v>
      </c>
      <c r="G10" s="14">
        <v>69.394143319999998</v>
      </c>
      <c r="H10" s="16">
        <v>1.20899866</v>
      </c>
      <c r="I10" s="14" t="s">
        <v>139</v>
      </c>
      <c r="J10" s="16" t="s">
        <v>139</v>
      </c>
      <c r="K10" s="14">
        <v>0</v>
      </c>
      <c r="L10" s="16">
        <v>0</v>
      </c>
      <c r="M10" s="14">
        <v>0</v>
      </c>
      <c r="N10" s="16">
        <v>0</v>
      </c>
      <c r="O10" s="14">
        <v>0</v>
      </c>
      <c r="P10" s="16">
        <v>0</v>
      </c>
      <c r="Q10" s="14">
        <v>0</v>
      </c>
      <c r="R10" s="16">
        <v>0</v>
      </c>
    </row>
    <row r="11" spans="1:18" x14ac:dyDescent="0.25">
      <c r="A11" s="11" t="s">
        <v>143</v>
      </c>
      <c r="B11" s="13">
        <v>7053</v>
      </c>
      <c r="C11" s="14">
        <f>(5877/B11*100)</f>
        <v>83.326244151424916</v>
      </c>
      <c r="D11" s="15">
        <v>1176</v>
      </c>
      <c r="E11" s="14">
        <v>39.570006409999998</v>
      </c>
      <c r="F11" s="16">
        <v>1.84056435</v>
      </c>
      <c r="G11" s="14">
        <v>60.429993590000002</v>
      </c>
      <c r="H11" s="16">
        <v>1.84056435</v>
      </c>
      <c r="I11" s="14" t="s">
        <v>139</v>
      </c>
      <c r="J11" s="16" t="s">
        <v>139</v>
      </c>
      <c r="K11" s="14">
        <v>0</v>
      </c>
      <c r="L11" s="16">
        <v>0</v>
      </c>
      <c r="M11" s="14">
        <v>0</v>
      </c>
      <c r="N11" s="16">
        <v>0</v>
      </c>
      <c r="O11" s="14">
        <v>0</v>
      </c>
      <c r="P11" s="16">
        <v>0</v>
      </c>
      <c r="Q11" s="14">
        <v>0</v>
      </c>
      <c r="R11" s="16">
        <v>0</v>
      </c>
    </row>
    <row r="12" spans="1:18" x14ac:dyDescent="0.25">
      <c r="A12" s="11" t="s">
        <v>144</v>
      </c>
      <c r="B12" s="13">
        <v>6894</v>
      </c>
      <c r="C12" s="14">
        <f>(5739/B12*100)</f>
        <v>83.246301131418619</v>
      </c>
      <c r="D12" s="15">
        <v>1155</v>
      </c>
      <c r="E12" s="14">
        <v>47.118689259999996</v>
      </c>
      <c r="F12" s="16">
        <v>1.68008767</v>
      </c>
      <c r="G12" s="14">
        <v>52.881310740000004</v>
      </c>
      <c r="H12" s="16">
        <v>1.68008767</v>
      </c>
      <c r="I12" s="14" t="s">
        <v>139</v>
      </c>
      <c r="J12" s="16" t="s">
        <v>139</v>
      </c>
      <c r="K12" s="14">
        <v>0</v>
      </c>
      <c r="L12" s="16">
        <v>0</v>
      </c>
      <c r="M12" s="14">
        <v>0</v>
      </c>
      <c r="N12" s="16">
        <v>0</v>
      </c>
      <c r="O12" s="14">
        <v>0</v>
      </c>
      <c r="P12" s="16">
        <v>0</v>
      </c>
      <c r="Q12" s="14">
        <v>0</v>
      </c>
      <c r="R12" s="16">
        <v>0</v>
      </c>
    </row>
    <row r="13" spans="1:18" x14ac:dyDescent="0.25">
      <c r="A13" s="11" t="s">
        <v>145</v>
      </c>
      <c r="B13" s="13">
        <v>7161</v>
      </c>
      <c r="C13" s="14">
        <f>(6011/B13*100)</f>
        <v>83.940790392403301</v>
      </c>
      <c r="D13" s="15">
        <v>1150</v>
      </c>
      <c r="E13" s="14">
        <v>35.640965639999997</v>
      </c>
      <c r="F13" s="16">
        <v>1.6963195799999999</v>
      </c>
      <c r="G13" s="14">
        <v>64.359034359999995</v>
      </c>
      <c r="H13" s="16">
        <v>1.6963195799999999</v>
      </c>
      <c r="I13" s="14" t="s">
        <v>139</v>
      </c>
      <c r="J13" s="16" t="s">
        <v>139</v>
      </c>
      <c r="K13" s="14">
        <v>0</v>
      </c>
      <c r="L13" s="16">
        <v>0</v>
      </c>
      <c r="M13" s="14">
        <v>0</v>
      </c>
      <c r="N13" s="16">
        <v>0</v>
      </c>
      <c r="O13" s="14">
        <v>0</v>
      </c>
      <c r="P13" s="16">
        <v>0</v>
      </c>
      <c r="Q13" s="14">
        <v>0</v>
      </c>
      <c r="R13" s="16">
        <v>0</v>
      </c>
    </row>
    <row r="14" spans="1:18" x14ac:dyDescent="0.25">
      <c r="A14" s="11" t="s">
        <v>146</v>
      </c>
      <c r="B14" s="13">
        <v>5587</v>
      </c>
      <c r="C14" s="14">
        <f>(4637/B14*100)</f>
        <v>82.996241274386975</v>
      </c>
      <c r="D14" s="15">
        <v>950</v>
      </c>
      <c r="E14" s="14">
        <v>29.65663215</v>
      </c>
      <c r="F14" s="16">
        <v>1.65462464</v>
      </c>
      <c r="G14" s="14">
        <v>70.343367850000007</v>
      </c>
      <c r="H14" s="16">
        <v>1.65462464</v>
      </c>
      <c r="I14" s="14" t="s">
        <v>139</v>
      </c>
      <c r="J14" s="16" t="s">
        <v>139</v>
      </c>
      <c r="K14" s="14">
        <v>0</v>
      </c>
      <c r="L14" s="16">
        <v>0</v>
      </c>
      <c r="M14" s="14">
        <v>0</v>
      </c>
      <c r="N14" s="16">
        <v>0</v>
      </c>
      <c r="O14" s="14">
        <v>0</v>
      </c>
      <c r="P14" s="16">
        <v>0</v>
      </c>
      <c r="Q14" s="14">
        <v>0</v>
      </c>
      <c r="R14" s="16">
        <v>0</v>
      </c>
    </row>
    <row r="15" spans="1:18" x14ac:dyDescent="0.25">
      <c r="A15" s="11" t="s">
        <v>147</v>
      </c>
      <c r="B15" s="13">
        <v>5882</v>
      </c>
      <c r="C15" s="14">
        <f>(4908/B15*100)</f>
        <v>83.441006460387626</v>
      </c>
      <c r="D15" s="15">
        <v>974</v>
      </c>
      <c r="E15" s="14">
        <v>35.6836628</v>
      </c>
      <c r="F15" s="16">
        <v>1.4423712099999999</v>
      </c>
      <c r="G15" s="14">
        <v>64.316337200000007</v>
      </c>
      <c r="H15" s="16">
        <v>1.4423712099999999</v>
      </c>
      <c r="I15" s="14" t="s">
        <v>139</v>
      </c>
      <c r="J15" s="16" t="s">
        <v>139</v>
      </c>
      <c r="K15" s="14">
        <v>0</v>
      </c>
      <c r="L15" s="16">
        <v>0</v>
      </c>
      <c r="M15" s="14">
        <v>0</v>
      </c>
      <c r="N15" s="16">
        <v>0</v>
      </c>
      <c r="O15" s="14">
        <v>0</v>
      </c>
      <c r="P15" s="16">
        <v>0</v>
      </c>
      <c r="Q15" s="14">
        <v>0</v>
      </c>
      <c r="R15" s="16">
        <v>0</v>
      </c>
    </row>
    <row r="16" spans="1:18" x14ac:dyDescent="0.25">
      <c r="A16" s="11" t="s">
        <v>148</v>
      </c>
      <c r="B16" s="13">
        <v>6108</v>
      </c>
      <c r="C16" s="14">
        <f>(5066/B16*100)</f>
        <v>82.940406024885391</v>
      </c>
      <c r="D16" s="15">
        <v>1042</v>
      </c>
      <c r="E16" s="14">
        <v>41.017863130000002</v>
      </c>
      <c r="F16" s="16">
        <v>1.3120026499999999</v>
      </c>
      <c r="G16" s="14">
        <v>58.982136869999998</v>
      </c>
      <c r="H16" s="16">
        <v>1.3120026499999999</v>
      </c>
      <c r="I16" s="14" t="s">
        <v>139</v>
      </c>
      <c r="J16" s="16" t="s">
        <v>139</v>
      </c>
      <c r="K16" s="14">
        <v>0</v>
      </c>
      <c r="L16" s="16">
        <v>0</v>
      </c>
      <c r="M16" s="14">
        <v>0</v>
      </c>
      <c r="N16" s="16">
        <v>0</v>
      </c>
      <c r="O16" s="14">
        <v>0</v>
      </c>
      <c r="P16" s="16">
        <v>0</v>
      </c>
      <c r="Q16" s="14">
        <v>0</v>
      </c>
      <c r="R16" s="16">
        <v>0</v>
      </c>
    </row>
    <row r="17" spans="1:18" x14ac:dyDescent="0.25">
      <c r="A17" s="11" t="s">
        <v>149</v>
      </c>
      <c r="B17" s="13">
        <v>6504</v>
      </c>
      <c r="C17" s="14">
        <f>(5429/B17*100)</f>
        <v>83.47170971709717</v>
      </c>
      <c r="D17" s="15">
        <v>1075</v>
      </c>
      <c r="E17" s="14">
        <v>41.034133760000003</v>
      </c>
      <c r="F17" s="16">
        <v>1.4938081000000001</v>
      </c>
      <c r="G17" s="14">
        <v>58.965866239999997</v>
      </c>
      <c r="H17" s="16">
        <v>1.4938081000000001</v>
      </c>
      <c r="I17" s="14" t="s">
        <v>139</v>
      </c>
      <c r="J17" s="16" t="s">
        <v>139</v>
      </c>
      <c r="K17" s="14">
        <v>0</v>
      </c>
      <c r="L17" s="16">
        <v>0</v>
      </c>
      <c r="M17" s="14">
        <v>0</v>
      </c>
      <c r="N17" s="16">
        <v>0</v>
      </c>
      <c r="O17" s="14">
        <v>0</v>
      </c>
      <c r="P17" s="16">
        <v>0</v>
      </c>
      <c r="Q17" s="14">
        <v>0</v>
      </c>
      <c r="R17" s="16">
        <v>0</v>
      </c>
    </row>
    <row r="18" spans="1:18" x14ac:dyDescent="0.25">
      <c r="A18" s="11" t="s">
        <v>150</v>
      </c>
      <c r="B18" s="13">
        <v>5532</v>
      </c>
      <c r="C18" s="14">
        <f>(4571/B18*100)</f>
        <v>82.628344179320322</v>
      </c>
      <c r="D18" s="15">
        <v>961</v>
      </c>
      <c r="E18" s="14">
        <v>45.772282539999999</v>
      </c>
      <c r="F18" s="16">
        <v>1.8124666599999999</v>
      </c>
      <c r="G18" s="14">
        <v>54.227717460000001</v>
      </c>
      <c r="H18" s="16">
        <v>1.8124666599999999</v>
      </c>
      <c r="I18" s="14" t="s">
        <v>139</v>
      </c>
      <c r="J18" s="16" t="s">
        <v>139</v>
      </c>
      <c r="K18" s="14">
        <v>0</v>
      </c>
      <c r="L18" s="16">
        <v>0</v>
      </c>
      <c r="M18" s="14">
        <v>0</v>
      </c>
      <c r="N18" s="16">
        <v>0</v>
      </c>
      <c r="O18" s="14">
        <v>0</v>
      </c>
      <c r="P18" s="16">
        <v>0</v>
      </c>
      <c r="Q18" s="14">
        <v>0</v>
      </c>
      <c r="R18" s="16">
        <v>0</v>
      </c>
    </row>
    <row r="19" spans="1:18" x14ac:dyDescent="0.25">
      <c r="A19" s="11" t="s">
        <v>151</v>
      </c>
      <c r="B19" s="13">
        <v>5658</v>
      </c>
      <c r="C19" s="14">
        <f>(4723/B19*100)</f>
        <v>83.474726051608343</v>
      </c>
      <c r="D19" s="15">
        <v>935</v>
      </c>
      <c r="E19" s="14">
        <v>42.789510970000002</v>
      </c>
      <c r="F19" s="16">
        <v>1.58029325</v>
      </c>
      <c r="G19" s="14">
        <v>57.210489029999998</v>
      </c>
      <c r="H19" s="16">
        <v>1.58029325</v>
      </c>
      <c r="I19" s="14" t="s">
        <v>139</v>
      </c>
      <c r="J19" s="16" t="s">
        <v>139</v>
      </c>
      <c r="K19" s="14">
        <v>0</v>
      </c>
      <c r="L19" s="16">
        <v>0</v>
      </c>
      <c r="M19" s="14">
        <v>0</v>
      </c>
      <c r="N19" s="16">
        <v>0</v>
      </c>
      <c r="O19" s="14">
        <v>0</v>
      </c>
      <c r="P19" s="16">
        <v>0</v>
      </c>
      <c r="Q19" s="14">
        <v>0</v>
      </c>
      <c r="R19" s="16">
        <v>0</v>
      </c>
    </row>
    <row r="20" spans="1:18" x14ac:dyDescent="0.25">
      <c r="A20" s="11" t="s">
        <v>152</v>
      </c>
      <c r="B20" s="13">
        <v>3371</v>
      </c>
      <c r="C20" s="14">
        <f>(2797/B20*100)</f>
        <v>82.972411747256004</v>
      </c>
      <c r="D20" s="15">
        <v>574</v>
      </c>
      <c r="E20" s="14">
        <v>42.132464280000001</v>
      </c>
      <c r="F20" s="16">
        <v>2.37887432</v>
      </c>
      <c r="G20" s="14">
        <v>57.867535719999999</v>
      </c>
      <c r="H20" s="16">
        <v>2.37887432</v>
      </c>
      <c r="I20" s="14" t="s">
        <v>139</v>
      </c>
      <c r="J20" s="16" t="s">
        <v>139</v>
      </c>
      <c r="K20" s="14">
        <v>0</v>
      </c>
      <c r="L20" s="16">
        <v>0</v>
      </c>
      <c r="M20" s="14">
        <v>0</v>
      </c>
      <c r="N20" s="16">
        <v>0</v>
      </c>
      <c r="O20" s="14">
        <v>0</v>
      </c>
      <c r="P20" s="16">
        <v>0</v>
      </c>
      <c r="Q20" s="14">
        <v>0</v>
      </c>
      <c r="R20" s="16">
        <v>0</v>
      </c>
    </row>
    <row r="21" spans="1:18" x14ac:dyDescent="0.25">
      <c r="A21" s="11" t="s">
        <v>153</v>
      </c>
      <c r="B21" s="17" t="s">
        <v>154</v>
      </c>
      <c r="C21" s="17" t="s">
        <v>154</v>
      </c>
      <c r="D21" s="18" t="s">
        <v>154</v>
      </c>
      <c r="E21" s="17" t="s">
        <v>154</v>
      </c>
      <c r="F21" s="18" t="s">
        <v>154</v>
      </c>
      <c r="G21" s="17" t="s">
        <v>154</v>
      </c>
      <c r="H21" s="18" t="s">
        <v>154</v>
      </c>
      <c r="I21" s="17" t="s">
        <v>154</v>
      </c>
      <c r="J21" s="18" t="s">
        <v>154</v>
      </c>
      <c r="K21" s="17" t="s">
        <v>154</v>
      </c>
      <c r="L21" s="18" t="s">
        <v>154</v>
      </c>
      <c r="M21" s="17" t="s">
        <v>154</v>
      </c>
      <c r="N21" s="18" t="s">
        <v>154</v>
      </c>
      <c r="O21" s="17" t="s">
        <v>154</v>
      </c>
      <c r="P21" s="18" t="s">
        <v>154</v>
      </c>
      <c r="Q21" s="17" t="s">
        <v>154</v>
      </c>
      <c r="R21" s="18" t="s">
        <v>154</v>
      </c>
    </row>
    <row r="22" spans="1:18" x14ac:dyDescent="0.25">
      <c r="A22" s="11" t="s">
        <v>155</v>
      </c>
      <c r="B22" s="13">
        <v>6598</v>
      </c>
      <c r="C22" s="14">
        <f>(5580/B22*100)</f>
        <v>84.571082146104885</v>
      </c>
      <c r="D22" s="15">
        <v>1018</v>
      </c>
      <c r="E22" s="14">
        <v>45.309322180000002</v>
      </c>
      <c r="F22" s="16">
        <v>1.59099729</v>
      </c>
      <c r="G22" s="14">
        <v>54.690677819999998</v>
      </c>
      <c r="H22" s="16">
        <v>1.59099729</v>
      </c>
      <c r="I22" s="14" t="s">
        <v>139</v>
      </c>
      <c r="J22" s="16" t="s">
        <v>139</v>
      </c>
      <c r="K22" s="14">
        <v>0</v>
      </c>
      <c r="L22" s="16">
        <v>0</v>
      </c>
      <c r="M22" s="14">
        <v>0</v>
      </c>
      <c r="N22" s="16">
        <v>0</v>
      </c>
      <c r="O22" s="14">
        <v>0</v>
      </c>
      <c r="P22" s="16">
        <v>0</v>
      </c>
      <c r="Q22" s="14">
        <v>0</v>
      </c>
      <c r="R22" s="16">
        <v>0</v>
      </c>
    </row>
    <row r="23" spans="1:18" x14ac:dyDescent="0.25">
      <c r="A23" s="11" t="s">
        <v>156</v>
      </c>
      <c r="B23" s="13">
        <v>11583</v>
      </c>
      <c r="C23" s="14">
        <f>(9624/B23*100)</f>
        <v>83.087283087283097</v>
      </c>
      <c r="D23" s="15">
        <v>1959</v>
      </c>
      <c r="E23" s="14">
        <v>41.981321940000001</v>
      </c>
      <c r="F23" s="16">
        <v>1.4761144799999999</v>
      </c>
      <c r="G23" s="14">
        <v>58.018678059999999</v>
      </c>
      <c r="H23" s="16">
        <v>1.4761144799999999</v>
      </c>
      <c r="I23" s="14" t="s">
        <v>139</v>
      </c>
      <c r="J23" s="16" t="s">
        <v>139</v>
      </c>
      <c r="K23" s="14">
        <v>0</v>
      </c>
      <c r="L23" s="16">
        <v>0</v>
      </c>
      <c r="M23" s="14">
        <v>0</v>
      </c>
      <c r="N23" s="16">
        <v>0</v>
      </c>
      <c r="O23" s="14">
        <v>0</v>
      </c>
      <c r="P23" s="16">
        <v>0</v>
      </c>
      <c r="Q23" s="14">
        <v>0</v>
      </c>
      <c r="R23" s="16">
        <v>0</v>
      </c>
    </row>
    <row r="24" spans="1:18" x14ac:dyDescent="0.25">
      <c r="A24" s="11" t="s">
        <v>157</v>
      </c>
      <c r="B24" s="13">
        <v>6647</v>
      </c>
      <c r="C24" s="14">
        <f>(5492/B24*100)</f>
        <v>82.623740033097633</v>
      </c>
      <c r="D24" s="15">
        <v>1155</v>
      </c>
      <c r="E24" s="14">
        <v>44.20685692</v>
      </c>
      <c r="F24" s="16">
        <v>1.2317933400000001</v>
      </c>
      <c r="G24" s="14">
        <v>55.79314308</v>
      </c>
      <c r="H24" s="16">
        <v>1.2317933400000001</v>
      </c>
      <c r="I24" s="14" t="s">
        <v>139</v>
      </c>
      <c r="J24" s="16" t="s">
        <v>139</v>
      </c>
      <c r="K24" s="14">
        <v>0</v>
      </c>
      <c r="L24" s="16">
        <v>0</v>
      </c>
      <c r="M24" s="14">
        <v>0</v>
      </c>
      <c r="N24" s="16">
        <v>0</v>
      </c>
      <c r="O24" s="14">
        <v>0</v>
      </c>
      <c r="P24" s="16">
        <v>0</v>
      </c>
      <c r="Q24" s="14">
        <v>0</v>
      </c>
      <c r="R24" s="16">
        <v>0</v>
      </c>
    </row>
    <row r="25" spans="1:18" x14ac:dyDescent="0.25">
      <c r="A25" s="11" t="s">
        <v>158</v>
      </c>
      <c r="B25" s="13">
        <v>5581</v>
      </c>
      <c r="C25" s="14">
        <f>(4618/B25*100)</f>
        <v>82.745027772800569</v>
      </c>
      <c r="D25" s="15">
        <v>963</v>
      </c>
      <c r="E25" s="14">
        <v>43.68039375</v>
      </c>
      <c r="F25" s="16">
        <v>1.60349108</v>
      </c>
      <c r="G25" s="14">
        <v>56.31960625</v>
      </c>
      <c r="H25" s="16">
        <v>1.60349108</v>
      </c>
      <c r="I25" s="14" t="s">
        <v>139</v>
      </c>
      <c r="J25" s="16" t="s">
        <v>139</v>
      </c>
      <c r="K25" s="14">
        <v>0</v>
      </c>
      <c r="L25" s="16">
        <v>0</v>
      </c>
      <c r="M25" s="14">
        <v>0</v>
      </c>
      <c r="N25" s="16">
        <v>0</v>
      </c>
      <c r="O25" s="14">
        <v>0</v>
      </c>
      <c r="P25" s="16">
        <v>0</v>
      </c>
      <c r="Q25" s="14">
        <v>0</v>
      </c>
      <c r="R25" s="16">
        <v>0</v>
      </c>
    </row>
    <row r="26" spans="1:18" x14ac:dyDescent="0.25">
      <c r="A26" s="11" t="s">
        <v>159</v>
      </c>
      <c r="B26" s="13">
        <v>4869</v>
      </c>
      <c r="C26" s="14">
        <f>(4016/B26*100)</f>
        <v>82.481002259190788</v>
      </c>
      <c r="D26" s="15">
        <v>853</v>
      </c>
      <c r="E26" s="14">
        <v>42.86682579</v>
      </c>
      <c r="F26" s="16">
        <v>1.8793333299999999</v>
      </c>
      <c r="G26" s="14">
        <v>57.13317421</v>
      </c>
      <c r="H26" s="16">
        <v>1.8793333299999999</v>
      </c>
      <c r="I26" s="14" t="s">
        <v>139</v>
      </c>
      <c r="J26" s="16" t="s">
        <v>139</v>
      </c>
      <c r="K26" s="14">
        <v>0</v>
      </c>
      <c r="L26" s="16">
        <v>0</v>
      </c>
      <c r="M26" s="14">
        <v>0</v>
      </c>
      <c r="N26" s="16">
        <v>0</v>
      </c>
      <c r="O26" s="14">
        <v>0</v>
      </c>
      <c r="P26" s="16">
        <v>0</v>
      </c>
      <c r="Q26" s="14">
        <v>0</v>
      </c>
      <c r="R26" s="16">
        <v>0</v>
      </c>
    </row>
    <row r="27" spans="1:18" x14ac:dyDescent="0.25">
      <c r="A27" s="11" t="s">
        <v>160</v>
      </c>
      <c r="B27" s="13">
        <v>5299</v>
      </c>
      <c r="C27" s="14">
        <f>(4406/B27*100)</f>
        <v>83.147763729005476</v>
      </c>
      <c r="D27" s="15">
        <v>893</v>
      </c>
      <c r="E27" s="14">
        <v>43.401095179999999</v>
      </c>
      <c r="F27" s="16">
        <v>1.74020972</v>
      </c>
      <c r="G27" s="14">
        <v>56.598904820000001</v>
      </c>
      <c r="H27" s="16">
        <v>1.74020972</v>
      </c>
      <c r="I27" s="14" t="s">
        <v>139</v>
      </c>
      <c r="J27" s="16" t="s">
        <v>139</v>
      </c>
      <c r="K27" s="14">
        <v>0</v>
      </c>
      <c r="L27" s="16">
        <v>0</v>
      </c>
      <c r="M27" s="14">
        <v>0</v>
      </c>
      <c r="N27" s="16">
        <v>0</v>
      </c>
      <c r="O27" s="14">
        <v>0</v>
      </c>
      <c r="P27" s="16">
        <v>0</v>
      </c>
      <c r="Q27" s="14">
        <v>0</v>
      </c>
      <c r="R27" s="16">
        <v>0</v>
      </c>
    </row>
    <row r="28" spans="1:18" x14ac:dyDescent="0.25">
      <c r="A28" s="11" t="s">
        <v>161</v>
      </c>
      <c r="B28" s="13">
        <v>7568</v>
      </c>
      <c r="C28" s="14">
        <f>(6417/B28*100)</f>
        <v>84.791226215644826</v>
      </c>
      <c r="D28" s="15">
        <v>1151</v>
      </c>
      <c r="E28" s="14">
        <v>47.706222699999998</v>
      </c>
      <c r="F28" s="16">
        <v>1.62256285</v>
      </c>
      <c r="G28" s="14">
        <v>52.293777300000002</v>
      </c>
      <c r="H28" s="16">
        <v>1.62256285</v>
      </c>
      <c r="I28" s="14" t="s">
        <v>139</v>
      </c>
      <c r="J28" s="16" t="s">
        <v>139</v>
      </c>
      <c r="K28" s="14">
        <v>0</v>
      </c>
      <c r="L28" s="16">
        <v>0</v>
      </c>
      <c r="M28" s="14">
        <v>0</v>
      </c>
      <c r="N28" s="16">
        <v>0</v>
      </c>
      <c r="O28" s="14">
        <v>0</v>
      </c>
      <c r="P28" s="16">
        <v>0</v>
      </c>
      <c r="Q28" s="14">
        <v>0</v>
      </c>
      <c r="R28" s="16">
        <v>0</v>
      </c>
    </row>
    <row r="29" spans="1:18" x14ac:dyDescent="0.25">
      <c r="A29" s="11" t="s">
        <v>162</v>
      </c>
      <c r="B29" s="13">
        <v>5385</v>
      </c>
      <c r="C29" s="14">
        <f>(4470/B29*100)</f>
        <v>83.008356545961007</v>
      </c>
      <c r="D29" s="15">
        <v>915</v>
      </c>
      <c r="E29" s="14">
        <v>43.354367240000002</v>
      </c>
      <c r="F29" s="16">
        <v>1.6304584600000001</v>
      </c>
      <c r="G29" s="14">
        <v>56.645632759999998</v>
      </c>
      <c r="H29" s="16">
        <v>1.6304584600000001</v>
      </c>
      <c r="I29" s="14" t="s">
        <v>139</v>
      </c>
      <c r="J29" s="16" t="s">
        <v>139</v>
      </c>
      <c r="K29" s="14">
        <v>0</v>
      </c>
      <c r="L29" s="16">
        <v>0</v>
      </c>
      <c r="M29" s="14">
        <v>0</v>
      </c>
      <c r="N29" s="16">
        <v>0</v>
      </c>
      <c r="O29" s="14">
        <v>0</v>
      </c>
      <c r="P29" s="16">
        <v>0</v>
      </c>
      <c r="Q29" s="14">
        <v>0</v>
      </c>
      <c r="R29" s="16">
        <v>0</v>
      </c>
    </row>
    <row r="30" spans="1:18" x14ac:dyDescent="0.25">
      <c r="A30" s="11" t="s">
        <v>163</v>
      </c>
      <c r="B30" s="13">
        <v>4520</v>
      </c>
      <c r="C30" s="14">
        <f>(3759/B30*100)</f>
        <v>83.163716814159301</v>
      </c>
      <c r="D30" s="15">
        <v>761</v>
      </c>
      <c r="E30" s="14">
        <v>29.696097479999999</v>
      </c>
      <c r="F30" s="16">
        <v>1.7157453</v>
      </c>
      <c r="G30" s="14">
        <v>70.303902519999994</v>
      </c>
      <c r="H30" s="16">
        <v>1.7157453</v>
      </c>
      <c r="I30" s="14" t="s">
        <v>139</v>
      </c>
      <c r="J30" s="16" t="s">
        <v>139</v>
      </c>
      <c r="K30" s="14">
        <v>0</v>
      </c>
      <c r="L30" s="16">
        <v>0</v>
      </c>
      <c r="M30" s="14">
        <v>0</v>
      </c>
      <c r="N30" s="16">
        <v>0</v>
      </c>
      <c r="O30" s="14">
        <v>0</v>
      </c>
      <c r="P30" s="16">
        <v>0</v>
      </c>
      <c r="Q30" s="14">
        <v>0</v>
      </c>
      <c r="R30" s="16">
        <v>0</v>
      </c>
    </row>
    <row r="31" spans="1:18" x14ac:dyDescent="0.25">
      <c r="A31" s="11" t="s">
        <v>164</v>
      </c>
      <c r="B31" s="13">
        <v>5456</v>
      </c>
      <c r="C31" s="14">
        <f>(4553/B31*100)</f>
        <v>83.449413489736074</v>
      </c>
      <c r="D31" s="15">
        <v>903</v>
      </c>
      <c r="E31" s="14">
        <v>39.904392989999998</v>
      </c>
      <c r="F31" s="16">
        <v>1.74372116</v>
      </c>
      <c r="G31" s="14">
        <v>60.095607010000002</v>
      </c>
      <c r="H31" s="16">
        <v>1.74372116</v>
      </c>
      <c r="I31" s="14" t="s">
        <v>139</v>
      </c>
      <c r="J31" s="16" t="s">
        <v>139</v>
      </c>
      <c r="K31" s="14">
        <v>0</v>
      </c>
      <c r="L31" s="16">
        <v>0</v>
      </c>
      <c r="M31" s="14">
        <v>0</v>
      </c>
      <c r="N31" s="16">
        <v>0</v>
      </c>
      <c r="O31" s="14">
        <v>0</v>
      </c>
      <c r="P31" s="16">
        <v>0</v>
      </c>
      <c r="Q31" s="14">
        <v>0</v>
      </c>
      <c r="R31" s="16">
        <v>0</v>
      </c>
    </row>
    <row r="32" spans="1:18" x14ac:dyDescent="0.25">
      <c r="A32" s="11" t="s">
        <v>165</v>
      </c>
      <c r="B32" s="17" t="s">
        <v>154</v>
      </c>
      <c r="C32" s="17" t="s">
        <v>154</v>
      </c>
      <c r="D32" s="18" t="s">
        <v>154</v>
      </c>
      <c r="E32" s="17" t="s">
        <v>154</v>
      </c>
      <c r="F32" s="18" t="s">
        <v>154</v>
      </c>
      <c r="G32" s="17" t="s">
        <v>154</v>
      </c>
      <c r="H32" s="18" t="s">
        <v>154</v>
      </c>
      <c r="I32" s="17" t="s">
        <v>154</v>
      </c>
      <c r="J32" s="18" t="s">
        <v>154</v>
      </c>
      <c r="K32" s="17" t="s">
        <v>154</v>
      </c>
      <c r="L32" s="18" t="s">
        <v>154</v>
      </c>
      <c r="M32" s="17" t="s">
        <v>154</v>
      </c>
      <c r="N32" s="18" t="s">
        <v>154</v>
      </c>
      <c r="O32" s="17" t="s">
        <v>154</v>
      </c>
      <c r="P32" s="18" t="s">
        <v>154</v>
      </c>
      <c r="Q32" s="17" t="s">
        <v>154</v>
      </c>
      <c r="R32" s="18" t="s">
        <v>154</v>
      </c>
    </row>
    <row r="33" spans="1:18" x14ac:dyDescent="0.25">
      <c r="A33" s="11" t="s">
        <v>166</v>
      </c>
      <c r="B33" s="13">
        <v>7325</v>
      </c>
      <c r="C33" s="14">
        <f>(6143/B33*100)</f>
        <v>83.863481228668945</v>
      </c>
      <c r="D33" s="15">
        <v>1182</v>
      </c>
      <c r="E33" s="14">
        <v>36.879986590000001</v>
      </c>
      <c r="F33" s="16">
        <v>1.61253325</v>
      </c>
      <c r="G33" s="14">
        <v>63.120013409999999</v>
      </c>
      <c r="H33" s="16">
        <v>1.61253325</v>
      </c>
      <c r="I33" s="14" t="s">
        <v>139</v>
      </c>
      <c r="J33" s="16" t="s">
        <v>139</v>
      </c>
      <c r="K33" s="14">
        <v>0</v>
      </c>
      <c r="L33" s="16">
        <v>0</v>
      </c>
      <c r="M33" s="14">
        <v>0</v>
      </c>
      <c r="N33" s="16">
        <v>0</v>
      </c>
      <c r="O33" s="14">
        <v>0</v>
      </c>
      <c r="P33" s="16">
        <v>0</v>
      </c>
      <c r="Q33" s="14">
        <v>0</v>
      </c>
      <c r="R33" s="16">
        <v>0</v>
      </c>
    </row>
    <row r="34" spans="1:18" x14ac:dyDescent="0.25">
      <c r="A34" s="11" t="s">
        <v>167</v>
      </c>
      <c r="B34" s="13">
        <v>6350</v>
      </c>
      <c r="C34" s="14">
        <f>(5310/B34*100)</f>
        <v>83.622047244094489</v>
      </c>
      <c r="D34" s="15">
        <v>1040</v>
      </c>
      <c r="E34" s="14">
        <v>53.600232310000003</v>
      </c>
      <c r="F34" s="16">
        <v>1.5616505700000001</v>
      </c>
      <c r="G34" s="14">
        <v>46.399767689999997</v>
      </c>
      <c r="H34" s="16">
        <v>1.5616505700000001</v>
      </c>
      <c r="I34" s="14" t="s">
        <v>139</v>
      </c>
      <c r="J34" s="16" t="s">
        <v>139</v>
      </c>
      <c r="K34" s="14">
        <v>0</v>
      </c>
      <c r="L34" s="16">
        <v>0</v>
      </c>
      <c r="M34" s="14">
        <v>0</v>
      </c>
      <c r="N34" s="16">
        <v>0</v>
      </c>
      <c r="O34" s="14">
        <v>0</v>
      </c>
      <c r="P34" s="16">
        <v>0</v>
      </c>
      <c r="Q34" s="14">
        <v>0</v>
      </c>
      <c r="R34" s="16">
        <v>0</v>
      </c>
    </row>
    <row r="35" spans="1:18" x14ac:dyDescent="0.25">
      <c r="A35" s="11" t="s">
        <v>168</v>
      </c>
      <c r="B35" s="13">
        <v>6406</v>
      </c>
      <c r="C35" s="14">
        <f>(5306/B35*100)</f>
        <v>82.828598189197621</v>
      </c>
      <c r="D35" s="15">
        <v>1100</v>
      </c>
      <c r="E35" s="14">
        <v>40.589989559999999</v>
      </c>
      <c r="F35" s="16">
        <v>1.6388056600000001</v>
      </c>
      <c r="G35" s="14">
        <v>59.410010440000001</v>
      </c>
      <c r="H35" s="16">
        <v>1.6388056600000001</v>
      </c>
      <c r="I35" s="14" t="s">
        <v>139</v>
      </c>
      <c r="J35" s="16" t="s">
        <v>139</v>
      </c>
      <c r="K35" s="14">
        <v>0</v>
      </c>
      <c r="L35" s="16">
        <v>0</v>
      </c>
      <c r="M35" s="14">
        <v>0</v>
      </c>
      <c r="N35" s="16">
        <v>0</v>
      </c>
      <c r="O35" s="14">
        <v>0</v>
      </c>
      <c r="P35" s="16">
        <v>0</v>
      </c>
      <c r="Q35" s="14">
        <v>0</v>
      </c>
      <c r="R35" s="16">
        <v>0</v>
      </c>
    </row>
    <row r="36" spans="1:18" x14ac:dyDescent="0.25">
      <c r="A36" s="11" t="s">
        <v>169</v>
      </c>
      <c r="B36" s="13">
        <v>6736</v>
      </c>
      <c r="C36" s="14">
        <f>(5609/B36*100)</f>
        <v>83.269002375296907</v>
      </c>
      <c r="D36" s="15">
        <v>1127</v>
      </c>
      <c r="E36" s="14">
        <v>39.876994490000001</v>
      </c>
      <c r="F36" s="16">
        <v>1.24331982</v>
      </c>
      <c r="G36" s="14">
        <v>60.123005509999999</v>
      </c>
      <c r="H36" s="16">
        <v>1.24331982</v>
      </c>
      <c r="I36" s="14" t="s">
        <v>139</v>
      </c>
      <c r="J36" s="16" t="s">
        <v>139</v>
      </c>
      <c r="K36" s="14">
        <v>0</v>
      </c>
      <c r="L36" s="16">
        <v>0</v>
      </c>
      <c r="M36" s="14">
        <v>0</v>
      </c>
      <c r="N36" s="16">
        <v>0</v>
      </c>
      <c r="O36" s="14">
        <v>0</v>
      </c>
      <c r="P36" s="16">
        <v>0</v>
      </c>
      <c r="Q36" s="14">
        <v>0</v>
      </c>
      <c r="R36" s="16">
        <v>0</v>
      </c>
    </row>
    <row r="37" spans="1:18" x14ac:dyDescent="0.25">
      <c r="A37" s="11" t="s">
        <v>170</v>
      </c>
      <c r="B37" s="13">
        <v>5458</v>
      </c>
      <c r="C37" s="14">
        <f>(4579/B37*100)</f>
        <v>83.895199706852324</v>
      </c>
      <c r="D37" s="15">
        <v>879</v>
      </c>
      <c r="E37" s="14">
        <v>40.700953349999999</v>
      </c>
      <c r="F37" s="16">
        <v>1.48693539</v>
      </c>
      <c r="G37" s="14">
        <v>59.299046650000001</v>
      </c>
      <c r="H37" s="16">
        <v>1.48693539</v>
      </c>
      <c r="I37" s="14" t="s">
        <v>139</v>
      </c>
      <c r="J37" s="16" t="s">
        <v>139</v>
      </c>
      <c r="K37" s="14">
        <v>0</v>
      </c>
      <c r="L37" s="16">
        <v>0</v>
      </c>
      <c r="M37" s="14">
        <v>0</v>
      </c>
      <c r="N37" s="16">
        <v>0</v>
      </c>
      <c r="O37" s="14">
        <v>0</v>
      </c>
      <c r="P37" s="16">
        <v>0</v>
      </c>
      <c r="Q37" s="14">
        <v>0</v>
      </c>
      <c r="R37" s="16">
        <v>0</v>
      </c>
    </row>
    <row r="38" spans="1:18" x14ac:dyDescent="0.25">
      <c r="A38" s="11" t="s">
        <v>171</v>
      </c>
      <c r="B38" s="17" t="s">
        <v>154</v>
      </c>
      <c r="C38" s="17" t="s">
        <v>154</v>
      </c>
      <c r="D38" s="18" t="s">
        <v>154</v>
      </c>
      <c r="E38" s="17" t="s">
        <v>154</v>
      </c>
      <c r="F38" s="18" t="s">
        <v>154</v>
      </c>
      <c r="G38" s="17" t="s">
        <v>154</v>
      </c>
      <c r="H38" s="18" t="s">
        <v>154</v>
      </c>
      <c r="I38" s="17" t="s">
        <v>154</v>
      </c>
      <c r="J38" s="18" t="s">
        <v>154</v>
      </c>
      <c r="K38" s="17" t="s">
        <v>154</v>
      </c>
      <c r="L38" s="18" t="s">
        <v>154</v>
      </c>
      <c r="M38" s="17" t="s">
        <v>154</v>
      </c>
      <c r="N38" s="18" t="s">
        <v>154</v>
      </c>
      <c r="O38" s="17" t="s">
        <v>154</v>
      </c>
      <c r="P38" s="18" t="s">
        <v>154</v>
      </c>
      <c r="Q38" s="17" t="s">
        <v>154</v>
      </c>
      <c r="R38" s="18" t="s">
        <v>154</v>
      </c>
    </row>
    <row r="39" spans="1:18" x14ac:dyDescent="0.25">
      <c r="A39" s="11" t="s">
        <v>172</v>
      </c>
      <c r="B39" s="13">
        <v>5895</v>
      </c>
      <c r="C39" s="14">
        <f>(4871/B39*100)</f>
        <v>82.629346904156066</v>
      </c>
      <c r="D39" s="15">
        <v>1024</v>
      </c>
      <c r="E39" s="14">
        <v>49.610036880000003</v>
      </c>
      <c r="F39" s="16">
        <v>2.12270542</v>
      </c>
      <c r="G39" s="14">
        <v>50.389963119999997</v>
      </c>
      <c r="H39" s="16">
        <v>2.12270542</v>
      </c>
      <c r="I39" s="14" t="s">
        <v>139</v>
      </c>
      <c r="J39" s="16" t="s">
        <v>139</v>
      </c>
      <c r="K39" s="14">
        <v>0</v>
      </c>
      <c r="L39" s="16">
        <v>0</v>
      </c>
      <c r="M39" s="14">
        <v>0</v>
      </c>
      <c r="N39" s="16">
        <v>0</v>
      </c>
      <c r="O39" s="14">
        <v>0</v>
      </c>
      <c r="P39" s="16">
        <v>0</v>
      </c>
      <c r="Q39" s="14">
        <v>0</v>
      </c>
      <c r="R39" s="16">
        <v>0</v>
      </c>
    </row>
    <row r="40" spans="1:18" x14ac:dyDescent="0.25">
      <c r="A40" s="11" t="s">
        <v>173</v>
      </c>
      <c r="B40" s="13">
        <v>14157</v>
      </c>
      <c r="C40" s="14">
        <f>(11654/B40*100)</f>
        <v>82.319700501518682</v>
      </c>
      <c r="D40" s="15">
        <v>2503</v>
      </c>
      <c r="E40" s="14">
        <v>38.934157679999998</v>
      </c>
      <c r="F40" s="16">
        <v>1.3994032300000001</v>
      </c>
      <c r="G40" s="14">
        <v>61.065842320000002</v>
      </c>
      <c r="H40" s="16">
        <v>1.3994032300000001</v>
      </c>
      <c r="I40" s="14" t="s">
        <v>139</v>
      </c>
      <c r="J40" s="16" t="s">
        <v>139</v>
      </c>
      <c r="K40" s="14">
        <v>0</v>
      </c>
      <c r="L40" s="16">
        <v>0</v>
      </c>
      <c r="M40" s="14">
        <v>0</v>
      </c>
      <c r="N40" s="16">
        <v>0</v>
      </c>
      <c r="O40" s="14">
        <v>0</v>
      </c>
      <c r="P40" s="16">
        <v>0</v>
      </c>
      <c r="Q40" s="14">
        <v>0</v>
      </c>
      <c r="R40" s="16">
        <v>0</v>
      </c>
    </row>
    <row r="41" spans="1:18" x14ac:dyDescent="0.25">
      <c r="A41" s="11" t="s">
        <v>174</v>
      </c>
      <c r="B41" s="13">
        <v>5712</v>
      </c>
      <c r="C41" s="14">
        <f>(4777/B41*100)</f>
        <v>83.63095238095238</v>
      </c>
      <c r="D41" s="15">
        <v>935</v>
      </c>
      <c r="E41" s="14">
        <v>28.391262650000002</v>
      </c>
      <c r="F41" s="16">
        <v>1.42729266</v>
      </c>
      <c r="G41" s="14">
        <v>71.608737349999998</v>
      </c>
      <c r="H41" s="16">
        <v>1.42729266</v>
      </c>
      <c r="I41" s="14" t="s">
        <v>139</v>
      </c>
      <c r="J41" s="16" t="s">
        <v>139</v>
      </c>
      <c r="K41" s="14">
        <v>0</v>
      </c>
      <c r="L41" s="16">
        <v>0</v>
      </c>
      <c r="M41" s="14">
        <v>0</v>
      </c>
      <c r="N41" s="16">
        <v>0</v>
      </c>
      <c r="O41" s="14">
        <v>0</v>
      </c>
      <c r="P41" s="16">
        <v>0</v>
      </c>
      <c r="Q41" s="14">
        <v>0</v>
      </c>
      <c r="R41" s="16">
        <v>0</v>
      </c>
    </row>
    <row r="42" spans="1:18" x14ac:dyDescent="0.25">
      <c r="A42" s="11" t="s">
        <v>175</v>
      </c>
      <c r="B42" s="13">
        <f>IF(COUNT(B7:B41) &gt; 0, AVERAGE(B7:B41), "\u2014")</f>
        <v>7266.90625</v>
      </c>
      <c r="C42" s="14">
        <f>IF(COUNT(C7:C41) &gt; 0, AVERAGE(C7:C41), "—")</f>
        <v>83.26007459787489</v>
      </c>
      <c r="D42" s="15">
        <f>IF(COUNT(D7:D41) &gt; 0, AVERAGE(D7:D41), "—")</f>
        <v>1218</v>
      </c>
      <c r="E42" s="14">
        <f>IF(COUNT(E7:E41) &gt; 0, AVERAGE(E7:E41), "—")</f>
        <v>40.669852690000006</v>
      </c>
      <c r="F42" s="16">
        <f>IF(COUNT(F7:F41) &gt; 0, SQRT(SUMSQ(F7:F41)/(COUNT(F7:F41)*COUNT(F7:F41)) ), "—")</f>
        <v>0.28294679760825264</v>
      </c>
      <c r="G42" s="14">
        <f>IF(COUNT(G7:G41) &gt; 0, AVERAGE(G7:G41), "—")</f>
        <v>59.330147310000001</v>
      </c>
      <c r="H42" s="16">
        <f>IF(COUNT(H7:H41) &gt; 0, SQRT(SUMSQ(H7:H41)/(COUNT(H7:H41)*COUNT(H7:H41)) ), "—")</f>
        <v>0.28294679760825264</v>
      </c>
      <c r="I42" s="14" t="str">
        <f>IF(COUNT(I7:I41) &gt; 0, AVERAGE(I7:I41), "—")</f>
        <v>—</v>
      </c>
      <c r="J42" s="16" t="str">
        <f>IF(COUNT(J7:J41) &gt; 0, SQRT(SUMSQ(J7:J41)/(COUNT(J7:J41)*COUNT(J7:J41)) ), "—")</f>
        <v>—</v>
      </c>
      <c r="K42" s="14">
        <f>IF(COUNT(K7:K41) &gt; 0, AVERAGE(K7:K41), "—")</f>
        <v>0</v>
      </c>
      <c r="L42" s="16">
        <f>IF(COUNT(L7:L41) &gt; 0, SQRT(SUMSQ(L7:L41)/(COUNT(L7:L41)*COUNT(L7:L41)) ), "—")</f>
        <v>0</v>
      </c>
      <c r="M42" s="14">
        <f>IF(COUNT(M7:M41) &gt; 0, AVERAGE(M7:M41), "—")</f>
        <v>0</v>
      </c>
      <c r="N42" s="16">
        <f>IF(COUNT(N7:N41) &gt; 0, SQRT(SUMSQ(N7:N41)/(COUNT(N7:N41)*COUNT(N7:N41)) ), "—")</f>
        <v>0</v>
      </c>
      <c r="O42" s="14">
        <f>IF(COUNT(O7:O41) &gt; 0, AVERAGE(O7:O41), "—")</f>
        <v>0</v>
      </c>
      <c r="P42" s="16">
        <f>IF(COUNT(P7:P41) &gt; 0, SQRT(SUMSQ(P7:P41)/(COUNT(P7:P41)*COUNT(P7:P41)) ), "—")</f>
        <v>0</v>
      </c>
      <c r="Q42" s="14">
        <f>IF(COUNT(Q7:Q41) &gt; 0, AVERAGE(Q7:Q41), "—")</f>
        <v>0</v>
      </c>
      <c r="R42" s="16">
        <f>IF(COUNT(R7:R41) &gt; 0, SQRT(SUMSQ(R7:R41)/(COUNT(R7:R41)*COUNT(R7:R41)) ), "—")</f>
        <v>0</v>
      </c>
    </row>
    <row r="43" spans="1:18" x14ac:dyDescent="0.25">
      <c r="A43" s="9" t="s">
        <v>176</v>
      </c>
      <c r="B43" s="10"/>
      <c r="C43" s="10"/>
      <c r="D43" s="11"/>
      <c r="E43" s="10"/>
      <c r="F43" s="11"/>
      <c r="G43" s="10"/>
      <c r="H43" s="11"/>
      <c r="I43" s="10"/>
      <c r="J43" s="11"/>
      <c r="K43" s="10"/>
      <c r="L43" s="11"/>
      <c r="M43" s="10"/>
      <c r="N43" s="11"/>
      <c r="O43" s="10"/>
      <c r="P43" s="11"/>
      <c r="Q43" s="10"/>
      <c r="R43" s="12"/>
    </row>
    <row r="44" spans="1:18" x14ac:dyDescent="0.25">
      <c r="A44" s="11" t="s">
        <v>177</v>
      </c>
      <c r="B44" s="17" t="s">
        <v>154</v>
      </c>
      <c r="C44" s="17" t="s">
        <v>154</v>
      </c>
      <c r="D44" s="18" t="s">
        <v>154</v>
      </c>
      <c r="E44" s="17" t="s">
        <v>154</v>
      </c>
      <c r="F44" s="18" t="s">
        <v>154</v>
      </c>
      <c r="G44" s="17" t="s">
        <v>154</v>
      </c>
      <c r="H44" s="18" t="s">
        <v>154</v>
      </c>
      <c r="I44" s="17" t="s">
        <v>154</v>
      </c>
      <c r="J44" s="18" t="s">
        <v>154</v>
      </c>
      <c r="K44" s="17" t="s">
        <v>154</v>
      </c>
      <c r="L44" s="18" t="s">
        <v>154</v>
      </c>
      <c r="M44" s="17" t="s">
        <v>154</v>
      </c>
      <c r="N44" s="18" t="s">
        <v>154</v>
      </c>
      <c r="O44" s="17" t="s">
        <v>154</v>
      </c>
      <c r="P44" s="18" t="s">
        <v>154</v>
      </c>
      <c r="Q44" s="17" t="s">
        <v>154</v>
      </c>
      <c r="R44" s="18" t="s">
        <v>154</v>
      </c>
    </row>
    <row r="45" spans="1:18" x14ac:dyDescent="0.25">
      <c r="A45" s="11" t="s">
        <v>178</v>
      </c>
      <c r="B45" s="17" t="s">
        <v>154</v>
      </c>
      <c r="C45" s="17" t="s">
        <v>154</v>
      </c>
      <c r="D45" s="18" t="s">
        <v>154</v>
      </c>
      <c r="E45" s="17" t="s">
        <v>154</v>
      </c>
      <c r="F45" s="18" t="s">
        <v>154</v>
      </c>
      <c r="G45" s="17" t="s">
        <v>154</v>
      </c>
      <c r="H45" s="18" t="s">
        <v>154</v>
      </c>
      <c r="I45" s="17" t="s">
        <v>154</v>
      </c>
      <c r="J45" s="18" t="s">
        <v>154</v>
      </c>
      <c r="K45" s="17" t="s">
        <v>154</v>
      </c>
      <c r="L45" s="18" t="s">
        <v>154</v>
      </c>
      <c r="M45" s="17" t="s">
        <v>154</v>
      </c>
      <c r="N45" s="18" t="s">
        <v>154</v>
      </c>
      <c r="O45" s="17" t="s">
        <v>154</v>
      </c>
      <c r="P45" s="18" t="s">
        <v>154</v>
      </c>
      <c r="Q45" s="17" t="s">
        <v>154</v>
      </c>
      <c r="R45" s="18" t="s">
        <v>154</v>
      </c>
    </row>
    <row r="46" spans="1:18" x14ac:dyDescent="0.25">
      <c r="A46" s="11" t="s">
        <v>179</v>
      </c>
      <c r="B46" s="13">
        <v>23141</v>
      </c>
      <c r="C46" s="14">
        <f>(20176/B46*100)</f>
        <v>87.18724342076834</v>
      </c>
      <c r="D46" s="15">
        <v>2965</v>
      </c>
      <c r="E46" s="14">
        <v>51.284079130000002</v>
      </c>
      <c r="F46" s="16">
        <v>1.32575453</v>
      </c>
      <c r="G46" s="14">
        <v>48.715920869999998</v>
      </c>
      <c r="H46" s="16">
        <v>1.32575453</v>
      </c>
      <c r="I46" s="14" t="s">
        <v>139</v>
      </c>
      <c r="J46" s="16" t="s">
        <v>139</v>
      </c>
      <c r="K46" s="14">
        <v>0</v>
      </c>
      <c r="L46" s="16">
        <v>0</v>
      </c>
      <c r="M46" s="14">
        <v>0</v>
      </c>
      <c r="N46" s="16">
        <v>0</v>
      </c>
      <c r="O46" s="14">
        <v>0</v>
      </c>
      <c r="P46" s="16">
        <v>0</v>
      </c>
      <c r="Q46" s="14">
        <v>0</v>
      </c>
      <c r="R46" s="16">
        <v>0</v>
      </c>
    </row>
    <row r="47" spans="1:18" x14ac:dyDescent="0.25">
      <c r="A47" s="11" t="s">
        <v>180</v>
      </c>
      <c r="B47" s="13">
        <v>5928</v>
      </c>
      <c r="C47" s="14">
        <f>(4958/B47*100)</f>
        <v>83.6369770580297</v>
      </c>
      <c r="D47" s="15">
        <v>970</v>
      </c>
      <c r="E47" s="14">
        <v>46.222702429999998</v>
      </c>
      <c r="F47" s="16">
        <v>1.80737159</v>
      </c>
      <c r="G47" s="14">
        <v>53.777297570000002</v>
      </c>
      <c r="H47" s="16">
        <v>1.80737159</v>
      </c>
      <c r="I47" s="14" t="s">
        <v>139</v>
      </c>
      <c r="J47" s="16" t="s">
        <v>139</v>
      </c>
      <c r="K47" s="14">
        <v>0</v>
      </c>
      <c r="L47" s="16">
        <v>0</v>
      </c>
      <c r="M47" s="14">
        <v>0</v>
      </c>
      <c r="N47" s="16">
        <v>0</v>
      </c>
      <c r="O47" s="14">
        <v>0</v>
      </c>
      <c r="P47" s="16">
        <v>0</v>
      </c>
      <c r="Q47" s="14">
        <v>0</v>
      </c>
      <c r="R47" s="16">
        <v>0</v>
      </c>
    </row>
    <row r="48" spans="1:18" x14ac:dyDescent="0.25">
      <c r="A48" s="11" t="s">
        <v>181</v>
      </c>
      <c r="B48" s="13">
        <v>9841</v>
      </c>
      <c r="C48" s="14">
        <f>(8160/B48*100)</f>
        <v>82.918402601361649</v>
      </c>
      <c r="D48" s="15">
        <v>1681</v>
      </c>
      <c r="E48" s="14">
        <v>28.413400880000001</v>
      </c>
      <c r="F48" s="16">
        <v>1.5613155599999999</v>
      </c>
      <c r="G48" s="14">
        <v>71.586599120000002</v>
      </c>
      <c r="H48" s="16">
        <v>1.5613155599999999</v>
      </c>
      <c r="I48" s="14" t="s">
        <v>139</v>
      </c>
      <c r="J48" s="16" t="s">
        <v>139</v>
      </c>
      <c r="K48" s="14">
        <v>0</v>
      </c>
      <c r="L48" s="16">
        <v>0</v>
      </c>
      <c r="M48" s="14">
        <v>0</v>
      </c>
      <c r="N48" s="16">
        <v>0</v>
      </c>
      <c r="O48" s="14">
        <v>0</v>
      </c>
      <c r="P48" s="16">
        <v>0</v>
      </c>
      <c r="Q48" s="14">
        <v>0</v>
      </c>
      <c r="R48" s="16">
        <v>0</v>
      </c>
    </row>
    <row r="49" spans="1:18" x14ac:dyDescent="0.25">
      <c r="A49" s="11" t="s">
        <v>182</v>
      </c>
      <c r="B49" s="17" t="s">
        <v>154</v>
      </c>
      <c r="C49" s="17" t="s">
        <v>154</v>
      </c>
      <c r="D49" s="18" t="s">
        <v>154</v>
      </c>
      <c r="E49" s="17" t="s">
        <v>154</v>
      </c>
      <c r="F49" s="18" t="s">
        <v>154</v>
      </c>
      <c r="G49" s="17" t="s">
        <v>154</v>
      </c>
      <c r="H49" s="18" t="s">
        <v>154</v>
      </c>
      <c r="I49" s="17" t="s">
        <v>154</v>
      </c>
      <c r="J49" s="18" t="s">
        <v>154</v>
      </c>
      <c r="K49" s="17" t="s">
        <v>154</v>
      </c>
      <c r="L49" s="18" t="s">
        <v>154</v>
      </c>
      <c r="M49" s="17" t="s">
        <v>154</v>
      </c>
      <c r="N49" s="18" t="s">
        <v>154</v>
      </c>
      <c r="O49" s="17" t="s">
        <v>154</v>
      </c>
      <c r="P49" s="18" t="s">
        <v>154</v>
      </c>
      <c r="Q49" s="17" t="s">
        <v>154</v>
      </c>
      <c r="R49" s="18" t="s">
        <v>154</v>
      </c>
    </row>
    <row r="50" spans="1:18" x14ac:dyDescent="0.25">
      <c r="A50" s="11" t="s">
        <v>183</v>
      </c>
      <c r="B50" s="13">
        <v>11795</v>
      </c>
      <c r="C50" s="14">
        <f>(9898/B50*100)</f>
        <v>83.916913946587528</v>
      </c>
      <c r="D50" s="15">
        <v>1897</v>
      </c>
      <c r="E50" s="14">
        <v>41.198618529999997</v>
      </c>
      <c r="F50" s="16">
        <v>1.74359156</v>
      </c>
      <c r="G50" s="14">
        <v>58.801381470000003</v>
      </c>
      <c r="H50" s="16">
        <v>1.74359156</v>
      </c>
      <c r="I50" s="14" t="s">
        <v>139</v>
      </c>
      <c r="J50" s="16" t="s">
        <v>139</v>
      </c>
      <c r="K50" s="14">
        <v>0</v>
      </c>
      <c r="L50" s="16">
        <v>0</v>
      </c>
      <c r="M50" s="14">
        <v>0</v>
      </c>
      <c r="N50" s="16">
        <v>0</v>
      </c>
      <c r="O50" s="14">
        <v>0</v>
      </c>
      <c r="P50" s="16">
        <v>0</v>
      </c>
      <c r="Q50" s="14">
        <v>0</v>
      </c>
      <c r="R50" s="16">
        <v>0</v>
      </c>
    </row>
    <row r="51" spans="1:18" x14ac:dyDescent="0.25">
      <c r="A51" s="11" t="s">
        <v>184</v>
      </c>
      <c r="B51" s="13">
        <v>6866</v>
      </c>
      <c r="C51" s="14">
        <f>(5894/B51*100)</f>
        <v>85.843285755898634</v>
      </c>
      <c r="D51" s="15">
        <v>972</v>
      </c>
      <c r="E51" s="14">
        <v>41.845769109999999</v>
      </c>
      <c r="F51" s="16">
        <v>1.6463930600000001</v>
      </c>
      <c r="G51" s="14">
        <v>58.154230890000001</v>
      </c>
      <c r="H51" s="16">
        <v>1.6463930600000001</v>
      </c>
      <c r="I51" s="14" t="s">
        <v>139</v>
      </c>
      <c r="J51" s="16" t="s">
        <v>139</v>
      </c>
      <c r="K51" s="14">
        <v>0</v>
      </c>
      <c r="L51" s="16">
        <v>0</v>
      </c>
      <c r="M51" s="14">
        <v>0</v>
      </c>
      <c r="N51" s="16">
        <v>0</v>
      </c>
      <c r="O51" s="14">
        <v>0</v>
      </c>
      <c r="P51" s="16">
        <v>0</v>
      </c>
      <c r="Q51" s="14">
        <v>0</v>
      </c>
      <c r="R51" s="16">
        <v>0</v>
      </c>
    </row>
    <row r="52" spans="1:18" x14ac:dyDescent="0.25">
      <c r="A52" s="11" t="s">
        <v>185</v>
      </c>
      <c r="B52" s="13">
        <v>5809</v>
      </c>
      <c r="C52" s="14">
        <f>(4808/B52*100)</f>
        <v>82.768118436908239</v>
      </c>
      <c r="D52" s="15">
        <v>1001</v>
      </c>
      <c r="E52" s="14">
        <v>44.620711749999998</v>
      </c>
      <c r="F52" s="16">
        <v>1.63774815</v>
      </c>
      <c r="G52" s="14">
        <v>55.379288250000002</v>
      </c>
      <c r="H52" s="16">
        <v>1.63774815</v>
      </c>
      <c r="I52" s="14" t="s">
        <v>139</v>
      </c>
      <c r="J52" s="16" t="s">
        <v>139</v>
      </c>
      <c r="K52" s="14">
        <v>0</v>
      </c>
      <c r="L52" s="16">
        <v>0</v>
      </c>
      <c r="M52" s="14">
        <v>0</v>
      </c>
      <c r="N52" s="16">
        <v>0</v>
      </c>
      <c r="O52" s="14">
        <v>0</v>
      </c>
      <c r="P52" s="16">
        <v>0</v>
      </c>
      <c r="Q52" s="14">
        <v>0</v>
      </c>
      <c r="R52" s="16">
        <v>0</v>
      </c>
    </row>
    <row r="53" spans="1:18" x14ac:dyDescent="0.25">
      <c r="A53" s="11" t="s">
        <v>186</v>
      </c>
      <c r="B53" s="13">
        <v>5571</v>
      </c>
      <c r="C53" s="14">
        <f>(4622/B53*100)</f>
        <v>82.965356309459708</v>
      </c>
      <c r="D53" s="15">
        <v>949</v>
      </c>
      <c r="E53" s="14">
        <v>51.998337020000001</v>
      </c>
      <c r="F53" s="16">
        <v>1.59447637</v>
      </c>
      <c r="G53" s="14">
        <v>48.001662979999999</v>
      </c>
      <c r="H53" s="16">
        <v>1.59447637</v>
      </c>
      <c r="I53" s="14" t="s">
        <v>139</v>
      </c>
      <c r="J53" s="16" t="s">
        <v>139</v>
      </c>
      <c r="K53" s="14">
        <v>0</v>
      </c>
      <c r="L53" s="16">
        <v>0</v>
      </c>
      <c r="M53" s="14">
        <v>0</v>
      </c>
      <c r="N53" s="16">
        <v>0</v>
      </c>
      <c r="O53" s="14">
        <v>0</v>
      </c>
      <c r="P53" s="16">
        <v>0</v>
      </c>
      <c r="Q53" s="14">
        <v>0</v>
      </c>
      <c r="R53" s="16">
        <v>0</v>
      </c>
    </row>
    <row r="54" spans="1:18" x14ac:dyDescent="0.25">
      <c r="A54" s="11" t="s">
        <v>187</v>
      </c>
      <c r="B54" s="17" t="s">
        <v>154</v>
      </c>
      <c r="C54" s="17" t="s">
        <v>154</v>
      </c>
      <c r="D54" s="18" t="s">
        <v>154</v>
      </c>
      <c r="E54" s="17" t="s">
        <v>154</v>
      </c>
      <c r="F54" s="18" t="s">
        <v>154</v>
      </c>
      <c r="G54" s="17" t="s">
        <v>154</v>
      </c>
      <c r="H54" s="18" t="s">
        <v>154</v>
      </c>
      <c r="I54" s="17" t="s">
        <v>154</v>
      </c>
      <c r="J54" s="18" t="s">
        <v>154</v>
      </c>
      <c r="K54" s="17" t="s">
        <v>154</v>
      </c>
      <c r="L54" s="18" t="s">
        <v>154</v>
      </c>
      <c r="M54" s="17" t="s">
        <v>154</v>
      </c>
      <c r="N54" s="18" t="s">
        <v>154</v>
      </c>
      <c r="O54" s="17" t="s">
        <v>154</v>
      </c>
      <c r="P54" s="18" t="s">
        <v>154</v>
      </c>
      <c r="Q54" s="17" t="s">
        <v>154</v>
      </c>
      <c r="R54" s="18" t="s">
        <v>154</v>
      </c>
    </row>
    <row r="55" spans="1:18" x14ac:dyDescent="0.25">
      <c r="A55" s="11" t="s">
        <v>188</v>
      </c>
      <c r="B55" s="17" t="s">
        <v>154</v>
      </c>
      <c r="C55" s="17" t="s">
        <v>154</v>
      </c>
      <c r="D55" s="18" t="s">
        <v>154</v>
      </c>
      <c r="E55" s="17" t="s">
        <v>154</v>
      </c>
      <c r="F55" s="18" t="s">
        <v>154</v>
      </c>
      <c r="G55" s="17" t="s">
        <v>154</v>
      </c>
      <c r="H55" s="18" t="s">
        <v>154</v>
      </c>
      <c r="I55" s="17" t="s">
        <v>154</v>
      </c>
      <c r="J55" s="18" t="s">
        <v>154</v>
      </c>
      <c r="K55" s="17" t="s">
        <v>154</v>
      </c>
      <c r="L55" s="18" t="s">
        <v>154</v>
      </c>
      <c r="M55" s="17" t="s">
        <v>154</v>
      </c>
      <c r="N55" s="18" t="s">
        <v>154</v>
      </c>
      <c r="O55" s="17" t="s">
        <v>154</v>
      </c>
      <c r="P55" s="18" t="s">
        <v>154</v>
      </c>
      <c r="Q55" s="17" t="s">
        <v>154</v>
      </c>
      <c r="R55" s="18" t="s">
        <v>154</v>
      </c>
    </row>
    <row r="56" spans="1:18" x14ac:dyDescent="0.25">
      <c r="A56" s="11" t="s">
        <v>189</v>
      </c>
      <c r="B56" s="13">
        <v>5359</v>
      </c>
      <c r="C56" s="14">
        <f>(4449/B56*100)</f>
        <v>83.019220003732045</v>
      </c>
      <c r="D56" s="15">
        <v>910</v>
      </c>
      <c r="E56" s="14">
        <v>48.549009859999998</v>
      </c>
      <c r="F56" s="16">
        <v>1.5786177400000001</v>
      </c>
      <c r="G56" s="14">
        <v>51.450990140000002</v>
      </c>
      <c r="H56" s="16">
        <v>1.5786177400000001</v>
      </c>
      <c r="I56" s="14" t="s">
        <v>139</v>
      </c>
      <c r="J56" s="16" t="s">
        <v>139</v>
      </c>
      <c r="K56" s="14">
        <v>0</v>
      </c>
      <c r="L56" s="16">
        <v>0</v>
      </c>
      <c r="M56" s="14">
        <v>0</v>
      </c>
      <c r="N56" s="16">
        <v>0</v>
      </c>
      <c r="O56" s="14">
        <v>0</v>
      </c>
      <c r="P56" s="16">
        <v>0</v>
      </c>
      <c r="Q56" s="14">
        <v>0</v>
      </c>
      <c r="R56" s="16">
        <v>0</v>
      </c>
    </row>
    <row r="57" spans="1:18" x14ac:dyDescent="0.25">
      <c r="A57" s="11" t="s">
        <v>190</v>
      </c>
      <c r="B57" s="17" t="s">
        <v>154</v>
      </c>
      <c r="C57" s="17" t="s">
        <v>154</v>
      </c>
      <c r="D57" s="18" t="s">
        <v>154</v>
      </c>
      <c r="E57" s="17" t="s">
        <v>154</v>
      </c>
      <c r="F57" s="18" t="s">
        <v>154</v>
      </c>
      <c r="G57" s="17" t="s">
        <v>154</v>
      </c>
      <c r="H57" s="18" t="s">
        <v>154</v>
      </c>
      <c r="I57" s="17" t="s">
        <v>154</v>
      </c>
      <c r="J57" s="18" t="s">
        <v>154</v>
      </c>
      <c r="K57" s="17" t="s">
        <v>154</v>
      </c>
      <c r="L57" s="18" t="s">
        <v>154</v>
      </c>
      <c r="M57" s="17" t="s">
        <v>154</v>
      </c>
      <c r="N57" s="18" t="s">
        <v>154</v>
      </c>
      <c r="O57" s="17" t="s">
        <v>154</v>
      </c>
      <c r="P57" s="18" t="s">
        <v>154</v>
      </c>
      <c r="Q57" s="17" t="s">
        <v>154</v>
      </c>
      <c r="R57" s="18" t="s">
        <v>154</v>
      </c>
    </row>
    <row r="58" spans="1:18" x14ac:dyDescent="0.25">
      <c r="A58" s="11" t="s">
        <v>191</v>
      </c>
      <c r="B58" s="17" t="s">
        <v>154</v>
      </c>
      <c r="C58" s="17" t="s">
        <v>154</v>
      </c>
      <c r="D58" s="18" t="s">
        <v>154</v>
      </c>
      <c r="E58" s="17" t="s">
        <v>154</v>
      </c>
      <c r="F58" s="18" t="s">
        <v>154</v>
      </c>
      <c r="G58" s="17" t="s">
        <v>154</v>
      </c>
      <c r="H58" s="18" t="s">
        <v>154</v>
      </c>
      <c r="I58" s="17" t="s">
        <v>154</v>
      </c>
      <c r="J58" s="18" t="s">
        <v>154</v>
      </c>
      <c r="K58" s="17" t="s">
        <v>154</v>
      </c>
      <c r="L58" s="18" t="s">
        <v>154</v>
      </c>
      <c r="M58" s="17" t="s">
        <v>154</v>
      </c>
      <c r="N58" s="18" t="s">
        <v>154</v>
      </c>
      <c r="O58" s="17" t="s">
        <v>154</v>
      </c>
      <c r="P58" s="18" t="s">
        <v>154</v>
      </c>
      <c r="Q58" s="17" t="s">
        <v>154</v>
      </c>
      <c r="R58" s="18" t="s">
        <v>154</v>
      </c>
    </row>
    <row r="59" spans="1:18" x14ac:dyDescent="0.25">
      <c r="A59" s="11" t="s">
        <v>192</v>
      </c>
      <c r="B59" s="17" t="s">
        <v>154</v>
      </c>
      <c r="C59" s="17" t="s">
        <v>154</v>
      </c>
      <c r="D59" s="18" t="s">
        <v>154</v>
      </c>
      <c r="E59" s="17" t="s">
        <v>154</v>
      </c>
      <c r="F59" s="18" t="s">
        <v>154</v>
      </c>
      <c r="G59" s="17" t="s">
        <v>154</v>
      </c>
      <c r="H59" s="18" t="s">
        <v>154</v>
      </c>
      <c r="I59" s="17" t="s">
        <v>154</v>
      </c>
      <c r="J59" s="18" t="s">
        <v>154</v>
      </c>
      <c r="K59" s="17" t="s">
        <v>154</v>
      </c>
      <c r="L59" s="18" t="s">
        <v>154</v>
      </c>
      <c r="M59" s="17" t="s">
        <v>154</v>
      </c>
      <c r="N59" s="18" t="s">
        <v>154</v>
      </c>
      <c r="O59" s="17" t="s">
        <v>154</v>
      </c>
      <c r="P59" s="18" t="s">
        <v>154</v>
      </c>
      <c r="Q59" s="17" t="s">
        <v>154</v>
      </c>
      <c r="R59" s="18" t="s">
        <v>154</v>
      </c>
    </row>
    <row r="60" spans="1:18" x14ac:dyDescent="0.25">
      <c r="A60" s="11" t="s">
        <v>193</v>
      </c>
      <c r="B60" s="17" t="s">
        <v>154</v>
      </c>
      <c r="C60" s="17" t="s">
        <v>154</v>
      </c>
      <c r="D60" s="18" t="s">
        <v>154</v>
      </c>
      <c r="E60" s="17" t="s">
        <v>154</v>
      </c>
      <c r="F60" s="18" t="s">
        <v>154</v>
      </c>
      <c r="G60" s="17" t="s">
        <v>154</v>
      </c>
      <c r="H60" s="18" t="s">
        <v>154</v>
      </c>
      <c r="I60" s="17" t="s">
        <v>154</v>
      </c>
      <c r="J60" s="18" t="s">
        <v>154</v>
      </c>
      <c r="K60" s="17" t="s">
        <v>154</v>
      </c>
      <c r="L60" s="18" t="s">
        <v>154</v>
      </c>
      <c r="M60" s="17" t="s">
        <v>154</v>
      </c>
      <c r="N60" s="18" t="s">
        <v>154</v>
      </c>
      <c r="O60" s="17" t="s">
        <v>154</v>
      </c>
      <c r="P60" s="18" t="s">
        <v>154</v>
      </c>
      <c r="Q60" s="17" t="s">
        <v>154</v>
      </c>
      <c r="R60" s="18" t="s">
        <v>154</v>
      </c>
    </row>
    <row r="61" spans="1:18" x14ac:dyDescent="0.25">
      <c r="A61" s="11" t="s">
        <v>194</v>
      </c>
      <c r="B61" s="13">
        <v>6525</v>
      </c>
      <c r="C61" s="14">
        <f>(5408/B61*100)</f>
        <v>82.88122605363985</v>
      </c>
      <c r="D61" s="15">
        <v>1117</v>
      </c>
      <c r="E61" s="14">
        <v>47.128310919999997</v>
      </c>
      <c r="F61" s="16">
        <v>1.5955715100000001</v>
      </c>
      <c r="G61" s="14">
        <v>52.871689080000003</v>
      </c>
      <c r="H61" s="16">
        <v>1.5955715100000001</v>
      </c>
      <c r="I61" s="14" t="s">
        <v>139</v>
      </c>
      <c r="J61" s="16" t="s">
        <v>139</v>
      </c>
      <c r="K61" s="14">
        <v>0</v>
      </c>
      <c r="L61" s="16">
        <v>0</v>
      </c>
      <c r="M61" s="14">
        <v>0</v>
      </c>
      <c r="N61" s="16">
        <v>0</v>
      </c>
      <c r="O61" s="14">
        <v>0</v>
      </c>
      <c r="P61" s="16">
        <v>0</v>
      </c>
      <c r="Q61" s="14">
        <v>0</v>
      </c>
      <c r="R61" s="16">
        <v>0</v>
      </c>
    </row>
    <row r="62" spans="1:18" x14ac:dyDescent="0.25">
      <c r="A62" s="11" t="s">
        <v>195</v>
      </c>
      <c r="B62" s="13">
        <v>4476</v>
      </c>
      <c r="C62" s="14">
        <f>(3712/B62*100)</f>
        <v>82.931188561215379</v>
      </c>
      <c r="D62" s="15">
        <v>764</v>
      </c>
      <c r="E62" s="14">
        <v>38.082409720000001</v>
      </c>
      <c r="F62" s="16">
        <v>1.7499623600000001</v>
      </c>
      <c r="G62" s="14">
        <v>61.917590279999999</v>
      </c>
      <c r="H62" s="16">
        <v>1.7499623600000001</v>
      </c>
      <c r="I62" s="14" t="s">
        <v>139</v>
      </c>
      <c r="J62" s="16" t="s">
        <v>139</v>
      </c>
      <c r="K62" s="14">
        <v>0</v>
      </c>
      <c r="L62" s="16">
        <v>0</v>
      </c>
      <c r="M62" s="14">
        <v>0</v>
      </c>
      <c r="N62" s="16">
        <v>0</v>
      </c>
      <c r="O62" s="14">
        <v>0</v>
      </c>
      <c r="P62" s="16">
        <v>0</v>
      </c>
      <c r="Q62" s="14">
        <v>0</v>
      </c>
      <c r="R62" s="16">
        <v>0</v>
      </c>
    </row>
    <row r="63" spans="1:18" x14ac:dyDescent="0.25">
      <c r="A63" s="11" t="s">
        <v>196</v>
      </c>
      <c r="B63" s="17" t="s">
        <v>154</v>
      </c>
      <c r="C63" s="17" t="s">
        <v>154</v>
      </c>
      <c r="D63" s="18" t="s">
        <v>154</v>
      </c>
      <c r="E63" s="17" t="s">
        <v>154</v>
      </c>
      <c r="F63" s="18" t="s">
        <v>154</v>
      </c>
      <c r="G63" s="17" t="s">
        <v>154</v>
      </c>
      <c r="H63" s="18" t="s">
        <v>154</v>
      </c>
      <c r="I63" s="17" t="s">
        <v>154</v>
      </c>
      <c r="J63" s="18" t="s">
        <v>154</v>
      </c>
      <c r="K63" s="17" t="s">
        <v>154</v>
      </c>
      <c r="L63" s="18" t="s">
        <v>154</v>
      </c>
      <c r="M63" s="17" t="s">
        <v>154</v>
      </c>
      <c r="N63" s="18" t="s">
        <v>154</v>
      </c>
      <c r="O63" s="17" t="s">
        <v>154</v>
      </c>
      <c r="P63" s="18" t="s">
        <v>154</v>
      </c>
      <c r="Q63" s="17" t="s">
        <v>154</v>
      </c>
      <c r="R63" s="18" t="s">
        <v>154</v>
      </c>
    </row>
    <row r="64" spans="1:18" x14ac:dyDescent="0.25">
      <c r="A64" s="11" t="s">
        <v>197</v>
      </c>
      <c r="B64" s="17" t="s">
        <v>154</v>
      </c>
      <c r="C64" s="17" t="s">
        <v>154</v>
      </c>
      <c r="D64" s="18" t="s">
        <v>154</v>
      </c>
      <c r="E64" s="17" t="s">
        <v>154</v>
      </c>
      <c r="F64" s="18" t="s">
        <v>154</v>
      </c>
      <c r="G64" s="17" t="s">
        <v>154</v>
      </c>
      <c r="H64" s="18" t="s">
        <v>154</v>
      </c>
      <c r="I64" s="17" t="s">
        <v>154</v>
      </c>
      <c r="J64" s="18" t="s">
        <v>154</v>
      </c>
      <c r="K64" s="17" t="s">
        <v>154</v>
      </c>
      <c r="L64" s="18" t="s">
        <v>154</v>
      </c>
      <c r="M64" s="17" t="s">
        <v>154</v>
      </c>
      <c r="N64" s="18" t="s">
        <v>154</v>
      </c>
      <c r="O64" s="17" t="s">
        <v>154</v>
      </c>
      <c r="P64" s="18" t="s">
        <v>154</v>
      </c>
      <c r="Q64" s="17" t="s">
        <v>154</v>
      </c>
      <c r="R64" s="18" t="s">
        <v>154</v>
      </c>
    </row>
    <row r="65" spans="1:18" x14ac:dyDescent="0.25">
      <c r="A65" s="11" t="s">
        <v>198</v>
      </c>
      <c r="B65" s="17" t="s">
        <v>154</v>
      </c>
      <c r="C65" s="17" t="s">
        <v>154</v>
      </c>
      <c r="D65" s="18" t="s">
        <v>154</v>
      </c>
      <c r="E65" s="17" t="s">
        <v>154</v>
      </c>
      <c r="F65" s="18" t="s">
        <v>154</v>
      </c>
      <c r="G65" s="17" t="s">
        <v>154</v>
      </c>
      <c r="H65" s="18" t="s">
        <v>154</v>
      </c>
      <c r="I65" s="17" t="s">
        <v>154</v>
      </c>
      <c r="J65" s="18" t="s">
        <v>154</v>
      </c>
      <c r="K65" s="17" t="s">
        <v>154</v>
      </c>
      <c r="L65" s="18" t="s">
        <v>154</v>
      </c>
      <c r="M65" s="17" t="s">
        <v>154</v>
      </c>
      <c r="N65" s="18" t="s">
        <v>154</v>
      </c>
      <c r="O65" s="17" t="s">
        <v>154</v>
      </c>
      <c r="P65" s="18" t="s">
        <v>154</v>
      </c>
      <c r="Q65" s="17" t="s">
        <v>154</v>
      </c>
      <c r="R65" s="18" t="s">
        <v>154</v>
      </c>
    </row>
    <row r="66" spans="1:18" x14ac:dyDescent="0.25">
      <c r="A66" s="11" t="s">
        <v>199</v>
      </c>
      <c r="B66" s="13">
        <v>5665</v>
      </c>
      <c r="C66" s="14">
        <f>(4730/B66*100)</f>
        <v>83.495145631067956</v>
      </c>
      <c r="D66" s="15">
        <v>935</v>
      </c>
      <c r="E66" s="14">
        <v>57.782671970000003</v>
      </c>
      <c r="F66" s="16">
        <v>1.64531479</v>
      </c>
      <c r="G66" s="14">
        <v>42.217328029999997</v>
      </c>
      <c r="H66" s="16">
        <v>1.64531479</v>
      </c>
      <c r="I66" s="14" t="s">
        <v>139</v>
      </c>
      <c r="J66" s="16" t="s">
        <v>139</v>
      </c>
      <c r="K66" s="14">
        <v>0</v>
      </c>
      <c r="L66" s="16">
        <v>0</v>
      </c>
      <c r="M66" s="14">
        <v>0</v>
      </c>
      <c r="N66" s="16">
        <v>0</v>
      </c>
      <c r="O66" s="14">
        <v>0</v>
      </c>
      <c r="P66" s="16">
        <v>0</v>
      </c>
      <c r="Q66" s="14">
        <v>0</v>
      </c>
      <c r="R66" s="16">
        <v>0</v>
      </c>
    </row>
    <row r="67" spans="1:18" x14ac:dyDescent="0.25">
      <c r="A67" s="11" t="s">
        <v>200</v>
      </c>
      <c r="B67" s="13">
        <v>6971</v>
      </c>
      <c r="C67" s="14">
        <f>(5966/B67*100)</f>
        <v>85.583130110457603</v>
      </c>
      <c r="D67" s="15">
        <v>1005</v>
      </c>
      <c r="E67" s="14">
        <v>43.909673859999998</v>
      </c>
      <c r="F67" s="16">
        <v>1.6349800999999999</v>
      </c>
      <c r="G67" s="14">
        <v>56.090326140000002</v>
      </c>
      <c r="H67" s="16">
        <v>1.6349800999999999</v>
      </c>
      <c r="I67" s="14" t="s">
        <v>139</v>
      </c>
      <c r="J67" s="16" t="s">
        <v>139</v>
      </c>
      <c r="K67" s="14">
        <v>0</v>
      </c>
      <c r="L67" s="16">
        <v>0</v>
      </c>
      <c r="M67" s="14">
        <v>0</v>
      </c>
      <c r="N67" s="16">
        <v>0</v>
      </c>
      <c r="O67" s="14">
        <v>0</v>
      </c>
      <c r="P67" s="16">
        <v>0</v>
      </c>
      <c r="Q67" s="14">
        <v>0</v>
      </c>
      <c r="R67" s="16">
        <v>0</v>
      </c>
    </row>
    <row r="68" spans="1:18" x14ac:dyDescent="0.25">
      <c r="A68" s="11" t="s">
        <v>201</v>
      </c>
      <c r="B68" s="17" t="s">
        <v>154</v>
      </c>
      <c r="C68" s="17" t="s">
        <v>154</v>
      </c>
      <c r="D68" s="18" t="s">
        <v>154</v>
      </c>
      <c r="E68" s="17" t="s">
        <v>154</v>
      </c>
      <c r="F68" s="18" t="s">
        <v>154</v>
      </c>
      <c r="G68" s="17" t="s">
        <v>154</v>
      </c>
      <c r="H68" s="18" t="s">
        <v>154</v>
      </c>
      <c r="I68" s="17" t="s">
        <v>154</v>
      </c>
      <c r="J68" s="18" t="s">
        <v>154</v>
      </c>
      <c r="K68" s="17" t="s">
        <v>154</v>
      </c>
      <c r="L68" s="18" t="s">
        <v>154</v>
      </c>
      <c r="M68" s="17" t="s">
        <v>154</v>
      </c>
      <c r="N68" s="18" t="s">
        <v>154</v>
      </c>
      <c r="O68" s="17" t="s">
        <v>154</v>
      </c>
      <c r="P68" s="18" t="s">
        <v>154</v>
      </c>
      <c r="Q68" s="17" t="s">
        <v>154</v>
      </c>
      <c r="R68" s="18" t="s">
        <v>154</v>
      </c>
    </row>
    <row r="69" spans="1:18" x14ac:dyDescent="0.25">
      <c r="A69" s="11" t="s">
        <v>202</v>
      </c>
      <c r="B69" s="17" t="s">
        <v>154</v>
      </c>
      <c r="C69" s="17" t="s">
        <v>154</v>
      </c>
      <c r="D69" s="18" t="s">
        <v>154</v>
      </c>
      <c r="E69" s="17" t="s">
        <v>154</v>
      </c>
      <c r="F69" s="18" t="s">
        <v>154</v>
      </c>
      <c r="G69" s="17" t="s">
        <v>154</v>
      </c>
      <c r="H69" s="18" t="s">
        <v>154</v>
      </c>
      <c r="I69" s="17" t="s">
        <v>154</v>
      </c>
      <c r="J69" s="18" t="s">
        <v>154</v>
      </c>
      <c r="K69" s="17" t="s">
        <v>154</v>
      </c>
      <c r="L69" s="18" t="s">
        <v>154</v>
      </c>
      <c r="M69" s="17" t="s">
        <v>154</v>
      </c>
      <c r="N69" s="18" t="s">
        <v>154</v>
      </c>
      <c r="O69" s="17" t="s">
        <v>154</v>
      </c>
      <c r="P69" s="18" t="s">
        <v>154</v>
      </c>
      <c r="Q69" s="17" t="s">
        <v>154</v>
      </c>
      <c r="R69" s="18" t="s">
        <v>154</v>
      </c>
    </row>
    <row r="70" spans="1:18" x14ac:dyDescent="0.25">
      <c r="A70" s="11" t="s">
        <v>203</v>
      </c>
      <c r="B70" s="13">
        <v>6036</v>
      </c>
      <c r="C70" s="14">
        <f>(5036/B70*100)</f>
        <v>83.432736911862165</v>
      </c>
      <c r="D70" s="15">
        <v>1000</v>
      </c>
      <c r="E70" s="14">
        <v>41.992813220000002</v>
      </c>
      <c r="F70" s="16">
        <v>1.7100487799999999</v>
      </c>
      <c r="G70" s="14">
        <v>58.007186779999998</v>
      </c>
      <c r="H70" s="16">
        <v>1.7100487799999999</v>
      </c>
      <c r="I70" s="14" t="s">
        <v>139</v>
      </c>
      <c r="J70" s="16" t="s">
        <v>139</v>
      </c>
      <c r="K70" s="14">
        <v>0</v>
      </c>
      <c r="L70" s="16">
        <v>0</v>
      </c>
      <c r="M70" s="14">
        <v>0</v>
      </c>
      <c r="N70" s="16">
        <v>0</v>
      </c>
      <c r="O70" s="14">
        <v>0</v>
      </c>
      <c r="P70" s="16">
        <v>0</v>
      </c>
      <c r="Q70" s="14">
        <v>0</v>
      </c>
      <c r="R70" s="16">
        <v>0</v>
      </c>
    </row>
    <row r="71" spans="1:18" x14ac:dyDescent="0.25">
      <c r="A71" s="11" t="s">
        <v>204</v>
      </c>
      <c r="B71" s="17" t="s">
        <v>154</v>
      </c>
      <c r="C71" s="17" t="s">
        <v>154</v>
      </c>
      <c r="D71" s="18" t="s">
        <v>154</v>
      </c>
      <c r="E71" s="17" t="s">
        <v>154</v>
      </c>
      <c r="F71" s="18" t="s">
        <v>154</v>
      </c>
      <c r="G71" s="17" t="s">
        <v>154</v>
      </c>
      <c r="H71" s="18" t="s">
        <v>154</v>
      </c>
      <c r="I71" s="17" t="s">
        <v>154</v>
      </c>
      <c r="J71" s="18" t="s">
        <v>154</v>
      </c>
      <c r="K71" s="17" t="s">
        <v>154</v>
      </c>
      <c r="L71" s="18" t="s">
        <v>154</v>
      </c>
      <c r="M71" s="17" t="s">
        <v>154</v>
      </c>
      <c r="N71" s="18" t="s">
        <v>154</v>
      </c>
      <c r="O71" s="17" t="s">
        <v>154</v>
      </c>
      <c r="P71" s="18" t="s">
        <v>154</v>
      </c>
      <c r="Q71" s="17" t="s">
        <v>154</v>
      </c>
      <c r="R71" s="18" t="s">
        <v>154</v>
      </c>
    </row>
    <row r="72" spans="1:18" x14ac:dyDescent="0.25">
      <c r="A72" s="11" t="s">
        <v>205</v>
      </c>
      <c r="B72" s="13">
        <v>7708</v>
      </c>
      <c r="C72" s="14">
        <f>(6391/B72*100)</f>
        <v>82.913855734302018</v>
      </c>
      <c r="D72" s="15">
        <v>1317</v>
      </c>
      <c r="E72" s="14">
        <v>32.33020114</v>
      </c>
      <c r="F72" s="16">
        <v>1.21497213</v>
      </c>
      <c r="G72" s="14">
        <v>67.66979886</v>
      </c>
      <c r="H72" s="16">
        <v>1.21497213</v>
      </c>
      <c r="I72" s="14" t="s">
        <v>139</v>
      </c>
      <c r="J72" s="16" t="s">
        <v>139</v>
      </c>
      <c r="K72" s="14">
        <v>0</v>
      </c>
      <c r="L72" s="16">
        <v>0</v>
      </c>
      <c r="M72" s="14">
        <v>0</v>
      </c>
      <c r="N72" s="16">
        <v>0</v>
      </c>
      <c r="O72" s="14">
        <v>0</v>
      </c>
      <c r="P72" s="16">
        <v>0</v>
      </c>
      <c r="Q72" s="14">
        <v>0</v>
      </c>
      <c r="R72" s="16">
        <v>0</v>
      </c>
    </row>
    <row r="73" spans="1:18" x14ac:dyDescent="0.25">
      <c r="A73" s="11" t="s">
        <v>206</v>
      </c>
      <c r="B73" s="13">
        <v>8249</v>
      </c>
      <c r="C73" s="14">
        <f>(6936/B73*100)</f>
        <v>84.082919141714157</v>
      </c>
      <c r="D73" s="15">
        <v>1313</v>
      </c>
      <c r="E73" s="14">
        <v>47.573653059999998</v>
      </c>
      <c r="F73" s="16">
        <v>1.65562272</v>
      </c>
      <c r="G73" s="14">
        <v>52.426346940000002</v>
      </c>
      <c r="H73" s="16">
        <v>1.65562272</v>
      </c>
      <c r="I73" s="14" t="s">
        <v>139</v>
      </c>
      <c r="J73" s="16" t="s">
        <v>139</v>
      </c>
      <c r="K73" s="14">
        <v>0</v>
      </c>
      <c r="L73" s="16">
        <v>0</v>
      </c>
      <c r="M73" s="14">
        <v>0</v>
      </c>
      <c r="N73" s="16">
        <v>0</v>
      </c>
      <c r="O73" s="14">
        <v>0</v>
      </c>
      <c r="P73" s="16">
        <v>0</v>
      </c>
      <c r="Q73" s="14">
        <v>0</v>
      </c>
      <c r="R73" s="16">
        <v>0</v>
      </c>
    </row>
    <row r="74" spans="1:18" x14ac:dyDescent="0.25">
      <c r="A74" s="11" t="s">
        <v>207</v>
      </c>
      <c r="B74" s="17" t="s">
        <v>154</v>
      </c>
      <c r="C74" s="17" t="s">
        <v>154</v>
      </c>
      <c r="D74" s="18" t="s">
        <v>154</v>
      </c>
      <c r="E74" s="17" t="s">
        <v>154</v>
      </c>
      <c r="F74" s="18" t="s">
        <v>154</v>
      </c>
      <c r="G74" s="17" t="s">
        <v>154</v>
      </c>
      <c r="H74" s="18" t="s">
        <v>154</v>
      </c>
      <c r="I74" s="17" t="s">
        <v>154</v>
      </c>
      <c r="J74" s="18" t="s">
        <v>154</v>
      </c>
      <c r="K74" s="17" t="s">
        <v>154</v>
      </c>
      <c r="L74" s="18" t="s">
        <v>154</v>
      </c>
      <c r="M74" s="17" t="s">
        <v>154</v>
      </c>
      <c r="N74" s="18" t="s">
        <v>154</v>
      </c>
      <c r="O74" s="17" t="s">
        <v>154</v>
      </c>
      <c r="P74" s="18" t="s">
        <v>154</v>
      </c>
      <c r="Q74" s="17" t="s">
        <v>154</v>
      </c>
      <c r="R74" s="18" t="s">
        <v>154</v>
      </c>
    </row>
    <row r="75" spans="1:18" x14ac:dyDescent="0.25">
      <c r="A75" s="11" t="s">
        <v>208</v>
      </c>
      <c r="B75" s="13">
        <v>5375</v>
      </c>
      <c r="C75" s="14">
        <f>(4541/B75*100)</f>
        <v>84.48372093023255</v>
      </c>
      <c r="D75" s="15">
        <v>834</v>
      </c>
      <c r="E75" s="14">
        <v>65.126544760000002</v>
      </c>
      <c r="F75" s="16">
        <v>1.63565155</v>
      </c>
      <c r="G75" s="14">
        <v>34.873455239999998</v>
      </c>
      <c r="H75" s="16">
        <v>1.63565155</v>
      </c>
      <c r="I75" s="14" t="s">
        <v>139</v>
      </c>
      <c r="J75" s="16" t="s">
        <v>139</v>
      </c>
      <c r="K75" s="14">
        <v>0</v>
      </c>
      <c r="L75" s="16">
        <v>0</v>
      </c>
      <c r="M75" s="14">
        <v>0</v>
      </c>
      <c r="N75" s="16">
        <v>0</v>
      </c>
      <c r="O75" s="14">
        <v>0</v>
      </c>
      <c r="P75" s="16">
        <v>0</v>
      </c>
      <c r="Q75" s="14">
        <v>0</v>
      </c>
      <c r="R75" s="16">
        <v>0</v>
      </c>
    </row>
    <row r="76" spans="1:18" x14ac:dyDescent="0.25">
      <c r="A76" s="11" t="s">
        <v>209</v>
      </c>
      <c r="B76" s="13">
        <v>14167</v>
      </c>
      <c r="C76" s="14">
        <f>(11797/B76*100)</f>
        <v>83.270981859250369</v>
      </c>
      <c r="D76" s="15">
        <v>2370</v>
      </c>
      <c r="E76" s="14">
        <v>53.881290139999997</v>
      </c>
      <c r="F76" s="16">
        <v>1.31244703</v>
      </c>
      <c r="G76" s="14">
        <v>46.118709860000003</v>
      </c>
      <c r="H76" s="16">
        <v>1.31244703</v>
      </c>
      <c r="I76" s="14" t="s">
        <v>139</v>
      </c>
      <c r="J76" s="16" t="s">
        <v>139</v>
      </c>
      <c r="K76" s="14">
        <v>0</v>
      </c>
      <c r="L76" s="16">
        <v>0</v>
      </c>
      <c r="M76" s="14">
        <v>0</v>
      </c>
      <c r="N76" s="16">
        <v>0</v>
      </c>
      <c r="O76" s="14">
        <v>0</v>
      </c>
      <c r="P76" s="16">
        <v>0</v>
      </c>
      <c r="Q76" s="14">
        <v>0</v>
      </c>
      <c r="R76" s="16">
        <v>0</v>
      </c>
    </row>
    <row r="77" spans="1:18" x14ac:dyDescent="0.25">
      <c r="A77" s="11" t="s">
        <v>210</v>
      </c>
      <c r="B77" s="13">
        <v>6062</v>
      </c>
      <c r="C77" s="14">
        <f>(5056/B77*100)</f>
        <v>83.404816892114809</v>
      </c>
      <c r="D77" s="15">
        <v>1006</v>
      </c>
      <c r="E77" s="14">
        <v>47.43122778</v>
      </c>
      <c r="F77" s="16">
        <v>1.6708280600000001</v>
      </c>
      <c r="G77" s="14">
        <v>52.56877222</v>
      </c>
      <c r="H77" s="16">
        <v>1.6708280600000001</v>
      </c>
      <c r="I77" s="14" t="s">
        <v>139</v>
      </c>
      <c r="J77" s="16" t="s">
        <v>139</v>
      </c>
      <c r="K77" s="14">
        <v>0</v>
      </c>
      <c r="L77" s="16">
        <v>0</v>
      </c>
      <c r="M77" s="14">
        <v>0</v>
      </c>
      <c r="N77" s="16">
        <v>0</v>
      </c>
      <c r="O77" s="14">
        <v>0</v>
      </c>
      <c r="P77" s="16">
        <v>0</v>
      </c>
      <c r="Q77" s="14">
        <v>0</v>
      </c>
      <c r="R77" s="16">
        <v>0</v>
      </c>
    </row>
    <row r="78" spans="1:18" x14ac:dyDescent="0.25">
      <c r="A78" s="11" t="s">
        <v>211</v>
      </c>
      <c r="B78" s="17" t="s">
        <v>154</v>
      </c>
      <c r="C78" s="17" t="s">
        <v>154</v>
      </c>
      <c r="D78" s="18" t="s">
        <v>154</v>
      </c>
      <c r="E78" s="17" t="s">
        <v>154</v>
      </c>
      <c r="F78" s="18" t="s">
        <v>154</v>
      </c>
      <c r="G78" s="17" t="s">
        <v>154</v>
      </c>
      <c r="H78" s="18" t="s">
        <v>154</v>
      </c>
      <c r="I78" s="17" t="s">
        <v>154</v>
      </c>
      <c r="J78" s="18" t="s">
        <v>154</v>
      </c>
      <c r="K78" s="17" t="s">
        <v>154</v>
      </c>
      <c r="L78" s="18" t="s">
        <v>154</v>
      </c>
      <c r="M78" s="17" t="s">
        <v>154</v>
      </c>
      <c r="N78" s="18" t="s">
        <v>154</v>
      </c>
      <c r="O78" s="17" t="s">
        <v>154</v>
      </c>
      <c r="P78" s="18" t="s">
        <v>154</v>
      </c>
      <c r="Q78" s="17" t="s">
        <v>154</v>
      </c>
      <c r="R78" s="18" t="s">
        <v>154</v>
      </c>
    </row>
    <row r="79" spans="1:18" ht="24.95" customHeight="1" x14ac:dyDescent="0.25">
      <c r="A79" s="11" t="s">
        <v>212</v>
      </c>
      <c r="B79" s="17" t="s">
        <v>154</v>
      </c>
      <c r="C79" s="17" t="s">
        <v>154</v>
      </c>
      <c r="D79" s="18" t="s">
        <v>154</v>
      </c>
      <c r="E79" s="17" t="s">
        <v>154</v>
      </c>
      <c r="F79" s="18" t="s">
        <v>154</v>
      </c>
      <c r="G79" s="17" t="s">
        <v>154</v>
      </c>
      <c r="H79" s="18" t="s">
        <v>154</v>
      </c>
      <c r="I79" s="17" t="s">
        <v>154</v>
      </c>
      <c r="J79" s="18" t="s">
        <v>154</v>
      </c>
      <c r="K79" s="17" t="s">
        <v>154</v>
      </c>
      <c r="L79" s="18" t="s">
        <v>154</v>
      </c>
      <c r="M79" s="17" t="s">
        <v>154</v>
      </c>
      <c r="N79" s="18" t="s">
        <v>154</v>
      </c>
      <c r="O79" s="17" t="s">
        <v>154</v>
      </c>
      <c r="P79" s="18" t="s">
        <v>154</v>
      </c>
      <c r="Q79" s="17" t="s">
        <v>154</v>
      </c>
      <c r="R79" s="18" t="s">
        <v>154</v>
      </c>
    </row>
    <row r="80" spans="1:18" x14ac:dyDescent="0.25">
      <c r="A80" s="11" t="s">
        <v>213</v>
      </c>
      <c r="B80" s="17" t="s">
        <v>154</v>
      </c>
      <c r="C80" s="17" t="s">
        <v>154</v>
      </c>
      <c r="D80" s="18" t="s">
        <v>154</v>
      </c>
      <c r="E80" s="17" t="s">
        <v>154</v>
      </c>
      <c r="F80" s="18" t="s">
        <v>154</v>
      </c>
      <c r="G80" s="17" t="s">
        <v>154</v>
      </c>
      <c r="H80" s="18" t="s">
        <v>154</v>
      </c>
      <c r="I80" s="17" t="s">
        <v>154</v>
      </c>
      <c r="J80" s="18" t="s">
        <v>154</v>
      </c>
      <c r="K80" s="17" t="s">
        <v>154</v>
      </c>
      <c r="L80" s="18" t="s">
        <v>154</v>
      </c>
      <c r="M80" s="17" t="s">
        <v>154</v>
      </c>
      <c r="N80" s="18" t="s">
        <v>154</v>
      </c>
      <c r="O80" s="17" t="s">
        <v>154</v>
      </c>
      <c r="P80" s="18" t="s">
        <v>154</v>
      </c>
      <c r="Q80" s="17" t="s">
        <v>154</v>
      </c>
      <c r="R80" s="18" t="s">
        <v>154</v>
      </c>
    </row>
    <row r="81" spans="1:18" x14ac:dyDescent="0.25">
      <c r="A81" s="19" t="s">
        <v>214</v>
      </c>
      <c r="B81" s="13">
        <v>8861</v>
      </c>
      <c r="C81" s="14">
        <f>(7328/B81*100)</f>
        <v>82.699469585825526</v>
      </c>
      <c r="D81" s="15">
        <v>1533</v>
      </c>
      <c r="E81" s="14">
        <v>54.201022879999996</v>
      </c>
      <c r="F81" s="16">
        <v>1.69573782</v>
      </c>
      <c r="G81" s="14">
        <v>45.798977120000004</v>
      </c>
      <c r="H81" s="16">
        <v>1.69573782</v>
      </c>
      <c r="I81" s="14" t="s">
        <v>139</v>
      </c>
      <c r="J81" s="16" t="s">
        <v>139</v>
      </c>
      <c r="K81" s="14">
        <v>0</v>
      </c>
      <c r="L81" s="16">
        <v>0</v>
      </c>
      <c r="M81" s="14">
        <v>0</v>
      </c>
      <c r="N81" s="16">
        <v>0</v>
      </c>
      <c r="O81" s="14">
        <v>0</v>
      </c>
      <c r="P81" s="16">
        <v>0</v>
      </c>
      <c r="Q81" s="14">
        <v>0</v>
      </c>
      <c r="R81" s="16">
        <v>0</v>
      </c>
    </row>
    <row r="82" spans="1:18" x14ac:dyDescent="0.25">
      <c r="A82" s="20"/>
      <c r="B82" s="20" t="s">
        <v>215</v>
      </c>
      <c r="C82" s="20" t="s">
        <v>215</v>
      </c>
      <c r="D82" s="20" t="s">
        <v>215</v>
      </c>
      <c r="E82" s="20" t="s">
        <v>215</v>
      </c>
      <c r="F82" s="20" t="s">
        <v>215</v>
      </c>
      <c r="G82" s="20" t="s">
        <v>215</v>
      </c>
      <c r="H82" s="20" t="s">
        <v>215</v>
      </c>
      <c r="I82" s="20" t="s">
        <v>215</v>
      </c>
      <c r="J82" s="20" t="s">
        <v>215</v>
      </c>
      <c r="K82" s="20" t="s">
        <v>215</v>
      </c>
      <c r="L82" s="20" t="s">
        <v>215</v>
      </c>
      <c r="M82" s="20" t="s">
        <v>215</v>
      </c>
      <c r="N82" s="20" t="s">
        <v>215</v>
      </c>
      <c r="O82" s="20" t="s">
        <v>215</v>
      </c>
      <c r="P82" s="20" t="s">
        <v>215</v>
      </c>
      <c r="Q82" s="20" t="s">
        <v>215</v>
      </c>
      <c r="R82" s="20" t="s">
        <v>215</v>
      </c>
    </row>
    <row r="83" spans="1:18" x14ac:dyDescent="0.25">
      <c r="A83" s="3" t="s">
        <v>216</v>
      </c>
    </row>
    <row r="84" spans="1:18" x14ac:dyDescent="0.25">
      <c r="A84" s="22" t="s">
        <v>217</v>
      </c>
      <c r="B84" s="23"/>
      <c r="C84" s="23"/>
      <c r="D84" s="23"/>
      <c r="E84" s="23"/>
      <c r="F84" s="23"/>
      <c r="G84" s="23"/>
      <c r="H84" s="23"/>
      <c r="I84" s="23"/>
      <c r="J84" s="23"/>
      <c r="K84" s="23"/>
      <c r="L84" s="23"/>
      <c r="M84" s="23"/>
      <c r="N84" s="23"/>
      <c r="O84" s="23"/>
      <c r="P84" s="23"/>
      <c r="Q84" s="23"/>
      <c r="R84" s="23"/>
    </row>
    <row r="85" spans="1:18" x14ac:dyDescent="0.25">
      <c r="A85" s="22" t="s">
        <v>218</v>
      </c>
      <c r="B85" s="23"/>
      <c r="C85" s="23"/>
      <c r="D85" s="23"/>
      <c r="E85" s="23"/>
      <c r="F85" s="23"/>
      <c r="G85" s="23"/>
      <c r="H85" s="23"/>
      <c r="I85" s="23"/>
      <c r="J85" s="23"/>
      <c r="K85" s="23"/>
      <c r="L85" s="23"/>
      <c r="M85" s="23"/>
      <c r="N85" s="23"/>
      <c r="O85" s="23"/>
      <c r="P85" s="23"/>
      <c r="Q85" s="23"/>
      <c r="R85" s="23"/>
    </row>
    <row r="86" spans="1:18" ht="30" customHeight="1" x14ac:dyDescent="0.25">
      <c r="A86" s="22" t="s">
        <v>219</v>
      </c>
      <c r="B86" s="23"/>
      <c r="C86" s="23"/>
      <c r="D86" s="23"/>
      <c r="E86" s="23"/>
      <c r="F86" s="23"/>
      <c r="G86" s="23"/>
      <c r="H86" s="23"/>
      <c r="I86" s="23"/>
      <c r="J86" s="23"/>
      <c r="K86" s="23"/>
      <c r="L86" s="23"/>
      <c r="M86" s="23"/>
      <c r="N86" s="23"/>
      <c r="O86" s="23"/>
      <c r="P86" s="23"/>
      <c r="Q86" s="23"/>
      <c r="R86" s="23"/>
    </row>
    <row r="87" spans="1:18" ht="30" customHeight="1" x14ac:dyDescent="0.25">
      <c r="A87" s="22" t="s">
        <v>215</v>
      </c>
      <c r="B87" s="23"/>
      <c r="C87" s="23"/>
      <c r="D87" s="23"/>
      <c r="E87" s="23"/>
      <c r="F87" s="23"/>
      <c r="G87" s="23"/>
      <c r="H87" s="23"/>
      <c r="I87" s="23"/>
      <c r="J87" s="23"/>
      <c r="K87" s="23"/>
      <c r="L87" s="23"/>
      <c r="M87" s="23"/>
      <c r="N87" s="23"/>
      <c r="O87" s="23"/>
      <c r="P87" s="23"/>
      <c r="Q87" s="23"/>
      <c r="R87" s="23"/>
    </row>
    <row r="88" spans="1:18" ht="30" customHeight="1" x14ac:dyDescent="0.25">
      <c r="A88" s="22" t="s">
        <v>220</v>
      </c>
      <c r="B88" s="23"/>
      <c r="C88" s="23"/>
      <c r="D88" s="23"/>
      <c r="E88" s="23"/>
      <c r="F88" s="23"/>
      <c r="G88" s="23"/>
      <c r="H88" s="23"/>
      <c r="I88" s="23"/>
      <c r="J88" s="23"/>
      <c r="K88" s="23"/>
      <c r="L88" s="23"/>
      <c r="M88" s="23"/>
      <c r="N88" s="23"/>
      <c r="O88" s="23"/>
      <c r="P88" s="23"/>
      <c r="Q88" s="23"/>
      <c r="R88" s="23"/>
    </row>
    <row r="89" spans="1:18" ht="30" customHeight="1" x14ac:dyDescent="0.25">
      <c r="A89" s="22" t="s">
        <v>221</v>
      </c>
      <c r="B89" s="23"/>
      <c r="C89" s="23"/>
      <c r="D89" s="23"/>
      <c r="E89" s="23"/>
      <c r="F89" s="23"/>
      <c r="G89" s="23"/>
      <c r="H89" s="23"/>
      <c r="I89" s="23"/>
      <c r="J89" s="23"/>
      <c r="K89" s="23"/>
      <c r="L89" s="23"/>
      <c r="M89" s="23"/>
      <c r="N89" s="23"/>
      <c r="O89" s="23"/>
      <c r="P89" s="23"/>
      <c r="Q89" s="23"/>
      <c r="R89" s="23"/>
    </row>
    <row r="90" spans="1:18" ht="30" customHeight="1" x14ac:dyDescent="0.25">
      <c r="A90" s="22" t="s">
        <v>222</v>
      </c>
      <c r="B90" s="23"/>
      <c r="C90" s="23"/>
      <c r="D90" s="23"/>
      <c r="E90" s="23"/>
      <c r="F90" s="23"/>
      <c r="G90" s="23"/>
      <c r="H90" s="23"/>
      <c r="I90" s="23"/>
      <c r="J90" s="23"/>
      <c r="K90" s="23"/>
      <c r="L90" s="23"/>
      <c r="M90" s="23"/>
      <c r="N90" s="23"/>
      <c r="O90" s="23"/>
      <c r="P90" s="23"/>
      <c r="Q90" s="23"/>
      <c r="R90" s="23"/>
    </row>
    <row r="91" spans="1:18" ht="30" customHeight="1" x14ac:dyDescent="0.25">
      <c r="A91" s="22" t="s">
        <v>223</v>
      </c>
      <c r="B91" s="23"/>
      <c r="C91" s="23"/>
      <c r="D91" s="23"/>
      <c r="E91" s="23"/>
      <c r="F91" s="23"/>
      <c r="G91" s="23"/>
      <c r="H91" s="23"/>
      <c r="I91" s="23"/>
      <c r="J91" s="23"/>
      <c r="K91" s="23"/>
      <c r="L91" s="23"/>
      <c r="M91" s="23"/>
      <c r="N91" s="23"/>
      <c r="O91" s="23"/>
      <c r="P91" s="23"/>
      <c r="Q91" s="23"/>
      <c r="R91" s="23"/>
    </row>
    <row r="92" spans="1:18" ht="30" customHeight="1" x14ac:dyDescent="0.25">
      <c r="A92" s="22" t="s">
        <v>224</v>
      </c>
      <c r="B92" s="23"/>
      <c r="C92" s="23"/>
      <c r="D92" s="23"/>
      <c r="E92" s="23"/>
      <c r="F92" s="23"/>
      <c r="G92" s="23"/>
      <c r="H92" s="23"/>
      <c r="I92" s="23"/>
      <c r="J92" s="23"/>
      <c r="K92" s="23"/>
      <c r="L92" s="23"/>
      <c r="M92" s="23"/>
      <c r="N92" s="23"/>
      <c r="O92" s="23"/>
      <c r="P92" s="23"/>
      <c r="Q92" s="23"/>
      <c r="R92" s="23"/>
    </row>
    <row r="93" spans="1:18" ht="30" customHeight="1" x14ac:dyDescent="0.25">
      <c r="A93" s="22" t="s">
        <v>225</v>
      </c>
      <c r="B93" s="23"/>
      <c r="C93" s="23"/>
      <c r="D93" s="23"/>
      <c r="E93" s="23"/>
      <c r="F93" s="23"/>
      <c r="G93" s="23"/>
      <c r="H93" s="23"/>
      <c r="I93" s="23"/>
      <c r="J93" s="23"/>
      <c r="K93" s="23"/>
      <c r="L93" s="23"/>
      <c r="M93" s="23"/>
      <c r="N93" s="23"/>
      <c r="O93" s="23"/>
      <c r="P93" s="23"/>
      <c r="Q93" s="23"/>
      <c r="R93" s="23"/>
    </row>
    <row r="94" spans="1:18" ht="30" customHeight="1" x14ac:dyDescent="0.25">
      <c r="A94" s="22" t="s">
        <v>226</v>
      </c>
      <c r="B94" s="23"/>
      <c r="C94" s="23"/>
      <c r="D94" s="23"/>
      <c r="E94" s="23"/>
      <c r="F94" s="23"/>
      <c r="G94" s="23"/>
      <c r="H94" s="23"/>
      <c r="I94" s="23"/>
      <c r="J94" s="23"/>
      <c r="K94" s="23"/>
      <c r="L94" s="23"/>
      <c r="M94" s="23"/>
      <c r="N94" s="23"/>
      <c r="O94" s="23"/>
      <c r="P94" s="23"/>
      <c r="Q94" s="23"/>
      <c r="R94" s="23"/>
    </row>
    <row r="95" spans="1:18" ht="30" customHeight="1" x14ac:dyDescent="0.25">
      <c r="A95" s="22" t="s">
        <v>227</v>
      </c>
      <c r="B95" s="23"/>
      <c r="C95" s="23"/>
      <c r="D95" s="23"/>
      <c r="E95" s="23"/>
      <c r="F95" s="23"/>
      <c r="G95" s="23"/>
      <c r="H95" s="23"/>
      <c r="I95" s="23"/>
      <c r="J95" s="23"/>
      <c r="K95" s="23"/>
      <c r="L95" s="23"/>
      <c r="M95" s="23"/>
      <c r="N95" s="23"/>
      <c r="O95" s="23"/>
      <c r="P95" s="23"/>
      <c r="Q95" s="23"/>
      <c r="R95" s="23"/>
    </row>
    <row r="96" spans="1:18" ht="30" customHeight="1" x14ac:dyDescent="0.25">
      <c r="A96" s="22" t="s">
        <v>228</v>
      </c>
      <c r="B96" s="23"/>
      <c r="C96" s="23"/>
      <c r="D96" s="23"/>
      <c r="E96" s="23"/>
      <c r="F96" s="23"/>
      <c r="G96" s="23"/>
      <c r="H96" s="23"/>
      <c r="I96" s="23"/>
      <c r="J96" s="23"/>
      <c r="K96" s="23"/>
      <c r="L96" s="23"/>
      <c r="M96" s="23"/>
      <c r="N96" s="23"/>
      <c r="O96" s="23"/>
      <c r="P96" s="23"/>
      <c r="Q96" s="23"/>
      <c r="R96" s="23"/>
    </row>
  </sheetData>
  <mergeCells count="22">
    <mergeCell ref="O4:P4"/>
    <mergeCell ref="Q4:R4"/>
    <mergeCell ref="A1:R1"/>
    <mergeCell ref="A2:R2"/>
    <mergeCell ref="A84:R84"/>
    <mergeCell ref="E4:F4"/>
    <mergeCell ref="G4:H4"/>
    <mergeCell ref="I4:J4"/>
    <mergeCell ref="K4:L4"/>
    <mergeCell ref="M4:N4"/>
    <mergeCell ref="A85:R85"/>
    <mergeCell ref="A86:R86"/>
    <mergeCell ref="A87:R87"/>
    <mergeCell ref="A88:R88"/>
    <mergeCell ref="A89:R89"/>
    <mergeCell ref="A95:R95"/>
    <mergeCell ref="A96:R96"/>
    <mergeCell ref="A90:R90"/>
    <mergeCell ref="A91:R91"/>
    <mergeCell ref="A92:R92"/>
    <mergeCell ref="A93:R93"/>
    <mergeCell ref="A94:R94"/>
  </mergeCells>
  <pageMargins left="0.75" right="0.75" top="1" bottom="1" header="0.5" footer="0.5"/>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4"/>
  <dimension ref="A1:R96"/>
  <sheetViews>
    <sheetView zoomScale="80" workbookViewId="0">
      <pane xSplit="4" topLeftCell="E1" activePane="topRight" state="frozen"/>
      <selection sqref="A1:R1"/>
      <selection pane="topRight" sqref="A1:R1"/>
    </sheetView>
  </sheetViews>
  <sheetFormatPr defaultColWidth="11.42578125" defaultRowHeight="15" x14ac:dyDescent="0.25"/>
  <cols>
    <col min="1" max="1" width="50" customWidth="1"/>
  </cols>
  <sheetData>
    <row r="1" spans="1:18" x14ac:dyDescent="0.25">
      <c r="A1" s="26" t="s">
        <v>122</v>
      </c>
      <c r="B1" s="23"/>
      <c r="C1" s="23"/>
      <c r="D1" s="23"/>
      <c r="E1" s="23"/>
      <c r="F1" s="23"/>
      <c r="G1" s="23"/>
      <c r="H1" s="23"/>
      <c r="I1" s="23"/>
      <c r="J1" s="23"/>
      <c r="K1" s="23"/>
      <c r="L1" s="23"/>
      <c r="M1" s="23"/>
      <c r="N1" s="23"/>
      <c r="O1" s="23"/>
      <c r="P1" s="23"/>
      <c r="Q1" s="23"/>
      <c r="R1" s="23"/>
    </row>
    <row r="2" spans="1:18" x14ac:dyDescent="0.25">
      <c r="A2" s="27" t="s">
        <v>260</v>
      </c>
      <c r="B2" s="23"/>
      <c r="C2" s="23"/>
      <c r="D2" s="23"/>
      <c r="E2" s="23"/>
      <c r="F2" s="23"/>
      <c r="G2" s="23"/>
      <c r="H2" s="23"/>
      <c r="I2" s="23"/>
      <c r="J2" s="23"/>
      <c r="K2" s="23"/>
      <c r="L2" s="23"/>
      <c r="M2" s="23"/>
      <c r="N2" s="23"/>
      <c r="O2" s="23"/>
      <c r="P2" s="23"/>
      <c r="Q2" s="23"/>
      <c r="R2" s="23"/>
    </row>
    <row r="4" spans="1:18" ht="30" customHeight="1" x14ac:dyDescent="0.25">
      <c r="A4" s="4"/>
      <c r="B4" s="5" t="s">
        <v>123</v>
      </c>
      <c r="C4" s="5" t="s">
        <v>124</v>
      </c>
      <c r="D4" s="6" t="s">
        <v>123</v>
      </c>
      <c r="E4" s="24" t="s">
        <v>125</v>
      </c>
      <c r="F4" s="25"/>
      <c r="G4" s="24" t="s">
        <v>126</v>
      </c>
      <c r="H4" s="25"/>
      <c r="I4" s="24" t="s">
        <v>127</v>
      </c>
      <c r="J4" s="25"/>
      <c r="K4" s="24" t="s">
        <v>128</v>
      </c>
      <c r="L4" s="25"/>
      <c r="M4" s="24" t="s">
        <v>129</v>
      </c>
      <c r="N4" s="25"/>
      <c r="O4" s="24" t="s">
        <v>130</v>
      </c>
      <c r="P4" s="25"/>
      <c r="Q4" s="24" t="s">
        <v>131</v>
      </c>
      <c r="R4" s="25"/>
    </row>
    <row r="5" spans="1:18" x14ac:dyDescent="0.25">
      <c r="A5" s="7"/>
      <c r="B5" s="8" t="s">
        <v>132</v>
      </c>
      <c r="C5" s="8" t="s">
        <v>133</v>
      </c>
      <c r="D5" s="7" t="s">
        <v>134</v>
      </c>
      <c r="E5" s="8" t="s">
        <v>135</v>
      </c>
      <c r="F5" s="7" t="s">
        <v>136</v>
      </c>
      <c r="G5" s="8" t="s">
        <v>135</v>
      </c>
      <c r="H5" s="7" t="s">
        <v>136</v>
      </c>
      <c r="I5" s="8" t="s">
        <v>135</v>
      </c>
      <c r="J5" s="7" t="s">
        <v>136</v>
      </c>
      <c r="K5" s="8" t="s">
        <v>135</v>
      </c>
      <c r="L5" s="7" t="s">
        <v>136</v>
      </c>
      <c r="M5" s="8" t="s">
        <v>135</v>
      </c>
      <c r="N5" s="7" t="s">
        <v>136</v>
      </c>
      <c r="O5" s="8" t="s">
        <v>135</v>
      </c>
      <c r="P5" s="7" t="s">
        <v>136</v>
      </c>
      <c r="Q5" s="8" t="s">
        <v>135</v>
      </c>
      <c r="R5" s="7" t="s">
        <v>136</v>
      </c>
    </row>
    <row r="6" spans="1:18" x14ac:dyDescent="0.25">
      <c r="A6" s="9" t="s">
        <v>137</v>
      </c>
      <c r="B6" s="10"/>
      <c r="C6" s="10"/>
      <c r="D6" s="11"/>
      <c r="E6" s="10"/>
      <c r="F6" s="11"/>
      <c r="G6" s="10"/>
      <c r="H6" s="11"/>
      <c r="I6" s="10"/>
      <c r="J6" s="11"/>
      <c r="K6" s="10"/>
      <c r="L6" s="11"/>
      <c r="M6" s="10"/>
      <c r="N6" s="11"/>
      <c r="O6" s="10"/>
      <c r="P6" s="11"/>
      <c r="Q6" s="10"/>
      <c r="R6" s="12"/>
    </row>
    <row r="7" spans="1:18" x14ac:dyDescent="0.25">
      <c r="A7" s="11" t="s">
        <v>138</v>
      </c>
      <c r="B7" s="13">
        <v>14530</v>
      </c>
      <c r="C7" s="14">
        <f>(12127/B7*100)</f>
        <v>83.461803165863728</v>
      </c>
      <c r="D7" s="15">
        <v>2403</v>
      </c>
      <c r="E7" s="14">
        <v>64.114887249999995</v>
      </c>
      <c r="F7" s="16">
        <v>1.13619819</v>
      </c>
      <c r="G7" s="14">
        <v>35.885112749999998</v>
      </c>
      <c r="H7" s="16">
        <v>1.13619819</v>
      </c>
      <c r="I7" s="14" t="s">
        <v>139</v>
      </c>
      <c r="J7" s="16" t="s">
        <v>139</v>
      </c>
      <c r="K7" s="14">
        <v>0</v>
      </c>
      <c r="L7" s="16">
        <v>0</v>
      </c>
      <c r="M7" s="14">
        <v>0</v>
      </c>
      <c r="N7" s="16">
        <v>0</v>
      </c>
      <c r="O7" s="14">
        <v>0</v>
      </c>
      <c r="P7" s="16">
        <v>0</v>
      </c>
      <c r="Q7" s="14">
        <v>0</v>
      </c>
      <c r="R7" s="16">
        <v>0</v>
      </c>
    </row>
    <row r="8" spans="1:18" x14ac:dyDescent="0.25">
      <c r="A8" s="11" t="s">
        <v>140</v>
      </c>
      <c r="B8" s="13">
        <v>7007</v>
      </c>
      <c r="C8" s="14">
        <f>(5802/B8*100)</f>
        <v>82.802911374339942</v>
      </c>
      <c r="D8" s="15">
        <v>1205</v>
      </c>
      <c r="E8" s="14">
        <v>67.562166719999993</v>
      </c>
      <c r="F8" s="16">
        <v>1.33421053</v>
      </c>
      <c r="G8" s="14">
        <v>32.43783328</v>
      </c>
      <c r="H8" s="16">
        <v>1.33421053</v>
      </c>
      <c r="I8" s="14" t="s">
        <v>139</v>
      </c>
      <c r="J8" s="16" t="s">
        <v>139</v>
      </c>
      <c r="K8" s="14">
        <v>0</v>
      </c>
      <c r="L8" s="16">
        <v>0</v>
      </c>
      <c r="M8" s="14">
        <v>0</v>
      </c>
      <c r="N8" s="16">
        <v>0</v>
      </c>
      <c r="O8" s="14">
        <v>0</v>
      </c>
      <c r="P8" s="16">
        <v>0</v>
      </c>
      <c r="Q8" s="14">
        <v>0</v>
      </c>
      <c r="R8" s="16">
        <v>0</v>
      </c>
    </row>
    <row r="9" spans="1:18" x14ac:dyDescent="0.25">
      <c r="A9" s="11" t="s">
        <v>141</v>
      </c>
      <c r="B9" s="13">
        <v>9651</v>
      </c>
      <c r="C9" s="14">
        <f>(8069/B9*100)</f>
        <v>83.607916278105904</v>
      </c>
      <c r="D9" s="15">
        <v>1582</v>
      </c>
      <c r="E9" s="14">
        <v>65.284667979999995</v>
      </c>
      <c r="F9" s="16">
        <v>1.2527640900000001</v>
      </c>
      <c r="G9" s="14">
        <v>34.715332019999998</v>
      </c>
      <c r="H9" s="16">
        <v>1.2527640900000001</v>
      </c>
      <c r="I9" s="14" t="s">
        <v>139</v>
      </c>
      <c r="J9" s="16" t="s">
        <v>139</v>
      </c>
      <c r="K9" s="14">
        <v>0</v>
      </c>
      <c r="L9" s="16">
        <v>0</v>
      </c>
      <c r="M9" s="14">
        <v>0</v>
      </c>
      <c r="N9" s="16">
        <v>0</v>
      </c>
      <c r="O9" s="14">
        <v>0</v>
      </c>
      <c r="P9" s="16">
        <v>0</v>
      </c>
      <c r="Q9" s="14">
        <v>0</v>
      </c>
      <c r="R9" s="16">
        <v>0</v>
      </c>
    </row>
    <row r="10" spans="1:18" x14ac:dyDescent="0.25">
      <c r="A10" s="11" t="s">
        <v>142</v>
      </c>
      <c r="B10" s="13">
        <v>20058</v>
      </c>
      <c r="C10" s="14">
        <f>(16625/B10*100)</f>
        <v>82.884634559776643</v>
      </c>
      <c r="D10" s="15">
        <v>3433</v>
      </c>
      <c r="E10" s="14">
        <v>60.448777049999997</v>
      </c>
      <c r="F10" s="16">
        <v>1.1578908400000001</v>
      </c>
      <c r="G10" s="14">
        <v>39.551222950000003</v>
      </c>
      <c r="H10" s="16">
        <v>1.1578908400000001</v>
      </c>
      <c r="I10" s="14" t="s">
        <v>139</v>
      </c>
      <c r="J10" s="16" t="s">
        <v>139</v>
      </c>
      <c r="K10" s="14">
        <v>0</v>
      </c>
      <c r="L10" s="16">
        <v>0</v>
      </c>
      <c r="M10" s="14">
        <v>0</v>
      </c>
      <c r="N10" s="16">
        <v>0</v>
      </c>
      <c r="O10" s="14">
        <v>0</v>
      </c>
      <c r="P10" s="16">
        <v>0</v>
      </c>
      <c r="Q10" s="14">
        <v>0</v>
      </c>
      <c r="R10" s="16">
        <v>0</v>
      </c>
    </row>
    <row r="11" spans="1:18" x14ac:dyDescent="0.25">
      <c r="A11" s="11" t="s">
        <v>143</v>
      </c>
      <c r="B11" s="13">
        <v>7053</v>
      </c>
      <c r="C11" s="14">
        <f>(5877/B11*100)</f>
        <v>83.326244151424916</v>
      </c>
      <c r="D11" s="15">
        <v>1176</v>
      </c>
      <c r="E11" s="14">
        <v>75.139185139999995</v>
      </c>
      <c r="F11" s="16">
        <v>1.31952216</v>
      </c>
      <c r="G11" s="14">
        <v>24.860814860000001</v>
      </c>
      <c r="H11" s="16">
        <v>1.31952216</v>
      </c>
      <c r="I11" s="14" t="s">
        <v>139</v>
      </c>
      <c r="J11" s="16" t="s">
        <v>139</v>
      </c>
      <c r="K11" s="14">
        <v>0</v>
      </c>
      <c r="L11" s="16">
        <v>0</v>
      </c>
      <c r="M11" s="14">
        <v>0</v>
      </c>
      <c r="N11" s="16">
        <v>0</v>
      </c>
      <c r="O11" s="14">
        <v>0</v>
      </c>
      <c r="P11" s="16">
        <v>0</v>
      </c>
      <c r="Q11" s="14">
        <v>0</v>
      </c>
      <c r="R11" s="16">
        <v>0</v>
      </c>
    </row>
    <row r="12" spans="1:18" x14ac:dyDescent="0.25">
      <c r="A12" s="11" t="s">
        <v>144</v>
      </c>
      <c r="B12" s="13">
        <v>6894</v>
      </c>
      <c r="C12" s="14">
        <f>(5739/B12*100)</f>
        <v>83.246301131418619</v>
      </c>
      <c r="D12" s="15">
        <v>1155</v>
      </c>
      <c r="E12" s="14">
        <v>72.548527710000002</v>
      </c>
      <c r="F12" s="16">
        <v>1.6610328299999999</v>
      </c>
      <c r="G12" s="14">
        <v>27.451472290000002</v>
      </c>
      <c r="H12" s="16">
        <v>1.6610328299999999</v>
      </c>
      <c r="I12" s="14" t="s">
        <v>139</v>
      </c>
      <c r="J12" s="16" t="s">
        <v>139</v>
      </c>
      <c r="K12" s="14">
        <v>0</v>
      </c>
      <c r="L12" s="16">
        <v>0</v>
      </c>
      <c r="M12" s="14">
        <v>0</v>
      </c>
      <c r="N12" s="16">
        <v>0</v>
      </c>
      <c r="O12" s="14">
        <v>0</v>
      </c>
      <c r="P12" s="16">
        <v>0</v>
      </c>
      <c r="Q12" s="14">
        <v>0</v>
      </c>
      <c r="R12" s="16">
        <v>0</v>
      </c>
    </row>
    <row r="13" spans="1:18" x14ac:dyDescent="0.25">
      <c r="A13" s="11" t="s">
        <v>145</v>
      </c>
      <c r="B13" s="13">
        <v>7161</v>
      </c>
      <c r="C13" s="14">
        <f>(6011/B13*100)</f>
        <v>83.940790392403301</v>
      </c>
      <c r="D13" s="15">
        <v>1150</v>
      </c>
      <c r="E13" s="14">
        <v>68.973886769999993</v>
      </c>
      <c r="F13" s="16">
        <v>1.5282971999999999</v>
      </c>
      <c r="G13" s="14">
        <v>31.02611323</v>
      </c>
      <c r="H13" s="16">
        <v>1.5282971999999999</v>
      </c>
      <c r="I13" s="14" t="s">
        <v>139</v>
      </c>
      <c r="J13" s="16" t="s">
        <v>139</v>
      </c>
      <c r="K13" s="14">
        <v>0</v>
      </c>
      <c r="L13" s="16">
        <v>0</v>
      </c>
      <c r="M13" s="14">
        <v>0</v>
      </c>
      <c r="N13" s="16">
        <v>0</v>
      </c>
      <c r="O13" s="14">
        <v>0</v>
      </c>
      <c r="P13" s="16">
        <v>0</v>
      </c>
      <c r="Q13" s="14">
        <v>0</v>
      </c>
      <c r="R13" s="16">
        <v>0</v>
      </c>
    </row>
    <row r="14" spans="1:18" x14ac:dyDescent="0.25">
      <c r="A14" s="11" t="s">
        <v>146</v>
      </c>
      <c r="B14" s="13">
        <v>5587</v>
      </c>
      <c r="C14" s="14">
        <f>(4637/B14*100)</f>
        <v>82.996241274386975</v>
      </c>
      <c r="D14" s="15">
        <v>950</v>
      </c>
      <c r="E14" s="14">
        <v>64.272039039999996</v>
      </c>
      <c r="F14" s="16">
        <v>1.80372051</v>
      </c>
      <c r="G14" s="14">
        <v>35.727960959999997</v>
      </c>
      <c r="H14" s="16">
        <v>1.80372051</v>
      </c>
      <c r="I14" s="14" t="s">
        <v>139</v>
      </c>
      <c r="J14" s="16" t="s">
        <v>139</v>
      </c>
      <c r="K14" s="14">
        <v>0</v>
      </c>
      <c r="L14" s="16">
        <v>0</v>
      </c>
      <c r="M14" s="14">
        <v>0</v>
      </c>
      <c r="N14" s="16">
        <v>0</v>
      </c>
      <c r="O14" s="14">
        <v>0</v>
      </c>
      <c r="P14" s="16">
        <v>0</v>
      </c>
      <c r="Q14" s="14">
        <v>0</v>
      </c>
      <c r="R14" s="16">
        <v>0</v>
      </c>
    </row>
    <row r="15" spans="1:18" x14ac:dyDescent="0.25">
      <c r="A15" s="11" t="s">
        <v>147</v>
      </c>
      <c r="B15" s="13">
        <v>5882</v>
      </c>
      <c r="C15" s="14">
        <f>(4908/B15*100)</f>
        <v>83.441006460387626</v>
      </c>
      <c r="D15" s="15">
        <v>974</v>
      </c>
      <c r="E15" s="14">
        <v>66.397518930000004</v>
      </c>
      <c r="F15" s="16">
        <v>1.3096287799999999</v>
      </c>
      <c r="G15" s="14">
        <v>33.602481070000003</v>
      </c>
      <c r="H15" s="16">
        <v>1.3096287799999999</v>
      </c>
      <c r="I15" s="14" t="s">
        <v>139</v>
      </c>
      <c r="J15" s="16" t="s">
        <v>139</v>
      </c>
      <c r="K15" s="14">
        <v>0</v>
      </c>
      <c r="L15" s="16">
        <v>0</v>
      </c>
      <c r="M15" s="14">
        <v>0</v>
      </c>
      <c r="N15" s="16">
        <v>0</v>
      </c>
      <c r="O15" s="14">
        <v>0</v>
      </c>
      <c r="P15" s="16">
        <v>0</v>
      </c>
      <c r="Q15" s="14">
        <v>0</v>
      </c>
      <c r="R15" s="16">
        <v>0</v>
      </c>
    </row>
    <row r="16" spans="1:18" x14ac:dyDescent="0.25">
      <c r="A16" s="11" t="s">
        <v>148</v>
      </c>
      <c r="B16" s="13">
        <v>6108</v>
      </c>
      <c r="C16" s="14">
        <f>(5066/B16*100)</f>
        <v>82.940406024885391</v>
      </c>
      <c r="D16" s="15">
        <v>1042</v>
      </c>
      <c r="E16" s="14">
        <v>66.43000499</v>
      </c>
      <c r="F16" s="16">
        <v>1.55640325</v>
      </c>
      <c r="G16" s="14">
        <v>33.56999501</v>
      </c>
      <c r="H16" s="16">
        <v>1.55640325</v>
      </c>
      <c r="I16" s="14" t="s">
        <v>139</v>
      </c>
      <c r="J16" s="16" t="s">
        <v>139</v>
      </c>
      <c r="K16" s="14">
        <v>0</v>
      </c>
      <c r="L16" s="16">
        <v>0</v>
      </c>
      <c r="M16" s="14">
        <v>0</v>
      </c>
      <c r="N16" s="16">
        <v>0</v>
      </c>
      <c r="O16" s="14">
        <v>0</v>
      </c>
      <c r="P16" s="16">
        <v>0</v>
      </c>
      <c r="Q16" s="14">
        <v>0</v>
      </c>
      <c r="R16" s="16">
        <v>0</v>
      </c>
    </row>
    <row r="17" spans="1:18" x14ac:dyDescent="0.25">
      <c r="A17" s="11" t="s">
        <v>149</v>
      </c>
      <c r="B17" s="13">
        <v>6504</v>
      </c>
      <c r="C17" s="14">
        <f>(5429/B17*100)</f>
        <v>83.47170971709717</v>
      </c>
      <c r="D17" s="15">
        <v>1075</v>
      </c>
      <c r="E17" s="14">
        <v>68.608490790000005</v>
      </c>
      <c r="F17" s="16">
        <v>1.4411226100000001</v>
      </c>
      <c r="G17" s="14">
        <v>31.391509209999999</v>
      </c>
      <c r="H17" s="16">
        <v>1.4411226100000001</v>
      </c>
      <c r="I17" s="14" t="s">
        <v>139</v>
      </c>
      <c r="J17" s="16" t="s">
        <v>139</v>
      </c>
      <c r="K17" s="14">
        <v>0</v>
      </c>
      <c r="L17" s="16">
        <v>0</v>
      </c>
      <c r="M17" s="14">
        <v>0</v>
      </c>
      <c r="N17" s="16">
        <v>0</v>
      </c>
      <c r="O17" s="14">
        <v>0</v>
      </c>
      <c r="P17" s="16">
        <v>0</v>
      </c>
      <c r="Q17" s="14">
        <v>0</v>
      </c>
      <c r="R17" s="16">
        <v>0</v>
      </c>
    </row>
    <row r="18" spans="1:18" x14ac:dyDescent="0.25">
      <c r="A18" s="11" t="s">
        <v>150</v>
      </c>
      <c r="B18" s="13">
        <v>5532</v>
      </c>
      <c r="C18" s="14">
        <f>(4571/B18*100)</f>
        <v>82.628344179320322</v>
      </c>
      <c r="D18" s="15">
        <v>961</v>
      </c>
      <c r="E18" s="14">
        <v>73.678810429999999</v>
      </c>
      <c r="F18" s="16">
        <v>1.4212923799999999</v>
      </c>
      <c r="G18" s="14">
        <v>26.321189570000001</v>
      </c>
      <c r="H18" s="16">
        <v>1.4212923799999999</v>
      </c>
      <c r="I18" s="14" t="s">
        <v>139</v>
      </c>
      <c r="J18" s="16" t="s">
        <v>139</v>
      </c>
      <c r="K18" s="14">
        <v>0</v>
      </c>
      <c r="L18" s="16">
        <v>0</v>
      </c>
      <c r="M18" s="14">
        <v>0</v>
      </c>
      <c r="N18" s="16">
        <v>0</v>
      </c>
      <c r="O18" s="14">
        <v>0</v>
      </c>
      <c r="P18" s="16">
        <v>0</v>
      </c>
      <c r="Q18" s="14">
        <v>0</v>
      </c>
      <c r="R18" s="16">
        <v>0</v>
      </c>
    </row>
    <row r="19" spans="1:18" x14ac:dyDescent="0.25">
      <c r="A19" s="11" t="s">
        <v>151</v>
      </c>
      <c r="B19" s="13">
        <v>5658</v>
      </c>
      <c r="C19" s="14">
        <f>(4723/B19*100)</f>
        <v>83.474726051608343</v>
      </c>
      <c r="D19" s="15">
        <v>935</v>
      </c>
      <c r="E19" s="14">
        <v>67.662227700000003</v>
      </c>
      <c r="F19" s="16">
        <v>1.5728597499999999</v>
      </c>
      <c r="G19" s="14">
        <v>32.337772299999997</v>
      </c>
      <c r="H19" s="16">
        <v>1.5728597499999999</v>
      </c>
      <c r="I19" s="14" t="s">
        <v>139</v>
      </c>
      <c r="J19" s="16" t="s">
        <v>139</v>
      </c>
      <c r="K19" s="14">
        <v>0</v>
      </c>
      <c r="L19" s="16">
        <v>0</v>
      </c>
      <c r="M19" s="14">
        <v>0</v>
      </c>
      <c r="N19" s="16">
        <v>0</v>
      </c>
      <c r="O19" s="14">
        <v>0</v>
      </c>
      <c r="P19" s="16">
        <v>0</v>
      </c>
      <c r="Q19" s="14">
        <v>0</v>
      </c>
      <c r="R19" s="16">
        <v>0</v>
      </c>
    </row>
    <row r="20" spans="1:18" x14ac:dyDescent="0.25">
      <c r="A20" s="11" t="s">
        <v>152</v>
      </c>
      <c r="B20" s="13">
        <v>3371</v>
      </c>
      <c r="C20" s="14">
        <f>(2797/B20*100)</f>
        <v>82.972411747256004</v>
      </c>
      <c r="D20" s="15">
        <v>574</v>
      </c>
      <c r="E20" s="14">
        <v>76.987139740000003</v>
      </c>
      <c r="F20" s="16">
        <v>1.8126933599999999</v>
      </c>
      <c r="G20" s="14">
        <v>23.01286026</v>
      </c>
      <c r="H20" s="16">
        <v>1.8126933599999999</v>
      </c>
      <c r="I20" s="14" t="s">
        <v>139</v>
      </c>
      <c r="J20" s="16" t="s">
        <v>139</v>
      </c>
      <c r="K20" s="14">
        <v>0</v>
      </c>
      <c r="L20" s="16">
        <v>0</v>
      </c>
      <c r="M20" s="14">
        <v>0</v>
      </c>
      <c r="N20" s="16">
        <v>0</v>
      </c>
      <c r="O20" s="14">
        <v>0</v>
      </c>
      <c r="P20" s="16">
        <v>0</v>
      </c>
      <c r="Q20" s="14">
        <v>0</v>
      </c>
      <c r="R20" s="16">
        <v>0</v>
      </c>
    </row>
    <row r="21" spans="1:18" x14ac:dyDescent="0.25">
      <c r="A21" s="11" t="s">
        <v>153</v>
      </c>
      <c r="B21" s="17" t="s">
        <v>154</v>
      </c>
      <c r="C21" s="17" t="s">
        <v>154</v>
      </c>
      <c r="D21" s="18" t="s">
        <v>154</v>
      </c>
      <c r="E21" s="17" t="s">
        <v>154</v>
      </c>
      <c r="F21" s="18" t="s">
        <v>154</v>
      </c>
      <c r="G21" s="17" t="s">
        <v>154</v>
      </c>
      <c r="H21" s="18" t="s">
        <v>154</v>
      </c>
      <c r="I21" s="17" t="s">
        <v>154</v>
      </c>
      <c r="J21" s="18" t="s">
        <v>154</v>
      </c>
      <c r="K21" s="17" t="s">
        <v>154</v>
      </c>
      <c r="L21" s="18" t="s">
        <v>154</v>
      </c>
      <c r="M21" s="17" t="s">
        <v>154</v>
      </c>
      <c r="N21" s="18" t="s">
        <v>154</v>
      </c>
      <c r="O21" s="17" t="s">
        <v>154</v>
      </c>
      <c r="P21" s="18" t="s">
        <v>154</v>
      </c>
      <c r="Q21" s="17" t="s">
        <v>154</v>
      </c>
      <c r="R21" s="18" t="s">
        <v>154</v>
      </c>
    </row>
    <row r="22" spans="1:18" x14ac:dyDescent="0.25">
      <c r="A22" s="11" t="s">
        <v>155</v>
      </c>
      <c r="B22" s="13">
        <v>6598</v>
      </c>
      <c r="C22" s="14">
        <f>(5580/B22*100)</f>
        <v>84.571082146104885</v>
      </c>
      <c r="D22" s="15">
        <v>1018</v>
      </c>
      <c r="E22" s="14">
        <v>62.073432789999998</v>
      </c>
      <c r="F22" s="16">
        <v>1.53109443</v>
      </c>
      <c r="G22" s="14">
        <v>37.926567210000002</v>
      </c>
      <c r="H22" s="16">
        <v>1.53109443</v>
      </c>
      <c r="I22" s="14" t="s">
        <v>139</v>
      </c>
      <c r="J22" s="16" t="s">
        <v>139</v>
      </c>
      <c r="K22" s="14">
        <v>0</v>
      </c>
      <c r="L22" s="16">
        <v>0</v>
      </c>
      <c r="M22" s="14">
        <v>0</v>
      </c>
      <c r="N22" s="16">
        <v>0</v>
      </c>
      <c r="O22" s="14">
        <v>0</v>
      </c>
      <c r="P22" s="16">
        <v>0</v>
      </c>
      <c r="Q22" s="14">
        <v>0</v>
      </c>
      <c r="R22" s="16">
        <v>0</v>
      </c>
    </row>
    <row r="23" spans="1:18" x14ac:dyDescent="0.25">
      <c r="A23" s="11" t="s">
        <v>156</v>
      </c>
      <c r="B23" s="13">
        <v>11583</v>
      </c>
      <c r="C23" s="14">
        <f>(9624/B23*100)</f>
        <v>83.087283087283097</v>
      </c>
      <c r="D23" s="15">
        <v>1959</v>
      </c>
      <c r="E23" s="14">
        <v>64.493328550000001</v>
      </c>
      <c r="F23" s="16">
        <v>1.57571646</v>
      </c>
      <c r="G23" s="14">
        <v>35.506671449999999</v>
      </c>
      <c r="H23" s="16">
        <v>1.57571646</v>
      </c>
      <c r="I23" s="14" t="s">
        <v>139</v>
      </c>
      <c r="J23" s="16" t="s">
        <v>139</v>
      </c>
      <c r="K23" s="14">
        <v>0</v>
      </c>
      <c r="L23" s="16">
        <v>0</v>
      </c>
      <c r="M23" s="14">
        <v>0</v>
      </c>
      <c r="N23" s="16">
        <v>0</v>
      </c>
      <c r="O23" s="14">
        <v>0</v>
      </c>
      <c r="P23" s="16">
        <v>0</v>
      </c>
      <c r="Q23" s="14">
        <v>0</v>
      </c>
      <c r="R23" s="16">
        <v>0</v>
      </c>
    </row>
    <row r="24" spans="1:18" x14ac:dyDescent="0.25">
      <c r="A24" s="11" t="s">
        <v>157</v>
      </c>
      <c r="B24" s="13">
        <v>6647</v>
      </c>
      <c r="C24" s="14">
        <f>(5492/B24*100)</f>
        <v>82.623740033097633</v>
      </c>
      <c r="D24" s="15">
        <v>1155</v>
      </c>
      <c r="E24" s="14">
        <v>64.094599310000007</v>
      </c>
      <c r="F24" s="16">
        <v>1.3440346000000001</v>
      </c>
      <c r="G24" s="14">
        <v>35.90540069</v>
      </c>
      <c r="H24" s="16">
        <v>1.3440346000000001</v>
      </c>
      <c r="I24" s="14" t="s">
        <v>139</v>
      </c>
      <c r="J24" s="16" t="s">
        <v>139</v>
      </c>
      <c r="K24" s="14">
        <v>0</v>
      </c>
      <c r="L24" s="16">
        <v>0</v>
      </c>
      <c r="M24" s="14">
        <v>0</v>
      </c>
      <c r="N24" s="16">
        <v>0</v>
      </c>
      <c r="O24" s="14">
        <v>0</v>
      </c>
      <c r="P24" s="16">
        <v>0</v>
      </c>
      <c r="Q24" s="14">
        <v>0</v>
      </c>
      <c r="R24" s="16">
        <v>0</v>
      </c>
    </row>
    <row r="25" spans="1:18" x14ac:dyDescent="0.25">
      <c r="A25" s="11" t="s">
        <v>158</v>
      </c>
      <c r="B25" s="13">
        <v>5581</v>
      </c>
      <c r="C25" s="14">
        <f>(4618/B25*100)</f>
        <v>82.745027772800569</v>
      </c>
      <c r="D25" s="15">
        <v>963</v>
      </c>
      <c r="E25" s="14">
        <v>59.449300430000001</v>
      </c>
      <c r="F25" s="16">
        <v>1.53627091</v>
      </c>
      <c r="G25" s="14">
        <v>40.550699569999999</v>
      </c>
      <c r="H25" s="16">
        <v>1.53627091</v>
      </c>
      <c r="I25" s="14" t="s">
        <v>139</v>
      </c>
      <c r="J25" s="16" t="s">
        <v>139</v>
      </c>
      <c r="K25" s="14">
        <v>0</v>
      </c>
      <c r="L25" s="16">
        <v>0</v>
      </c>
      <c r="M25" s="14">
        <v>0</v>
      </c>
      <c r="N25" s="16">
        <v>0</v>
      </c>
      <c r="O25" s="14">
        <v>0</v>
      </c>
      <c r="P25" s="16">
        <v>0</v>
      </c>
      <c r="Q25" s="14">
        <v>0</v>
      </c>
      <c r="R25" s="16">
        <v>0</v>
      </c>
    </row>
    <row r="26" spans="1:18" x14ac:dyDescent="0.25">
      <c r="A26" s="11" t="s">
        <v>159</v>
      </c>
      <c r="B26" s="13">
        <v>4869</v>
      </c>
      <c r="C26" s="14">
        <f>(4016/B26*100)</f>
        <v>82.481002259190788</v>
      </c>
      <c r="D26" s="15">
        <v>853</v>
      </c>
      <c r="E26" s="14">
        <v>64.018319829999996</v>
      </c>
      <c r="F26" s="16">
        <v>1.6370782500000001</v>
      </c>
      <c r="G26" s="14">
        <v>35.981680169999997</v>
      </c>
      <c r="H26" s="16">
        <v>1.6370782500000001</v>
      </c>
      <c r="I26" s="14" t="s">
        <v>139</v>
      </c>
      <c r="J26" s="16" t="s">
        <v>139</v>
      </c>
      <c r="K26" s="14">
        <v>0</v>
      </c>
      <c r="L26" s="16">
        <v>0</v>
      </c>
      <c r="M26" s="14">
        <v>0</v>
      </c>
      <c r="N26" s="16">
        <v>0</v>
      </c>
      <c r="O26" s="14">
        <v>0</v>
      </c>
      <c r="P26" s="16">
        <v>0</v>
      </c>
      <c r="Q26" s="14">
        <v>0</v>
      </c>
      <c r="R26" s="16">
        <v>0</v>
      </c>
    </row>
    <row r="27" spans="1:18" x14ac:dyDescent="0.25">
      <c r="A27" s="11" t="s">
        <v>160</v>
      </c>
      <c r="B27" s="13">
        <v>5299</v>
      </c>
      <c r="C27" s="14">
        <f>(4406/B27*100)</f>
        <v>83.147763729005476</v>
      </c>
      <c r="D27" s="15">
        <v>893</v>
      </c>
      <c r="E27" s="14">
        <v>66.103568670000001</v>
      </c>
      <c r="F27" s="16">
        <v>1.7397274199999999</v>
      </c>
      <c r="G27" s="14">
        <v>33.896431329999999</v>
      </c>
      <c r="H27" s="16">
        <v>1.7397274199999999</v>
      </c>
      <c r="I27" s="14" t="s">
        <v>139</v>
      </c>
      <c r="J27" s="16" t="s">
        <v>139</v>
      </c>
      <c r="K27" s="14">
        <v>0</v>
      </c>
      <c r="L27" s="16">
        <v>0</v>
      </c>
      <c r="M27" s="14">
        <v>0</v>
      </c>
      <c r="N27" s="16">
        <v>0</v>
      </c>
      <c r="O27" s="14">
        <v>0</v>
      </c>
      <c r="P27" s="16">
        <v>0</v>
      </c>
      <c r="Q27" s="14">
        <v>0</v>
      </c>
      <c r="R27" s="16">
        <v>0</v>
      </c>
    </row>
    <row r="28" spans="1:18" x14ac:dyDescent="0.25">
      <c r="A28" s="11" t="s">
        <v>161</v>
      </c>
      <c r="B28" s="13">
        <v>7568</v>
      </c>
      <c r="C28" s="14">
        <f>(6417/B28*100)</f>
        <v>84.791226215644826</v>
      </c>
      <c r="D28" s="15">
        <v>1151</v>
      </c>
      <c r="E28" s="14">
        <v>69.176109089999997</v>
      </c>
      <c r="F28" s="16">
        <v>1.7434134299999999</v>
      </c>
      <c r="G28" s="14">
        <v>30.823890909999999</v>
      </c>
      <c r="H28" s="16">
        <v>1.7434134299999999</v>
      </c>
      <c r="I28" s="14" t="s">
        <v>139</v>
      </c>
      <c r="J28" s="16" t="s">
        <v>139</v>
      </c>
      <c r="K28" s="14">
        <v>0</v>
      </c>
      <c r="L28" s="16">
        <v>0</v>
      </c>
      <c r="M28" s="14">
        <v>0</v>
      </c>
      <c r="N28" s="16">
        <v>0</v>
      </c>
      <c r="O28" s="14">
        <v>0</v>
      </c>
      <c r="P28" s="16">
        <v>0</v>
      </c>
      <c r="Q28" s="14">
        <v>0</v>
      </c>
      <c r="R28" s="16">
        <v>0</v>
      </c>
    </row>
    <row r="29" spans="1:18" x14ac:dyDescent="0.25">
      <c r="A29" s="11" t="s">
        <v>162</v>
      </c>
      <c r="B29" s="13">
        <v>5385</v>
      </c>
      <c r="C29" s="14">
        <f>(4470/B29*100)</f>
        <v>83.008356545961007</v>
      </c>
      <c r="D29" s="15">
        <v>915</v>
      </c>
      <c r="E29" s="14">
        <v>70.721520679999998</v>
      </c>
      <c r="F29" s="16">
        <v>1.56285399</v>
      </c>
      <c r="G29" s="14">
        <v>29.278479319999999</v>
      </c>
      <c r="H29" s="16">
        <v>1.56285399</v>
      </c>
      <c r="I29" s="14" t="s">
        <v>139</v>
      </c>
      <c r="J29" s="16" t="s">
        <v>139</v>
      </c>
      <c r="K29" s="14">
        <v>0</v>
      </c>
      <c r="L29" s="16">
        <v>0</v>
      </c>
      <c r="M29" s="14">
        <v>0</v>
      </c>
      <c r="N29" s="16">
        <v>0</v>
      </c>
      <c r="O29" s="14">
        <v>0</v>
      </c>
      <c r="P29" s="16">
        <v>0</v>
      </c>
      <c r="Q29" s="14">
        <v>0</v>
      </c>
      <c r="R29" s="16">
        <v>0</v>
      </c>
    </row>
    <row r="30" spans="1:18" x14ac:dyDescent="0.25">
      <c r="A30" s="11" t="s">
        <v>163</v>
      </c>
      <c r="B30" s="13">
        <v>4520</v>
      </c>
      <c r="C30" s="14">
        <f>(3759/B30*100)</f>
        <v>83.163716814159301</v>
      </c>
      <c r="D30" s="15">
        <v>761</v>
      </c>
      <c r="E30" s="14">
        <v>65.739130349999996</v>
      </c>
      <c r="F30" s="16">
        <v>1.82711318</v>
      </c>
      <c r="G30" s="14">
        <v>34.260869649999997</v>
      </c>
      <c r="H30" s="16">
        <v>1.82711318</v>
      </c>
      <c r="I30" s="14" t="s">
        <v>139</v>
      </c>
      <c r="J30" s="16" t="s">
        <v>139</v>
      </c>
      <c r="K30" s="14">
        <v>0</v>
      </c>
      <c r="L30" s="16">
        <v>0</v>
      </c>
      <c r="M30" s="14">
        <v>0</v>
      </c>
      <c r="N30" s="16">
        <v>0</v>
      </c>
      <c r="O30" s="14">
        <v>0</v>
      </c>
      <c r="P30" s="16">
        <v>0</v>
      </c>
      <c r="Q30" s="14">
        <v>0</v>
      </c>
      <c r="R30" s="16">
        <v>0</v>
      </c>
    </row>
    <row r="31" spans="1:18" x14ac:dyDescent="0.25">
      <c r="A31" s="11" t="s">
        <v>164</v>
      </c>
      <c r="B31" s="13">
        <v>5456</v>
      </c>
      <c r="C31" s="14">
        <f>(4553/B31*100)</f>
        <v>83.449413489736074</v>
      </c>
      <c r="D31" s="15">
        <v>903</v>
      </c>
      <c r="E31" s="14">
        <v>64.627478069999995</v>
      </c>
      <c r="F31" s="16">
        <v>1.4618597499999999</v>
      </c>
      <c r="G31" s="14">
        <v>35.372521929999998</v>
      </c>
      <c r="H31" s="16">
        <v>1.4618597499999999</v>
      </c>
      <c r="I31" s="14" t="s">
        <v>139</v>
      </c>
      <c r="J31" s="16" t="s">
        <v>139</v>
      </c>
      <c r="K31" s="14">
        <v>0</v>
      </c>
      <c r="L31" s="16">
        <v>0</v>
      </c>
      <c r="M31" s="14">
        <v>0</v>
      </c>
      <c r="N31" s="16">
        <v>0</v>
      </c>
      <c r="O31" s="14">
        <v>0</v>
      </c>
      <c r="P31" s="16">
        <v>0</v>
      </c>
      <c r="Q31" s="14">
        <v>0</v>
      </c>
      <c r="R31" s="16">
        <v>0</v>
      </c>
    </row>
    <row r="32" spans="1:18" x14ac:dyDescent="0.25">
      <c r="A32" s="11" t="s">
        <v>165</v>
      </c>
      <c r="B32" s="17" t="s">
        <v>154</v>
      </c>
      <c r="C32" s="17" t="s">
        <v>154</v>
      </c>
      <c r="D32" s="18" t="s">
        <v>154</v>
      </c>
      <c r="E32" s="17" t="s">
        <v>154</v>
      </c>
      <c r="F32" s="18" t="s">
        <v>154</v>
      </c>
      <c r="G32" s="17" t="s">
        <v>154</v>
      </c>
      <c r="H32" s="18" t="s">
        <v>154</v>
      </c>
      <c r="I32" s="17" t="s">
        <v>154</v>
      </c>
      <c r="J32" s="18" t="s">
        <v>154</v>
      </c>
      <c r="K32" s="17" t="s">
        <v>154</v>
      </c>
      <c r="L32" s="18" t="s">
        <v>154</v>
      </c>
      <c r="M32" s="17" t="s">
        <v>154</v>
      </c>
      <c r="N32" s="18" t="s">
        <v>154</v>
      </c>
      <c r="O32" s="17" t="s">
        <v>154</v>
      </c>
      <c r="P32" s="18" t="s">
        <v>154</v>
      </c>
      <c r="Q32" s="17" t="s">
        <v>154</v>
      </c>
      <c r="R32" s="18" t="s">
        <v>154</v>
      </c>
    </row>
    <row r="33" spans="1:18" x14ac:dyDescent="0.25">
      <c r="A33" s="11" t="s">
        <v>166</v>
      </c>
      <c r="B33" s="13">
        <v>7325</v>
      </c>
      <c r="C33" s="14">
        <f>(6143/B33*100)</f>
        <v>83.863481228668945</v>
      </c>
      <c r="D33" s="15">
        <v>1182</v>
      </c>
      <c r="E33" s="14">
        <v>70.600768610000003</v>
      </c>
      <c r="F33" s="16">
        <v>1.5710921799999999</v>
      </c>
      <c r="G33" s="14">
        <v>29.399231390000001</v>
      </c>
      <c r="H33" s="16">
        <v>1.5710921799999999</v>
      </c>
      <c r="I33" s="14" t="s">
        <v>139</v>
      </c>
      <c r="J33" s="16" t="s">
        <v>139</v>
      </c>
      <c r="K33" s="14">
        <v>0</v>
      </c>
      <c r="L33" s="16">
        <v>0</v>
      </c>
      <c r="M33" s="14">
        <v>0</v>
      </c>
      <c r="N33" s="16">
        <v>0</v>
      </c>
      <c r="O33" s="14">
        <v>0</v>
      </c>
      <c r="P33" s="16">
        <v>0</v>
      </c>
      <c r="Q33" s="14">
        <v>0</v>
      </c>
      <c r="R33" s="16">
        <v>0</v>
      </c>
    </row>
    <row r="34" spans="1:18" x14ac:dyDescent="0.25">
      <c r="A34" s="11" t="s">
        <v>167</v>
      </c>
      <c r="B34" s="13">
        <v>6350</v>
      </c>
      <c r="C34" s="14">
        <f>(5310/B34*100)</f>
        <v>83.622047244094489</v>
      </c>
      <c r="D34" s="15">
        <v>1040</v>
      </c>
      <c r="E34" s="14">
        <v>74.414673030000003</v>
      </c>
      <c r="F34" s="16">
        <v>1.3757387700000001</v>
      </c>
      <c r="G34" s="14">
        <v>25.585326970000001</v>
      </c>
      <c r="H34" s="16">
        <v>1.3757387700000001</v>
      </c>
      <c r="I34" s="14" t="s">
        <v>139</v>
      </c>
      <c r="J34" s="16" t="s">
        <v>139</v>
      </c>
      <c r="K34" s="14">
        <v>0</v>
      </c>
      <c r="L34" s="16">
        <v>0</v>
      </c>
      <c r="M34" s="14">
        <v>0</v>
      </c>
      <c r="N34" s="16">
        <v>0</v>
      </c>
      <c r="O34" s="14">
        <v>0</v>
      </c>
      <c r="P34" s="16">
        <v>0</v>
      </c>
      <c r="Q34" s="14">
        <v>0</v>
      </c>
      <c r="R34" s="16">
        <v>0</v>
      </c>
    </row>
    <row r="35" spans="1:18" x14ac:dyDescent="0.25">
      <c r="A35" s="11" t="s">
        <v>168</v>
      </c>
      <c r="B35" s="13">
        <v>6406</v>
      </c>
      <c r="C35" s="14">
        <f>(5306/B35*100)</f>
        <v>82.828598189197621</v>
      </c>
      <c r="D35" s="15">
        <v>1100</v>
      </c>
      <c r="E35" s="14">
        <v>66.005142849999999</v>
      </c>
      <c r="F35" s="16">
        <v>1.73215611</v>
      </c>
      <c r="G35" s="14">
        <v>33.994857150000001</v>
      </c>
      <c r="H35" s="16">
        <v>1.73215611</v>
      </c>
      <c r="I35" s="14" t="s">
        <v>139</v>
      </c>
      <c r="J35" s="16" t="s">
        <v>139</v>
      </c>
      <c r="K35" s="14">
        <v>0</v>
      </c>
      <c r="L35" s="16">
        <v>0</v>
      </c>
      <c r="M35" s="14">
        <v>0</v>
      </c>
      <c r="N35" s="16">
        <v>0</v>
      </c>
      <c r="O35" s="14">
        <v>0</v>
      </c>
      <c r="P35" s="16">
        <v>0</v>
      </c>
      <c r="Q35" s="14">
        <v>0</v>
      </c>
      <c r="R35" s="16">
        <v>0</v>
      </c>
    </row>
    <row r="36" spans="1:18" x14ac:dyDescent="0.25">
      <c r="A36" s="11" t="s">
        <v>169</v>
      </c>
      <c r="B36" s="13">
        <v>6736</v>
      </c>
      <c r="C36" s="14">
        <f>(5609/B36*100)</f>
        <v>83.269002375296907</v>
      </c>
      <c r="D36" s="15">
        <v>1127</v>
      </c>
      <c r="E36" s="14">
        <v>70.758753069999997</v>
      </c>
      <c r="F36" s="16">
        <v>1.4436992200000001</v>
      </c>
      <c r="G36" s="14">
        <v>29.241246929999999</v>
      </c>
      <c r="H36" s="16">
        <v>1.4436992200000001</v>
      </c>
      <c r="I36" s="14" t="s">
        <v>139</v>
      </c>
      <c r="J36" s="16" t="s">
        <v>139</v>
      </c>
      <c r="K36" s="14">
        <v>0</v>
      </c>
      <c r="L36" s="16">
        <v>0</v>
      </c>
      <c r="M36" s="14">
        <v>0</v>
      </c>
      <c r="N36" s="16">
        <v>0</v>
      </c>
      <c r="O36" s="14">
        <v>0</v>
      </c>
      <c r="P36" s="16">
        <v>0</v>
      </c>
      <c r="Q36" s="14">
        <v>0</v>
      </c>
      <c r="R36" s="16">
        <v>0</v>
      </c>
    </row>
    <row r="37" spans="1:18" x14ac:dyDescent="0.25">
      <c r="A37" s="11" t="s">
        <v>170</v>
      </c>
      <c r="B37" s="13">
        <v>5458</v>
      </c>
      <c r="C37" s="14">
        <f>(4579/B37*100)</f>
        <v>83.895199706852324</v>
      </c>
      <c r="D37" s="15">
        <v>879</v>
      </c>
      <c r="E37" s="14">
        <v>74.851659119999994</v>
      </c>
      <c r="F37" s="16">
        <v>1.65782859</v>
      </c>
      <c r="G37" s="14">
        <v>25.148340879999999</v>
      </c>
      <c r="H37" s="16">
        <v>1.65782859</v>
      </c>
      <c r="I37" s="14" t="s">
        <v>139</v>
      </c>
      <c r="J37" s="16" t="s">
        <v>139</v>
      </c>
      <c r="K37" s="14">
        <v>0</v>
      </c>
      <c r="L37" s="16">
        <v>0</v>
      </c>
      <c r="M37" s="14">
        <v>0</v>
      </c>
      <c r="N37" s="16">
        <v>0</v>
      </c>
      <c r="O37" s="14">
        <v>0</v>
      </c>
      <c r="P37" s="16">
        <v>0</v>
      </c>
      <c r="Q37" s="14">
        <v>0</v>
      </c>
      <c r="R37" s="16">
        <v>0</v>
      </c>
    </row>
    <row r="38" spans="1:18" x14ac:dyDescent="0.25">
      <c r="A38" s="11" t="s">
        <v>171</v>
      </c>
      <c r="B38" s="17" t="s">
        <v>154</v>
      </c>
      <c r="C38" s="17" t="s">
        <v>154</v>
      </c>
      <c r="D38" s="18" t="s">
        <v>154</v>
      </c>
      <c r="E38" s="17" t="s">
        <v>154</v>
      </c>
      <c r="F38" s="18" t="s">
        <v>154</v>
      </c>
      <c r="G38" s="17" t="s">
        <v>154</v>
      </c>
      <c r="H38" s="18" t="s">
        <v>154</v>
      </c>
      <c r="I38" s="17" t="s">
        <v>154</v>
      </c>
      <c r="J38" s="18" t="s">
        <v>154</v>
      </c>
      <c r="K38" s="17" t="s">
        <v>154</v>
      </c>
      <c r="L38" s="18" t="s">
        <v>154</v>
      </c>
      <c r="M38" s="17" t="s">
        <v>154</v>
      </c>
      <c r="N38" s="18" t="s">
        <v>154</v>
      </c>
      <c r="O38" s="17" t="s">
        <v>154</v>
      </c>
      <c r="P38" s="18" t="s">
        <v>154</v>
      </c>
      <c r="Q38" s="17" t="s">
        <v>154</v>
      </c>
      <c r="R38" s="18" t="s">
        <v>154</v>
      </c>
    </row>
    <row r="39" spans="1:18" x14ac:dyDescent="0.25">
      <c r="A39" s="11" t="s">
        <v>172</v>
      </c>
      <c r="B39" s="13">
        <v>5895</v>
      </c>
      <c r="C39" s="14">
        <f>(4871/B39*100)</f>
        <v>82.629346904156066</v>
      </c>
      <c r="D39" s="15">
        <v>1024</v>
      </c>
      <c r="E39" s="14">
        <v>67.629670329999996</v>
      </c>
      <c r="F39" s="16">
        <v>1.7247041400000001</v>
      </c>
      <c r="G39" s="14">
        <v>32.370329669999997</v>
      </c>
      <c r="H39" s="16">
        <v>1.7247041400000001</v>
      </c>
      <c r="I39" s="14" t="s">
        <v>139</v>
      </c>
      <c r="J39" s="16" t="s">
        <v>139</v>
      </c>
      <c r="K39" s="14">
        <v>0</v>
      </c>
      <c r="L39" s="16">
        <v>0</v>
      </c>
      <c r="M39" s="14">
        <v>0</v>
      </c>
      <c r="N39" s="16">
        <v>0</v>
      </c>
      <c r="O39" s="14">
        <v>0</v>
      </c>
      <c r="P39" s="16">
        <v>0</v>
      </c>
      <c r="Q39" s="14">
        <v>0</v>
      </c>
      <c r="R39" s="16">
        <v>0</v>
      </c>
    </row>
    <row r="40" spans="1:18" x14ac:dyDescent="0.25">
      <c r="A40" s="11" t="s">
        <v>173</v>
      </c>
      <c r="B40" s="13">
        <v>14157</v>
      </c>
      <c r="C40" s="14">
        <f>(11654/B40*100)</f>
        <v>82.319700501518682</v>
      </c>
      <c r="D40" s="15">
        <v>2503</v>
      </c>
      <c r="E40" s="14">
        <v>66.341982540000004</v>
      </c>
      <c r="F40" s="16">
        <v>1.27457405</v>
      </c>
      <c r="G40" s="14">
        <v>33.658017460000003</v>
      </c>
      <c r="H40" s="16">
        <v>1.27457405</v>
      </c>
      <c r="I40" s="14" t="s">
        <v>139</v>
      </c>
      <c r="J40" s="16" t="s">
        <v>139</v>
      </c>
      <c r="K40" s="14">
        <v>0</v>
      </c>
      <c r="L40" s="16">
        <v>0</v>
      </c>
      <c r="M40" s="14">
        <v>0</v>
      </c>
      <c r="N40" s="16">
        <v>0</v>
      </c>
      <c r="O40" s="14">
        <v>0</v>
      </c>
      <c r="P40" s="16">
        <v>0</v>
      </c>
      <c r="Q40" s="14">
        <v>0</v>
      </c>
      <c r="R40" s="16">
        <v>0</v>
      </c>
    </row>
    <row r="41" spans="1:18" x14ac:dyDescent="0.25">
      <c r="A41" s="11" t="s">
        <v>174</v>
      </c>
      <c r="B41" s="13">
        <v>5712</v>
      </c>
      <c r="C41" s="14">
        <f>(4777/B41*100)</f>
        <v>83.63095238095238</v>
      </c>
      <c r="D41" s="15">
        <v>935</v>
      </c>
      <c r="E41" s="14">
        <v>62.081315600000003</v>
      </c>
      <c r="F41" s="16">
        <v>1.6363306500000001</v>
      </c>
      <c r="G41" s="14">
        <v>37.918684399999997</v>
      </c>
      <c r="H41" s="16">
        <v>1.6363306500000001</v>
      </c>
      <c r="I41" s="14" t="s">
        <v>139</v>
      </c>
      <c r="J41" s="16" t="s">
        <v>139</v>
      </c>
      <c r="K41" s="14">
        <v>0</v>
      </c>
      <c r="L41" s="16">
        <v>0</v>
      </c>
      <c r="M41" s="14">
        <v>0</v>
      </c>
      <c r="N41" s="16">
        <v>0</v>
      </c>
      <c r="O41" s="14">
        <v>0</v>
      </c>
      <c r="P41" s="16">
        <v>0</v>
      </c>
      <c r="Q41" s="14">
        <v>0</v>
      </c>
      <c r="R41" s="16">
        <v>0</v>
      </c>
    </row>
    <row r="42" spans="1:18" x14ac:dyDescent="0.25">
      <c r="A42" s="11" t="s">
        <v>175</v>
      </c>
      <c r="B42" s="13">
        <f>IF(COUNT(B7:B41) &gt; 0, AVERAGE(B7:B41), "\u2014")</f>
        <v>7266.90625</v>
      </c>
      <c r="C42" s="14">
        <f>IF(COUNT(C7:C41) &gt; 0, AVERAGE(C7:C41), "—")</f>
        <v>83.26007459787489</v>
      </c>
      <c r="D42" s="15">
        <f>IF(COUNT(D7:D41) &gt; 0, AVERAGE(D7:D41), "—")</f>
        <v>1218</v>
      </c>
      <c r="E42" s="14">
        <f>IF(COUNT(E7:E41) &gt; 0, AVERAGE(E7:E41), "—")</f>
        <v>67.540283848749993</v>
      </c>
      <c r="F42" s="16">
        <f>IF(COUNT(F7:F41) &gt; 0, SQRT(SUMSQ(F7:F41)/(COUNT(F7:F41)*COUNT(F7:F41)) ), "—")</f>
        <v>0.27098113657073103</v>
      </c>
      <c r="G42" s="14">
        <f>IF(COUNT(G7:G41) &gt; 0, AVERAGE(G7:G41), "—")</f>
        <v>32.459716151249999</v>
      </c>
      <c r="H42" s="16">
        <f>IF(COUNT(H7:H41) &gt; 0, SQRT(SUMSQ(H7:H41)/(COUNT(H7:H41)*COUNT(H7:H41)) ), "—")</f>
        <v>0.27098113657073103</v>
      </c>
      <c r="I42" s="14" t="str">
        <f>IF(COUNT(I7:I41) &gt; 0, AVERAGE(I7:I41), "—")</f>
        <v>—</v>
      </c>
      <c r="J42" s="16" t="str">
        <f>IF(COUNT(J7:J41) &gt; 0, SQRT(SUMSQ(J7:J41)/(COUNT(J7:J41)*COUNT(J7:J41)) ), "—")</f>
        <v>—</v>
      </c>
      <c r="K42" s="14">
        <f>IF(COUNT(K7:K41) &gt; 0, AVERAGE(K7:K41), "—")</f>
        <v>0</v>
      </c>
      <c r="L42" s="16">
        <f>IF(COUNT(L7:L41) &gt; 0, SQRT(SUMSQ(L7:L41)/(COUNT(L7:L41)*COUNT(L7:L41)) ), "—")</f>
        <v>0</v>
      </c>
      <c r="M42" s="14">
        <f>IF(COUNT(M7:M41) &gt; 0, AVERAGE(M7:M41), "—")</f>
        <v>0</v>
      </c>
      <c r="N42" s="16">
        <f>IF(COUNT(N7:N41) &gt; 0, SQRT(SUMSQ(N7:N41)/(COUNT(N7:N41)*COUNT(N7:N41)) ), "—")</f>
        <v>0</v>
      </c>
      <c r="O42" s="14">
        <f>IF(COUNT(O7:O41) &gt; 0, AVERAGE(O7:O41), "—")</f>
        <v>0</v>
      </c>
      <c r="P42" s="16">
        <f>IF(COUNT(P7:P41) &gt; 0, SQRT(SUMSQ(P7:P41)/(COUNT(P7:P41)*COUNT(P7:P41)) ), "—")</f>
        <v>0</v>
      </c>
      <c r="Q42" s="14">
        <f>IF(COUNT(Q7:Q41) &gt; 0, AVERAGE(Q7:Q41), "—")</f>
        <v>0</v>
      </c>
      <c r="R42" s="16">
        <f>IF(COUNT(R7:R41) &gt; 0, SQRT(SUMSQ(R7:R41)/(COUNT(R7:R41)*COUNT(R7:R41)) ), "—")</f>
        <v>0</v>
      </c>
    </row>
    <row r="43" spans="1:18" x14ac:dyDescent="0.25">
      <c r="A43" s="9" t="s">
        <v>176</v>
      </c>
      <c r="B43" s="10"/>
      <c r="C43" s="10"/>
      <c r="D43" s="11"/>
      <c r="E43" s="10"/>
      <c r="F43" s="11"/>
      <c r="G43" s="10"/>
      <c r="H43" s="11"/>
      <c r="I43" s="10"/>
      <c r="J43" s="11"/>
      <c r="K43" s="10"/>
      <c r="L43" s="11"/>
      <c r="M43" s="10"/>
      <c r="N43" s="11"/>
      <c r="O43" s="10"/>
      <c r="P43" s="11"/>
      <c r="Q43" s="10"/>
      <c r="R43" s="12"/>
    </row>
    <row r="44" spans="1:18" x14ac:dyDescent="0.25">
      <c r="A44" s="11" t="s">
        <v>177</v>
      </c>
      <c r="B44" s="17" t="s">
        <v>154</v>
      </c>
      <c r="C44" s="17" t="s">
        <v>154</v>
      </c>
      <c r="D44" s="18" t="s">
        <v>154</v>
      </c>
      <c r="E44" s="17" t="s">
        <v>154</v>
      </c>
      <c r="F44" s="18" t="s">
        <v>154</v>
      </c>
      <c r="G44" s="17" t="s">
        <v>154</v>
      </c>
      <c r="H44" s="18" t="s">
        <v>154</v>
      </c>
      <c r="I44" s="17" t="s">
        <v>154</v>
      </c>
      <c r="J44" s="18" t="s">
        <v>154</v>
      </c>
      <c r="K44" s="17" t="s">
        <v>154</v>
      </c>
      <c r="L44" s="18" t="s">
        <v>154</v>
      </c>
      <c r="M44" s="17" t="s">
        <v>154</v>
      </c>
      <c r="N44" s="18" t="s">
        <v>154</v>
      </c>
      <c r="O44" s="17" t="s">
        <v>154</v>
      </c>
      <c r="P44" s="18" t="s">
        <v>154</v>
      </c>
      <c r="Q44" s="17" t="s">
        <v>154</v>
      </c>
      <c r="R44" s="18" t="s">
        <v>154</v>
      </c>
    </row>
    <row r="45" spans="1:18" x14ac:dyDescent="0.25">
      <c r="A45" s="11" t="s">
        <v>178</v>
      </c>
      <c r="B45" s="17" t="s">
        <v>154</v>
      </c>
      <c r="C45" s="17" t="s">
        <v>154</v>
      </c>
      <c r="D45" s="18" t="s">
        <v>154</v>
      </c>
      <c r="E45" s="17" t="s">
        <v>154</v>
      </c>
      <c r="F45" s="18" t="s">
        <v>154</v>
      </c>
      <c r="G45" s="17" t="s">
        <v>154</v>
      </c>
      <c r="H45" s="18" t="s">
        <v>154</v>
      </c>
      <c r="I45" s="17" t="s">
        <v>154</v>
      </c>
      <c r="J45" s="18" t="s">
        <v>154</v>
      </c>
      <c r="K45" s="17" t="s">
        <v>154</v>
      </c>
      <c r="L45" s="18" t="s">
        <v>154</v>
      </c>
      <c r="M45" s="17" t="s">
        <v>154</v>
      </c>
      <c r="N45" s="18" t="s">
        <v>154</v>
      </c>
      <c r="O45" s="17" t="s">
        <v>154</v>
      </c>
      <c r="P45" s="18" t="s">
        <v>154</v>
      </c>
      <c r="Q45" s="17" t="s">
        <v>154</v>
      </c>
      <c r="R45" s="18" t="s">
        <v>154</v>
      </c>
    </row>
    <row r="46" spans="1:18" x14ac:dyDescent="0.25">
      <c r="A46" s="11" t="s">
        <v>179</v>
      </c>
      <c r="B46" s="13">
        <v>23141</v>
      </c>
      <c r="C46" s="14">
        <f>(20176/B46*100)</f>
        <v>87.18724342076834</v>
      </c>
      <c r="D46" s="15">
        <v>2965</v>
      </c>
      <c r="E46" s="14">
        <v>76.092074589999996</v>
      </c>
      <c r="F46" s="16">
        <v>0.95825331000000002</v>
      </c>
      <c r="G46" s="14">
        <v>23.907925410000001</v>
      </c>
      <c r="H46" s="16">
        <v>0.95825331000000002</v>
      </c>
      <c r="I46" s="14" t="s">
        <v>139</v>
      </c>
      <c r="J46" s="16" t="s">
        <v>139</v>
      </c>
      <c r="K46" s="14">
        <v>0</v>
      </c>
      <c r="L46" s="16">
        <v>0</v>
      </c>
      <c r="M46" s="14">
        <v>0</v>
      </c>
      <c r="N46" s="16">
        <v>0</v>
      </c>
      <c r="O46" s="14">
        <v>0</v>
      </c>
      <c r="P46" s="16">
        <v>0</v>
      </c>
      <c r="Q46" s="14">
        <v>0</v>
      </c>
      <c r="R46" s="16">
        <v>0</v>
      </c>
    </row>
    <row r="47" spans="1:18" x14ac:dyDescent="0.25">
      <c r="A47" s="11" t="s">
        <v>180</v>
      </c>
      <c r="B47" s="13">
        <v>5928</v>
      </c>
      <c r="C47" s="14">
        <f>(4958/B47*100)</f>
        <v>83.6369770580297</v>
      </c>
      <c r="D47" s="15">
        <v>970</v>
      </c>
      <c r="E47" s="14">
        <v>72.029813529999998</v>
      </c>
      <c r="F47" s="16">
        <v>1.4860697199999999</v>
      </c>
      <c r="G47" s="14">
        <v>27.970186470000002</v>
      </c>
      <c r="H47" s="16">
        <v>1.4860697199999999</v>
      </c>
      <c r="I47" s="14" t="s">
        <v>139</v>
      </c>
      <c r="J47" s="16" t="s">
        <v>139</v>
      </c>
      <c r="K47" s="14">
        <v>0</v>
      </c>
      <c r="L47" s="16">
        <v>0</v>
      </c>
      <c r="M47" s="14">
        <v>0</v>
      </c>
      <c r="N47" s="16">
        <v>0</v>
      </c>
      <c r="O47" s="14">
        <v>0</v>
      </c>
      <c r="P47" s="16">
        <v>0</v>
      </c>
      <c r="Q47" s="14">
        <v>0</v>
      </c>
      <c r="R47" s="16">
        <v>0</v>
      </c>
    </row>
    <row r="48" spans="1:18" x14ac:dyDescent="0.25">
      <c r="A48" s="11" t="s">
        <v>181</v>
      </c>
      <c r="B48" s="13">
        <v>9841</v>
      </c>
      <c r="C48" s="14">
        <f>(8160/B48*100)</f>
        <v>82.918402601361649</v>
      </c>
      <c r="D48" s="15">
        <v>1681</v>
      </c>
      <c r="E48" s="14">
        <v>58.867747989999998</v>
      </c>
      <c r="F48" s="16">
        <v>1.7336683399999999</v>
      </c>
      <c r="G48" s="14">
        <v>41.132252010000002</v>
      </c>
      <c r="H48" s="16">
        <v>1.7336683399999999</v>
      </c>
      <c r="I48" s="14" t="s">
        <v>139</v>
      </c>
      <c r="J48" s="16" t="s">
        <v>139</v>
      </c>
      <c r="K48" s="14">
        <v>0</v>
      </c>
      <c r="L48" s="16">
        <v>0</v>
      </c>
      <c r="M48" s="14">
        <v>0</v>
      </c>
      <c r="N48" s="16">
        <v>0</v>
      </c>
      <c r="O48" s="14">
        <v>0</v>
      </c>
      <c r="P48" s="16">
        <v>0</v>
      </c>
      <c r="Q48" s="14">
        <v>0</v>
      </c>
      <c r="R48" s="16">
        <v>0</v>
      </c>
    </row>
    <row r="49" spans="1:18" x14ac:dyDescent="0.25">
      <c r="A49" s="11" t="s">
        <v>182</v>
      </c>
      <c r="B49" s="17" t="s">
        <v>154</v>
      </c>
      <c r="C49" s="17" t="s">
        <v>154</v>
      </c>
      <c r="D49" s="18" t="s">
        <v>154</v>
      </c>
      <c r="E49" s="17" t="s">
        <v>154</v>
      </c>
      <c r="F49" s="18" t="s">
        <v>154</v>
      </c>
      <c r="G49" s="17" t="s">
        <v>154</v>
      </c>
      <c r="H49" s="18" t="s">
        <v>154</v>
      </c>
      <c r="I49" s="17" t="s">
        <v>154</v>
      </c>
      <c r="J49" s="18" t="s">
        <v>154</v>
      </c>
      <c r="K49" s="17" t="s">
        <v>154</v>
      </c>
      <c r="L49" s="18" t="s">
        <v>154</v>
      </c>
      <c r="M49" s="17" t="s">
        <v>154</v>
      </c>
      <c r="N49" s="18" t="s">
        <v>154</v>
      </c>
      <c r="O49" s="17" t="s">
        <v>154</v>
      </c>
      <c r="P49" s="18" t="s">
        <v>154</v>
      </c>
      <c r="Q49" s="17" t="s">
        <v>154</v>
      </c>
      <c r="R49" s="18" t="s">
        <v>154</v>
      </c>
    </row>
    <row r="50" spans="1:18" x14ac:dyDescent="0.25">
      <c r="A50" s="11" t="s">
        <v>183</v>
      </c>
      <c r="B50" s="13">
        <v>11795</v>
      </c>
      <c r="C50" s="14">
        <f>(9898/B50*100)</f>
        <v>83.916913946587528</v>
      </c>
      <c r="D50" s="15">
        <v>1897</v>
      </c>
      <c r="E50" s="14">
        <v>67.760755189999998</v>
      </c>
      <c r="F50" s="16">
        <v>1.3510247900000001</v>
      </c>
      <c r="G50" s="14">
        <v>32.239244810000002</v>
      </c>
      <c r="H50" s="16">
        <v>1.3510247900000001</v>
      </c>
      <c r="I50" s="14" t="s">
        <v>139</v>
      </c>
      <c r="J50" s="16" t="s">
        <v>139</v>
      </c>
      <c r="K50" s="14">
        <v>0</v>
      </c>
      <c r="L50" s="16">
        <v>0</v>
      </c>
      <c r="M50" s="14">
        <v>0</v>
      </c>
      <c r="N50" s="16">
        <v>0</v>
      </c>
      <c r="O50" s="14">
        <v>0</v>
      </c>
      <c r="P50" s="16">
        <v>0</v>
      </c>
      <c r="Q50" s="14">
        <v>0</v>
      </c>
      <c r="R50" s="16">
        <v>0</v>
      </c>
    </row>
    <row r="51" spans="1:18" x14ac:dyDescent="0.25">
      <c r="A51" s="11" t="s">
        <v>184</v>
      </c>
      <c r="B51" s="13">
        <v>6866</v>
      </c>
      <c r="C51" s="14">
        <f>(5894/B51*100)</f>
        <v>85.843285755898634</v>
      </c>
      <c r="D51" s="15">
        <v>972</v>
      </c>
      <c r="E51" s="14">
        <v>75.704714569999993</v>
      </c>
      <c r="F51" s="16">
        <v>1.4286405900000001</v>
      </c>
      <c r="G51" s="14">
        <v>24.29528543</v>
      </c>
      <c r="H51" s="16">
        <v>1.4286405900000001</v>
      </c>
      <c r="I51" s="14" t="s">
        <v>139</v>
      </c>
      <c r="J51" s="16" t="s">
        <v>139</v>
      </c>
      <c r="K51" s="14">
        <v>0</v>
      </c>
      <c r="L51" s="16">
        <v>0</v>
      </c>
      <c r="M51" s="14">
        <v>0</v>
      </c>
      <c r="N51" s="16">
        <v>0</v>
      </c>
      <c r="O51" s="14">
        <v>0</v>
      </c>
      <c r="P51" s="16">
        <v>0</v>
      </c>
      <c r="Q51" s="14">
        <v>0</v>
      </c>
      <c r="R51" s="16">
        <v>0</v>
      </c>
    </row>
    <row r="52" spans="1:18" x14ac:dyDescent="0.25">
      <c r="A52" s="11" t="s">
        <v>185</v>
      </c>
      <c r="B52" s="13">
        <v>5809</v>
      </c>
      <c r="C52" s="14">
        <f>(4808/B52*100)</f>
        <v>82.768118436908239</v>
      </c>
      <c r="D52" s="15">
        <v>1001</v>
      </c>
      <c r="E52" s="14">
        <v>73.195327169999999</v>
      </c>
      <c r="F52" s="16">
        <v>1.4289450699999999</v>
      </c>
      <c r="G52" s="14">
        <v>26.804672830000001</v>
      </c>
      <c r="H52" s="16">
        <v>1.4289450699999999</v>
      </c>
      <c r="I52" s="14" t="s">
        <v>139</v>
      </c>
      <c r="J52" s="16" t="s">
        <v>139</v>
      </c>
      <c r="K52" s="14">
        <v>0</v>
      </c>
      <c r="L52" s="16">
        <v>0</v>
      </c>
      <c r="M52" s="14">
        <v>0</v>
      </c>
      <c r="N52" s="16">
        <v>0</v>
      </c>
      <c r="O52" s="14">
        <v>0</v>
      </c>
      <c r="P52" s="16">
        <v>0</v>
      </c>
      <c r="Q52" s="14">
        <v>0</v>
      </c>
      <c r="R52" s="16">
        <v>0</v>
      </c>
    </row>
    <row r="53" spans="1:18" x14ac:dyDescent="0.25">
      <c r="A53" s="11" t="s">
        <v>186</v>
      </c>
      <c r="B53" s="13">
        <v>5571</v>
      </c>
      <c r="C53" s="14">
        <f>(4622/B53*100)</f>
        <v>82.965356309459708</v>
      </c>
      <c r="D53" s="15">
        <v>949</v>
      </c>
      <c r="E53" s="14">
        <v>73.36717779</v>
      </c>
      <c r="F53" s="16">
        <v>1.4332142299999999</v>
      </c>
      <c r="G53" s="14">
        <v>26.63282221</v>
      </c>
      <c r="H53" s="16">
        <v>1.4332142299999999</v>
      </c>
      <c r="I53" s="14" t="s">
        <v>139</v>
      </c>
      <c r="J53" s="16" t="s">
        <v>139</v>
      </c>
      <c r="K53" s="14">
        <v>0</v>
      </c>
      <c r="L53" s="16">
        <v>0</v>
      </c>
      <c r="M53" s="14">
        <v>0</v>
      </c>
      <c r="N53" s="16">
        <v>0</v>
      </c>
      <c r="O53" s="14">
        <v>0</v>
      </c>
      <c r="P53" s="16">
        <v>0</v>
      </c>
      <c r="Q53" s="14">
        <v>0</v>
      </c>
      <c r="R53" s="16">
        <v>0</v>
      </c>
    </row>
    <row r="54" spans="1:18" x14ac:dyDescent="0.25">
      <c r="A54" s="11" t="s">
        <v>187</v>
      </c>
      <c r="B54" s="17" t="s">
        <v>154</v>
      </c>
      <c r="C54" s="17" t="s">
        <v>154</v>
      </c>
      <c r="D54" s="18" t="s">
        <v>154</v>
      </c>
      <c r="E54" s="17" t="s">
        <v>154</v>
      </c>
      <c r="F54" s="18" t="s">
        <v>154</v>
      </c>
      <c r="G54" s="17" t="s">
        <v>154</v>
      </c>
      <c r="H54" s="18" t="s">
        <v>154</v>
      </c>
      <c r="I54" s="17" t="s">
        <v>154</v>
      </c>
      <c r="J54" s="18" t="s">
        <v>154</v>
      </c>
      <c r="K54" s="17" t="s">
        <v>154</v>
      </c>
      <c r="L54" s="18" t="s">
        <v>154</v>
      </c>
      <c r="M54" s="17" t="s">
        <v>154</v>
      </c>
      <c r="N54" s="18" t="s">
        <v>154</v>
      </c>
      <c r="O54" s="17" t="s">
        <v>154</v>
      </c>
      <c r="P54" s="18" t="s">
        <v>154</v>
      </c>
      <c r="Q54" s="17" t="s">
        <v>154</v>
      </c>
      <c r="R54" s="18" t="s">
        <v>154</v>
      </c>
    </row>
    <row r="55" spans="1:18" x14ac:dyDescent="0.25">
      <c r="A55" s="11" t="s">
        <v>188</v>
      </c>
      <c r="B55" s="17" t="s">
        <v>154</v>
      </c>
      <c r="C55" s="17" t="s">
        <v>154</v>
      </c>
      <c r="D55" s="18" t="s">
        <v>154</v>
      </c>
      <c r="E55" s="17" t="s">
        <v>154</v>
      </c>
      <c r="F55" s="18" t="s">
        <v>154</v>
      </c>
      <c r="G55" s="17" t="s">
        <v>154</v>
      </c>
      <c r="H55" s="18" t="s">
        <v>154</v>
      </c>
      <c r="I55" s="17" t="s">
        <v>154</v>
      </c>
      <c r="J55" s="18" t="s">
        <v>154</v>
      </c>
      <c r="K55" s="17" t="s">
        <v>154</v>
      </c>
      <c r="L55" s="18" t="s">
        <v>154</v>
      </c>
      <c r="M55" s="17" t="s">
        <v>154</v>
      </c>
      <c r="N55" s="18" t="s">
        <v>154</v>
      </c>
      <c r="O55" s="17" t="s">
        <v>154</v>
      </c>
      <c r="P55" s="18" t="s">
        <v>154</v>
      </c>
      <c r="Q55" s="17" t="s">
        <v>154</v>
      </c>
      <c r="R55" s="18" t="s">
        <v>154</v>
      </c>
    </row>
    <row r="56" spans="1:18" x14ac:dyDescent="0.25">
      <c r="A56" s="11" t="s">
        <v>189</v>
      </c>
      <c r="B56" s="13">
        <v>5359</v>
      </c>
      <c r="C56" s="14">
        <f>(4449/B56*100)</f>
        <v>83.019220003732045</v>
      </c>
      <c r="D56" s="15">
        <v>910</v>
      </c>
      <c r="E56" s="14">
        <v>64.147830560000003</v>
      </c>
      <c r="F56" s="16">
        <v>1.73357099</v>
      </c>
      <c r="G56" s="14">
        <v>35.852169439999997</v>
      </c>
      <c r="H56" s="16">
        <v>1.73357099</v>
      </c>
      <c r="I56" s="14" t="s">
        <v>139</v>
      </c>
      <c r="J56" s="16" t="s">
        <v>139</v>
      </c>
      <c r="K56" s="14">
        <v>0</v>
      </c>
      <c r="L56" s="16">
        <v>0</v>
      </c>
      <c r="M56" s="14">
        <v>0</v>
      </c>
      <c r="N56" s="16">
        <v>0</v>
      </c>
      <c r="O56" s="14">
        <v>0</v>
      </c>
      <c r="P56" s="16">
        <v>0</v>
      </c>
      <c r="Q56" s="14">
        <v>0</v>
      </c>
      <c r="R56" s="16">
        <v>0</v>
      </c>
    </row>
    <row r="57" spans="1:18" x14ac:dyDescent="0.25">
      <c r="A57" s="11" t="s">
        <v>190</v>
      </c>
      <c r="B57" s="17" t="s">
        <v>154</v>
      </c>
      <c r="C57" s="17" t="s">
        <v>154</v>
      </c>
      <c r="D57" s="18" t="s">
        <v>154</v>
      </c>
      <c r="E57" s="17" t="s">
        <v>154</v>
      </c>
      <c r="F57" s="18" t="s">
        <v>154</v>
      </c>
      <c r="G57" s="17" t="s">
        <v>154</v>
      </c>
      <c r="H57" s="18" t="s">
        <v>154</v>
      </c>
      <c r="I57" s="17" t="s">
        <v>154</v>
      </c>
      <c r="J57" s="18" t="s">
        <v>154</v>
      </c>
      <c r="K57" s="17" t="s">
        <v>154</v>
      </c>
      <c r="L57" s="18" t="s">
        <v>154</v>
      </c>
      <c r="M57" s="17" t="s">
        <v>154</v>
      </c>
      <c r="N57" s="18" t="s">
        <v>154</v>
      </c>
      <c r="O57" s="17" t="s">
        <v>154</v>
      </c>
      <c r="P57" s="18" t="s">
        <v>154</v>
      </c>
      <c r="Q57" s="17" t="s">
        <v>154</v>
      </c>
      <c r="R57" s="18" t="s">
        <v>154</v>
      </c>
    </row>
    <row r="58" spans="1:18" x14ac:dyDescent="0.25">
      <c r="A58" s="11" t="s">
        <v>191</v>
      </c>
      <c r="B58" s="17" t="s">
        <v>154</v>
      </c>
      <c r="C58" s="17" t="s">
        <v>154</v>
      </c>
      <c r="D58" s="18" t="s">
        <v>154</v>
      </c>
      <c r="E58" s="17" t="s">
        <v>154</v>
      </c>
      <c r="F58" s="18" t="s">
        <v>154</v>
      </c>
      <c r="G58" s="17" t="s">
        <v>154</v>
      </c>
      <c r="H58" s="18" t="s">
        <v>154</v>
      </c>
      <c r="I58" s="17" t="s">
        <v>154</v>
      </c>
      <c r="J58" s="18" t="s">
        <v>154</v>
      </c>
      <c r="K58" s="17" t="s">
        <v>154</v>
      </c>
      <c r="L58" s="18" t="s">
        <v>154</v>
      </c>
      <c r="M58" s="17" t="s">
        <v>154</v>
      </c>
      <c r="N58" s="18" t="s">
        <v>154</v>
      </c>
      <c r="O58" s="17" t="s">
        <v>154</v>
      </c>
      <c r="P58" s="18" t="s">
        <v>154</v>
      </c>
      <c r="Q58" s="17" t="s">
        <v>154</v>
      </c>
      <c r="R58" s="18" t="s">
        <v>154</v>
      </c>
    </row>
    <row r="59" spans="1:18" x14ac:dyDescent="0.25">
      <c r="A59" s="11" t="s">
        <v>192</v>
      </c>
      <c r="B59" s="17" t="s">
        <v>154</v>
      </c>
      <c r="C59" s="17" t="s">
        <v>154</v>
      </c>
      <c r="D59" s="18" t="s">
        <v>154</v>
      </c>
      <c r="E59" s="17" t="s">
        <v>154</v>
      </c>
      <c r="F59" s="18" t="s">
        <v>154</v>
      </c>
      <c r="G59" s="17" t="s">
        <v>154</v>
      </c>
      <c r="H59" s="18" t="s">
        <v>154</v>
      </c>
      <c r="I59" s="17" t="s">
        <v>154</v>
      </c>
      <c r="J59" s="18" t="s">
        <v>154</v>
      </c>
      <c r="K59" s="17" t="s">
        <v>154</v>
      </c>
      <c r="L59" s="18" t="s">
        <v>154</v>
      </c>
      <c r="M59" s="17" t="s">
        <v>154</v>
      </c>
      <c r="N59" s="18" t="s">
        <v>154</v>
      </c>
      <c r="O59" s="17" t="s">
        <v>154</v>
      </c>
      <c r="P59" s="18" t="s">
        <v>154</v>
      </c>
      <c r="Q59" s="17" t="s">
        <v>154</v>
      </c>
      <c r="R59" s="18" t="s">
        <v>154</v>
      </c>
    </row>
    <row r="60" spans="1:18" x14ac:dyDescent="0.25">
      <c r="A60" s="11" t="s">
        <v>193</v>
      </c>
      <c r="B60" s="17" t="s">
        <v>154</v>
      </c>
      <c r="C60" s="17" t="s">
        <v>154</v>
      </c>
      <c r="D60" s="18" t="s">
        <v>154</v>
      </c>
      <c r="E60" s="17" t="s">
        <v>154</v>
      </c>
      <c r="F60" s="18" t="s">
        <v>154</v>
      </c>
      <c r="G60" s="17" t="s">
        <v>154</v>
      </c>
      <c r="H60" s="18" t="s">
        <v>154</v>
      </c>
      <c r="I60" s="17" t="s">
        <v>154</v>
      </c>
      <c r="J60" s="18" t="s">
        <v>154</v>
      </c>
      <c r="K60" s="17" t="s">
        <v>154</v>
      </c>
      <c r="L60" s="18" t="s">
        <v>154</v>
      </c>
      <c r="M60" s="17" t="s">
        <v>154</v>
      </c>
      <c r="N60" s="18" t="s">
        <v>154</v>
      </c>
      <c r="O60" s="17" t="s">
        <v>154</v>
      </c>
      <c r="P60" s="18" t="s">
        <v>154</v>
      </c>
      <c r="Q60" s="17" t="s">
        <v>154</v>
      </c>
      <c r="R60" s="18" t="s">
        <v>154</v>
      </c>
    </row>
    <row r="61" spans="1:18" x14ac:dyDescent="0.25">
      <c r="A61" s="11" t="s">
        <v>194</v>
      </c>
      <c r="B61" s="13">
        <v>6525</v>
      </c>
      <c r="C61" s="14">
        <f>(5408/B61*100)</f>
        <v>82.88122605363985</v>
      </c>
      <c r="D61" s="15">
        <v>1117</v>
      </c>
      <c r="E61" s="14">
        <v>65.497761310000001</v>
      </c>
      <c r="F61" s="16">
        <v>1.32391763</v>
      </c>
      <c r="G61" s="14">
        <v>34.502238689999999</v>
      </c>
      <c r="H61" s="16">
        <v>1.32391763</v>
      </c>
      <c r="I61" s="14" t="s">
        <v>139</v>
      </c>
      <c r="J61" s="16" t="s">
        <v>139</v>
      </c>
      <c r="K61" s="14">
        <v>0</v>
      </c>
      <c r="L61" s="16">
        <v>0</v>
      </c>
      <c r="M61" s="14">
        <v>0</v>
      </c>
      <c r="N61" s="16">
        <v>0</v>
      </c>
      <c r="O61" s="14">
        <v>0</v>
      </c>
      <c r="P61" s="16">
        <v>0</v>
      </c>
      <c r="Q61" s="14">
        <v>0</v>
      </c>
      <c r="R61" s="16">
        <v>0</v>
      </c>
    </row>
    <row r="62" spans="1:18" x14ac:dyDescent="0.25">
      <c r="A62" s="11" t="s">
        <v>195</v>
      </c>
      <c r="B62" s="13">
        <v>4476</v>
      </c>
      <c r="C62" s="14">
        <f>(3712/B62*100)</f>
        <v>82.931188561215379</v>
      </c>
      <c r="D62" s="15">
        <v>764</v>
      </c>
      <c r="E62" s="14">
        <v>72.525434840000003</v>
      </c>
      <c r="F62" s="16">
        <v>1.65979571</v>
      </c>
      <c r="G62" s="14">
        <v>27.474565160000001</v>
      </c>
      <c r="H62" s="16">
        <v>1.65979571</v>
      </c>
      <c r="I62" s="14" t="s">
        <v>139</v>
      </c>
      <c r="J62" s="16" t="s">
        <v>139</v>
      </c>
      <c r="K62" s="14">
        <v>0</v>
      </c>
      <c r="L62" s="16">
        <v>0</v>
      </c>
      <c r="M62" s="14">
        <v>0</v>
      </c>
      <c r="N62" s="16">
        <v>0</v>
      </c>
      <c r="O62" s="14">
        <v>0</v>
      </c>
      <c r="P62" s="16">
        <v>0</v>
      </c>
      <c r="Q62" s="14">
        <v>0</v>
      </c>
      <c r="R62" s="16">
        <v>0</v>
      </c>
    </row>
    <row r="63" spans="1:18" x14ac:dyDescent="0.25">
      <c r="A63" s="11" t="s">
        <v>196</v>
      </c>
      <c r="B63" s="17" t="s">
        <v>154</v>
      </c>
      <c r="C63" s="17" t="s">
        <v>154</v>
      </c>
      <c r="D63" s="18" t="s">
        <v>154</v>
      </c>
      <c r="E63" s="17" t="s">
        <v>154</v>
      </c>
      <c r="F63" s="18" t="s">
        <v>154</v>
      </c>
      <c r="G63" s="17" t="s">
        <v>154</v>
      </c>
      <c r="H63" s="18" t="s">
        <v>154</v>
      </c>
      <c r="I63" s="17" t="s">
        <v>154</v>
      </c>
      <c r="J63" s="18" t="s">
        <v>154</v>
      </c>
      <c r="K63" s="17" t="s">
        <v>154</v>
      </c>
      <c r="L63" s="18" t="s">
        <v>154</v>
      </c>
      <c r="M63" s="17" t="s">
        <v>154</v>
      </c>
      <c r="N63" s="18" t="s">
        <v>154</v>
      </c>
      <c r="O63" s="17" t="s">
        <v>154</v>
      </c>
      <c r="P63" s="18" t="s">
        <v>154</v>
      </c>
      <c r="Q63" s="17" t="s">
        <v>154</v>
      </c>
      <c r="R63" s="18" t="s">
        <v>154</v>
      </c>
    </row>
    <row r="64" spans="1:18" x14ac:dyDescent="0.25">
      <c r="A64" s="11" t="s">
        <v>197</v>
      </c>
      <c r="B64" s="17" t="s">
        <v>154</v>
      </c>
      <c r="C64" s="17" t="s">
        <v>154</v>
      </c>
      <c r="D64" s="18" t="s">
        <v>154</v>
      </c>
      <c r="E64" s="17" t="s">
        <v>154</v>
      </c>
      <c r="F64" s="18" t="s">
        <v>154</v>
      </c>
      <c r="G64" s="17" t="s">
        <v>154</v>
      </c>
      <c r="H64" s="18" t="s">
        <v>154</v>
      </c>
      <c r="I64" s="17" t="s">
        <v>154</v>
      </c>
      <c r="J64" s="18" t="s">
        <v>154</v>
      </c>
      <c r="K64" s="17" t="s">
        <v>154</v>
      </c>
      <c r="L64" s="18" t="s">
        <v>154</v>
      </c>
      <c r="M64" s="17" t="s">
        <v>154</v>
      </c>
      <c r="N64" s="18" t="s">
        <v>154</v>
      </c>
      <c r="O64" s="17" t="s">
        <v>154</v>
      </c>
      <c r="P64" s="18" t="s">
        <v>154</v>
      </c>
      <c r="Q64" s="17" t="s">
        <v>154</v>
      </c>
      <c r="R64" s="18" t="s">
        <v>154</v>
      </c>
    </row>
    <row r="65" spans="1:18" x14ac:dyDescent="0.25">
      <c r="A65" s="11" t="s">
        <v>198</v>
      </c>
      <c r="B65" s="17" t="s">
        <v>154</v>
      </c>
      <c r="C65" s="17" t="s">
        <v>154</v>
      </c>
      <c r="D65" s="18" t="s">
        <v>154</v>
      </c>
      <c r="E65" s="17" t="s">
        <v>154</v>
      </c>
      <c r="F65" s="18" t="s">
        <v>154</v>
      </c>
      <c r="G65" s="17" t="s">
        <v>154</v>
      </c>
      <c r="H65" s="18" t="s">
        <v>154</v>
      </c>
      <c r="I65" s="17" t="s">
        <v>154</v>
      </c>
      <c r="J65" s="18" t="s">
        <v>154</v>
      </c>
      <c r="K65" s="17" t="s">
        <v>154</v>
      </c>
      <c r="L65" s="18" t="s">
        <v>154</v>
      </c>
      <c r="M65" s="17" t="s">
        <v>154</v>
      </c>
      <c r="N65" s="18" t="s">
        <v>154</v>
      </c>
      <c r="O65" s="17" t="s">
        <v>154</v>
      </c>
      <c r="P65" s="18" t="s">
        <v>154</v>
      </c>
      <c r="Q65" s="17" t="s">
        <v>154</v>
      </c>
      <c r="R65" s="18" t="s">
        <v>154</v>
      </c>
    </row>
    <row r="66" spans="1:18" x14ac:dyDescent="0.25">
      <c r="A66" s="11" t="s">
        <v>199</v>
      </c>
      <c r="B66" s="13">
        <v>5665</v>
      </c>
      <c r="C66" s="14">
        <f>(4730/B66*100)</f>
        <v>83.495145631067956</v>
      </c>
      <c r="D66" s="15">
        <v>935</v>
      </c>
      <c r="E66" s="14">
        <v>71.493829899999994</v>
      </c>
      <c r="F66" s="16">
        <v>1.48544392</v>
      </c>
      <c r="G66" s="14">
        <v>28.506170099999999</v>
      </c>
      <c r="H66" s="16">
        <v>1.48544392</v>
      </c>
      <c r="I66" s="14" t="s">
        <v>139</v>
      </c>
      <c r="J66" s="16" t="s">
        <v>139</v>
      </c>
      <c r="K66" s="14">
        <v>0</v>
      </c>
      <c r="L66" s="16">
        <v>0</v>
      </c>
      <c r="M66" s="14">
        <v>0</v>
      </c>
      <c r="N66" s="16">
        <v>0</v>
      </c>
      <c r="O66" s="14">
        <v>0</v>
      </c>
      <c r="P66" s="16">
        <v>0</v>
      </c>
      <c r="Q66" s="14">
        <v>0</v>
      </c>
      <c r="R66" s="16">
        <v>0</v>
      </c>
    </row>
    <row r="67" spans="1:18" x14ac:dyDescent="0.25">
      <c r="A67" s="11" t="s">
        <v>200</v>
      </c>
      <c r="B67" s="13">
        <v>6971</v>
      </c>
      <c r="C67" s="14">
        <f>(5966/B67*100)</f>
        <v>85.583130110457603</v>
      </c>
      <c r="D67" s="15">
        <v>1005</v>
      </c>
      <c r="E67" s="14">
        <v>74.095401039999999</v>
      </c>
      <c r="F67" s="16">
        <v>1.4594804299999999</v>
      </c>
      <c r="G67" s="14">
        <v>25.904598960000001</v>
      </c>
      <c r="H67" s="16">
        <v>1.4594804299999999</v>
      </c>
      <c r="I67" s="14" t="s">
        <v>139</v>
      </c>
      <c r="J67" s="16" t="s">
        <v>139</v>
      </c>
      <c r="K67" s="14">
        <v>0</v>
      </c>
      <c r="L67" s="16">
        <v>0</v>
      </c>
      <c r="M67" s="14">
        <v>0</v>
      </c>
      <c r="N67" s="16">
        <v>0</v>
      </c>
      <c r="O67" s="14">
        <v>0</v>
      </c>
      <c r="P67" s="16">
        <v>0</v>
      </c>
      <c r="Q67" s="14">
        <v>0</v>
      </c>
      <c r="R67" s="16">
        <v>0</v>
      </c>
    </row>
    <row r="68" spans="1:18" x14ac:dyDescent="0.25">
      <c r="A68" s="11" t="s">
        <v>201</v>
      </c>
      <c r="B68" s="17" t="s">
        <v>154</v>
      </c>
      <c r="C68" s="17" t="s">
        <v>154</v>
      </c>
      <c r="D68" s="18" t="s">
        <v>154</v>
      </c>
      <c r="E68" s="17" t="s">
        <v>154</v>
      </c>
      <c r="F68" s="18" t="s">
        <v>154</v>
      </c>
      <c r="G68" s="17" t="s">
        <v>154</v>
      </c>
      <c r="H68" s="18" t="s">
        <v>154</v>
      </c>
      <c r="I68" s="17" t="s">
        <v>154</v>
      </c>
      <c r="J68" s="18" t="s">
        <v>154</v>
      </c>
      <c r="K68" s="17" t="s">
        <v>154</v>
      </c>
      <c r="L68" s="18" t="s">
        <v>154</v>
      </c>
      <c r="M68" s="17" t="s">
        <v>154</v>
      </c>
      <c r="N68" s="18" t="s">
        <v>154</v>
      </c>
      <c r="O68" s="17" t="s">
        <v>154</v>
      </c>
      <c r="P68" s="18" t="s">
        <v>154</v>
      </c>
      <c r="Q68" s="17" t="s">
        <v>154</v>
      </c>
      <c r="R68" s="18" t="s">
        <v>154</v>
      </c>
    </row>
    <row r="69" spans="1:18" x14ac:dyDescent="0.25">
      <c r="A69" s="11" t="s">
        <v>202</v>
      </c>
      <c r="B69" s="17" t="s">
        <v>154</v>
      </c>
      <c r="C69" s="17" t="s">
        <v>154</v>
      </c>
      <c r="D69" s="18" t="s">
        <v>154</v>
      </c>
      <c r="E69" s="17" t="s">
        <v>154</v>
      </c>
      <c r="F69" s="18" t="s">
        <v>154</v>
      </c>
      <c r="G69" s="17" t="s">
        <v>154</v>
      </c>
      <c r="H69" s="18" t="s">
        <v>154</v>
      </c>
      <c r="I69" s="17" t="s">
        <v>154</v>
      </c>
      <c r="J69" s="18" t="s">
        <v>154</v>
      </c>
      <c r="K69" s="17" t="s">
        <v>154</v>
      </c>
      <c r="L69" s="18" t="s">
        <v>154</v>
      </c>
      <c r="M69" s="17" t="s">
        <v>154</v>
      </c>
      <c r="N69" s="18" t="s">
        <v>154</v>
      </c>
      <c r="O69" s="17" t="s">
        <v>154</v>
      </c>
      <c r="P69" s="18" t="s">
        <v>154</v>
      </c>
      <c r="Q69" s="17" t="s">
        <v>154</v>
      </c>
      <c r="R69" s="18" t="s">
        <v>154</v>
      </c>
    </row>
    <row r="70" spans="1:18" x14ac:dyDescent="0.25">
      <c r="A70" s="11" t="s">
        <v>203</v>
      </c>
      <c r="B70" s="13">
        <v>6036</v>
      </c>
      <c r="C70" s="14">
        <f>(5036/B70*100)</f>
        <v>83.432736911862165</v>
      </c>
      <c r="D70" s="15">
        <v>1000</v>
      </c>
      <c r="E70" s="14">
        <v>74.823126999999999</v>
      </c>
      <c r="F70" s="16">
        <v>1.57777773</v>
      </c>
      <c r="G70" s="14">
        <v>25.176873000000001</v>
      </c>
      <c r="H70" s="16">
        <v>1.57777773</v>
      </c>
      <c r="I70" s="14" t="s">
        <v>139</v>
      </c>
      <c r="J70" s="16" t="s">
        <v>139</v>
      </c>
      <c r="K70" s="14">
        <v>0</v>
      </c>
      <c r="L70" s="16">
        <v>0</v>
      </c>
      <c r="M70" s="14">
        <v>0</v>
      </c>
      <c r="N70" s="16">
        <v>0</v>
      </c>
      <c r="O70" s="14">
        <v>0</v>
      </c>
      <c r="P70" s="16">
        <v>0</v>
      </c>
      <c r="Q70" s="14">
        <v>0</v>
      </c>
      <c r="R70" s="16">
        <v>0</v>
      </c>
    </row>
    <row r="71" spans="1:18" x14ac:dyDescent="0.25">
      <c r="A71" s="11" t="s">
        <v>204</v>
      </c>
      <c r="B71" s="17" t="s">
        <v>154</v>
      </c>
      <c r="C71" s="17" t="s">
        <v>154</v>
      </c>
      <c r="D71" s="18" t="s">
        <v>154</v>
      </c>
      <c r="E71" s="17" t="s">
        <v>154</v>
      </c>
      <c r="F71" s="18" t="s">
        <v>154</v>
      </c>
      <c r="G71" s="17" t="s">
        <v>154</v>
      </c>
      <c r="H71" s="18" t="s">
        <v>154</v>
      </c>
      <c r="I71" s="17" t="s">
        <v>154</v>
      </c>
      <c r="J71" s="18" t="s">
        <v>154</v>
      </c>
      <c r="K71" s="17" t="s">
        <v>154</v>
      </c>
      <c r="L71" s="18" t="s">
        <v>154</v>
      </c>
      <c r="M71" s="17" t="s">
        <v>154</v>
      </c>
      <c r="N71" s="18" t="s">
        <v>154</v>
      </c>
      <c r="O71" s="17" t="s">
        <v>154</v>
      </c>
      <c r="P71" s="18" t="s">
        <v>154</v>
      </c>
      <c r="Q71" s="17" t="s">
        <v>154</v>
      </c>
      <c r="R71" s="18" t="s">
        <v>154</v>
      </c>
    </row>
    <row r="72" spans="1:18" x14ac:dyDescent="0.25">
      <c r="A72" s="11" t="s">
        <v>205</v>
      </c>
      <c r="B72" s="13">
        <v>7708</v>
      </c>
      <c r="C72" s="14">
        <f>(6391/B72*100)</f>
        <v>82.913855734302018</v>
      </c>
      <c r="D72" s="15">
        <v>1317</v>
      </c>
      <c r="E72" s="14">
        <v>61.357443940000003</v>
      </c>
      <c r="F72" s="16">
        <v>1.32528008</v>
      </c>
      <c r="G72" s="14">
        <v>38.642556059999997</v>
      </c>
      <c r="H72" s="16">
        <v>1.32528008</v>
      </c>
      <c r="I72" s="14" t="s">
        <v>139</v>
      </c>
      <c r="J72" s="16" t="s">
        <v>139</v>
      </c>
      <c r="K72" s="14">
        <v>0</v>
      </c>
      <c r="L72" s="16">
        <v>0</v>
      </c>
      <c r="M72" s="14">
        <v>0</v>
      </c>
      <c r="N72" s="16">
        <v>0</v>
      </c>
      <c r="O72" s="14">
        <v>0</v>
      </c>
      <c r="P72" s="16">
        <v>0</v>
      </c>
      <c r="Q72" s="14">
        <v>0</v>
      </c>
      <c r="R72" s="16">
        <v>0</v>
      </c>
    </row>
    <row r="73" spans="1:18" x14ac:dyDescent="0.25">
      <c r="A73" s="11" t="s">
        <v>206</v>
      </c>
      <c r="B73" s="13">
        <v>8249</v>
      </c>
      <c r="C73" s="14">
        <f>(6936/B73*100)</f>
        <v>84.082919141714157</v>
      </c>
      <c r="D73" s="15">
        <v>1313</v>
      </c>
      <c r="E73" s="14">
        <v>71.756681940000007</v>
      </c>
      <c r="F73" s="16">
        <v>1.57082341</v>
      </c>
      <c r="G73" s="14">
        <v>28.24331806</v>
      </c>
      <c r="H73" s="16">
        <v>1.57082341</v>
      </c>
      <c r="I73" s="14" t="s">
        <v>139</v>
      </c>
      <c r="J73" s="16" t="s">
        <v>139</v>
      </c>
      <c r="K73" s="14">
        <v>0</v>
      </c>
      <c r="L73" s="16">
        <v>0</v>
      </c>
      <c r="M73" s="14">
        <v>0</v>
      </c>
      <c r="N73" s="16">
        <v>0</v>
      </c>
      <c r="O73" s="14">
        <v>0</v>
      </c>
      <c r="P73" s="16">
        <v>0</v>
      </c>
      <c r="Q73" s="14">
        <v>0</v>
      </c>
      <c r="R73" s="16">
        <v>0</v>
      </c>
    </row>
    <row r="74" spans="1:18" x14ac:dyDescent="0.25">
      <c r="A74" s="11" t="s">
        <v>207</v>
      </c>
      <c r="B74" s="17" t="s">
        <v>154</v>
      </c>
      <c r="C74" s="17" t="s">
        <v>154</v>
      </c>
      <c r="D74" s="18" t="s">
        <v>154</v>
      </c>
      <c r="E74" s="17" t="s">
        <v>154</v>
      </c>
      <c r="F74" s="18" t="s">
        <v>154</v>
      </c>
      <c r="G74" s="17" t="s">
        <v>154</v>
      </c>
      <c r="H74" s="18" t="s">
        <v>154</v>
      </c>
      <c r="I74" s="17" t="s">
        <v>154</v>
      </c>
      <c r="J74" s="18" t="s">
        <v>154</v>
      </c>
      <c r="K74" s="17" t="s">
        <v>154</v>
      </c>
      <c r="L74" s="18" t="s">
        <v>154</v>
      </c>
      <c r="M74" s="17" t="s">
        <v>154</v>
      </c>
      <c r="N74" s="18" t="s">
        <v>154</v>
      </c>
      <c r="O74" s="17" t="s">
        <v>154</v>
      </c>
      <c r="P74" s="18" t="s">
        <v>154</v>
      </c>
      <c r="Q74" s="17" t="s">
        <v>154</v>
      </c>
      <c r="R74" s="18" t="s">
        <v>154</v>
      </c>
    </row>
    <row r="75" spans="1:18" x14ac:dyDescent="0.25">
      <c r="A75" s="11" t="s">
        <v>208</v>
      </c>
      <c r="B75" s="13">
        <v>5375</v>
      </c>
      <c r="C75" s="14">
        <f>(4541/B75*100)</f>
        <v>84.48372093023255</v>
      </c>
      <c r="D75" s="15">
        <v>834</v>
      </c>
      <c r="E75" s="14">
        <v>68.676970420000004</v>
      </c>
      <c r="F75" s="16">
        <v>1.5820051799999999</v>
      </c>
      <c r="G75" s="14">
        <v>31.32302958</v>
      </c>
      <c r="H75" s="16">
        <v>1.5820051799999999</v>
      </c>
      <c r="I75" s="14" t="s">
        <v>139</v>
      </c>
      <c r="J75" s="16" t="s">
        <v>139</v>
      </c>
      <c r="K75" s="14">
        <v>0</v>
      </c>
      <c r="L75" s="16">
        <v>0</v>
      </c>
      <c r="M75" s="14">
        <v>0</v>
      </c>
      <c r="N75" s="16">
        <v>0</v>
      </c>
      <c r="O75" s="14">
        <v>0</v>
      </c>
      <c r="P75" s="16">
        <v>0</v>
      </c>
      <c r="Q75" s="14">
        <v>0</v>
      </c>
      <c r="R75" s="16">
        <v>0</v>
      </c>
    </row>
    <row r="76" spans="1:18" x14ac:dyDescent="0.25">
      <c r="A76" s="11" t="s">
        <v>209</v>
      </c>
      <c r="B76" s="13">
        <v>14167</v>
      </c>
      <c r="C76" s="14">
        <f>(11797/B76*100)</f>
        <v>83.270981859250369</v>
      </c>
      <c r="D76" s="15">
        <v>2370</v>
      </c>
      <c r="E76" s="14">
        <v>66.55518275</v>
      </c>
      <c r="F76" s="16">
        <v>1.2434859199999999</v>
      </c>
      <c r="G76" s="14">
        <v>33.44481725</v>
      </c>
      <c r="H76" s="16">
        <v>1.2434859199999999</v>
      </c>
      <c r="I76" s="14" t="s">
        <v>139</v>
      </c>
      <c r="J76" s="16" t="s">
        <v>139</v>
      </c>
      <c r="K76" s="14">
        <v>0</v>
      </c>
      <c r="L76" s="16">
        <v>0</v>
      </c>
      <c r="M76" s="14">
        <v>0</v>
      </c>
      <c r="N76" s="16">
        <v>0</v>
      </c>
      <c r="O76" s="14">
        <v>0</v>
      </c>
      <c r="P76" s="16">
        <v>0</v>
      </c>
      <c r="Q76" s="14">
        <v>0</v>
      </c>
      <c r="R76" s="16">
        <v>0</v>
      </c>
    </row>
    <row r="77" spans="1:18" x14ac:dyDescent="0.25">
      <c r="A77" s="11" t="s">
        <v>210</v>
      </c>
      <c r="B77" s="13">
        <v>6062</v>
      </c>
      <c r="C77" s="14">
        <f>(5056/B77*100)</f>
        <v>83.404816892114809</v>
      </c>
      <c r="D77" s="15">
        <v>1006</v>
      </c>
      <c r="E77" s="14">
        <v>71.81491278</v>
      </c>
      <c r="F77" s="16">
        <v>1.5273016800000001</v>
      </c>
      <c r="G77" s="14">
        <v>28.18508722</v>
      </c>
      <c r="H77" s="16">
        <v>1.5273016800000001</v>
      </c>
      <c r="I77" s="14" t="s">
        <v>139</v>
      </c>
      <c r="J77" s="16" t="s">
        <v>139</v>
      </c>
      <c r="K77" s="14">
        <v>0</v>
      </c>
      <c r="L77" s="16">
        <v>0</v>
      </c>
      <c r="M77" s="14">
        <v>0</v>
      </c>
      <c r="N77" s="16">
        <v>0</v>
      </c>
      <c r="O77" s="14">
        <v>0</v>
      </c>
      <c r="P77" s="16">
        <v>0</v>
      </c>
      <c r="Q77" s="14">
        <v>0</v>
      </c>
      <c r="R77" s="16">
        <v>0</v>
      </c>
    </row>
    <row r="78" spans="1:18" x14ac:dyDescent="0.25">
      <c r="A78" s="11" t="s">
        <v>211</v>
      </c>
      <c r="B78" s="17" t="s">
        <v>154</v>
      </c>
      <c r="C78" s="17" t="s">
        <v>154</v>
      </c>
      <c r="D78" s="18" t="s">
        <v>154</v>
      </c>
      <c r="E78" s="17" t="s">
        <v>154</v>
      </c>
      <c r="F78" s="18" t="s">
        <v>154</v>
      </c>
      <c r="G78" s="17" t="s">
        <v>154</v>
      </c>
      <c r="H78" s="18" t="s">
        <v>154</v>
      </c>
      <c r="I78" s="17" t="s">
        <v>154</v>
      </c>
      <c r="J78" s="18" t="s">
        <v>154</v>
      </c>
      <c r="K78" s="17" t="s">
        <v>154</v>
      </c>
      <c r="L78" s="18" t="s">
        <v>154</v>
      </c>
      <c r="M78" s="17" t="s">
        <v>154</v>
      </c>
      <c r="N78" s="18" t="s">
        <v>154</v>
      </c>
      <c r="O78" s="17" t="s">
        <v>154</v>
      </c>
      <c r="P78" s="18" t="s">
        <v>154</v>
      </c>
      <c r="Q78" s="17" t="s">
        <v>154</v>
      </c>
      <c r="R78" s="18" t="s">
        <v>154</v>
      </c>
    </row>
    <row r="79" spans="1:18" ht="24.95" customHeight="1" x14ac:dyDescent="0.25">
      <c r="A79" s="11" t="s">
        <v>212</v>
      </c>
      <c r="B79" s="17" t="s">
        <v>154</v>
      </c>
      <c r="C79" s="17" t="s">
        <v>154</v>
      </c>
      <c r="D79" s="18" t="s">
        <v>154</v>
      </c>
      <c r="E79" s="17" t="s">
        <v>154</v>
      </c>
      <c r="F79" s="18" t="s">
        <v>154</v>
      </c>
      <c r="G79" s="17" t="s">
        <v>154</v>
      </c>
      <c r="H79" s="18" t="s">
        <v>154</v>
      </c>
      <c r="I79" s="17" t="s">
        <v>154</v>
      </c>
      <c r="J79" s="18" t="s">
        <v>154</v>
      </c>
      <c r="K79" s="17" t="s">
        <v>154</v>
      </c>
      <c r="L79" s="18" t="s">
        <v>154</v>
      </c>
      <c r="M79" s="17" t="s">
        <v>154</v>
      </c>
      <c r="N79" s="18" t="s">
        <v>154</v>
      </c>
      <c r="O79" s="17" t="s">
        <v>154</v>
      </c>
      <c r="P79" s="18" t="s">
        <v>154</v>
      </c>
      <c r="Q79" s="17" t="s">
        <v>154</v>
      </c>
      <c r="R79" s="18" t="s">
        <v>154</v>
      </c>
    </row>
    <row r="80" spans="1:18" x14ac:dyDescent="0.25">
      <c r="A80" s="11" t="s">
        <v>213</v>
      </c>
      <c r="B80" s="17" t="s">
        <v>154</v>
      </c>
      <c r="C80" s="17" t="s">
        <v>154</v>
      </c>
      <c r="D80" s="18" t="s">
        <v>154</v>
      </c>
      <c r="E80" s="17" t="s">
        <v>154</v>
      </c>
      <c r="F80" s="18" t="s">
        <v>154</v>
      </c>
      <c r="G80" s="17" t="s">
        <v>154</v>
      </c>
      <c r="H80" s="18" t="s">
        <v>154</v>
      </c>
      <c r="I80" s="17" t="s">
        <v>154</v>
      </c>
      <c r="J80" s="18" t="s">
        <v>154</v>
      </c>
      <c r="K80" s="17" t="s">
        <v>154</v>
      </c>
      <c r="L80" s="18" t="s">
        <v>154</v>
      </c>
      <c r="M80" s="17" t="s">
        <v>154</v>
      </c>
      <c r="N80" s="18" t="s">
        <v>154</v>
      </c>
      <c r="O80" s="17" t="s">
        <v>154</v>
      </c>
      <c r="P80" s="18" t="s">
        <v>154</v>
      </c>
      <c r="Q80" s="17" t="s">
        <v>154</v>
      </c>
      <c r="R80" s="18" t="s">
        <v>154</v>
      </c>
    </row>
    <row r="81" spans="1:18" x14ac:dyDescent="0.25">
      <c r="A81" s="19" t="s">
        <v>214</v>
      </c>
      <c r="B81" s="13">
        <v>8861</v>
      </c>
      <c r="C81" s="14">
        <f>(7328/B81*100)</f>
        <v>82.699469585825526</v>
      </c>
      <c r="D81" s="15">
        <v>1533</v>
      </c>
      <c r="E81" s="14">
        <v>72.600187899999995</v>
      </c>
      <c r="F81" s="16">
        <v>1.29674121</v>
      </c>
      <c r="G81" s="14">
        <v>27.399812099999998</v>
      </c>
      <c r="H81" s="16">
        <v>1.29674121</v>
      </c>
      <c r="I81" s="14" t="s">
        <v>139</v>
      </c>
      <c r="J81" s="16" t="s">
        <v>139</v>
      </c>
      <c r="K81" s="14">
        <v>0</v>
      </c>
      <c r="L81" s="16">
        <v>0</v>
      </c>
      <c r="M81" s="14">
        <v>0</v>
      </c>
      <c r="N81" s="16">
        <v>0</v>
      </c>
      <c r="O81" s="14">
        <v>0</v>
      </c>
      <c r="P81" s="16">
        <v>0</v>
      </c>
      <c r="Q81" s="14">
        <v>0</v>
      </c>
      <c r="R81" s="16">
        <v>0</v>
      </c>
    </row>
    <row r="82" spans="1:18" x14ac:dyDescent="0.25">
      <c r="A82" s="20"/>
      <c r="B82" s="20" t="s">
        <v>215</v>
      </c>
      <c r="C82" s="20" t="s">
        <v>215</v>
      </c>
      <c r="D82" s="20" t="s">
        <v>215</v>
      </c>
      <c r="E82" s="20" t="s">
        <v>215</v>
      </c>
      <c r="F82" s="20" t="s">
        <v>215</v>
      </c>
      <c r="G82" s="20" t="s">
        <v>215</v>
      </c>
      <c r="H82" s="20" t="s">
        <v>215</v>
      </c>
      <c r="I82" s="20" t="s">
        <v>215</v>
      </c>
      <c r="J82" s="20" t="s">
        <v>215</v>
      </c>
      <c r="K82" s="20" t="s">
        <v>215</v>
      </c>
      <c r="L82" s="20" t="s">
        <v>215</v>
      </c>
      <c r="M82" s="20" t="s">
        <v>215</v>
      </c>
      <c r="N82" s="20" t="s">
        <v>215</v>
      </c>
      <c r="O82" s="20" t="s">
        <v>215</v>
      </c>
      <c r="P82" s="20" t="s">
        <v>215</v>
      </c>
      <c r="Q82" s="20" t="s">
        <v>215</v>
      </c>
      <c r="R82" s="20" t="s">
        <v>215</v>
      </c>
    </row>
    <row r="83" spans="1:18" x14ac:dyDescent="0.25">
      <c r="A83" s="3" t="s">
        <v>216</v>
      </c>
    </row>
    <row r="84" spans="1:18" x14ac:dyDescent="0.25">
      <c r="A84" s="22" t="s">
        <v>217</v>
      </c>
      <c r="B84" s="23"/>
      <c r="C84" s="23"/>
      <c r="D84" s="23"/>
      <c r="E84" s="23"/>
      <c r="F84" s="23"/>
      <c r="G84" s="23"/>
      <c r="H84" s="23"/>
      <c r="I84" s="23"/>
      <c r="J84" s="23"/>
      <c r="K84" s="23"/>
      <c r="L84" s="23"/>
      <c r="M84" s="23"/>
      <c r="N84" s="23"/>
      <c r="O84" s="23"/>
      <c r="P84" s="23"/>
      <c r="Q84" s="23"/>
      <c r="R84" s="23"/>
    </row>
    <row r="85" spans="1:18" x14ac:dyDescent="0.25">
      <c r="A85" s="22" t="s">
        <v>218</v>
      </c>
      <c r="B85" s="23"/>
      <c r="C85" s="23"/>
      <c r="D85" s="23"/>
      <c r="E85" s="23"/>
      <c r="F85" s="23"/>
      <c r="G85" s="23"/>
      <c r="H85" s="23"/>
      <c r="I85" s="23"/>
      <c r="J85" s="23"/>
      <c r="K85" s="23"/>
      <c r="L85" s="23"/>
      <c r="M85" s="23"/>
      <c r="N85" s="23"/>
      <c r="O85" s="23"/>
      <c r="P85" s="23"/>
      <c r="Q85" s="23"/>
      <c r="R85" s="23"/>
    </row>
    <row r="86" spans="1:18" ht="30" customHeight="1" x14ac:dyDescent="0.25">
      <c r="A86" s="22" t="s">
        <v>219</v>
      </c>
      <c r="B86" s="23"/>
      <c r="C86" s="23"/>
      <c r="D86" s="23"/>
      <c r="E86" s="23"/>
      <c r="F86" s="23"/>
      <c r="G86" s="23"/>
      <c r="H86" s="23"/>
      <c r="I86" s="23"/>
      <c r="J86" s="23"/>
      <c r="K86" s="23"/>
      <c r="L86" s="23"/>
      <c r="M86" s="23"/>
      <c r="N86" s="23"/>
      <c r="O86" s="23"/>
      <c r="P86" s="23"/>
      <c r="Q86" s="23"/>
      <c r="R86" s="23"/>
    </row>
    <row r="87" spans="1:18" ht="30" customHeight="1" x14ac:dyDescent="0.25">
      <c r="A87" s="22" t="s">
        <v>215</v>
      </c>
      <c r="B87" s="23"/>
      <c r="C87" s="23"/>
      <c r="D87" s="23"/>
      <c r="E87" s="23"/>
      <c r="F87" s="23"/>
      <c r="G87" s="23"/>
      <c r="H87" s="23"/>
      <c r="I87" s="23"/>
      <c r="J87" s="23"/>
      <c r="K87" s="23"/>
      <c r="L87" s="23"/>
      <c r="M87" s="23"/>
      <c r="N87" s="23"/>
      <c r="O87" s="23"/>
      <c r="P87" s="23"/>
      <c r="Q87" s="23"/>
      <c r="R87" s="23"/>
    </row>
    <row r="88" spans="1:18" ht="30" customHeight="1" x14ac:dyDescent="0.25">
      <c r="A88" s="22" t="s">
        <v>220</v>
      </c>
      <c r="B88" s="23"/>
      <c r="C88" s="23"/>
      <c r="D88" s="23"/>
      <c r="E88" s="23"/>
      <c r="F88" s="23"/>
      <c r="G88" s="23"/>
      <c r="H88" s="23"/>
      <c r="I88" s="23"/>
      <c r="J88" s="23"/>
      <c r="K88" s="23"/>
      <c r="L88" s="23"/>
      <c r="M88" s="23"/>
      <c r="N88" s="23"/>
      <c r="O88" s="23"/>
      <c r="P88" s="23"/>
      <c r="Q88" s="23"/>
      <c r="R88" s="23"/>
    </row>
    <row r="89" spans="1:18" ht="30" customHeight="1" x14ac:dyDescent="0.25">
      <c r="A89" s="22" t="s">
        <v>221</v>
      </c>
      <c r="B89" s="23"/>
      <c r="C89" s="23"/>
      <c r="D89" s="23"/>
      <c r="E89" s="23"/>
      <c r="F89" s="23"/>
      <c r="G89" s="23"/>
      <c r="H89" s="23"/>
      <c r="I89" s="23"/>
      <c r="J89" s="23"/>
      <c r="K89" s="23"/>
      <c r="L89" s="23"/>
      <c r="M89" s="23"/>
      <c r="N89" s="23"/>
      <c r="O89" s="23"/>
      <c r="P89" s="23"/>
      <c r="Q89" s="23"/>
      <c r="R89" s="23"/>
    </row>
    <row r="90" spans="1:18" ht="30" customHeight="1" x14ac:dyDescent="0.25">
      <c r="A90" s="22" t="s">
        <v>222</v>
      </c>
      <c r="B90" s="23"/>
      <c r="C90" s="23"/>
      <c r="D90" s="23"/>
      <c r="E90" s="23"/>
      <c r="F90" s="23"/>
      <c r="G90" s="23"/>
      <c r="H90" s="23"/>
      <c r="I90" s="23"/>
      <c r="J90" s="23"/>
      <c r="K90" s="23"/>
      <c r="L90" s="23"/>
      <c r="M90" s="23"/>
      <c r="N90" s="23"/>
      <c r="O90" s="23"/>
      <c r="P90" s="23"/>
      <c r="Q90" s="23"/>
      <c r="R90" s="23"/>
    </row>
    <row r="91" spans="1:18" ht="30" customHeight="1" x14ac:dyDescent="0.25">
      <c r="A91" s="22" t="s">
        <v>223</v>
      </c>
      <c r="B91" s="23"/>
      <c r="C91" s="23"/>
      <c r="D91" s="23"/>
      <c r="E91" s="23"/>
      <c r="F91" s="23"/>
      <c r="G91" s="23"/>
      <c r="H91" s="23"/>
      <c r="I91" s="23"/>
      <c r="J91" s="23"/>
      <c r="K91" s="23"/>
      <c r="L91" s="23"/>
      <c r="M91" s="23"/>
      <c r="N91" s="23"/>
      <c r="O91" s="23"/>
      <c r="P91" s="23"/>
      <c r="Q91" s="23"/>
      <c r="R91" s="23"/>
    </row>
    <row r="92" spans="1:18" ht="30" customHeight="1" x14ac:dyDescent="0.25">
      <c r="A92" s="22" t="s">
        <v>224</v>
      </c>
      <c r="B92" s="23"/>
      <c r="C92" s="23"/>
      <c r="D92" s="23"/>
      <c r="E92" s="23"/>
      <c r="F92" s="23"/>
      <c r="G92" s="23"/>
      <c r="H92" s="23"/>
      <c r="I92" s="23"/>
      <c r="J92" s="23"/>
      <c r="K92" s="23"/>
      <c r="L92" s="23"/>
      <c r="M92" s="23"/>
      <c r="N92" s="23"/>
      <c r="O92" s="23"/>
      <c r="P92" s="23"/>
      <c r="Q92" s="23"/>
      <c r="R92" s="23"/>
    </row>
    <row r="93" spans="1:18" ht="30" customHeight="1" x14ac:dyDescent="0.25">
      <c r="A93" s="22" t="s">
        <v>225</v>
      </c>
      <c r="B93" s="23"/>
      <c r="C93" s="23"/>
      <c r="D93" s="23"/>
      <c r="E93" s="23"/>
      <c r="F93" s="23"/>
      <c r="G93" s="23"/>
      <c r="H93" s="23"/>
      <c r="I93" s="23"/>
      <c r="J93" s="23"/>
      <c r="K93" s="23"/>
      <c r="L93" s="23"/>
      <c r="M93" s="23"/>
      <c r="N93" s="23"/>
      <c r="O93" s="23"/>
      <c r="P93" s="23"/>
      <c r="Q93" s="23"/>
      <c r="R93" s="23"/>
    </row>
    <row r="94" spans="1:18" ht="30" customHeight="1" x14ac:dyDescent="0.25">
      <c r="A94" s="22" t="s">
        <v>226</v>
      </c>
      <c r="B94" s="23"/>
      <c r="C94" s="23"/>
      <c r="D94" s="23"/>
      <c r="E94" s="23"/>
      <c r="F94" s="23"/>
      <c r="G94" s="23"/>
      <c r="H94" s="23"/>
      <c r="I94" s="23"/>
      <c r="J94" s="23"/>
      <c r="K94" s="23"/>
      <c r="L94" s="23"/>
      <c r="M94" s="23"/>
      <c r="N94" s="23"/>
      <c r="O94" s="23"/>
      <c r="P94" s="23"/>
      <c r="Q94" s="23"/>
      <c r="R94" s="23"/>
    </row>
    <row r="95" spans="1:18" ht="30" customHeight="1" x14ac:dyDescent="0.25">
      <c r="A95" s="22" t="s">
        <v>227</v>
      </c>
      <c r="B95" s="23"/>
      <c r="C95" s="23"/>
      <c r="D95" s="23"/>
      <c r="E95" s="23"/>
      <c r="F95" s="23"/>
      <c r="G95" s="23"/>
      <c r="H95" s="23"/>
      <c r="I95" s="23"/>
      <c r="J95" s="23"/>
      <c r="K95" s="23"/>
      <c r="L95" s="23"/>
      <c r="M95" s="23"/>
      <c r="N95" s="23"/>
      <c r="O95" s="23"/>
      <c r="P95" s="23"/>
      <c r="Q95" s="23"/>
      <c r="R95" s="23"/>
    </row>
    <row r="96" spans="1:18" ht="30" customHeight="1" x14ac:dyDescent="0.25">
      <c r="A96" s="22" t="s">
        <v>228</v>
      </c>
      <c r="B96" s="23"/>
      <c r="C96" s="23"/>
      <c r="D96" s="23"/>
      <c r="E96" s="23"/>
      <c r="F96" s="23"/>
      <c r="G96" s="23"/>
      <c r="H96" s="23"/>
      <c r="I96" s="23"/>
      <c r="J96" s="23"/>
      <c r="K96" s="23"/>
      <c r="L96" s="23"/>
      <c r="M96" s="23"/>
      <c r="N96" s="23"/>
      <c r="O96" s="23"/>
      <c r="P96" s="23"/>
      <c r="Q96" s="23"/>
      <c r="R96" s="23"/>
    </row>
  </sheetData>
  <mergeCells count="22">
    <mergeCell ref="O4:P4"/>
    <mergeCell ref="Q4:R4"/>
    <mergeCell ref="A1:R1"/>
    <mergeCell ref="A2:R2"/>
    <mergeCell ref="A84:R84"/>
    <mergeCell ref="E4:F4"/>
    <mergeCell ref="G4:H4"/>
    <mergeCell ref="I4:J4"/>
    <mergeCell ref="K4:L4"/>
    <mergeCell ref="M4:N4"/>
    <mergeCell ref="A85:R85"/>
    <mergeCell ref="A86:R86"/>
    <mergeCell ref="A87:R87"/>
    <mergeCell ref="A88:R88"/>
    <mergeCell ref="A89:R89"/>
    <mergeCell ref="A95:R95"/>
    <mergeCell ref="A96:R96"/>
    <mergeCell ref="A90:R90"/>
    <mergeCell ref="A91:R91"/>
    <mergeCell ref="A92:R92"/>
    <mergeCell ref="A93:R93"/>
    <mergeCell ref="A94:R94"/>
  </mergeCells>
  <pageMargins left="0.75" right="0.75" top="1" bottom="1" header="0.5" footer="0.5"/>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5"/>
  <dimension ref="A1:V96"/>
  <sheetViews>
    <sheetView zoomScale="80" workbookViewId="0">
      <pane xSplit="4" topLeftCell="E1" activePane="topRight" state="frozen"/>
      <selection sqref="A1:R1"/>
      <selection pane="topRight" sqref="A1:V1"/>
    </sheetView>
  </sheetViews>
  <sheetFormatPr defaultColWidth="11.42578125" defaultRowHeight="15" x14ac:dyDescent="0.25"/>
  <cols>
    <col min="1" max="1" width="50" customWidth="1"/>
  </cols>
  <sheetData>
    <row r="1" spans="1:22" x14ac:dyDescent="0.25">
      <c r="A1" s="26" t="s">
        <v>122</v>
      </c>
      <c r="B1" s="23"/>
      <c r="C1" s="23"/>
      <c r="D1" s="23"/>
      <c r="E1" s="23"/>
      <c r="F1" s="23"/>
      <c r="G1" s="23"/>
      <c r="H1" s="23"/>
      <c r="I1" s="23"/>
      <c r="J1" s="23"/>
      <c r="K1" s="23"/>
      <c r="L1" s="23"/>
      <c r="M1" s="23"/>
      <c r="N1" s="23"/>
      <c r="O1" s="23"/>
      <c r="P1" s="23"/>
      <c r="Q1" s="23"/>
      <c r="R1" s="23"/>
      <c r="S1" s="23"/>
      <c r="T1" s="23"/>
      <c r="U1" s="23"/>
      <c r="V1" s="23"/>
    </row>
    <row r="2" spans="1:22" x14ac:dyDescent="0.25">
      <c r="A2" s="27" t="s">
        <v>261</v>
      </c>
      <c r="B2" s="23"/>
      <c r="C2" s="23"/>
      <c r="D2" s="23"/>
      <c r="E2" s="23"/>
      <c r="F2" s="23"/>
      <c r="G2" s="23"/>
      <c r="H2" s="23"/>
      <c r="I2" s="23"/>
      <c r="J2" s="23"/>
      <c r="K2" s="23"/>
      <c r="L2" s="23"/>
      <c r="M2" s="23"/>
      <c r="N2" s="23"/>
      <c r="O2" s="23"/>
      <c r="P2" s="23"/>
      <c r="Q2" s="23"/>
      <c r="R2" s="23"/>
      <c r="S2" s="23"/>
      <c r="T2" s="23"/>
      <c r="U2" s="23"/>
      <c r="V2" s="23"/>
    </row>
    <row r="4" spans="1:22" ht="30" customHeight="1" x14ac:dyDescent="0.25">
      <c r="A4" s="4"/>
      <c r="B4" s="5" t="s">
        <v>123</v>
      </c>
      <c r="C4" s="5" t="s">
        <v>124</v>
      </c>
      <c r="D4" s="6" t="s">
        <v>123</v>
      </c>
      <c r="E4" s="24" t="s">
        <v>229</v>
      </c>
      <c r="F4" s="25"/>
      <c r="G4" s="24" t="s">
        <v>230</v>
      </c>
      <c r="H4" s="25"/>
      <c r="I4" s="24" t="s">
        <v>231</v>
      </c>
      <c r="J4" s="25"/>
      <c r="K4" s="24" t="s">
        <v>232</v>
      </c>
      <c r="L4" s="25"/>
      <c r="M4" s="24" t="s">
        <v>127</v>
      </c>
      <c r="N4" s="25"/>
      <c r="O4" s="24" t="s">
        <v>128</v>
      </c>
      <c r="P4" s="25"/>
      <c r="Q4" s="24" t="s">
        <v>129</v>
      </c>
      <c r="R4" s="25"/>
      <c r="S4" s="24" t="s">
        <v>130</v>
      </c>
      <c r="T4" s="25"/>
      <c r="U4" s="24" t="s">
        <v>131</v>
      </c>
      <c r="V4" s="25"/>
    </row>
    <row r="5" spans="1:22" x14ac:dyDescent="0.25">
      <c r="A5" s="7"/>
      <c r="B5" s="8" t="s">
        <v>132</v>
      </c>
      <c r="C5" s="8" t="s">
        <v>133</v>
      </c>
      <c r="D5" s="7" t="s">
        <v>134</v>
      </c>
      <c r="E5" s="8" t="s">
        <v>135</v>
      </c>
      <c r="F5" s="7" t="s">
        <v>136</v>
      </c>
      <c r="G5" s="8" t="s">
        <v>135</v>
      </c>
      <c r="H5" s="7" t="s">
        <v>136</v>
      </c>
      <c r="I5" s="8" t="s">
        <v>135</v>
      </c>
      <c r="J5" s="7" t="s">
        <v>136</v>
      </c>
      <c r="K5" s="8" t="s">
        <v>135</v>
      </c>
      <c r="L5" s="7" t="s">
        <v>136</v>
      </c>
      <c r="M5" s="8" t="s">
        <v>135</v>
      </c>
      <c r="N5" s="7" t="s">
        <v>136</v>
      </c>
      <c r="O5" s="8" t="s">
        <v>135</v>
      </c>
      <c r="P5" s="7" t="s">
        <v>136</v>
      </c>
      <c r="Q5" s="8" t="s">
        <v>135</v>
      </c>
      <c r="R5" s="7" t="s">
        <v>136</v>
      </c>
      <c r="S5" s="8" t="s">
        <v>135</v>
      </c>
      <c r="T5" s="7" t="s">
        <v>136</v>
      </c>
      <c r="U5" s="8" t="s">
        <v>135</v>
      </c>
      <c r="V5" s="7" t="s">
        <v>136</v>
      </c>
    </row>
    <row r="6" spans="1:22" x14ac:dyDescent="0.25">
      <c r="A6" s="9" t="s">
        <v>137</v>
      </c>
      <c r="B6" s="10"/>
      <c r="C6" s="10"/>
      <c r="D6" s="11"/>
      <c r="E6" s="10"/>
      <c r="F6" s="11"/>
      <c r="G6" s="10"/>
      <c r="H6" s="11"/>
      <c r="I6" s="10"/>
      <c r="J6" s="11"/>
      <c r="K6" s="10"/>
      <c r="L6" s="11"/>
      <c r="M6" s="10"/>
      <c r="N6" s="11"/>
      <c r="O6" s="10"/>
      <c r="P6" s="11"/>
      <c r="Q6" s="10"/>
      <c r="R6" s="11"/>
      <c r="S6" s="10"/>
      <c r="T6" s="11"/>
      <c r="U6" s="10"/>
      <c r="V6" s="12"/>
    </row>
    <row r="7" spans="1:22" x14ac:dyDescent="0.25">
      <c r="A7" s="11" t="s">
        <v>138</v>
      </c>
      <c r="B7" s="13">
        <v>14530</v>
      </c>
      <c r="C7" s="14">
        <f>(12127/B7*100)</f>
        <v>83.461803165863728</v>
      </c>
      <c r="D7" s="15">
        <v>2403</v>
      </c>
      <c r="E7" s="14">
        <v>37.264955520000001</v>
      </c>
      <c r="F7" s="16">
        <v>1.1656053200000001</v>
      </c>
      <c r="G7" s="14">
        <v>39.377979629999999</v>
      </c>
      <c r="H7" s="16">
        <v>1.20754943</v>
      </c>
      <c r="I7" s="14">
        <v>0.36755444999999998</v>
      </c>
      <c r="J7" s="16">
        <v>0.12767666</v>
      </c>
      <c r="K7" s="14">
        <v>22.989510410000001</v>
      </c>
      <c r="L7" s="16">
        <v>1.0450507</v>
      </c>
      <c r="M7" s="14" t="s">
        <v>139</v>
      </c>
      <c r="N7" s="16" t="s">
        <v>139</v>
      </c>
      <c r="O7" s="14">
        <v>0</v>
      </c>
      <c r="P7" s="16">
        <v>0</v>
      </c>
      <c r="Q7" s="14">
        <v>0</v>
      </c>
      <c r="R7" s="16">
        <v>0</v>
      </c>
      <c r="S7" s="14">
        <v>0</v>
      </c>
      <c r="T7" s="16">
        <v>0</v>
      </c>
      <c r="U7" s="14">
        <v>0</v>
      </c>
      <c r="V7" s="16">
        <v>0</v>
      </c>
    </row>
    <row r="8" spans="1:22" x14ac:dyDescent="0.25">
      <c r="A8" s="11" t="s">
        <v>140</v>
      </c>
      <c r="B8" s="13">
        <v>7007</v>
      </c>
      <c r="C8" s="14">
        <f>(5802/B8*100)</f>
        <v>82.802911374339942</v>
      </c>
      <c r="D8" s="15">
        <v>1205</v>
      </c>
      <c r="E8" s="14">
        <v>34.823472879999997</v>
      </c>
      <c r="F8" s="16">
        <v>1.47248917</v>
      </c>
      <c r="G8" s="14">
        <v>41.991529489999998</v>
      </c>
      <c r="H8" s="16">
        <v>1.46652614</v>
      </c>
      <c r="I8" s="14">
        <v>1.25334189</v>
      </c>
      <c r="J8" s="16">
        <v>0.41705492999999999</v>
      </c>
      <c r="K8" s="14">
        <v>21.93165574</v>
      </c>
      <c r="L8" s="16">
        <v>1.3600825000000001</v>
      </c>
      <c r="M8" s="14" t="s">
        <v>139</v>
      </c>
      <c r="N8" s="16" t="s">
        <v>139</v>
      </c>
      <c r="O8" s="14">
        <v>0</v>
      </c>
      <c r="P8" s="16">
        <v>0</v>
      </c>
      <c r="Q8" s="14">
        <v>0</v>
      </c>
      <c r="R8" s="16">
        <v>0</v>
      </c>
      <c r="S8" s="14">
        <v>0</v>
      </c>
      <c r="T8" s="16">
        <v>0</v>
      </c>
      <c r="U8" s="14">
        <v>0</v>
      </c>
      <c r="V8" s="16">
        <v>0</v>
      </c>
    </row>
    <row r="9" spans="1:22" x14ac:dyDescent="0.25">
      <c r="A9" s="11" t="s">
        <v>141</v>
      </c>
      <c r="B9" s="13">
        <v>9651</v>
      </c>
      <c r="C9" s="14">
        <f>(8069/B9*100)</f>
        <v>83.607916278105904</v>
      </c>
      <c r="D9" s="15">
        <v>1582</v>
      </c>
      <c r="E9" s="14">
        <v>34.494783609999999</v>
      </c>
      <c r="F9" s="16">
        <v>1.2751928400000001</v>
      </c>
      <c r="G9" s="14">
        <v>37.815329130000002</v>
      </c>
      <c r="H9" s="16">
        <v>1.21359547</v>
      </c>
      <c r="I9" s="14">
        <v>0.78801162999999996</v>
      </c>
      <c r="J9" s="16">
        <v>0.25898797000000001</v>
      </c>
      <c r="K9" s="14">
        <v>26.901875629999999</v>
      </c>
      <c r="L9" s="16">
        <v>1.13295627</v>
      </c>
      <c r="M9" s="14" t="s">
        <v>139</v>
      </c>
      <c r="N9" s="16" t="s">
        <v>139</v>
      </c>
      <c r="O9" s="14">
        <v>0</v>
      </c>
      <c r="P9" s="16">
        <v>0</v>
      </c>
      <c r="Q9" s="14">
        <v>0</v>
      </c>
      <c r="R9" s="16">
        <v>0</v>
      </c>
      <c r="S9" s="14">
        <v>0</v>
      </c>
      <c r="T9" s="16">
        <v>0</v>
      </c>
      <c r="U9" s="14">
        <v>0</v>
      </c>
      <c r="V9" s="16">
        <v>0</v>
      </c>
    </row>
    <row r="10" spans="1:22" x14ac:dyDescent="0.25">
      <c r="A10" s="11" t="s">
        <v>142</v>
      </c>
      <c r="B10" s="13">
        <v>20058</v>
      </c>
      <c r="C10" s="14">
        <f>(16625/B10*100)</f>
        <v>82.884634559776643</v>
      </c>
      <c r="D10" s="15">
        <v>3433</v>
      </c>
      <c r="E10" s="14">
        <v>39.113070180000001</v>
      </c>
      <c r="F10" s="16">
        <v>1.2150061000000001</v>
      </c>
      <c r="G10" s="14">
        <v>40.015940389999997</v>
      </c>
      <c r="H10" s="16">
        <v>1.1972904600000001</v>
      </c>
      <c r="I10" s="14">
        <v>0.38649035999999998</v>
      </c>
      <c r="J10" s="16">
        <v>0.14996972</v>
      </c>
      <c r="K10" s="14">
        <v>20.484499069999998</v>
      </c>
      <c r="L10" s="16">
        <v>0.91031326000000001</v>
      </c>
      <c r="M10" s="14" t="s">
        <v>139</v>
      </c>
      <c r="N10" s="16" t="s">
        <v>139</v>
      </c>
      <c r="O10" s="14">
        <v>0</v>
      </c>
      <c r="P10" s="16">
        <v>0</v>
      </c>
      <c r="Q10" s="14">
        <v>0</v>
      </c>
      <c r="R10" s="16">
        <v>0</v>
      </c>
      <c r="S10" s="14">
        <v>0</v>
      </c>
      <c r="T10" s="16">
        <v>0</v>
      </c>
      <c r="U10" s="14">
        <v>0</v>
      </c>
      <c r="V10" s="16">
        <v>0</v>
      </c>
    </row>
    <row r="11" spans="1:22" x14ac:dyDescent="0.25">
      <c r="A11" s="11" t="s">
        <v>143</v>
      </c>
      <c r="B11" s="13">
        <v>7053</v>
      </c>
      <c r="C11" s="14">
        <f>(5877/B11*100)</f>
        <v>83.326244151424916</v>
      </c>
      <c r="D11" s="15">
        <v>1176</v>
      </c>
      <c r="E11" s="14">
        <v>43.828126849999997</v>
      </c>
      <c r="F11" s="16">
        <v>1.7931840699999999</v>
      </c>
      <c r="G11" s="14">
        <v>40.703527909999998</v>
      </c>
      <c r="H11" s="16">
        <v>1.85194148</v>
      </c>
      <c r="I11" s="14">
        <v>0.35233805000000001</v>
      </c>
      <c r="J11" s="16">
        <v>0.18494806</v>
      </c>
      <c r="K11" s="14">
        <v>15.116007189999999</v>
      </c>
      <c r="L11" s="16">
        <v>1.14093768</v>
      </c>
      <c r="M11" s="14" t="s">
        <v>139</v>
      </c>
      <c r="N11" s="16" t="s">
        <v>139</v>
      </c>
      <c r="O11" s="14">
        <v>0</v>
      </c>
      <c r="P11" s="16">
        <v>0</v>
      </c>
      <c r="Q11" s="14">
        <v>0</v>
      </c>
      <c r="R11" s="16">
        <v>0</v>
      </c>
      <c r="S11" s="14">
        <v>0</v>
      </c>
      <c r="T11" s="16">
        <v>0</v>
      </c>
      <c r="U11" s="14">
        <v>0</v>
      </c>
      <c r="V11" s="16">
        <v>0</v>
      </c>
    </row>
    <row r="12" spans="1:22" x14ac:dyDescent="0.25">
      <c r="A12" s="11" t="s">
        <v>144</v>
      </c>
      <c r="B12" s="13">
        <v>6894</v>
      </c>
      <c r="C12" s="14">
        <f>(5739/B12*100)</f>
        <v>83.246301131418619</v>
      </c>
      <c r="D12" s="15">
        <v>1155</v>
      </c>
      <c r="E12" s="14">
        <v>32.508342489999997</v>
      </c>
      <c r="F12" s="16">
        <v>1.5882510400000001</v>
      </c>
      <c r="G12" s="14">
        <v>39.033535219999997</v>
      </c>
      <c r="H12" s="16">
        <v>1.55446463</v>
      </c>
      <c r="I12" s="14">
        <v>0.46369905</v>
      </c>
      <c r="J12" s="16">
        <v>0.24810062999999999</v>
      </c>
      <c r="K12" s="14">
        <v>27.99442324</v>
      </c>
      <c r="L12" s="16">
        <v>1.5706849700000001</v>
      </c>
      <c r="M12" s="14" t="s">
        <v>139</v>
      </c>
      <c r="N12" s="16" t="s">
        <v>139</v>
      </c>
      <c r="O12" s="14">
        <v>0</v>
      </c>
      <c r="P12" s="16">
        <v>0</v>
      </c>
      <c r="Q12" s="14">
        <v>0</v>
      </c>
      <c r="R12" s="16">
        <v>0</v>
      </c>
      <c r="S12" s="14">
        <v>0</v>
      </c>
      <c r="T12" s="16">
        <v>0</v>
      </c>
      <c r="U12" s="14">
        <v>0</v>
      </c>
      <c r="V12" s="16">
        <v>0</v>
      </c>
    </row>
    <row r="13" spans="1:22" x14ac:dyDescent="0.25">
      <c r="A13" s="11" t="s">
        <v>145</v>
      </c>
      <c r="B13" s="13">
        <v>7161</v>
      </c>
      <c r="C13" s="14">
        <f>(6011/B13*100)</f>
        <v>83.940790392403301</v>
      </c>
      <c r="D13" s="15">
        <v>1150</v>
      </c>
      <c r="E13" s="14">
        <v>37.448561490000003</v>
      </c>
      <c r="F13" s="16">
        <v>1.6196128599999999</v>
      </c>
      <c r="G13" s="14">
        <v>43.947679379999997</v>
      </c>
      <c r="H13" s="16">
        <v>1.6488156300000001</v>
      </c>
      <c r="I13" s="14">
        <v>1.0818211200000001</v>
      </c>
      <c r="J13" s="16">
        <v>0.39069355</v>
      </c>
      <c r="K13" s="14">
        <v>17.521937999999999</v>
      </c>
      <c r="L13" s="16">
        <v>1.39446666</v>
      </c>
      <c r="M13" s="14" t="s">
        <v>139</v>
      </c>
      <c r="N13" s="16" t="s">
        <v>139</v>
      </c>
      <c r="O13" s="14">
        <v>0</v>
      </c>
      <c r="P13" s="16">
        <v>0</v>
      </c>
      <c r="Q13" s="14">
        <v>0</v>
      </c>
      <c r="R13" s="16">
        <v>0</v>
      </c>
      <c r="S13" s="14">
        <v>0</v>
      </c>
      <c r="T13" s="16">
        <v>0</v>
      </c>
      <c r="U13" s="14">
        <v>0</v>
      </c>
      <c r="V13" s="16">
        <v>0</v>
      </c>
    </row>
    <row r="14" spans="1:22" x14ac:dyDescent="0.25">
      <c r="A14" s="11" t="s">
        <v>146</v>
      </c>
      <c r="B14" s="13">
        <v>5587</v>
      </c>
      <c r="C14" s="14">
        <f>(4637/B14*100)</f>
        <v>82.996241274386975</v>
      </c>
      <c r="D14" s="15">
        <v>950</v>
      </c>
      <c r="E14" s="14">
        <v>31.343327909999999</v>
      </c>
      <c r="F14" s="16">
        <v>1.6652155099999999</v>
      </c>
      <c r="G14" s="14">
        <v>39.202683039999997</v>
      </c>
      <c r="H14" s="16">
        <v>1.6462191799999999</v>
      </c>
      <c r="I14" s="14">
        <v>0.34598263000000001</v>
      </c>
      <c r="J14" s="16">
        <v>0.17640475999999999</v>
      </c>
      <c r="K14" s="14">
        <v>29.108006419999999</v>
      </c>
      <c r="L14" s="16">
        <v>1.56958427</v>
      </c>
      <c r="M14" s="14" t="s">
        <v>139</v>
      </c>
      <c r="N14" s="16" t="s">
        <v>139</v>
      </c>
      <c r="O14" s="14">
        <v>0</v>
      </c>
      <c r="P14" s="16">
        <v>0</v>
      </c>
      <c r="Q14" s="14">
        <v>0</v>
      </c>
      <c r="R14" s="16">
        <v>0</v>
      </c>
      <c r="S14" s="14">
        <v>0</v>
      </c>
      <c r="T14" s="16">
        <v>0</v>
      </c>
      <c r="U14" s="14">
        <v>0</v>
      </c>
      <c r="V14" s="16">
        <v>0</v>
      </c>
    </row>
    <row r="15" spans="1:22" x14ac:dyDescent="0.25">
      <c r="A15" s="11" t="s">
        <v>147</v>
      </c>
      <c r="B15" s="13">
        <v>5882</v>
      </c>
      <c r="C15" s="14">
        <f>(4908/B15*100)</f>
        <v>83.441006460387626</v>
      </c>
      <c r="D15" s="15">
        <v>974</v>
      </c>
      <c r="E15" s="14">
        <v>32.837161479999999</v>
      </c>
      <c r="F15" s="16">
        <v>1.58135336</v>
      </c>
      <c r="G15" s="14">
        <v>39.066804310000002</v>
      </c>
      <c r="H15" s="16">
        <v>1.43478376</v>
      </c>
      <c r="I15" s="14">
        <v>0.61460800999999998</v>
      </c>
      <c r="J15" s="16">
        <v>0.35124207000000002</v>
      </c>
      <c r="K15" s="14">
        <v>27.481426200000001</v>
      </c>
      <c r="L15" s="16">
        <v>1.3777911700000001</v>
      </c>
      <c r="M15" s="14" t="s">
        <v>139</v>
      </c>
      <c r="N15" s="16" t="s">
        <v>139</v>
      </c>
      <c r="O15" s="14">
        <v>0</v>
      </c>
      <c r="P15" s="16">
        <v>0</v>
      </c>
      <c r="Q15" s="14">
        <v>0</v>
      </c>
      <c r="R15" s="16">
        <v>0</v>
      </c>
      <c r="S15" s="14">
        <v>0</v>
      </c>
      <c r="T15" s="16">
        <v>0</v>
      </c>
      <c r="U15" s="14">
        <v>0</v>
      </c>
      <c r="V15" s="16">
        <v>0</v>
      </c>
    </row>
    <row r="16" spans="1:22" x14ac:dyDescent="0.25">
      <c r="A16" s="11" t="s">
        <v>148</v>
      </c>
      <c r="B16" s="13">
        <v>6108</v>
      </c>
      <c r="C16" s="14">
        <f>(5066/B16*100)</f>
        <v>82.940406024885391</v>
      </c>
      <c r="D16" s="15">
        <v>1042</v>
      </c>
      <c r="E16" s="14">
        <v>40.002953560000002</v>
      </c>
      <c r="F16" s="16">
        <v>1.3279689699999999</v>
      </c>
      <c r="G16" s="14">
        <v>35.845292489999999</v>
      </c>
      <c r="H16" s="16">
        <v>1.29517361</v>
      </c>
      <c r="I16" s="14">
        <v>1.1609801799999999</v>
      </c>
      <c r="J16" s="16">
        <v>0.32786819</v>
      </c>
      <c r="K16" s="14">
        <v>22.990773770000001</v>
      </c>
      <c r="L16" s="16">
        <v>1.42427123</v>
      </c>
      <c r="M16" s="14" t="s">
        <v>139</v>
      </c>
      <c r="N16" s="16" t="s">
        <v>139</v>
      </c>
      <c r="O16" s="14">
        <v>0</v>
      </c>
      <c r="P16" s="16">
        <v>0</v>
      </c>
      <c r="Q16" s="14">
        <v>0</v>
      </c>
      <c r="R16" s="16">
        <v>0</v>
      </c>
      <c r="S16" s="14">
        <v>0</v>
      </c>
      <c r="T16" s="16">
        <v>0</v>
      </c>
      <c r="U16" s="14">
        <v>0</v>
      </c>
      <c r="V16" s="16">
        <v>0</v>
      </c>
    </row>
    <row r="17" spans="1:22" x14ac:dyDescent="0.25">
      <c r="A17" s="11" t="s">
        <v>149</v>
      </c>
      <c r="B17" s="13">
        <v>6504</v>
      </c>
      <c r="C17" s="14">
        <f>(5429/B17*100)</f>
        <v>83.47170971709717</v>
      </c>
      <c r="D17" s="15">
        <v>1075</v>
      </c>
      <c r="E17" s="14">
        <v>29.693554079999998</v>
      </c>
      <c r="F17" s="16">
        <v>1.6031519700000001</v>
      </c>
      <c r="G17" s="14">
        <v>40.821415629999997</v>
      </c>
      <c r="H17" s="16">
        <v>1.532751</v>
      </c>
      <c r="I17" s="14">
        <v>1.0279432399999999</v>
      </c>
      <c r="J17" s="16">
        <v>0.31298109000000002</v>
      </c>
      <c r="K17" s="14">
        <v>28.457087049999998</v>
      </c>
      <c r="L17" s="16">
        <v>1.4114896299999999</v>
      </c>
      <c r="M17" s="14" t="s">
        <v>139</v>
      </c>
      <c r="N17" s="16" t="s">
        <v>139</v>
      </c>
      <c r="O17" s="14">
        <v>0</v>
      </c>
      <c r="P17" s="16">
        <v>0</v>
      </c>
      <c r="Q17" s="14">
        <v>0</v>
      </c>
      <c r="R17" s="16">
        <v>0</v>
      </c>
      <c r="S17" s="14">
        <v>0</v>
      </c>
      <c r="T17" s="16">
        <v>0</v>
      </c>
      <c r="U17" s="14">
        <v>0</v>
      </c>
      <c r="V17" s="16">
        <v>0</v>
      </c>
    </row>
    <row r="18" spans="1:22" x14ac:dyDescent="0.25">
      <c r="A18" s="11" t="s">
        <v>150</v>
      </c>
      <c r="B18" s="13">
        <v>5532</v>
      </c>
      <c r="C18" s="14">
        <f>(4571/B18*100)</f>
        <v>82.628344179320322</v>
      </c>
      <c r="D18" s="15">
        <v>961</v>
      </c>
      <c r="E18" s="14">
        <v>42.872863639999998</v>
      </c>
      <c r="F18" s="16">
        <v>1.75435662</v>
      </c>
      <c r="G18" s="14">
        <v>35.204963329999998</v>
      </c>
      <c r="H18" s="16">
        <v>1.50796766</v>
      </c>
      <c r="I18" s="14">
        <v>1.1474059000000001</v>
      </c>
      <c r="J18" s="16">
        <v>0.36115772000000002</v>
      </c>
      <c r="K18" s="14">
        <v>20.774767140000002</v>
      </c>
      <c r="L18" s="16">
        <v>1.5317390500000001</v>
      </c>
      <c r="M18" s="14" t="s">
        <v>139</v>
      </c>
      <c r="N18" s="16" t="s">
        <v>139</v>
      </c>
      <c r="O18" s="14">
        <v>0</v>
      </c>
      <c r="P18" s="16">
        <v>0</v>
      </c>
      <c r="Q18" s="14">
        <v>0</v>
      </c>
      <c r="R18" s="16">
        <v>0</v>
      </c>
      <c r="S18" s="14">
        <v>0</v>
      </c>
      <c r="T18" s="16">
        <v>0</v>
      </c>
      <c r="U18" s="14">
        <v>0</v>
      </c>
      <c r="V18" s="16">
        <v>0</v>
      </c>
    </row>
    <row r="19" spans="1:22" x14ac:dyDescent="0.25">
      <c r="A19" s="11" t="s">
        <v>151</v>
      </c>
      <c r="B19" s="13">
        <v>5658</v>
      </c>
      <c r="C19" s="14">
        <f>(4723/B19*100)</f>
        <v>83.474726051608343</v>
      </c>
      <c r="D19" s="15">
        <v>935</v>
      </c>
      <c r="E19" s="14">
        <v>38.427244000000002</v>
      </c>
      <c r="F19" s="16">
        <v>1.9848228299999999</v>
      </c>
      <c r="G19" s="14">
        <v>38.679078130000001</v>
      </c>
      <c r="H19" s="16">
        <v>1.82218167</v>
      </c>
      <c r="I19" s="14">
        <v>0.78996995999999997</v>
      </c>
      <c r="J19" s="16">
        <v>0.23736565000000001</v>
      </c>
      <c r="K19" s="14">
        <v>22.103707910000001</v>
      </c>
      <c r="L19" s="16">
        <v>1.14498638</v>
      </c>
      <c r="M19" s="14" t="s">
        <v>139</v>
      </c>
      <c r="N19" s="16" t="s">
        <v>139</v>
      </c>
      <c r="O19" s="14">
        <v>0</v>
      </c>
      <c r="P19" s="16">
        <v>0</v>
      </c>
      <c r="Q19" s="14">
        <v>0</v>
      </c>
      <c r="R19" s="16">
        <v>0</v>
      </c>
      <c r="S19" s="14">
        <v>0</v>
      </c>
      <c r="T19" s="16">
        <v>0</v>
      </c>
      <c r="U19" s="14">
        <v>0</v>
      </c>
      <c r="V19" s="16">
        <v>0</v>
      </c>
    </row>
    <row r="20" spans="1:22" x14ac:dyDescent="0.25">
      <c r="A20" s="11" t="s">
        <v>152</v>
      </c>
      <c r="B20" s="13">
        <v>3371</v>
      </c>
      <c r="C20" s="14">
        <f>(2797/B20*100)</f>
        <v>82.972411747256004</v>
      </c>
      <c r="D20" s="15">
        <v>574</v>
      </c>
      <c r="E20" s="14">
        <v>38.889944130000003</v>
      </c>
      <c r="F20" s="16">
        <v>1.8362396700000001</v>
      </c>
      <c r="G20" s="14">
        <v>41.851010299999999</v>
      </c>
      <c r="H20" s="16">
        <v>2.2148049200000002</v>
      </c>
      <c r="I20" s="14">
        <v>1.0810266500000001</v>
      </c>
      <c r="J20" s="16">
        <v>0.43965244999999997</v>
      </c>
      <c r="K20" s="14">
        <v>18.17801892</v>
      </c>
      <c r="L20" s="16">
        <v>1.7214006399999999</v>
      </c>
      <c r="M20" s="14" t="s">
        <v>139</v>
      </c>
      <c r="N20" s="16" t="s">
        <v>139</v>
      </c>
      <c r="O20" s="14">
        <v>0</v>
      </c>
      <c r="P20" s="16">
        <v>0</v>
      </c>
      <c r="Q20" s="14">
        <v>0</v>
      </c>
      <c r="R20" s="16">
        <v>0</v>
      </c>
      <c r="S20" s="14">
        <v>0</v>
      </c>
      <c r="T20" s="16">
        <v>0</v>
      </c>
      <c r="U20" s="14">
        <v>0</v>
      </c>
      <c r="V20" s="16">
        <v>0</v>
      </c>
    </row>
    <row r="21" spans="1:22" x14ac:dyDescent="0.25">
      <c r="A21" s="11" t="s">
        <v>153</v>
      </c>
      <c r="B21" s="17" t="s">
        <v>154</v>
      </c>
      <c r="C21" s="17" t="s">
        <v>154</v>
      </c>
      <c r="D21" s="18" t="s">
        <v>154</v>
      </c>
      <c r="E21" s="17" t="s">
        <v>154</v>
      </c>
      <c r="F21" s="18" t="s">
        <v>154</v>
      </c>
      <c r="G21" s="17" t="s">
        <v>154</v>
      </c>
      <c r="H21" s="18" t="s">
        <v>154</v>
      </c>
      <c r="I21" s="17" t="s">
        <v>154</v>
      </c>
      <c r="J21" s="18" t="s">
        <v>154</v>
      </c>
      <c r="K21" s="17" t="s">
        <v>154</v>
      </c>
      <c r="L21" s="18" t="s">
        <v>154</v>
      </c>
      <c r="M21" s="17" t="s">
        <v>154</v>
      </c>
      <c r="N21" s="18" t="s">
        <v>154</v>
      </c>
      <c r="O21" s="17" t="s">
        <v>154</v>
      </c>
      <c r="P21" s="18" t="s">
        <v>154</v>
      </c>
      <c r="Q21" s="17" t="s">
        <v>154</v>
      </c>
      <c r="R21" s="18" t="s">
        <v>154</v>
      </c>
      <c r="S21" s="17" t="s">
        <v>154</v>
      </c>
      <c r="T21" s="18" t="s">
        <v>154</v>
      </c>
      <c r="U21" s="17" t="s">
        <v>154</v>
      </c>
      <c r="V21" s="18" t="s">
        <v>154</v>
      </c>
    </row>
    <row r="22" spans="1:22" x14ac:dyDescent="0.25">
      <c r="A22" s="11" t="s">
        <v>155</v>
      </c>
      <c r="B22" s="13">
        <v>6598</v>
      </c>
      <c r="C22" s="14">
        <f>(5580/B22*100)</f>
        <v>84.571082146104885</v>
      </c>
      <c r="D22" s="15">
        <v>1018</v>
      </c>
      <c r="E22" s="14">
        <v>48.620018600000002</v>
      </c>
      <c r="F22" s="16">
        <v>1.5981808900000001</v>
      </c>
      <c r="G22" s="14">
        <v>34.990191699999997</v>
      </c>
      <c r="H22" s="16">
        <v>1.5338305800000001</v>
      </c>
      <c r="I22" s="14">
        <v>0.35046526</v>
      </c>
      <c r="J22" s="16">
        <v>0.18098131000000001</v>
      </c>
      <c r="K22" s="14">
        <v>16.039324440000001</v>
      </c>
      <c r="L22" s="16">
        <v>1.14337409</v>
      </c>
      <c r="M22" s="14" t="s">
        <v>139</v>
      </c>
      <c r="N22" s="16" t="s">
        <v>139</v>
      </c>
      <c r="O22" s="14">
        <v>0</v>
      </c>
      <c r="P22" s="16">
        <v>0</v>
      </c>
      <c r="Q22" s="14">
        <v>0</v>
      </c>
      <c r="R22" s="16">
        <v>0</v>
      </c>
      <c r="S22" s="14">
        <v>0</v>
      </c>
      <c r="T22" s="16">
        <v>0</v>
      </c>
      <c r="U22" s="14">
        <v>0</v>
      </c>
      <c r="V22" s="16">
        <v>0</v>
      </c>
    </row>
    <row r="23" spans="1:22" x14ac:dyDescent="0.25">
      <c r="A23" s="11" t="s">
        <v>156</v>
      </c>
      <c r="B23" s="13">
        <v>11583</v>
      </c>
      <c r="C23" s="14">
        <f>(9624/B23*100)</f>
        <v>83.087283087283097</v>
      </c>
      <c r="D23" s="15">
        <v>1959</v>
      </c>
      <c r="E23" s="14">
        <v>39.454165260000003</v>
      </c>
      <c r="F23" s="16">
        <v>1.3625680899999999</v>
      </c>
      <c r="G23" s="14">
        <v>33.647704470000001</v>
      </c>
      <c r="H23" s="16">
        <v>1.58702093</v>
      </c>
      <c r="I23" s="14">
        <v>0.91401803999999998</v>
      </c>
      <c r="J23" s="16">
        <v>0.45931615999999997</v>
      </c>
      <c r="K23" s="14">
        <v>25.984112230000001</v>
      </c>
      <c r="L23" s="16">
        <v>1.2291798700000001</v>
      </c>
      <c r="M23" s="14" t="s">
        <v>139</v>
      </c>
      <c r="N23" s="16" t="s">
        <v>139</v>
      </c>
      <c r="O23" s="14">
        <v>0</v>
      </c>
      <c r="P23" s="16">
        <v>0</v>
      </c>
      <c r="Q23" s="14">
        <v>0</v>
      </c>
      <c r="R23" s="16">
        <v>0</v>
      </c>
      <c r="S23" s="14">
        <v>0</v>
      </c>
      <c r="T23" s="16">
        <v>0</v>
      </c>
      <c r="U23" s="14">
        <v>0</v>
      </c>
      <c r="V23" s="16">
        <v>0</v>
      </c>
    </row>
    <row r="24" spans="1:22" x14ac:dyDescent="0.25">
      <c r="A24" s="11" t="s">
        <v>157</v>
      </c>
      <c r="B24" s="13">
        <v>6647</v>
      </c>
      <c r="C24" s="14">
        <f>(5492/B24*100)</f>
        <v>82.623740033097633</v>
      </c>
      <c r="D24" s="15">
        <v>1155</v>
      </c>
      <c r="E24" s="14">
        <v>29.185992819999999</v>
      </c>
      <c r="F24" s="16">
        <v>1.48178097</v>
      </c>
      <c r="G24" s="14">
        <v>41.190803330000001</v>
      </c>
      <c r="H24" s="16">
        <v>1.4385364700000001</v>
      </c>
      <c r="I24" s="14">
        <v>0.15881022</v>
      </c>
      <c r="J24" s="16">
        <v>0.11192465</v>
      </c>
      <c r="K24" s="14">
        <v>29.46439363</v>
      </c>
      <c r="L24" s="16">
        <v>1.53397078</v>
      </c>
      <c r="M24" s="14" t="s">
        <v>139</v>
      </c>
      <c r="N24" s="16" t="s">
        <v>139</v>
      </c>
      <c r="O24" s="14">
        <v>0</v>
      </c>
      <c r="P24" s="16">
        <v>0</v>
      </c>
      <c r="Q24" s="14">
        <v>0</v>
      </c>
      <c r="R24" s="16">
        <v>0</v>
      </c>
      <c r="S24" s="14">
        <v>0</v>
      </c>
      <c r="T24" s="16">
        <v>0</v>
      </c>
      <c r="U24" s="14">
        <v>0</v>
      </c>
      <c r="V24" s="16">
        <v>0</v>
      </c>
    </row>
    <row r="25" spans="1:22" x14ac:dyDescent="0.25">
      <c r="A25" s="11" t="s">
        <v>158</v>
      </c>
      <c r="B25" s="13">
        <v>5581</v>
      </c>
      <c r="C25" s="14">
        <f>(4618/B25*100)</f>
        <v>82.745027772800569</v>
      </c>
      <c r="D25" s="15">
        <v>963</v>
      </c>
      <c r="E25" s="14">
        <v>22.83276008</v>
      </c>
      <c r="F25" s="16">
        <v>1.53451911</v>
      </c>
      <c r="G25" s="14">
        <v>43.301707559999997</v>
      </c>
      <c r="H25" s="16">
        <v>1.64733222</v>
      </c>
      <c r="I25" s="14">
        <v>0.20333424</v>
      </c>
      <c r="J25" s="16">
        <v>0.14449688999999999</v>
      </c>
      <c r="K25" s="14">
        <v>33.662198119999999</v>
      </c>
      <c r="L25" s="16">
        <v>1.7582070599999999</v>
      </c>
      <c r="M25" s="14" t="s">
        <v>139</v>
      </c>
      <c r="N25" s="16" t="s">
        <v>139</v>
      </c>
      <c r="O25" s="14">
        <v>0</v>
      </c>
      <c r="P25" s="16">
        <v>0</v>
      </c>
      <c r="Q25" s="14">
        <v>0</v>
      </c>
      <c r="R25" s="16">
        <v>0</v>
      </c>
      <c r="S25" s="14">
        <v>0</v>
      </c>
      <c r="T25" s="16">
        <v>0</v>
      </c>
      <c r="U25" s="14">
        <v>0</v>
      </c>
      <c r="V25" s="16">
        <v>0</v>
      </c>
    </row>
    <row r="26" spans="1:22" x14ac:dyDescent="0.25">
      <c r="A26" s="11" t="s">
        <v>159</v>
      </c>
      <c r="B26" s="13">
        <v>4869</v>
      </c>
      <c r="C26" s="14">
        <f>(4016/B26*100)</f>
        <v>82.481002259190788</v>
      </c>
      <c r="D26" s="15">
        <v>853</v>
      </c>
      <c r="E26" s="14">
        <v>39.387884560000003</v>
      </c>
      <c r="F26" s="16">
        <v>2.0679174900000001</v>
      </c>
      <c r="G26" s="14">
        <v>41.201730920000003</v>
      </c>
      <c r="H26" s="16">
        <v>1.9722398699999999</v>
      </c>
      <c r="I26" s="14">
        <v>0.52584175</v>
      </c>
      <c r="J26" s="16">
        <v>0.27356116000000003</v>
      </c>
      <c r="K26" s="14">
        <v>18.88454278</v>
      </c>
      <c r="L26" s="16">
        <v>1.2889982099999999</v>
      </c>
      <c r="M26" s="14" t="s">
        <v>139</v>
      </c>
      <c r="N26" s="16" t="s">
        <v>139</v>
      </c>
      <c r="O26" s="14">
        <v>0</v>
      </c>
      <c r="P26" s="16">
        <v>0</v>
      </c>
      <c r="Q26" s="14">
        <v>0</v>
      </c>
      <c r="R26" s="16">
        <v>0</v>
      </c>
      <c r="S26" s="14">
        <v>0</v>
      </c>
      <c r="T26" s="16">
        <v>0</v>
      </c>
      <c r="U26" s="14">
        <v>0</v>
      </c>
      <c r="V26" s="16">
        <v>0</v>
      </c>
    </row>
    <row r="27" spans="1:22" x14ac:dyDescent="0.25">
      <c r="A27" s="11" t="s">
        <v>160</v>
      </c>
      <c r="B27" s="13">
        <v>5299</v>
      </c>
      <c r="C27" s="14">
        <f>(4406/B27*100)</f>
        <v>83.147763729005476</v>
      </c>
      <c r="D27" s="15">
        <v>893</v>
      </c>
      <c r="E27" s="14">
        <v>41.289767210000001</v>
      </c>
      <c r="F27" s="16">
        <v>1.77681629</v>
      </c>
      <c r="G27" s="14">
        <v>39.622506610000002</v>
      </c>
      <c r="H27" s="16">
        <v>1.6719239400000001</v>
      </c>
      <c r="I27" s="14">
        <v>0.69128202000000005</v>
      </c>
      <c r="J27" s="16">
        <v>0.27891955000000002</v>
      </c>
      <c r="K27" s="14">
        <v>18.396444160000001</v>
      </c>
      <c r="L27" s="16">
        <v>1.45712544</v>
      </c>
      <c r="M27" s="14" t="s">
        <v>139</v>
      </c>
      <c r="N27" s="16" t="s">
        <v>139</v>
      </c>
      <c r="O27" s="14">
        <v>0</v>
      </c>
      <c r="P27" s="16">
        <v>0</v>
      </c>
      <c r="Q27" s="14">
        <v>0</v>
      </c>
      <c r="R27" s="16">
        <v>0</v>
      </c>
      <c r="S27" s="14">
        <v>0</v>
      </c>
      <c r="T27" s="16">
        <v>0</v>
      </c>
      <c r="U27" s="14">
        <v>0</v>
      </c>
      <c r="V27" s="16">
        <v>0</v>
      </c>
    </row>
    <row r="28" spans="1:22" x14ac:dyDescent="0.25">
      <c r="A28" s="11" t="s">
        <v>161</v>
      </c>
      <c r="B28" s="13">
        <v>7568</v>
      </c>
      <c r="C28" s="14">
        <f>(6417/B28*100)</f>
        <v>84.791226215644826</v>
      </c>
      <c r="D28" s="15">
        <v>1151</v>
      </c>
      <c r="E28" s="14">
        <v>52.330089479999998</v>
      </c>
      <c r="F28" s="16">
        <v>1.5783061899999999</v>
      </c>
      <c r="G28" s="14">
        <v>36.358660409999999</v>
      </c>
      <c r="H28" s="16">
        <v>1.4180280300000001</v>
      </c>
      <c r="I28" s="14">
        <v>0.37246441000000002</v>
      </c>
      <c r="J28" s="16">
        <v>0.16162807000000001</v>
      </c>
      <c r="K28" s="14">
        <v>10.9387857</v>
      </c>
      <c r="L28" s="16">
        <v>0.97937028000000004</v>
      </c>
      <c r="M28" s="14" t="s">
        <v>139</v>
      </c>
      <c r="N28" s="16" t="s">
        <v>139</v>
      </c>
      <c r="O28" s="14">
        <v>0</v>
      </c>
      <c r="P28" s="16">
        <v>0</v>
      </c>
      <c r="Q28" s="14">
        <v>0</v>
      </c>
      <c r="R28" s="16">
        <v>0</v>
      </c>
      <c r="S28" s="14">
        <v>0</v>
      </c>
      <c r="T28" s="16">
        <v>0</v>
      </c>
      <c r="U28" s="14">
        <v>0</v>
      </c>
      <c r="V28" s="16">
        <v>0</v>
      </c>
    </row>
    <row r="29" spans="1:22" x14ac:dyDescent="0.25">
      <c r="A29" s="11" t="s">
        <v>162</v>
      </c>
      <c r="B29" s="13">
        <v>5385</v>
      </c>
      <c r="C29" s="14">
        <f>(4470/B29*100)</f>
        <v>83.008356545961007</v>
      </c>
      <c r="D29" s="15">
        <v>915</v>
      </c>
      <c r="E29" s="14">
        <v>31.035693930000001</v>
      </c>
      <c r="F29" s="16">
        <v>1.53962927</v>
      </c>
      <c r="G29" s="14">
        <v>36.679663230000003</v>
      </c>
      <c r="H29" s="16">
        <v>1.58343184</v>
      </c>
      <c r="I29" s="14">
        <v>0.21165064</v>
      </c>
      <c r="J29" s="16">
        <v>0.16423233000000001</v>
      </c>
      <c r="K29" s="14">
        <v>32.072992200000002</v>
      </c>
      <c r="L29" s="16">
        <v>1.6238855999999999</v>
      </c>
      <c r="M29" s="14" t="s">
        <v>139</v>
      </c>
      <c r="N29" s="16" t="s">
        <v>139</v>
      </c>
      <c r="O29" s="14">
        <v>0</v>
      </c>
      <c r="P29" s="16">
        <v>0</v>
      </c>
      <c r="Q29" s="14">
        <v>0</v>
      </c>
      <c r="R29" s="16">
        <v>0</v>
      </c>
      <c r="S29" s="14">
        <v>0</v>
      </c>
      <c r="T29" s="16">
        <v>0</v>
      </c>
      <c r="U29" s="14">
        <v>0</v>
      </c>
      <c r="V29" s="16">
        <v>0</v>
      </c>
    </row>
    <row r="30" spans="1:22" x14ac:dyDescent="0.25">
      <c r="A30" s="11" t="s">
        <v>163</v>
      </c>
      <c r="B30" s="13">
        <v>4520</v>
      </c>
      <c r="C30" s="14">
        <f>(3759/B30*100)</f>
        <v>83.163716814159301</v>
      </c>
      <c r="D30" s="15">
        <v>761</v>
      </c>
      <c r="E30" s="14">
        <v>35.967371790000001</v>
      </c>
      <c r="F30" s="16">
        <v>1.86410593</v>
      </c>
      <c r="G30" s="14">
        <v>39.536405309999999</v>
      </c>
      <c r="H30" s="16">
        <v>2.1769817900000001</v>
      </c>
      <c r="I30" s="14">
        <v>0.33135748999999998</v>
      </c>
      <c r="J30" s="16">
        <v>0.18241777000000001</v>
      </c>
      <c r="K30" s="14">
        <v>24.164865420000002</v>
      </c>
      <c r="L30" s="16">
        <v>1.8015861399999999</v>
      </c>
      <c r="M30" s="14" t="s">
        <v>139</v>
      </c>
      <c r="N30" s="16" t="s">
        <v>139</v>
      </c>
      <c r="O30" s="14">
        <v>0</v>
      </c>
      <c r="P30" s="16">
        <v>0</v>
      </c>
      <c r="Q30" s="14">
        <v>0</v>
      </c>
      <c r="R30" s="16">
        <v>0</v>
      </c>
      <c r="S30" s="14">
        <v>0</v>
      </c>
      <c r="T30" s="16">
        <v>0</v>
      </c>
      <c r="U30" s="14">
        <v>0</v>
      </c>
      <c r="V30" s="16">
        <v>0</v>
      </c>
    </row>
    <row r="31" spans="1:22" x14ac:dyDescent="0.25">
      <c r="A31" s="11" t="s">
        <v>164</v>
      </c>
      <c r="B31" s="13">
        <v>5456</v>
      </c>
      <c r="C31" s="14">
        <f>(4553/B31*100)</f>
        <v>83.449413489736074</v>
      </c>
      <c r="D31" s="15">
        <v>903</v>
      </c>
      <c r="E31" s="14">
        <v>41.20786631</v>
      </c>
      <c r="F31" s="16">
        <v>1.73570508</v>
      </c>
      <c r="G31" s="14">
        <v>38.741970010000003</v>
      </c>
      <c r="H31" s="16">
        <v>1.72221742</v>
      </c>
      <c r="I31" s="14">
        <v>0.22270936</v>
      </c>
      <c r="J31" s="16">
        <v>0.15526345999999999</v>
      </c>
      <c r="K31" s="14">
        <v>19.827454320000001</v>
      </c>
      <c r="L31" s="16">
        <v>1.5100891599999999</v>
      </c>
      <c r="M31" s="14" t="s">
        <v>139</v>
      </c>
      <c r="N31" s="16" t="s">
        <v>139</v>
      </c>
      <c r="O31" s="14">
        <v>0</v>
      </c>
      <c r="P31" s="16">
        <v>0</v>
      </c>
      <c r="Q31" s="14">
        <v>0</v>
      </c>
      <c r="R31" s="16">
        <v>0</v>
      </c>
      <c r="S31" s="14">
        <v>0</v>
      </c>
      <c r="T31" s="16">
        <v>0</v>
      </c>
      <c r="U31" s="14">
        <v>0</v>
      </c>
      <c r="V31" s="16">
        <v>0</v>
      </c>
    </row>
    <row r="32" spans="1:22" x14ac:dyDescent="0.25">
      <c r="A32" s="11" t="s">
        <v>165</v>
      </c>
      <c r="B32" s="17" t="s">
        <v>154</v>
      </c>
      <c r="C32" s="17" t="s">
        <v>154</v>
      </c>
      <c r="D32" s="18" t="s">
        <v>154</v>
      </c>
      <c r="E32" s="17" t="s">
        <v>154</v>
      </c>
      <c r="F32" s="18" t="s">
        <v>154</v>
      </c>
      <c r="G32" s="17" t="s">
        <v>154</v>
      </c>
      <c r="H32" s="18" t="s">
        <v>154</v>
      </c>
      <c r="I32" s="17" t="s">
        <v>154</v>
      </c>
      <c r="J32" s="18" t="s">
        <v>154</v>
      </c>
      <c r="K32" s="17" t="s">
        <v>154</v>
      </c>
      <c r="L32" s="18" t="s">
        <v>154</v>
      </c>
      <c r="M32" s="17" t="s">
        <v>154</v>
      </c>
      <c r="N32" s="18" t="s">
        <v>154</v>
      </c>
      <c r="O32" s="17" t="s">
        <v>154</v>
      </c>
      <c r="P32" s="18" t="s">
        <v>154</v>
      </c>
      <c r="Q32" s="17" t="s">
        <v>154</v>
      </c>
      <c r="R32" s="18" t="s">
        <v>154</v>
      </c>
      <c r="S32" s="17" t="s">
        <v>154</v>
      </c>
      <c r="T32" s="18" t="s">
        <v>154</v>
      </c>
      <c r="U32" s="17" t="s">
        <v>154</v>
      </c>
      <c r="V32" s="18" t="s">
        <v>154</v>
      </c>
    </row>
    <row r="33" spans="1:22" x14ac:dyDescent="0.25">
      <c r="A33" s="11" t="s">
        <v>166</v>
      </c>
      <c r="B33" s="13">
        <v>7325</v>
      </c>
      <c r="C33" s="14">
        <f>(6143/B33*100)</f>
        <v>83.863481228668945</v>
      </c>
      <c r="D33" s="15">
        <v>1182</v>
      </c>
      <c r="E33" s="14">
        <v>37.230188290000001</v>
      </c>
      <c r="F33" s="16">
        <v>1.5004929899999999</v>
      </c>
      <c r="G33" s="14">
        <v>38.440462189999998</v>
      </c>
      <c r="H33" s="16">
        <v>1.67481959</v>
      </c>
      <c r="I33" s="14">
        <v>0.91784171000000003</v>
      </c>
      <c r="J33" s="16">
        <v>0.33856053000000003</v>
      </c>
      <c r="K33" s="14">
        <v>23.41150781</v>
      </c>
      <c r="L33" s="16">
        <v>1.6856941999999999</v>
      </c>
      <c r="M33" s="14" t="s">
        <v>139</v>
      </c>
      <c r="N33" s="16" t="s">
        <v>139</v>
      </c>
      <c r="O33" s="14">
        <v>0</v>
      </c>
      <c r="P33" s="16">
        <v>0</v>
      </c>
      <c r="Q33" s="14">
        <v>0</v>
      </c>
      <c r="R33" s="16">
        <v>0</v>
      </c>
      <c r="S33" s="14">
        <v>0</v>
      </c>
      <c r="T33" s="16">
        <v>0</v>
      </c>
      <c r="U33" s="14">
        <v>0</v>
      </c>
      <c r="V33" s="16">
        <v>0</v>
      </c>
    </row>
    <row r="34" spans="1:22" x14ac:dyDescent="0.25">
      <c r="A34" s="11" t="s">
        <v>167</v>
      </c>
      <c r="B34" s="13">
        <v>6350</v>
      </c>
      <c r="C34" s="14">
        <f>(5310/B34*100)</f>
        <v>83.622047244094489</v>
      </c>
      <c r="D34" s="15">
        <v>1040</v>
      </c>
      <c r="E34" s="14">
        <v>38.378746149999998</v>
      </c>
      <c r="F34" s="16">
        <v>1.53024808</v>
      </c>
      <c r="G34" s="14">
        <v>38.503750869999998</v>
      </c>
      <c r="H34" s="16">
        <v>1.5569970399999999</v>
      </c>
      <c r="I34" s="14">
        <v>0.23263478000000001</v>
      </c>
      <c r="J34" s="16">
        <v>0.11895543</v>
      </c>
      <c r="K34" s="14">
        <v>22.8848682</v>
      </c>
      <c r="L34" s="16">
        <v>1.4693655699999999</v>
      </c>
      <c r="M34" s="14" t="s">
        <v>139</v>
      </c>
      <c r="N34" s="16" t="s">
        <v>139</v>
      </c>
      <c r="O34" s="14">
        <v>0</v>
      </c>
      <c r="P34" s="16">
        <v>0</v>
      </c>
      <c r="Q34" s="14">
        <v>0</v>
      </c>
      <c r="R34" s="16">
        <v>0</v>
      </c>
      <c r="S34" s="14">
        <v>0</v>
      </c>
      <c r="T34" s="16">
        <v>0</v>
      </c>
      <c r="U34" s="14">
        <v>0</v>
      </c>
      <c r="V34" s="16">
        <v>0</v>
      </c>
    </row>
    <row r="35" spans="1:22" x14ac:dyDescent="0.25">
      <c r="A35" s="11" t="s">
        <v>168</v>
      </c>
      <c r="B35" s="13">
        <v>6406</v>
      </c>
      <c r="C35" s="14">
        <f>(5306/B35*100)</f>
        <v>82.828598189197621</v>
      </c>
      <c r="D35" s="15">
        <v>1100</v>
      </c>
      <c r="E35" s="14">
        <v>32.995150299999999</v>
      </c>
      <c r="F35" s="16">
        <v>1.7895575699999999</v>
      </c>
      <c r="G35" s="14">
        <v>41.644723169999999</v>
      </c>
      <c r="H35" s="16">
        <v>1.7935848299999999</v>
      </c>
      <c r="I35" s="14">
        <v>0.92869756999999997</v>
      </c>
      <c r="J35" s="16">
        <v>0.36519153999999998</v>
      </c>
      <c r="K35" s="14">
        <v>24.431428960000002</v>
      </c>
      <c r="L35" s="16">
        <v>1.88532875</v>
      </c>
      <c r="M35" s="14" t="s">
        <v>139</v>
      </c>
      <c r="N35" s="16" t="s">
        <v>139</v>
      </c>
      <c r="O35" s="14">
        <v>0</v>
      </c>
      <c r="P35" s="16">
        <v>0</v>
      </c>
      <c r="Q35" s="14">
        <v>0</v>
      </c>
      <c r="R35" s="16">
        <v>0</v>
      </c>
      <c r="S35" s="14">
        <v>0</v>
      </c>
      <c r="T35" s="16">
        <v>0</v>
      </c>
      <c r="U35" s="14">
        <v>0</v>
      </c>
      <c r="V35" s="16">
        <v>0</v>
      </c>
    </row>
    <row r="36" spans="1:22" x14ac:dyDescent="0.25">
      <c r="A36" s="11" t="s">
        <v>169</v>
      </c>
      <c r="B36" s="13">
        <v>6736</v>
      </c>
      <c r="C36" s="14">
        <f>(5609/B36*100)</f>
        <v>83.269002375296907</v>
      </c>
      <c r="D36" s="15">
        <v>1127</v>
      </c>
      <c r="E36" s="14">
        <v>32.385502680000002</v>
      </c>
      <c r="F36" s="16">
        <v>1.4914834699999999</v>
      </c>
      <c r="G36" s="14">
        <v>39.021015370000001</v>
      </c>
      <c r="H36" s="16">
        <v>1.5508312099999999</v>
      </c>
      <c r="I36" s="14">
        <v>0.92932017</v>
      </c>
      <c r="J36" s="16">
        <v>0.31314887000000002</v>
      </c>
      <c r="K36" s="14">
        <v>27.664161780000001</v>
      </c>
      <c r="L36" s="16">
        <v>1.50805798</v>
      </c>
      <c r="M36" s="14" t="s">
        <v>139</v>
      </c>
      <c r="N36" s="16" t="s">
        <v>139</v>
      </c>
      <c r="O36" s="14">
        <v>0</v>
      </c>
      <c r="P36" s="16">
        <v>0</v>
      </c>
      <c r="Q36" s="14">
        <v>0</v>
      </c>
      <c r="R36" s="16">
        <v>0</v>
      </c>
      <c r="S36" s="14">
        <v>0</v>
      </c>
      <c r="T36" s="16">
        <v>0</v>
      </c>
      <c r="U36" s="14">
        <v>0</v>
      </c>
      <c r="V36" s="16">
        <v>0</v>
      </c>
    </row>
    <row r="37" spans="1:22" x14ac:dyDescent="0.25">
      <c r="A37" s="11" t="s">
        <v>170</v>
      </c>
      <c r="B37" s="13">
        <v>5458</v>
      </c>
      <c r="C37" s="14">
        <f>(4579/B37*100)</f>
        <v>83.895199706852324</v>
      </c>
      <c r="D37" s="15">
        <v>879</v>
      </c>
      <c r="E37" s="14">
        <v>44.224407630000002</v>
      </c>
      <c r="F37" s="16">
        <v>1.6965933500000001</v>
      </c>
      <c r="G37" s="14">
        <v>36.211451820000001</v>
      </c>
      <c r="H37" s="16">
        <v>1.7013080300000001</v>
      </c>
      <c r="I37" s="14">
        <v>0.51498516000000005</v>
      </c>
      <c r="J37" s="16">
        <v>0.22861970000000001</v>
      </c>
      <c r="K37" s="14">
        <v>19.049155389999999</v>
      </c>
      <c r="L37" s="16">
        <v>1.4312360799999999</v>
      </c>
      <c r="M37" s="14" t="s">
        <v>139</v>
      </c>
      <c r="N37" s="16" t="s">
        <v>139</v>
      </c>
      <c r="O37" s="14">
        <v>0</v>
      </c>
      <c r="P37" s="16">
        <v>0</v>
      </c>
      <c r="Q37" s="14">
        <v>0</v>
      </c>
      <c r="R37" s="16">
        <v>0</v>
      </c>
      <c r="S37" s="14">
        <v>0</v>
      </c>
      <c r="T37" s="16">
        <v>0</v>
      </c>
      <c r="U37" s="14">
        <v>0</v>
      </c>
      <c r="V37" s="16">
        <v>0</v>
      </c>
    </row>
    <row r="38" spans="1:22" x14ac:dyDescent="0.25">
      <c r="A38" s="11" t="s">
        <v>171</v>
      </c>
      <c r="B38" s="17" t="s">
        <v>154</v>
      </c>
      <c r="C38" s="17" t="s">
        <v>154</v>
      </c>
      <c r="D38" s="18" t="s">
        <v>154</v>
      </c>
      <c r="E38" s="17" t="s">
        <v>154</v>
      </c>
      <c r="F38" s="18" t="s">
        <v>154</v>
      </c>
      <c r="G38" s="17" t="s">
        <v>154</v>
      </c>
      <c r="H38" s="18" t="s">
        <v>154</v>
      </c>
      <c r="I38" s="17" t="s">
        <v>154</v>
      </c>
      <c r="J38" s="18" t="s">
        <v>154</v>
      </c>
      <c r="K38" s="17" t="s">
        <v>154</v>
      </c>
      <c r="L38" s="18" t="s">
        <v>154</v>
      </c>
      <c r="M38" s="17" t="s">
        <v>154</v>
      </c>
      <c r="N38" s="18" t="s">
        <v>154</v>
      </c>
      <c r="O38" s="17" t="s">
        <v>154</v>
      </c>
      <c r="P38" s="18" t="s">
        <v>154</v>
      </c>
      <c r="Q38" s="17" t="s">
        <v>154</v>
      </c>
      <c r="R38" s="18" t="s">
        <v>154</v>
      </c>
      <c r="S38" s="17" t="s">
        <v>154</v>
      </c>
      <c r="T38" s="18" t="s">
        <v>154</v>
      </c>
      <c r="U38" s="17" t="s">
        <v>154</v>
      </c>
      <c r="V38" s="18" t="s">
        <v>154</v>
      </c>
    </row>
    <row r="39" spans="1:22" x14ac:dyDescent="0.25">
      <c r="A39" s="11" t="s">
        <v>172</v>
      </c>
      <c r="B39" s="13">
        <v>5895</v>
      </c>
      <c r="C39" s="14">
        <f>(4871/B39*100)</f>
        <v>82.629346904156066</v>
      </c>
      <c r="D39" s="15">
        <v>1024</v>
      </c>
      <c r="E39" s="14">
        <v>61.111937249999997</v>
      </c>
      <c r="F39" s="16">
        <v>1.96909428</v>
      </c>
      <c r="G39" s="14">
        <v>32.274823769999998</v>
      </c>
      <c r="H39" s="16">
        <v>1.6793393299999999</v>
      </c>
      <c r="I39" s="14">
        <v>0.46512031999999998</v>
      </c>
      <c r="J39" s="16">
        <v>0.27851294999999998</v>
      </c>
      <c r="K39" s="14">
        <v>6.1481186699999997</v>
      </c>
      <c r="L39" s="16">
        <v>0.87135028999999997</v>
      </c>
      <c r="M39" s="14" t="s">
        <v>139</v>
      </c>
      <c r="N39" s="16" t="s">
        <v>139</v>
      </c>
      <c r="O39" s="14">
        <v>0</v>
      </c>
      <c r="P39" s="16">
        <v>0</v>
      </c>
      <c r="Q39" s="14">
        <v>0</v>
      </c>
      <c r="R39" s="16">
        <v>0</v>
      </c>
      <c r="S39" s="14">
        <v>0</v>
      </c>
      <c r="T39" s="16">
        <v>0</v>
      </c>
      <c r="U39" s="14">
        <v>0</v>
      </c>
      <c r="V39" s="16">
        <v>0</v>
      </c>
    </row>
    <row r="40" spans="1:22" x14ac:dyDescent="0.25">
      <c r="A40" s="11" t="s">
        <v>173</v>
      </c>
      <c r="B40" s="13">
        <v>14157</v>
      </c>
      <c r="C40" s="14">
        <f>(11654/B40*100)</f>
        <v>82.319700501518682</v>
      </c>
      <c r="D40" s="15">
        <v>2503</v>
      </c>
      <c r="E40" s="14">
        <v>35.837923420000003</v>
      </c>
      <c r="F40" s="16">
        <v>1.61213494</v>
      </c>
      <c r="G40" s="14">
        <v>40.616595179999997</v>
      </c>
      <c r="H40" s="16">
        <v>1.57365116</v>
      </c>
      <c r="I40" s="14">
        <v>0.42809161000000001</v>
      </c>
      <c r="J40" s="16">
        <v>0.17653364999999999</v>
      </c>
      <c r="K40" s="14">
        <v>23.117389790000001</v>
      </c>
      <c r="L40" s="16">
        <v>1.3010849600000001</v>
      </c>
      <c r="M40" s="14" t="s">
        <v>139</v>
      </c>
      <c r="N40" s="16" t="s">
        <v>139</v>
      </c>
      <c r="O40" s="14">
        <v>0</v>
      </c>
      <c r="P40" s="16">
        <v>0</v>
      </c>
      <c r="Q40" s="14">
        <v>0</v>
      </c>
      <c r="R40" s="16">
        <v>0</v>
      </c>
      <c r="S40" s="14">
        <v>0</v>
      </c>
      <c r="T40" s="16">
        <v>0</v>
      </c>
      <c r="U40" s="14">
        <v>0</v>
      </c>
      <c r="V40" s="16">
        <v>0</v>
      </c>
    </row>
    <row r="41" spans="1:22" x14ac:dyDescent="0.25">
      <c r="A41" s="11" t="s">
        <v>174</v>
      </c>
      <c r="B41" s="13">
        <v>5712</v>
      </c>
      <c r="C41" s="14">
        <f>(4777/B41*100)</f>
        <v>83.63095238095238</v>
      </c>
      <c r="D41" s="15">
        <v>935</v>
      </c>
      <c r="E41" s="14">
        <v>41.212596380000001</v>
      </c>
      <c r="F41" s="16">
        <v>1.84812478</v>
      </c>
      <c r="G41" s="14">
        <v>38.159784279999997</v>
      </c>
      <c r="H41" s="16">
        <v>1.8194587499999999</v>
      </c>
      <c r="I41" s="14">
        <v>0.49980887000000002</v>
      </c>
      <c r="J41" s="16">
        <v>0.25224027999999998</v>
      </c>
      <c r="K41" s="14">
        <v>20.127810480000001</v>
      </c>
      <c r="L41" s="16">
        <v>1.5129245</v>
      </c>
      <c r="M41" s="14" t="s">
        <v>139</v>
      </c>
      <c r="N41" s="16" t="s">
        <v>139</v>
      </c>
      <c r="O41" s="14">
        <v>0</v>
      </c>
      <c r="P41" s="16">
        <v>0</v>
      </c>
      <c r="Q41" s="14">
        <v>0</v>
      </c>
      <c r="R41" s="16">
        <v>0</v>
      </c>
      <c r="S41" s="14">
        <v>0</v>
      </c>
      <c r="T41" s="16">
        <v>0</v>
      </c>
      <c r="U41" s="14">
        <v>0</v>
      </c>
      <c r="V41" s="16">
        <v>0</v>
      </c>
    </row>
    <row r="42" spans="1:22" x14ac:dyDescent="0.25">
      <c r="A42" s="11" t="s">
        <v>175</v>
      </c>
      <c r="B42" s="13">
        <f>IF(COUNT(B7:B41) &gt; 0, AVERAGE(B7:B41), "\u2014")</f>
        <v>7266.90625</v>
      </c>
      <c r="C42" s="14">
        <f>IF(COUNT(C7:C41) &gt; 0, AVERAGE(C7:C41), "—")</f>
        <v>83.26007459787489</v>
      </c>
      <c r="D42" s="15">
        <f>IF(COUNT(D7:D41) &gt; 0, AVERAGE(D7:D41), "—")</f>
        <v>1218</v>
      </c>
      <c r="E42" s="14">
        <f>IF(COUNT(E7:E41) &gt; 0, AVERAGE(E7:E41), "—")</f>
        <v>38.06988824874999</v>
      </c>
      <c r="F42" s="16">
        <f>IF(COUNT(F7:F41) &gt; 0, SQRT(SUMSQ(F7:F41)/(COUNT(F7:F41)*COUNT(F7:F41)) ), "—")</f>
        <v>0.28899206648497583</v>
      </c>
      <c r="G42" s="14">
        <f>IF(COUNT(G7:G41) &gt; 0, AVERAGE(G7:G41), "—")</f>
        <v>38.865647455624995</v>
      </c>
      <c r="H42" s="16">
        <f>IF(COUNT(H7:H41) &gt; 0, SQRT(SUMSQ(H7:H41)/(COUNT(H7:H41)*COUNT(H7:H41)) ), "—")</f>
        <v>0.28860256616525559</v>
      </c>
      <c r="I42" s="14">
        <f>IF(COUNT(I7:I41) &gt; 0, AVERAGE(I7:I41), "—")</f>
        <v>0.61748771062499985</v>
      </c>
      <c r="J42" s="16">
        <f>IF(COUNT(J7:J41) &gt; 0, SQRT(SUMSQ(J7:J41)/(COUNT(J7:J41)*COUNT(J7:J41)) ), "—")</f>
        <v>4.8344549194785494E-2</v>
      </c>
      <c r="K42" s="14">
        <f>IF(COUNT(K7:K41) &gt; 0, AVERAGE(K7:K41), "—")</f>
        <v>22.446976586562499</v>
      </c>
      <c r="L42" s="16">
        <f>IF(COUNT(L7:L41) &gt; 0, SQRT(SUMSQ(L7:L41)/(COUNT(L7:L41)*COUNT(L7:L41)) ), "—")</f>
        <v>0.25108946124785736</v>
      </c>
      <c r="M42" s="14" t="str">
        <f>IF(COUNT(M7:M41) &gt; 0, AVERAGE(M7:M41), "—")</f>
        <v>—</v>
      </c>
      <c r="N42" s="16" t="str">
        <f>IF(COUNT(N7:N41) &gt; 0, SQRT(SUMSQ(N7:N41)/(COUNT(N7:N41)*COUNT(N7:N41)) ), "—")</f>
        <v>—</v>
      </c>
      <c r="O42" s="14">
        <f>IF(COUNT(O7:O41) &gt; 0, AVERAGE(O7:O41), "—")</f>
        <v>0</v>
      </c>
      <c r="P42" s="16">
        <f>IF(COUNT(P7:P41) &gt; 0, SQRT(SUMSQ(P7:P41)/(COUNT(P7:P41)*COUNT(P7:P41)) ), "—")</f>
        <v>0</v>
      </c>
      <c r="Q42" s="14">
        <f>IF(COUNT(Q7:Q41) &gt; 0, AVERAGE(Q7:Q41), "—")</f>
        <v>0</v>
      </c>
      <c r="R42" s="16">
        <f>IF(COUNT(R7:R41) &gt; 0, SQRT(SUMSQ(R7:R41)/(COUNT(R7:R41)*COUNT(R7:R41)) ), "—")</f>
        <v>0</v>
      </c>
      <c r="S42" s="14">
        <f>IF(COUNT(S7:S41) &gt; 0, AVERAGE(S7:S41), "—")</f>
        <v>0</v>
      </c>
      <c r="T42" s="16">
        <f>IF(COUNT(T7:T41) &gt; 0, SQRT(SUMSQ(T7:T41)/(COUNT(T7:T41)*COUNT(T7:T41)) ), "—")</f>
        <v>0</v>
      </c>
      <c r="U42" s="14">
        <f>IF(COUNT(U7:U41) &gt; 0, AVERAGE(U7:U41), "—")</f>
        <v>0</v>
      </c>
      <c r="V42" s="16">
        <f>IF(COUNT(V7:V41) &gt; 0, SQRT(SUMSQ(V7:V41)/(COUNT(V7:V41)*COUNT(V7:V41)) ), "—")</f>
        <v>0</v>
      </c>
    </row>
    <row r="43" spans="1:22" x14ac:dyDescent="0.25">
      <c r="A43" s="9" t="s">
        <v>176</v>
      </c>
      <c r="B43" s="10"/>
      <c r="C43" s="10"/>
      <c r="D43" s="11"/>
      <c r="E43" s="10"/>
      <c r="F43" s="11"/>
      <c r="G43" s="10"/>
      <c r="H43" s="11"/>
      <c r="I43" s="10"/>
      <c r="J43" s="11"/>
      <c r="K43" s="10"/>
      <c r="L43" s="11"/>
      <c r="M43" s="10"/>
      <c r="N43" s="11"/>
      <c r="O43" s="10"/>
      <c r="P43" s="11"/>
      <c r="Q43" s="10"/>
      <c r="R43" s="11"/>
      <c r="S43" s="10"/>
      <c r="T43" s="11"/>
      <c r="U43" s="10"/>
      <c r="V43" s="12"/>
    </row>
    <row r="44" spans="1:22" x14ac:dyDescent="0.25">
      <c r="A44" s="11" t="s">
        <v>177</v>
      </c>
      <c r="B44" s="17" t="s">
        <v>154</v>
      </c>
      <c r="C44" s="17" t="s">
        <v>154</v>
      </c>
      <c r="D44" s="18" t="s">
        <v>154</v>
      </c>
      <c r="E44" s="17" t="s">
        <v>154</v>
      </c>
      <c r="F44" s="18" t="s">
        <v>154</v>
      </c>
      <c r="G44" s="17" t="s">
        <v>154</v>
      </c>
      <c r="H44" s="18" t="s">
        <v>154</v>
      </c>
      <c r="I44" s="17" t="s">
        <v>154</v>
      </c>
      <c r="J44" s="18" t="s">
        <v>154</v>
      </c>
      <c r="K44" s="17" t="s">
        <v>154</v>
      </c>
      <c r="L44" s="18" t="s">
        <v>154</v>
      </c>
      <c r="M44" s="17" t="s">
        <v>154</v>
      </c>
      <c r="N44" s="18" t="s">
        <v>154</v>
      </c>
      <c r="O44" s="17" t="s">
        <v>154</v>
      </c>
      <c r="P44" s="18" t="s">
        <v>154</v>
      </c>
      <c r="Q44" s="17" t="s">
        <v>154</v>
      </c>
      <c r="R44" s="18" t="s">
        <v>154</v>
      </c>
      <c r="S44" s="17" t="s">
        <v>154</v>
      </c>
      <c r="T44" s="18" t="s">
        <v>154</v>
      </c>
      <c r="U44" s="17" t="s">
        <v>154</v>
      </c>
      <c r="V44" s="18" t="s">
        <v>154</v>
      </c>
    </row>
    <row r="45" spans="1:22" x14ac:dyDescent="0.25">
      <c r="A45" s="11" t="s">
        <v>178</v>
      </c>
      <c r="B45" s="17" t="s">
        <v>154</v>
      </c>
      <c r="C45" s="17" t="s">
        <v>154</v>
      </c>
      <c r="D45" s="18" t="s">
        <v>154</v>
      </c>
      <c r="E45" s="17" t="s">
        <v>154</v>
      </c>
      <c r="F45" s="18" t="s">
        <v>154</v>
      </c>
      <c r="G45" s="17" t="s">
        <v>154</v>
      </c>
      <c r="H45" s="18" t="s">
        <v>154</v>
      </c>
      <c r="I45" s="17" t="s">
        <v>154</v>
      </c>
      <c r="J45" s="18" t="s">
        <v>154</v>
      </c>
      <c r="K45" s="17" t="s">
        <v>154</v>
      </c>
      <c r="L45" s="18" t="s">
        <v>154</v>
      </c>
      <c r="M45" s="17" t="s">
        <v>154</v>
      </c>
      <c r="N45" s="18" t="s">
        <v>154</v>
      </c>
      <c r="O45" s="17" t="s">
        <v>154</v>
      </c>
      <c r="P45" s="18" t="s">
        <v>154</v>
      </c>
      <c r="Q45" s="17" t="s">
        <v>154</v>
      </c>
      <c r="R45" s="18" t="s">
        <v>154</v>
      </c>
      <c r="S45" s="17" t="s">
        <v>154</v>
      </c>
      <c r="T45" s="18" t="s">
        <v>154</v>
      </c>
      <c r="U45" s="17" t="s">
        <v>154</v>
      </c>
      <c r="V45" s="18" t="s">
        <v>154</v>
      </c>
    </row>
    <row r="46" spans="1:22" x14ac:dyDescent="0.25">
      <c r="A46" s="11" t="s">
        <v>179</v>
      </c>
      <c r="B46" s="13">
        <v>23141</v>
      </c>
      <c r="C46" s="14">
        <f>(20176/B46*100)</f>
        <v>87.18724342076834</v>
      </c>
      <c r="D46" s="15">
        <v>2965</v>
      </c>
      <c r="E46" s="14">
        <v>54.935350010000001</v>
      </c>
      <c r="F46" s="16">
        <v>1.26296958</v>
      </c>
      <c r="G46" s="14">
        <v>33.719231059999998</v>
      </c>
      <c r="H46" s="16">
        <v>0.99643895999999998</v>
      </c>
      <c r="I46" s="14">
        <v>0.51170119999999997</v>
      </c>
      <c r="J46" s="16">
        <v>0.19483279000000001</v>
      </c>
      <c r="K46" s="14">
        <v>10.83371773</v>
      </c>
      <c r="L46" s="16">
        <v>0.77899527000000002</v>
      </c>
      <c r="M46" s="14" t="s">
        <v>139</v>
      </c>
      <c r="N46" s="16" t="s">
        <v>139</v>
      </c>
      <c r="O46" s="14">
        <v>0</v>
      </c>
      <c r="P46" s="16">
        <v>0</v>
      </c>
      <c r="Q46" s="14">
        <v>0</v>
      </c>
      <c r="R46" s="16">
        <v>0</v>
      </c>
      <c r="S46" s="14">
        <v>0</v>
      </c>
      <c r="T46" s="16">
        <v>0</v>
      </c>
      <c r="U46" s="14">
        <v>0</v>
      </c>
      <c r="V46" s="16">
        <v>0</v>
      </c>
    </row>
    <row r="47" spans="1:22" x14ac:dyDescent="0.25">
      <c r="A47" s="11" t="s">
        <v>180</v>
      </c>
      <c r="B47" s="13">
        <v>5928</v>
      </c>
      <c r="C47" s="14">
        <f>(4958/B47*100)</f>
        <v>83.6369770580297</v>
      </c>
      <c r="D47" s="15">
        <v>970</v>
      </c>
      <c r="E47" s="14">
        <v>52.581536839999998</v>
      </c>
      <c r="F47" s="16">
        <v>1.8028866699999999</v>
      </c>
      <c r="G47" s="14">
        <v>32.731192470000003</v>
      </c>
      <c r="H47" s="16">
        <v>1.5911942800000001</v>
      </c>
      <c r="I47" s="14">
        <v>0.41241659000000003</v>
      </c>
      <c r="J47" s="16">
        <v>0.20428347999999999</v>
      </c>
      <c r="K47" s="14">
        <v>14.274854100000001</v>
      </c>
      <c r="L47" s="16">
        <v>1.2073805799999999</v>
      </c>
      <c r="M47" s="14" t="s">
        <v>139</v>
      </c>
      <c r="N47" s="16" t="s">
        <v>139</v>
      </c>
      <c r="O47" s="14">
        <v>0</v>
      </c>
      <c r="P47" s="16">
        <v>0</v>
      </c>
      <c r="Q47" s="14">
        <v>0</v>
      </c>
      <c r="R47" s="16">
        <v>0</v>
      </c>
      <c r="S47" s="14">
        <v>0</v>
      </c>
      <c r="T47" s="16">
        <v>0</v>
      </c>
      <c r="U47" s="14">
        <v>0</v>
      </c>
      <c r="V47" s="16">
        <v>0</v>
      </c>
    </row>
    <row r="48" spans="1:22" x14ac:dyDescent="0.25">
      <c r="A48" s="11" t="s">
        <v>181</v>
      </c>
      <c r="B48" s="13">
        <v>9841</v>
      </c>
      <c r="C48" s="14">
        <f>(8160/B48*100)</f>
        <v>82.918402601361649</v>
      </c>
      <c r="D48" s="15">
        <v>1681</v>
      </c>
      <c r="E48" s="14">
        <v>41.372996309999998</v>
      </c>
      <c r="F48" s="16">
        <v>1.8057179699999999</v>
      </c>
      <c r="G48" s="14">
        <v>33.868684539999997</v>
      </c>
      <c r="H48" s="16">
        <v>1.7046376299999999</v>
      </c>
      <c r="I48" s="14">
        <v>0.40087593999999999</v>
      </c>
      <c r="J48" s="16">
        <v>0.18945145999999999</v>
      </c>
      <c r="K48" s="14">
        <v>24.35744321</v>
      </c>
      <c r="L48" s="16">
        <v>1.6523702899999999</v>
      </c>
      <c r="M48" s="14" t="s">
        <v>139</v>
      </c>
      <c r="N48" s="16" t="s">
        <v>139</v>
      </c>
      <c r="O48" s="14">
        <v>0</v>
      </c>
      <c r="P48" s="16">
        <v>0</v>
      </c>
      <c r="Q48" s="14">
        <v>0</v>
      </c>
      <c r="R48" s="16">
        <v>0</v>
      </c>
      <c r="S48" s="14">
        <v>0</v>
      </c>
      <c r="T48" s="16">
        <v>0</v>
      </c>
      <c r="U48" s="14">
        <v>0</v>
      </c>
      <c r="V48" s="16">
        <v>0</v>
      </c>
    </row>
    <row r="49" spans="1:22" x14ac:dyDescent="0.25">
      <c r="A49" s="11" t="s">
        <v>182</v>
      </c>
      <c r="B49" s="17" t="s">
        <v>154</v>
      </c>
      <c r="C49" s="17" t="s">
        <v>154</v>
      </c>
      <c r="D49" s="18" t="s">
        <v>154</v>
      </c>
      <c r="E49" s="17" t="s">
        <v>154</v>
      </c>
      <c r="F49" s="18" t="s">
        <v>154</v>
      </c>
      <c r="G49" s="17" t="s">
        <v>154</v>
      </c>
      <c r="H49" s="18" t="s">
        <v>154</v>
      </c>
      <c r="I49" s="17" t="s">
        <v>154</v>
      </c>
      <c r="J49" s="18" t="s">
        <v>154</v>
      </c>
      <c r="K49" s="17" t="s">
        <v>154</v>
      </c>
      <c r="L49" s="18" t="s">
        <v>154</v>
      </c>
      <c r="M49" s="17" t="s">
        <v>154</v>
      </c>
      <c r="N49" s="18" t="s">
        <v>154</v>
      </c>
      <c r="O49" s="17" t="s">
        <v>154</v>
      </c>
      <c r="P49" s="18" t="s">
        <v>154</v>
      </c>
      <c r="Q49" s="17" t="s">
        <v>154</v>
      </c>
      <c r="R49" s="18" t="s">
        <v>154</v>
      </c>
      <c r="S49" s="17" t="s">
        <v>154</v>
      </c>
      <c r="T49" s="18" t="s">
        <v>154</v>
      </c>
      <c r="U49" s="17" t="s">
        <v>154</v>
      </c>
      <c r="V49" s="18" t="s">
        <v>154</v>
      </c>
    </row>
    <row r="50" spans="1:22" x14ac:dyDescent="0.25">
      <c r="A50" s="11" t="s">
        <v>183</v>
      </c>
      <c r="B50" s="13">
        <v>11795</v>
      </c>
      <c r="C50" s="14">
        <f>(9898/B50*100)</f>
        <v>83.916913946587528</v>
      </c>
      <c r="D50" s="15">
        <v>1897</v>
      </c>
      <c r="E50" s="14">
        <v>50.162279830000003</v>
      </c>
      <c r="F50" s="16">
        <v>1.5264457300000001</v>
      </c>
      <c r="G50" s="14">
        <v>37.989746150000002</v>
      </c>
      <c r="H50" s="16">
        <v>1.4858072099999999</v>
      </c>
      <c r="I50" s="14">
        <v>0.33522295000000002</v>
      </c>
      <c r="J50" s="16">
        <v>0.16279964999999999</v>
      </c>
      <c r="K50" s="14">
        <v>11.51275107</v>
      </c>
      <c r="L50" s="16">
        <v>1.04505409</v>
      </c>
      <c r="M50" s="14" t="s">
        <v>139</v>
      </c>
      <c r="N50" s="16" t="s">
        <v>139</v>
      </c>
      <c r="O50" s="14">
        <v>0</v>
      </c>
      <c r="P50" s="16">
        <v>0</v>
      </c>
      <c r="Q50" s="14">
        <v>0</v>
      </c>
      <c r="R50" s="16">
        <v>0</v>
      </c>
      <c r="S50" s="14">
        <v>0</v>
      </c>
      <c r="T50" s="16">
        <v>0</v>
      </c>
      <c r="U50" s="14">
        <v>0</v>
      </c>
      <c r="V50" s="16">
        <v>0</v>
      </c>
    </row>
    <row r="51" spans="1:22" x14ac:dyDescent="0.25">
      <c r="A51" s="11" t="s">
        <v>184</v>
      </c>
      <c r="B51" s="13">
        <v>6866</v>
      </c>
      <c r="C51" s="14">
        <f>(5894/B51*100)</f>
        <v>85.843285755898634</v>
      </c>
      <c r="D51" s="15">
        <v>972</v>
      </c>
      <c r="E51" s="14">
        <v>47.651248989999999</v>
      </c>
      <c r="F51" s="16">
        <v>1.72585225</v>
      </c>
      <c r="G51" s="14">
        <v>40.041045310000001</v>
      </c>
      <c r="H51" s="16">
        <v>1.5785792700000001</v>
      </c>
      <c r="I51" s="14">
        <v>0.46173093999999998</v>
      </c>
      <c r="J51" s="16">
        <v>0.22445957999999999</v>
      </c>
      <c r="K51" s="14">
        <v>11.845974760000001</v>
      </c>
      <c r="L51" s="16">
        <v>1.04048243</v>
      </c>
      <c r="M51" s="14" t="s">
        <v>139</v>
      </c>
      <c r="N51" s="16" t="s">
        <v>139</v>
      </c>
      <c r="O51" s="14">
        <v>0</v>
      </c>
      <c r="P51" s="16">
        <v>0</v>
      </c>
      <c r="Q51" s="14">
        <v>0</v>
      </c>
      <c r="R51" s="16">
        <v>0</v>
      </c>
      <c r="S51" s="14">
        <v>0</v>
      </c>
      <c r="T51" s="16">
        <v>0</v>
      </c>
      <c r="U51" s="14">
        <v>0</v>
      </c>
      <c r="V51" s="16">
        <v>0</v>
      </c>
    </row>
    <row r="52" spans="1:22" x14ac:dyDescent="0.25">
      <c r="A52" s="11" t="s">
        <v>185</v>
      </c>
      <c r="B52" s="13">
        <v>5809</v>
      </c>
      <c r="C52" s="14">
        <f>(4808/B52*100)</f>
        <v>82.768118436908239</v>
      </c>
      <c r="D52" s="15">
        <v>1001</v>
      </c>
      <c r="E52" s="14">
        <v>39.436412269999998</v>
      </c>
      <c r="F52" s="16">
        <v>1.7090294100000001</v>
      </c>
      <c r="G52" s="14">
        <v>41.43831351</v>
      </c>
      <c r="H52" s="16">
        <v>1.66030587</v>
      </c>
      <c r="I52" s="14">
        <v>0.48698000000000002</v>
      </c>
      <c r="J52" s="16">
        <v>0.22394866999999999</v>
      </c>
      <c r="K52" s="14">
        <v>18.63829423</v>
      </c>
      <c r="L52" s="16">
        <v>1.28475136</v>
      </c>
      <c r="M52" s="14" t="s">
        <v>139</v>
      </c>
      <c r="N52" s="16" t="s">
        <v>139</v>
      </c>
      <c r="O52" s="14">
        <v>0</v>
      </c>
      <c r="P52" s="16">
        <v>0</v>
      </c>
      <c r="Q52" s="14">
        <v>0</v>
      </c>
      <c r="R52" s="16">
        <v>0</v>
      </c>
      <c r="S52" s="14">
        <v>0</v>
      </c>
      <c r="T52" s="16">
        <v>0</v>
      </c>
      <c r="U52" s="14">
        <v>0</v>
      </c>
      <c r="V52" s="16">
        <v>0</v>
      </c>
    </row>
    <row r="53" spans="1:22" x14ac:dyDescent="0.25">
      <c r="A53" s="11" t="s">
        <v>186</v>
      </c>
      <c r="B53" s="13">
        <v>5571</v>
      </c>
      <c r="C53" s="14">
        <f>(4622/B53*100)</f>
        <v>82.965356309459708</v>
      </c>
      <c r="D53" s="15">
        <v>949</v>
      </c>
      <c r="E53" s="14">
        <v>45.214312130000003</v>
      </c>
      <c r="F53" s="16">
        <v>1.9367984499999999</v>
      </c>
      <c r="G53" s="14">
        <v>39.331895109999998</v>
      </c>
      <c r="H53" s="16">
        <v>1.92718075</v>
      </c>
      <c r="I53" s="14">
        <v>0.79461090000000001</v>
      </c>
      <c r="J53" s="16">
        <v>0.26312501999999999</v>
      </c>
      <c r="K53" s="14">
        <v>14.65918186</v>
      </c>
      <c r="L53" s="16">
        <v>1.33319806</v>
      </c>
      <c r="M53" s="14" t="s">
        <v>139</v>
      </c>
      <c r="N53" s="16" t="s">
        <v>139</v>
      </c>
      <c r="O53" s="14">
        <v>0</v>
      </c>
      <c r="P53" s="16">
        <v>0</v>
      </c>
      <c r="Q53" s="14">
        <v>0</v>
      </c>
      <c r="R53" s="16">
        <v>0</v>
      </c>
      <c r="S53" s="14">
        <v>0</v>
      </c>
      <c r="T53" s="16">
        <v>0</v>
      </c>
      <c r="U53" s="14">
        <v>0</v>
      </c>
      <c r="V53" s="16">
        <v>0</v>
      </c>
    </row>
    <row r="54" spans="1:22" x14ac:dyDescent="0.25">
      <c r="A54" s="11" t="s">
        <v>187</v>
      </c>
      <c r="B54" s="17" t="s">
        <v>154</v>
      </c>
      <c r="C54" s="17" t="s">
        <v>154</v>
      </c>
      <c r="D54" s="18" t="s">
        <v>154</v>
      </c>
      <c r="E54" s="17" t="s">
        <v>154</v>
      </c>
      <c r="F54" s="18" t="s">
        <v>154</v>
      </c>
      <c r="G54" s="17" t="s">
        <v>154</v>
      </c>
      <c r="H54" s="18" t="s">
        <v>154</v>
      </c>
      <c r="I54" s="17" t="s">
        <v>154</v>
      </c>
      <c r="J54" s="18" t="s">
        <v>154</v>
      </c>
      <c r="K54" s="17" t="s">
        <v>154</v>
      </c>
      <c r="L54" s="18" t="s">
        <v>154</v>
      </c>
      <c r="M54" s="17" t="s">
        <v>154</v>
      </c>
      <c r="N54" s="18" t="s">
        <v>154</v>
      </c>
      <c r="O54" s="17" t="s">
        <v>154</v>
      </c>
      <c r="P54" s="18" t="s">
        <v>154</v>
      </c>
      <c r="Q54" s="17" t="s">
        <v>154</v>
      </c>
      <c r="R54" s="18" t="s">
        <v>154</v>
      </c>
      <c r="S54" s="17" t="s">
        <v>154</v>
      </c>
      <c r="T54" s="18" t="s">
        <v>154</v>
      </c>
      <c r="U54" s="17" t="s">
        <v>154</v>
      </c>
      <c r="V54" s="18" t="s">
        <v>154</v>
      </c>
    </row>
    <row r="55" spans="1:22" x14ac:dyDescent="0.25">
      <c r="A55" s="11" t="s">
        <v>188</v>
      </c>
      <c r="B55" s="17" t="s">
        <v>154</v>
      </c>
      <c r="C55" s="17" t="s">
        <v>154</v>
      </c>
      <c r="D55" s="18" t="s">
        <v>154</v>
      </c>
      <c r="E55" s="17" t="s">
        <v>154</v>
      </c>
      <c r="F55" s="18" t="s">
        <v>154</v>
      </c>
      <c r="G55" s="17" t="s">
        <v>154</v>
      </c>
      <c r="H55" s="18" t="s">
        <v>154</v>
      </c>
      <c r="I55" s="17" t="s">
        <v>154</v>
      </c>
      <c r="J55" s="18" t="s">
        <v>154</v>
      </c>
      <c r="K55" s="17" t="s">
        <v>154</v>
      </c>
      <c r="L55" s="18" t="s">
        <v>154</v>
      </c>
      <c r="M55" s="17" t="s">
        <v>154</v>
      </c>
      <c r="N55" s="18" t="s">
        <v>154</v>
      </c>
      <c r="O55" s="17" t="s">
        <v>154</v>
      </c>
      <c r="P55" s="18" t="s">
        <v>154</v>
      </c>
      <c r="Q55" s="17" t="s">
        <v>154</v>
      </c>
      <c r="R55" s="18" t="s">
        <v>154</v>
      </c>
      <c r="S55" s="17" t="s">
        <v>154</v>
      </c>
      <c r="T55" s="18" t="s">
        <v>154</v>
      </c>
      <c r="U55" s="17" t="s">
        <v>154</v>
      </c>
      <c r="V55" s="18" t="s">
        <v>154</v>
      </c>
    </row>
    <row r="56" spans="1:22" x14ac:dyDescent="0.25">
      <c r="A56" s="11" t="s">
        <v>189</v>
      </c>
      <c r="B56" s="13">
        <v>5359</v>
      </c>
      <c r="C56" s="14">
        <f>(4449/B56*100)</f>
        <v>83.019220003732045</v>
      </c>
      <c r="D56" s="15">
        <v>910</v>
      </c>
      <c r="E56" s="14">
        <v>26.142663899999999</v>
      </c>
      <c r="F56" s="16">
        <v>1.5529758499999999</v>
      </c>
      <c r="G56" s="14">
        <v>31.673463040000001</v>
      </c>
      <c r="H56" s="16">
        <v>1.66340215</v>
      </c>
      <c r="I56" s="14">
        <v>0.39581674</v>
      </c>
      <c r="J56" s="16">
        <v>0.20769335</v>
      </c>
      <c r="K56" s="14">
        <v>41.788056330000003</v>
      </c>
      <c r="L56" s="16">
        <v>1.5311655200000001</v>
      </c>
      <c r="M56" s="14" t="s">
        <v>139</v>
      </c>
      <c r="N56" s="16" t="s">
        <v>139</v>
      </c>
      <c r="O56" s="14">
        <v>0</v>
      </c>
      <c r="P56" s="16">
        <v>0</v>
      </c>
      <c r="Q56" s="14">
        <v>0</v>
      </c>
      <c r="R56" s="16">
        <v>0</v>
      </c>
      <c r="S56" s="14">
        <v>0</v>
      </c>
      <c r="T56" s="16">
        <v>0</v>
      </c>
      <c r="U56" s="14">
        <v>0</v>
      </c>
      <c r="V56" s="16">
        <v>0</v>
      </c>
    </row>
    <row r="57" spans="1:22" x14ac:dyDescent="0.25">
      <c r="A57" s="11" t="s">
        <v>190</v>
      </c>
      <c r="B57" s="17" t="s">
        <v>154</v>
      </c>
      <c r="C57" s="17" t="s">
        <v>154</v>
      </c>
      <c r="D57" s="18" t="s">
        <v>154</v>
      </c>
      <c r="E57" s="17" t="s">
        <v>154</v>
      </c>
      <c r="F57" s="18" t="s">
        <v>154</v>
      </c>
      <c r="G57" s="17" t="s">
        <v>154</v>
      </c>
      <c r="H57" s="18" t="s">
        <v>154</v>
      </c>
      <c r="I57" s="17" t="s">
        <v>154</v>
      </c>
      <c r="J57" s="18" t="s">
        <v>154</v>
      </c>
      <c r="K57" s="17" t="s">
        <v>154</v>
      </c>
      <c r="L57" s="18" t="s">
        <v>154</v>
      </c>
      <c r="M57" s="17" t="s">
        <v>154</v>
      </c>
      <c r="N57" s="18" t="s">
        <v>154</v>
      </c>
      <c r="O57" s="17" t="s">
        <v>154</v>
      </c>
      <c r="P57" s="18" t="s">
        <v>154</v>
      </c>
      <c r="Q57" s="17" t="s">
        <v>154</v>
      </c>
      <c r="R57" s="18" t="s">
        <v>154</v>
      </c>
      <c r="S57" s="17" t="s">
        <v>154</v>
      </c>
      <c r="T57" s="18" t="s">
        <v>154</v>
      </c>
      <c r="U57" s="17" t="s">
        <v>154</v>
      </c>
      <c r="V57" s="18" t="s">
        <v>154</v>
      </c>
    </row>
    <row r="58" spans="1:22" x14ac:dyDescent="0.25">
      <c r="A58" s="11" t="s">
        <v>191</v>
      </c>
      <c r="B58" s="17" t="s">
        <v>154</v>
      </c>
      <c r="C58" s="17" t="s">
        <v>154</v>
      </c>
      <c r="D58" s="18" t="s">
        <v>154</v>
      </c>
      <c r="E58" s="17" t="s">
        <v>154</v>
      </c>
      <c r="F58" s="18" t="s">
        <v>154</v>
      </c>
      <c r="G58" s="17" t="s">
        <v>154</v>
      </c>
      <c r="H58" s="18" t="s">
        <v>154</v>
      </c>
      <c r="I58" s="17" t="s">
        <v>154</v>
      </c>
      <c r="J58" s="18" t="s">
        <v>154</v>
      </c>
      <c r="K58" s="17" t="s">
        <v>154</v>
      </c>
      <c r="L58" s="18" t="s">
        <v>154</v>
      </c>
      <c r="M58" s="17" t="s">
        <v>154</v>
      </c>
      <c r="N58" s="18" t="s">
        <v>154</v>
      </c>
      <c r="O58" s="17" t="s">
        <v>154</v>
      </c>
      <c r="P58" s="18" t="s">
        <v>154</v>
      </c>
      <c r="Q58" s="17" t="s">
        <v>154</v>
      </c>
      <c r="R58" s="18" t="s">
        <v>154</v>
      </c>
      <c r="S58" s="17" t="s">
        <v>154</v>
      </c>
      <c r="T58" s="18" t="s">
        <v>154</v>
      </c>
      <c r="U58" s="17" t="s">
        <v>154</v>
      </c>
      <c r="V58" s="18" t="s">
        <v>154</v>
      </c>
    </row>
    <row r="59" spans="1:22" x14ac:dyDescent="0.25">
      <c r="A59" s="11" t="s">
        <v>192</v>
      </c>
      <c r="B59" s="17" t="s">
        <v>154</v>
      </c>
      <c r="C59" s="17" t="s">
        <v>154</v>
      </c>
      <c r="D59" s="18" t="s">
        <v>154</v>
      </c>
      <c r="E59" s="17" t="s">
        <v>154</v>
      </c>
      <c r="F59" s="18" t="s">
        <v>154</v>
      </c>
      <c r="G59" s="17" t="s">
        <v>154</v>
      </c>
      <c r="H59" s="18" t="s">
        <v>154</v>
      </c>
      <c r="I59" s="17" t="s">
        <v>154</v>
      </c>
      <c r="J59" s="18" t="s">
        <v>154</v>
      </c>
      <c r="K59" s="17" t="s">
        <v>154</v>
      </c>
      <c r="L59" s="18" t="s">
        <v>154</v>
      </c>
      <c r="M59" s="17" t="s">
        <v>154</v>
      </c>
      <c r="N59" s="18" t="s">
        <v>154</v>
      </c>
      <c r="O59" s="17" t="s">
        <v>154</v>
      </c>
      <c r="P59" s="18" t="s">
        <v>154</v>
      </c>
      <c r="Q59" s="17" t="s">
        <v>154</v>
      </c>
      <c r="R59" s="18" t="s">
        <v>154</v>
      </c>
      <c r="S59" s="17" t="s">
        <v>154</v>
      </c>
      <c r="T59" s="18" t="s">
        <v>154</v>
      </c>
      <c r="U59" s="17" t="s">
        <v>154</v>
      </c>
      <c r="V59" s="18" t="s">
        <v>154</v>
      </c>
    </row>
    <row r="60" spans="1:22" x14ac:dyDescent="0.25">
      <c r="A60" s="11" t="s">
        <v>193</v>
      </c>
      <c r="B60" s="17" t="s">
        <v>154</v>
      </c>
      <c r="C60" s="17" t="s">
        <v>154</v>
      </c>
      <c r="D60" s="18" t="s">
        <v>154</v>
      </c>
      <c r="E60" s="17" t="s">
        <v>154</v>
      </c>
      <c r="F60" s="18" t="s">
        <v>154</v>
      </c>
      <c r="G60" s="17" t="s">
        <v>154</v>
      </c>
      <c r="H60" s="18" t="s">
        <v>154</v>
      </c>
      <c r="I60" s="17" t="s">
        <v>154</v>
      </c>
      <c r="J60" s="18" t="s">
        <v>154</v>
      </c>
      <c r="K60" s="17" t="s">
        <v>154</v>
      </c>
      <c r="L60" s="18" t="s">
        <v>154</v>
      </c>
      <c r="M60" s="17" t="s">
        <v>154</v>
      </c>
      <c r="N60" s="18" t="s">
        <v>154</v>
      </c>
      <c r="O60" s="17" t="s">
        <v>154</v>
      </c>
      <c r="P60" s="18" t="s">
        <v>154</v>
      </c>
      <c r="Q60" s="17" t="s">
        <v>154</v>
      </c>
      <c r="R60" s="18" t="s">
        <v>154</v>
      </c>
      <c r="S60" s="17" t="s">
        <v>154</v>
      </c>
      <c r="T60" s="18" t="s">
        <v>154</v>
      </c>
      <c r="U60" s="17" t="s">
        <v>154</v>
      </c>
      <c r="V60" s="18" t="s">
        <v>154</v>
      </c>
    </row>
    <row r="61" spans="1:22" x14ac:dyDescent="0.25">
      <c r="A61" s="11" t="s">
        <v>194</v>
      </c>
      <c r="B61" s="13">
        <v>6525</v>
      </c>
      <c r="C61" s="14">
        <f>(5408/B61*100)</f>
        <v>82.88122605363985</v>
      </c>
      <c r="D61" s="15">
        <v>1117</v>
      </c>
      <c r="E61" s="14">
        <v>45.133174089999997</v>
      </c>
      <c r="F61" s="16">
        <v>1.8549422799999999</v>
      </c>
      <c r="G61" s="14">
        <v>37.36758837</v>
      </c>
      <c r="H61" s="16">
        <v>1.4822570500000001</v>
      </c>
      <c r="I61" s="14">
        <v>0.84455457</v>
      </c>
      <c r="J61" s="16">
        <v>0.32307139000000001</v>
      </c>
      <c r="K61" s="14">
        <v>16.65468297</v>
      </c>
      <c r="L61" s="16">
        <v>1.2930192599999999</v>
      </c>
      <c r="M61" s="14" t="s">
        <v>139</v>
      </c>
      <c r="N61" s="16" t="s">
        <v>139</v>
      </c>
      <c r="O61" s="14">
        <v>0</v>
      </c>
      <c r="P61" s="16">
        <v>0</v>
      </c>
      <c r="Q61" s="14">
        <v>0</v>
      </c>
      <c r="R61" s="16">
        <v>0</v>
      </c>
      <c r="S61" s="14">
        <v>0</v>
      </c>
      <c r="T61" s="16">
        <v>0</v>
      </c>
      <c r="U61" s="14">
        <v>0</v>
      </c>
      <c r="V61" s="16">
        <v>0</v>
      </c>
    </row>
    <row r="62" spans="1:22" x14ac:dyDescent="0.25">
      <c r="A62" s="11" t="s">
        <v>195</v>
      </c>
      <c r="B62" s="13">
        <v>4476</v>
      </c>
      <c r="C62" s="14">
        <f>(3712/B62*100)</f>
        <v>82.931188561215379</v>
      </c>
      <c r="D62" s="15">
        <v>764</v>
      </c>
      <c r="E62" s="14">
        <v>26.356487940000001</v>
      </c>
      <c r="F62" s="16">
        <v>1.4576963700000001</v>
      </c>
      <c r="G62" s="14">
        <v>37.4350387</v>
      </c>
      <c r="H62" s="16">
        <v>1.7920774399999999</v>
      </c>
      <c r="I62" s="14">
        <v>0.40364222</v>
      </c>
      <c r="J62" s="16">
        <v>0.23429254999999999</v>
      </c>
      <c r="K62" s="14">
        <v>35.804831139999997</v>
      </c>
      <c r="L62" s="16">
        <v>1.7793835499999999</v>
      </c>
      <c r="M62" s="14" t="s">
        <v>139</v>
      </c>
      <c r="N62" s="16" t="s">
        <v>139</v>
      </c>
      <c r="O62" s="14">
        <v>0</v>
      </c>
      <c r="P62" s="16">
        <v>0</v>
      </c>
      <c r="Q62" s="14">
        <v>0</v>
      </c>
      <c r="R62" s="16">
        <v>0</v>
      </c>
      <c r="S62" s="14">
        <v>0</v>
      </c>
      <c r="T62" s="16">
        <v>0</v>
      </c>
      <c r="U62" s="14">
        <v>0</v>
      </c>
      <c r="V62" s="16">
        <v>0</v>
      </c>
    </row>
    <row r="63" spans="1:22" x14ac:dyDescent="0.25">
      <c r="A63" s="11" t="s">
        <v>196</v>
      </c>
      <c r="B63" s="17" t="s">
        <v>154</v>
      </c>
      <c r="C63" s="17" t="s">
        <v>154</v>
      </c>
      <c r="D63" s="18" t="s">
        <v>154</v>
      </c>
      <c r="E63" s="17" t="s">
        <v>154</v>
      </c>
      <c r="F63" s="18" t="s">
        <v>154</v>
      </c>
      <c r="G63" s="17" t="s">
        <v>154</v>
      </c>
      <c r="H63" s="18" t="s">
        <v>154</v>
      </c>
      <c r="I63" s="17" t="s">
        <v>154</v>
      </c>
      <c r="J63" s="18" t="s">
        <v>154</v>
      </c>
      <c r="K63" s="17" t="s">
        <v>154</v>
      </c>
      <c r="L63" s="18" t="s">
        <v>154</v>
      </c>
      <c r="M63" s="17" t="s">
        <v>154</v>
      </c>
      <c r="N63" s="18" t="s">
        <v>154</v>
      </c>
      <c r="O63" s="17" t="s">
        <v>154</v>
      </c>
      <c r="P63" s="18" t="s">
        <v>154</v>
      </c>
      <c r="Q63" s="17" t="s">
        <v>154</v>
      </c>
      <c r="R63" s="18" t="s">
        <v>154</v>
      </c>
      <c r="S63" s="17" t="s">
        <v>154</v>
      </c>
      <c r="T63" s="18" t="s">
        <v>154</v>
      </c>
      <c r="U63" s="17" t="s">
        <v>154</v>
      </c>
      <c r="V63" s="18" t="s">
        <v>154</v>
      </c>
    </row>
    <row r="64" spans="1:22" x14ac:dyDescent="0.25">
      <c r="A64" s="11" t="s">
        <v>197</v>
      </c>
      <c r="B64" s="17" t="s">
        <v>154</v>
      </c>
      <c r="C64" s="17" t="s">
        <v>154</v>
      </c>
      <c r="D64" s="18" t="s">
        <v>154</v>
      </c>
      <c r="E64" s="17" t="s">
        <v>154</v>
      </c>
      <c r="F64" s="18" t="s">
        <v>154</v>
      </c>
      <c r="G64" s="17" t="s">
        <v>154</v>
      </c>
      <c r="H64" s="18" t="s">
        <v>154</v>
      </c>
      <c r="I64" s="17" t="s">
        <v>154</v>
      </c>
      <c r="J64" s="18" t="s">
        <v>154</v>
      </c>
      <c r="K64" s="17" t="s">
        <v>154</v>
      </c>
      <c r="L64" s="18" t="s">
        <v>154</v>
      </c>
      <c r="M64" s="17" t="s">
        <v>154</v>
      </c>
      <c r="N64" s="18" t="s">
        <v>154</v>
      </c>
      <c r="O64" s="17" t="s">
        <v>154</v>
      </c>
      <c r="P64" s="18" t="s">
        <v>154</v>
      </c>
      <c r="Q64" s="17" t="s">
        <v>154</v>
      </c>
      <c r="R64" s="18" t="s">
        <v>154</v>
      </c>
      <c r="S64" s="17" t="s">
        <v>154</v>
      </c>
      <c r="T64" s="18" t="s">
        <v>154</v>
      </c>
      <c r="U64" s="17" t="s">
        <v>154</v>
      </c>
      <c r="V64" s="18" t="s">
        <v>154</v>
      </c>
    </row>
    <row r="65" spans="1:22" x14ac:dyDescent="0.25">
      <c r="A65" s="11" t="s">
        <v>198</v>
      </c>
      <c r="B65" s="17" t="s">
        <v>154</v>
      </c>
      <c r="C65" s="17" t="s">
        <v>154</v>
      </c>
      <c r="D65" s="18" t="s">
        <v>154</v>
      </c>
      <c r="E65" s="17" t="s">
        <v>154</v>
      </c>
      <c r="F65" s="18" t="s">
        <v>154</v>
      </c>
      <c r="G65" s="17" t="s">
        <v>154</v>
      </c>
      <c r="H65" s="18" t="s">
        <v>154</v>
      </c>
      <c r="I65" s="17" t="s">
        <v>154</v>
      </c>
      <c r="J65" s="18" t="s">
        <v>154</v>
      </c>
      <c r="K65" s="17" t="s">
        <v>154</v>
      </c>
      <c r="L65" s="18" t="s">
        <v>154</v>
      </c>
      <c r="M65" s="17" t="s">
        <v>154</v>
      </c>
      <c r="N65" s="18" t="s">
        <v>154</v>
      </c>
      <c r="O65" s="17" t="s">
        <v>154</v>
      </c>
      <c r="P65" s="18" t="s">
        <v>154</v>
      </c>
      <c r="Q65" s="17" t="s">
        <v>154</v>
      </c>
      <c r="R65" s="18" t="s">
        <v>154</v>
      </c>
      <c r="S65" s="17" t="s">
        <v>154</v>
      </c>
      <c r="T65" s="18" t="s">
        <v>154</v>
      </c>
      <c r="U65" s="17" t="s">
        <v>154</v>
      </c>
      <c r="V65" s="18" t="s">
        <v>154</v>
      </c>
    </row>
    <row r="66" spans="1:22" x14ac:dyDescent="0.25">
      <c r="A66" s="11" t="s">
        <v>199</v>
      </c>
      <c r="B66" s="13">
        <v>5665</v>
      </c>
      <c r="C66" s="14">
        <f>(4730/B66*100)</f>
        <v>83.495145631067956</v>
      </c>
      <c r="D66" s="15">
        <v>935</v>
      </c>
      <c r="E66" s="14">
        <v>54.401647779999998</v>
      </c>
      <c r="F66" s="16">
        <v>1.7221076799999999</v>
      </c>
      <c r="G66" s="14">
        <v>32.761982920000001</v>
      </c>
      <c r="H66" s="16">
        <v>1.52916315</v>
      </c>
      <c r="I66" s="14">
        <v>0.66288011000000002</v>
      </c>
      <c r="J66" s="16">
        <v>0.23272008999999999</v>
      </c>
      <c r="K66" s="14">
        <v>12.17348919</v>
      </c>
      <c r="L66" s="16">
        <v>1.25732478</v>
      </c>
      <c r="M66" s="14" t="s">
        <v>139</v>
      </c>
      <c r="N66" s="16" t="s">
        <v>139</v>
      </c>
      <c r="O66" s="14">
        <v>0</v>
      </c>
      <c r="P66" s="16">
        <v>0</v>
      </c>
      <c r="Q66" s="14">
        <v>0</v>
      </c>
      <c r="R66" s="16">
        <v>0</v>
      </c>
      <c r="S66" s="14">
        <v>0</v>
      </c>
      <c r="T66" s="16">
        <v>0</v>
      </c>
      <c r="U66" s="14">
        <v>0</v>
      </c>
      <c r="V66" s="16">
        <v>0</v>
      </c>
    </row>
    <row r="67" spans="1:22" x14ac:dyDescent="0.25">
      <c r="A67" s="11" t="s">
        <v>200</v>
      </c>
      <c r="B67" s="13">
        <v>6971</v>
      </c>
      <c r="C67" s="14">
        <f>(5966/B67*100)</f>
        <v>85.583130110457603</v>
      </c>
      <c r="D67" s="15">
        <v>1005</v>
      </c>
      <c r="E67" s="14">
        <v>49.087256320000002</v>
      </c>
      <c r="F67" s="16">
        <v>1.8092385499999999</v>
      </c>
      <c r="G67" s="14">
        <v>38.317050760000001</v>
      </c>
      <c r="H67" s="16">
        <v>1.43831288</v>
      </c>
      <c r="I67" s="14">
        <v>0.82252234000000002</v>
      </c>
      <c r="J67" s="16">
        <v>0.30540395999999997</v>
      </c>
      <c r="K67" s="14">
        <v>11.77317058</v>
      </c>
      <c r="L67" s="16">
        <v>1.1674859</v>
      </c>
      <c r="M67" s="14" t="s">
        <v>139</v>
      </c>
      <c r="N67" s="16" t="s">
        <v>139</v>
      </c>
      <c r="O67" s="14">
        <v>0</v>
      </c>
      <c r="P67" s="16">
        <v>0</v>
      </c>
      <c r="Q67" s="14">
        <v>0</v>
      </c>
      <c r="R67" s="16">
        <v>0</v>
      </c>
      <c r="S67" s="14">
        <v>0</v>
      </c>
      <c r="T67" s="16">
        <v>0</v>
      </c>
      <c r="U67" s="14">
        <v>0</v>
      </c>
      <c r="V67" s="16">
        <v>0</v>
      </c>
    </row>
    <row r="68" spans="1:22" x14ac:dyDescent="0.25">
      <c r="A68" s="11" t="s">
        <v>201</v>
      </c>
      <c r="B68" s="17" t="s">
        <v>154</v>
      </c>
      <c r="C68" s="17" t="s">
        <v>154</v>
      </c>
      <c r="D68" s="18" t="s">
        <v>154</v>
      </c>
      <c r="E68" s="17" t="s">
        <v>154</v>
      </c>
      <c r="F68" s="18" t="s">
        <v>154</v>
      </c>
      <c r="G68" s="17" t="s">
        <v>154</v>
      </c>
      <c r="H68" s="18" t="s">
        <v>154</v>
      </c>
      <c r="I68" s="17" t="s">
        <v>154</v>
      </c>
      <c r="J68" s="18" t="s">
        <v>154</v>
      </c>
      <c r="K68" s="17" t="s">
        <v>154</v>
      </c>
      <c r="L68" s="18" t="s">
        <v>154</v>
      </c>
      <c r="M68" s="17" t="s">
        <v>154</v>
      </c>
      <c r="N68" s="18" t="s">
        <v>154</v>
      </c>
      <c r="O68" s="17" t="s">
        <v>154</v>
      </c>
      <c r="P68" s="18" t="s">
        <v>154</v>
      </c>
      <c r="Q68" s="17" t="s">
        <v>154</v>
      </c>
      <c r="R68" s="18" t="s">
        <v>154</v>
      </c>
      <c r="S68" s="17" t="s">
        <v>154</v>
      </c>
      <c r="T68" s="18" t="s">
        <v>154</v>
      </c>
      <c r="U68" s="17" t="s">
        <v>154</v>
      </c>
      <c r="V68" s="18" t="s">
        <v>154</v>
      </c>
    </row>
    <row r="69" spans="1:22" x14ac:dyDescent="0.25">
      <c r="A69" s="11" t="s">
        <v>202</v>
      </c>
      <c r="B69" s="17" t="s">
        <v>154</v>
      </c>
      <c r="C69" s="17" t="s">
        <v>154</v>
      </c>
      <c r="D69" s="18" t="s">
        <v>154</v>
      </c>
      <c r="E69" s="17" t="s">
        <v>154</v>
      </c>
      <c r="F69" s="18" t="s">
        <v>154</v>
      </c>
      <c r="G69" s="17" t="s">
        <v>154</v>
      </c>
      <c r="H69" s="18" t="s">
        <v>154</v>
      </c>
      <c r="I69" s="17" t="s">
        <v>154</v>
      </c>
      <c r="J69" s="18" t="s">
        <v>154</v>
      </c>
      <c r="K69" s="17" t="s">
        <v>154</v>
      </c>
      <c r="L69" s="18" t="s">
        <v>154</v>
      </c>
      <c r="M69" s="17" t="s">
        <v>154</v>
      </c>
      <c r="N69" s="18" t="s">
        <v>154</v>
      </c>
      <c r="O69" s="17" t="s">
        <v>154</v>
      </c>
      <c r="P69" s="18" t="s">
        <v>154</v>
      </c>
      <c r="Q69" s="17" t="s">
        <v>154</v>
      </c>
      <c r="R69" s="18" t="s">
        <v>154</v>
      </c>
      <c r="S69" s="17" t="s">
        <v>154</v>
      </c>
      <c r="T69" s="18" t="s">
        <v>154</v>
      </c>
      <c r="U69" s="17" t="s">
        <v>154</v>
      </c>
      <c r="V69" s="18" t="s">
        <v>154</v>
      </c>
    </row>
    <row r="70" spans="1:22" x14ac:dyDescent="0.25">
      <c r="A70" s="11" t="s">
        <v>203</v>
      </c>
      <c r="B70" s="13">
        <v>6036</v>
      </c>
      <c r="C70" s="14">
        <f>(5036/B70*100)</f>
        <v>83.432736911862165</v>
      </c>
      <c r="D70" s="15">
        <v>1000</v>
      </c>
      <c r="E70" s="14">
        <v>50.045415159999997</v>
      </c>
      <c r="F70" s="16">
        <v>2.0164217899999999</v>
      </c>
      <c r="G70" s="14">
        <v>34.19169376</v>
      </c>
      <c r="H70" s="16">
        <v>1.46144743</v>
      </c>
      <c r="I70" s="14">
        <v>0.31318078999999999</v>
      </c>
      <c r="J70" s="16">
        <v>0.18015022</v>
      </c>
      <c r="K70" s="14">
        <v>15.44971028</v>
      </c>
      <c r="L70" s="16">
        <v>1.2689634599999999</v>
      </c>
      <c r="M70" s="14" t="s">
        <v>139</v>
      </c>
      <c r="N70" s="16" t="s">
        <v>139</v>
      </c>
      <c r="O70" s="14">
        <v>0</v>
      </c>
      <c r="P70" s="16">
        <v>0</v>
      </c>
      <c r="Q70" s="14">
        <v>0</v>
      </c>
      <c r="R70" s="16">
        <v>0</v>
      </c>
      <c r="S70" s="14">
        <v>0</v>
      </c>
      <c r="T70" s="16">
        <v>0</v>
      </c>
      <c r="U70" s="14">
        <v>0</v>
      </c>
      <c r="V70" s="16">
        <v>0</v>
      </c>
    </row>
    <row r="71" spans="1:22" x14ac:dyDescent="0.25">
      <c r="A71" s="11" t="s">
        <v>204</v>
      </c>
      <c r="B71" s="17" t="s">
        <v>154</v>
      </c>
      <c r="C71" s="17" t="s">
        <v>154</v>
      </c>
      <c r="D71" s="18" t="s">
        <v>154</v>
      </c>
      <c r="E71" s="17" t="s">
        <v>154</v>
      </c>
      <c r="F71" s="18" t="s">
        <v>154</v>
      </c>
      <c r="G71" s="17" t="s">
        <v>154</v>
      </c>
      <c r="H71" s="18" t="s">
        <v>154</v>
      </c>
      <c r="I71" s="17" t="s">
        <v>154</v>
      </c>
      <c r="J71" s="18" t="s">
        <v>154</v>
      </c>
      <c r="K71" s="17" t="s">
        <v>154</v>
      </c>
      <c r="L71" s="18" t="s">
        <v>154</v>
      </c>
      <c r="M71" s="17" t="s">
        <v>154</v>
      </c>
      <c r="N71" s="18" t="s">
        <v>154</v>
      </c>
      <c r="O71" s="17" t="s">
        <v>154</v>
      </c>
      <c r="P71" s="18" t="s">
        <v>154</v>
      </c>
      <c r="Q71" s="17" t="s">
        <v>154</v>
      </c>
      <c r="R71" s="18" t="s">
        <v>154</v>
      </c>
      <c r="S71" s="17" t="s">
        <v>154</v>
      </c>
      <c r="T71" s="18" t="s">
        <v>154</v>
      </c>
      <c r="U71" s="17" t="s">
        <v>154</v>
      </c>
      <c r="V71" s="18" t="s">
        <v>154</v>
      </c>
    </row>
    <row r="72" spans="1:22" x14ac:dyDescent="0.25">
      <c r="A72" s="11" t="s">
        <v>205</v>
      </c>
      <c r="B72" s="13">
        <v>7708</v>
      </c>
      <c r="C72" s="14">
        <f>(6391/B72*100)</f>
        <v>82.913855734302018</v>
      </c>
      <c r="D72" s="15">
        <v>1317</v>
      </c>
      <c r="E72" s="14">
        <v>31.978901050000001</v>
      </c>
      <c r="F72" s="16">
        <v>1.2657081800000001</v>
      </c>
      <c r="G72" s="14">
        <v>43.297713139999999</v>
      </c>
      <c r="H72" s="16">
        <v>1.4084924700000001</v>
      </c>
      <c r="I72" s="14">
        <v>0.37666657999999997</v>
      </c>
      <c r="J72" s="16">
        <v>0.16006049999999999</v>
      </c>
      <c r="K72" s="14">
        <v>24.346719230000001</v>
      </c>
      <c r="L72" s="16">
        <v>1.3211977500000001</v>
      </c>
      <c r="M72" s="14" t="s">
        <v>139</v>
      </c>
      <c r="N72" s="16" t="s">
        <v>139</v>
      </c>
      <c r="O72" s="14">
        <v>0</v>
      </c>
      <c r="P72" s="16">
        <v>0</v>
      </c>
      <c r="Q72" s="14">
        <v>0</v>
      </c>
      <c r="R72" s="16">
        <v>0</v>
      </c>
      <c r="S72" s="14">
        <v>0</v>
      </c>
      <c r="T72" s="16">
        <v>0</v>
      </c>
      <c r="U72" s="14">
        <v>0</v>
      </c>
      <c r="V72" s="16">
        <v>0</v>
      </c>
    </row>
    <row r="73" spans="1:22" x14ac:dyDescent="0.25">
      <c r="A73" s="11" t="s">
        <v>206</v>
      </c>
      <c r="B73" s="13">
        <v>8249</v>
      </c>
      <c r="C73" s="14">
        <f>(6936/B73*100)</f>
        <v>84.082919141714157</v>
      </c>
      <c r="D73" s="15">
        <v>1313</v>
      </c>
      <c r="E73" s="14">
        <v>48.856117640000001</v>
      </c>
      <c r="F73" s="16">
        <v>2.0107934799999998</v>
      </c>
      <c r="G73" s="14">
        <v>39.549493259999998</v>
      </c>
      <c r="H73" s="16">
        <v>1.7678946499999999</v>
      </c>
      <c r="I73" s="14">
        <v>0.27416781000000001</v>
      </c>
      <c r="J73" s="16">
        <v>0.21624873999999999</v>
      </c>
      <c r="K73" s="14">
        <v>11.320221289999999</v>
      </c>
      <c r="L73" s="16">
        <v>1.2774981700000001</v>
      </c>
      <c r="M73" s="14" t="s">
        <v>139</v>
      </c>
      <c r="N73" s="16" t="s">
        <v>139</v>
      </c>
      <c r="O73" s="14">
        <v>0</v>
      </c>
      <c r="P73" s="16">
        <v>0</v>
      </c>
      <c r="Q73" s="14">
        <v>0</v>
      </c>
      <c r="R73" s="16">
        <v>0</v>
      </c>
      <c r="S73" s="14">
        <v>0</v>
      </c>
      <c r="T73" s="16">
        <v>0</v>
      </c>
      <c r="U73" s="14">
        <v>0</v>
      </c>
      <c r="V73" s="16">
        <v>0</v>
      </c>
    </row>
    <row r="74" spans="1:22" x14ac:dyDescent="0.25">
      <c r="A74" s="11" t="s">
        <v>207</v>
      </c>
      <c r="B74" s="17" t="s">
        <v>154</v>
      </c>
      <c r="C74" s="17" t="s">
        <v>154</v>
      </c>
      <c r="D74" s="18" t="s">
        <v>154</v>
      </c>
      <c r="E74" s="17" t="s">
        <v>154</v>
      </c>
      <c r="F74" s="18" t="s">
        <v>154</v>
      </c>
      <c r="G74" s="17" t="s">
        <v>154</v>
      </c>
      <c r="H74" s="18" t="s">
        <v>154</v>
      </c>
      <c r="I74" s="17" t="s">
        <v>154</v>
      </c>
      <c r="J74" s="18" t="s">
        <v>154</v>
      </c>
      <c r="K74" s="17" t="s">
        <v>154</v>
      </c>
      <c r="L74" s="18" t="s">
        <v>154</v>
      </c>
      <c r="M74" s="17" t="s">
        <v>154</v>
      </c>
      <c r="N74" s="18" t="s">
        <v>154</v>
      </c>
      <c r="O74" s="17" t="s">
        <v>154</v>
      </c>
      <c r="P74" s="18" t="s">
        <v>154</v>
      </c>
      <c r="Q74" s="17" t="s">
        <v>154</v>
      </c>
      <c r="R74" s="18" t="s">
        <v>154</v>
      </c>
      <c r="S74" s="17" t="s">
        <v>154</v>
      </c>
      <c r="T74" s="18" t="s">
        <v>154</v>
      </c>
      <c r="U74" s="17" t="s">
        <v>154</v>
      </c>
      <c r="V74" s="18" t="s">
        <v>154</v>
      </c>
    </row>
    <row r="75" spans="1:22" x14ac:dyDescent="0.25">
      <c r="A75" s="11" t="s">
        <v>208</v>
      </c>
      <c r="B75" s="13">
        <v>5375</v>
      </c>
      <c r="C75" s="14">
        <f>(4541/B75*100)</f>
        <v>84.48372093023255</v>
      </c>
      <c r="D75" s="15">
        <v>834</v>
      </c>
      <c r="E75" s="14">
        <v>70.064872980000004</v>
      </c>
      <c r="F75" s="16">
        <v>1.7227460699999999</v>
      </c>
      <c r="G75" s="14">
        <v>25.660163440000002</v>
      </c>
      <c r="H75" s="16">
        <v>1.5050278399999999</v>
      </c>
      <c r="I75" s="14">
        <v>0.68200905999999994</v>
      </c>
      <c r="J75" s="16">
        <v>0.34615190000000001</v>
      </c>
      <c r="K75" s="14">
        <v>3.5929545300000001</v>
      </c>
      <c r="L75" s="16">
        <v>0.70871357999999995</v>
      </c>
      <c r="M75" s="14" t="s">
        <v>139</v>
      </c>
      <c r="N75" s="16" t="s">
        <v>139</v>
      </c>
      <c r="O75" s="14">
        <v>0</v>
      </c>
      <c r="P75" s="16">
        <v>0</v>
      </c>
      <c r="Q75" s="14">
        <v>0</v>
      </c>
      <c r="R75" s="16">
        <v>0</v>
      </c>
      <c r="S75" s="14">
        <v>0</v>
      </c>
      <c r="T75" s="16">
        <v>0</v>
      </c>
      <c r="U75" s="14">
        <v>0</v>
      </c>
      <c r="V75" s="16">
        <v>0</v>
      </c>
    </row>
    <row r="76" spans="1:22" x14ac:dyDescent="0.25">
      <c r="A76" s="11" t="s">
        <v>209</v>
      </c>
      <c r="B76" s="13">
        <v>14167</v>
      </c>
      <c r="C76" s="14">
        <f>(11797/B76*100)</f>
        <v>83.270981859250369</v>
      </c>
      <c r="D76" s="15">
        <v>2370</v>
      </c>
      <c r="E76" s="14">
        <v>56.070240859999998</v>
      </c>
      <c r="F76" s="16">
        <v>1.51638495</v>
      </c>
      <c r="G76" s="14">
        <v>34.077241579999999</v>
      </c>
      <c r="H76" s="16">
        <v>1.3446928499999999</v>
      </c>
      <c r="I76" s="14">
        <v>0.52506852000000004</v>
      </c>
      <c r="J76" s="16">
        <v>0.19930519999999999</v>
      </c>
      <c r="K76" s="14">
        <v>9.3274490500000002</v>
      </c>
      <c r="L76" s="16">
        <v>0.63150181999999999</v>
      </c>
      <c r="M76" s="14" t="s">
        <v>139</v>
      </c>
      <c r="N76" s="16" t="s">
        <v>139</v>
      </c>
      <c r="O76" s="14">
        <v>0</v>
      </c>
      <c r="P76" s="16">
        <v>0</v>
      </c>
      <c r="Q76" s="14">
        <v>0</v>
      </c>
      <c r="R76" s="16">
        <v>0</v>
      </c>
      <c r="S76" s="14">
        <v>0</v>
      </c>
      <c r="T76" s="16">
        <v>0</v>
      </c>
      <c r="U76" s="14">
        <v>0</v>
      </c>
      <c r="V76" s="16">
        <v>0</v>
      </c>
    </row>
    <row r="77" spans="1:22" x14ac:dyDescent="0.25">
      <c r="A77" s="11" t="s">
        <v>210</v>
      </c>
      <c r="B77" s="13">
        <v>6062</v>
      </c>
      <c r="C77" s="14">
        <f>(5056/B77*100)</f>
        <v>83.404816892114809</v>
      </c>
      <c r="D77" s="15">
        <v>1006</v>
      </c>
      <c r="E77" s="14">
        <v>46.366415949999997</v>
      </c>
      <c r="F77" s="16">
        <v>1.8375285699999999</v>
      </c>
      <c r="G77" s="14">
        <v>36.0572363</v>
      </c>
      <c r="H77" s="16">
        <v>1.7681153599999999</v>
      </c>
      <c r="I77" s="14">
        <v>1.01038004</v>
      </c>
      <c r="J77" s="16">
        <v>0.31972821000000001</v>
      </c>
      <c r="K77" s="14">
        <v>16.56596772</v>
      </c>
      <c r="L77" s="16">
        <v>1.4406659100000001</v>
      </c>
      <c r="M77" s="14" t="s">
        <v>139</v>
      </c>
      <c r="N77" s="16" t="s">
        <v>139</v>
      </c>
      <c r="O77" s="14">
        <v>0</v>
      </c>
      <c r="P77" s="16">
        <v>0</v>
      </c>
      <c r="Q77" s="14">
        <v>0</v>
      </c>
      <c r="R77" s="16">
        <v>0</v>
      </c>
      <c r="S77" s="14">
        <v>0</v>
      </c>
      <c r="T77" s="16">
        <v>0</v>
      </c>
      <c r="U77" s="14">
        <v>0</v>
      </c>
      <c r="V77" s="16">
        <v>0</v>
      </c>
    </row>
    <row r="78" spans="1:22" x14ac:dyDescent="0.25">
      <c r="A78" s="11" t="s">
        <v>211</v>
      </c>
      <c r="B78" s="17" t="s">
        <v>154</v>
      </c>
      <c r="C78" s="17" t="s">
        <v>154</v>
      </c>
      <c r="D78" s="18" t="s">
        <v>154</v>
      </c>
      <c r="E78" s="17" t="s">
        <v>154</v>
      </c>
      <c r="F78" s="18" t="s">
        <v>154</v>
      </c>
      <c r="G78" s="17" t="s">
        <v>154</v>
      </c>
      <c r="H78" s="18" t="s">
        <v>154</v>
      </c>
      <c r="I78" s="17" t="s">
        <v>154</v>
      </c>
      <c r="J78" s="18" t="s">
        <v>154</v>
      </c>
      <c r="K78" s="17" t="s">
        <v>154</v>
      </c>
      <c r="L78" s="18" t="s">
        <v>154</v>
      </c>
      <c r="M78" s="17" t="s">
        <v>154</v>
      </c>
      <c r="N78" s="18" t="s">
        <v>154</v>
      </c>
      <c r="O78" s="17" t="s">
        <v>154</v>
      </c>
      <c r="P78" s="18" t="s">
        <v>154</v>
      </c>
      <c r="Q78" s="17" t="s">
        <v>154</v>
      </c>
      <c r="R78" s="18" t="s">
        <v>154</v>
      </c>
      <c r="S78" s="17" t="s">
        <v>154</v>
      </c>
      <c r="T78" s="18" t="s">
        <v>154</v>
      </c>
      <c r="U78" s="17" t="s">
        <v>154</v>
      </c>
      <c r="V78" s="18" t="s">
        <v>154</v>
      </c>
    </row>
    <row r="79" spans="1:22" ht="24.95" customHeight="1" x14ac:dyDescent="0.25">
      <c r="A79" s="11" t="s">
        <v>212</v>
      </c>
      <c r="B79" s="17" t="s">
        <v>154</v>
      </c>
      <c r="C79" s="17" t="s">
        <v>154</v>
      </c>
      <c r="D79" s="18" t="s">
        <v>154</v>
      </c>
      <c r="E79" s="17" t="s">
        <v>154</v>
      </c>
      <c r="F79" s="18" t="s">
        <v>154</v>
      </c>
      <c r="G79" s="17" t="s">
        <v>154</v>
      </c>
      <c r="H79" s="18" t="s">
        <v>154</v>
      </c>
      <c r="I79" s="17" t="s">
        <v>154</v>
      </c>
      <c r="J79" s="18" t="s">
        <v>154</v>
      </c>
      <c r="K79" s="17" t="s">
        <v>154</v>
      </c>
      <c r="L79" s="18" t="s">
        <v>154</v>
      </c>
      <c r="M79" s="17" t="s">
        <v>154</v>
      </c>
      <c r="N79" s="18" t="s">
        <v>154</v>
      </c>
      <c r="O79" s="17" t="s">
        <v>154</v>
      </c>
      <c r="P79" s="18" t="s">
        <v>154</v>
      </c>
      <c r="Q79" s="17" t="s">
        <v>154</v>
      </c>
      <c r="R79" s="18" t="s">
        <v>154</v>
      </c>
      <c r="S79" s="17" t="s">
        <v>154</v>
      </c>
      <c r="T79" s="18" t="s">
        <v>154</v>
      </c>
      <c r="U79" s="17" t="s">
        <v>154</v>
      </c>
      <c r="V79" s="18" t="s">
        <v>154</v>
      </c>
    </row>
    <row r="80" spans="1:22" x14ac:dyDescent="0.25">
      <c r="A80" s="11" t="s">
        <v>213</v>
      </c>
      <c r="B80" s="17" t="s">
        <v>154</v>
      </c>
      <c r="C80" s="17" t="s">
        <v>154</v>
      </c>
      <c r="D80" s="18" t="s">
        <v>154</v>
      </c>
      <c r="E80" s="17" t="s">
        <v>154</v>
      </c>
      <c r="F80" s="18" t="s">
        <v>154</v>
      </c>
      <c r="G80" s="17" t="s">
        <v>154</v>
      </c>
      <c r="H80" s="18" t="s">
        <v>154</v>
      </c>
      <c r="I80" s="17" t="s">
        <v>154</v>
      </c>
      <c r="J80" s="18" t="s">
        <v>154</v>
      </c>
      <c r="K80" s="17" t="s">
        <v>154</v>
      </c>
      <c r="L80" s="18" t="s">
        <v>154</v>
      </c>
      <c r="M80" s="17" t="s">
        <v>154</v>
      </c>
      <c r="N80" s="18" t="s">
        <v>154</v>
      </c>
      <c r="O80" s="17" t="s">
        <v>154</v>
      </c>
      <c r="P80" s="18" t="s">
        <v>154</v>
      </c>
      <c r="Q80" s="17" t="s">
        <v>154</v>
      </c>
      <c r="R80" s="18" t="s">
        <v>154</v>
      </c>
      <c r="S80" s="17" t="s">
        <v>154</v>
      </c>
      <c r="T80" s="18" t="s">
        <v>154</v>
      </c>
      <c r="U80" s="17" t="s">
        <v>154</v>
      </c>
      <c r="V80" s="18" t="s">
        <v>154</v>
      </c>
    </row>
    <row r="81" spans="1:22" x14ac:dyDescent="0.25">
      <c r="A81" s="19" t="s">
        <v>214</v>
      </c>
      <c r="B81" s="13">
        <v>8861</v>
      </c>
      <c r="C81" s="14">
        <f>(7328/B81*100)</f>
        <v>82.699469585825526</v>
      </c>
      <c r="D81" s="15">
        <v>1533</v>
      </c>
      <c r="E81" s="14">
        <v>48.85118447</v>
      </c>
      <c r="F81" s="16">
        <v>1.56866689</v>
      </c>
      <c r="G81" s="14">
        <v>42.204859399999997</v>
      </c>
      <c r="H81" s="16">
        <v>1.4998766800000001</v>
      </c>
      <c r="I81" s="14">
        <v>0.22007382</v>
      </c>
      <c r="J81" s="16">
        <v>0.13409509</v>
      </c>
      <c r="K81" s="14">
        <v>8.7238823199999995</v>
      </c>
      <c r="L81" s="16">
        <v>0.93346651999999997</v>
      </c>
      <c r="M81" s="14" t="s">
        <v>139</v>
      </c>
      <c r="N81" s="16" t="s">
        <v>139</v>
      </c>
      <c r="O81" s="14">
        <v>0</v>
      </c>
      <c r="P81" s="16">
        <v>0</v>
      </c>
      <c r="Q81" s="14">
        <v>0</v>
      </c>
      <c r="R81" s="16">
        <v>0</v>
      </c>
      <c r="S81" s="14">
        <v>0</v>
      </c>
      <c r="T81" s="16">
        <v>0</v>
      </c>
      <c r="U81" s="14">
        <v>0</v>
      </c>
      <c r="V81" s="16">
        <v>0</v>
      </c>
    </row>
    <row r="82" spans="1:22" x14ac:dyDescent="0.25">
      <c r="A82" s="20"/>
      <c r="B82" s="20" t="s">
        <v>215</v>
      </c>
      <c r="C82" s="20" t="s">
        <v>215</v>
      </c>
      <c r="D82" s="20" t="s">
        <v>215</v>
      </c>
      <c r="E82" s="20" t="s">
        <v>215</v>
      </c>
      <c r="F82" s="20" t="s">
        <v>215</v>
      </c>
      <c r="G82" s="20" t="s">
        <v>215</v>
      </c>
      <c r="H82" s="20" t="s">
        <v>215</v>
      </c>
      <c r="I82" s="20" t="s">
        <v>215</v>
      </c>
      <c r="J82" s="20" t="s">
        <v>215</v>
      </c>
      <c r="K82" s="20" t="s">
        <v>215</v>
      </c>
      <c r="L82" s="20" t="s">
        <v>215</v>
      </c>
      <c r="M82" s="20" t="s">
        <v>215</v>
      </c>
      <c r="N82" s="20" t="s">
        <v>215</v>
      </c>
      <c r="O82" s="20" t="s">
        <v>215</v>
      </c>
      <c r="P82" s="20" t="s">
        <v>215</v>
      </c>
      <c r="Q82" s="20" t="s">
        <v>215</v>
      </c>
      <c r="R82" s="20" t="s">
        <v>215</v>
      </c>
      <c r="S82" s="20" t="s">
        <v>215</v>
      </c>
      <c r="T82" s="20" t="s">
        <v>215</v>
      </c>
      <c r="U82" s="20" t="s">
        <v>215</v>
      </c>
      <c r="V82" s="20" t="s">
        <v>215</v>
      </c>
    </row>
    <row r="83" spans="1:22" x14ac:dyDescent="0.25">
      <c r="A83" s="3" t="s">
        <v>216</v>
      </c>
    </row>
    <row r="84" spans="1:22" x14ac:dyDescent="0.25">
      <c r="A84" s="22" t="s">
        <v>217</v>
      </c>
      <c r="B84" s="23"/>
      <c r="C84" s="23"/>
      <c r="D84" s="23"/>
      <c r="E84" s="23"/>
      <c r="F84" s="23"/>
      <c r="G84" s="23"/>
      <c r="H84" s="23"/>
      <c r="I84" s="23"/>
      <c r="J84" s="23"/>
      <c r="K84" s="23"/>
      <c r="L84" s="23"/>
      <c r="M84" s="23"/>
      <c r="N84" s="23"/>
      <c r="O84" s="23"/>
      <c r="P84" s="23"/>
      <c r="Q84" s="23"/>
      <c r="R84" s="23"/>
      <c r="S84" s="23"/>
      <c r="T84" s="23"/>
      <c r="U84" s="23"/>
      <c r="V84" s="23"/>
    </row>
    <row r="85" spans="1:22" x14ac:dyDescent="0.25">
      <c r="A85" s="22" t="s">
        <v>218</v>
      </c>
      <c r="B85" s="23"/>
      <c r="C85" s="23"/>
      <c r="D85" s="23"/>
      <c r="E85" s="23"/>
      <c r="F85" s="23"/>
      <c r="G85" s="23"/>
      <c r="H85" s="23"/>
      <c r="I85" s="23"/>
      <c r="J85" s="23"/>
      <c r="K85" s="23"/>
      <c r="L85" s="23"/>
      <c r="M85" s="23"/>
      <c r="N85" s="23"/>
      <c r="O85" s="23"/>
      <c r="P85" s="23"/>
      <c r="Q85" s="23"/>
      <c r="R85" s="23"/>
      <c r="S85" s="23"/>
      <c r="T85" s="23"/>
      <c r="U85" s="23"/>
      <c r="V85" s="23"/>
    </row>
    <row r="86" spans="1:22" ht="30" customHeight="1" x14ac:dyDescent="0.25">
      <c r="A86" s="22" t="s">
        <v>219</v>
      </c>
      <c r="B86" s="23"/>
      <c r="C86" s="23"/>
      <c r="D86" s="23"/>
      <c r="E86" s="23"/>
      <c r="F86" s="23"/>
      <c r="G86" s="23"/>
      <c r="H86" s="23"/>
      <c r="I86" s="23"/>
      <c r="J86" s="23"/>
      <c r="K86" s="23"/>
      <c r="L86" s="23"/>
      <c r="M86" s="23"/>
      <c r="N86" s="23"/>
      <c r="O86" s="23"/>
      <c r="P86" s="23"/>
      <c r="Q86" s="23"/>
      <c r="R86" s="23"/>
      <c r="S86" s="23"/>
      <c r="T86" s="23"/>
      <c r="U86" s="23"/>
      <c r="V86" s="23"/>
    </row>
    <row r="87" spans="1:22" ht="30" customHeight="1" x14ac:dyDescent="0.25">
      <c r="A87" s="22" t="s">
        <v>215</v>
      </c>
      <c r="B87" s="23"/>
      <c r="C87" s="23"/>
      <c r="D87" s="23"/>
      <c r="E87" s="23"/>
      <c r="F87" s="23"/>
      <c r="G87" s="23"/>
      <c r="H87" s="23"/>
      <c r="I87" s="23"/>
      <c r="J87" s="23"/>
      <c r="K87" s="23"/>
      <c r="L87" s="23"/>
      <c r="M87" s="23"/>
      <c r="N87" s="23"/>
      <c r="O87" s="23"/>
      <c r="P87" s="23"/>
      <c r="Q87" s="23"/>
      <c r="R87" s="23"/>
      <c r="S87" s="23"/>
      <c r="T87" s="23"/>
      <c r="U87" s="23"/>
      <c r="V87" s="23"/>
    </row>
    <row r="88" spans="1:22" ht="30" customHeight="1" x14ac:dyDescent="0.25">
      <c r="A88" s="22" t="s">
        <v>220</v>
      </c>
      <c r="B88" s="23"/>
      <c r="C88" s="23"/>
      <c r="D88" s="23"/>
      <c r="E88" s="23"/>
      <c r="F88" s="23"/>
      <c r="G88" s="23"/>
      <c r="H88" s="23"/>
      <c r="I88" s="23"/>
      <c r="J88" s="23"/>
      <c r="K88" s="23"/>
      <c r="L88" s="23"/>
      <c r="M88" s="23"/>
      <c r="N88" s="23"/>
      <c r="O88" s="23"/>
      <c r="P88" s="23"/>
      <c r="Q88" s="23"/>
      <c r="R88" s="23"/>
      <c r="S88" s="23"/>
      <c r="T88" s="23"/>
      <c r="U88" s="23"/>
      <c r="V88" s="23"/>
    </row>
    <row r="89" spans="1:22" ht="30" customHeight="1" x14ac:dyDescent="0.25">
      <c r="A89" s="22" t="s">
        <v>221</v>
      </c>
      <c r="B89" s="23"/>
      <c r="C89" s="23"/>
      <c r="D89" s="23"/>
      <c r="E89" s="23"/>
      <c r="F89" s="23"/>
      <c r="G89" s="23"/>
      <c r="H89" s="23"/>
      <c r="I89" s="23"/>
      <c r="J89" s="23"/>
      <c r="K89" s="23"/>
      <c r="L89" s="23"/>
      <c r="M89" s="23"/>
      <c r="N89" s="23"/>
      <c r="O89" s="23"/>
      <c r="P89" s="23"/>
      <c r="Q89" s="23"/>
      <c r="R89" s="23"/>
      <c r="S89" s="23"/>
      <c r="T89" s="23"/>
      <c r="U89" s="23"/>
      <c r="V89" s="23"/>
    </row>
    <row r="90" spans="1:22" ht="30" customHeight="1" x14ac:dyDescent="0.25">
      <c r="A90" s="22" t="s">
        <v>222</v>
      </c>
      <c r="B90" s="23"/>
      <c r="C90" s="23"/>
      <c r="D90" s="23"/>
      <c r="E90" s="23"/>
      <c r="F90" s="23"/>
      <c r="G90" s="23"/>
      <c r="H90" s="23"/>
      <c r="I90" s="23"/>
      <c r="J90" s="23"/>
      <c r="K90" s="23"/>
      <c r="L90" s="23"/>
      <c r="M90" s="23"/>
      <c r="N90" s="23"/>
      <c r="O90" s="23"/>
      <c r="P90" s="23"/>
      <c r="Q90" s="23"/>
      <c r="R90" s="23"/>
      <c r="S90" s="23"/>
      <c r="T90" s="23"/>
      <c r="U90" s="23"/>
      <c r="V90" s="23"/>
    </row>
    <row r="91" spans="1:22" ht="30" customHeight="1" x14ac:dyDescent="0.25">
      <c r="A91" s="22" t="s">
        <v>223</v>
      </c>
      <c r="B91" s="23"/>
      <c r="C91" s="23"/>
      <c r="D91" s="23"/>
      <c r="E91" s="23"/>
      <c r="F91" s="23"/>
      <c r="G91" s="23"/>
      <c r="H91" s="23"/>
      <c r="I91" s="23"/>
      <c r="J91" s="23"/>
      <c r="K91" s="23"/>
      <c r="L91" s="23"/>
      <c r="M91" s="23"/>
      <c r="N91" s="23"/>
      <c r="O91" s="23"/>
      <c r="P91" s="23"/>
      <c r="Q91" s="23"/>
      <c r="R91" s="23"/>
      <c r="S91" s="23"/>
      <c r="T91" s="23"/>
      <c r="U91" s="23"/>
      <c r="V91" s="23"/>
    </row>
    <row r="92" spans="1:22" ht="30" customHeight="1" x14ac:dyDescent="0.25">
      <c r="A92" s="22" t="s">
        <v>224</v>
      </c>
      <c r="B92" s="23"/>
      <c r="C92" s="23"/>
      <c r="D92" s="23"/>
      <c r="E92" s="23"/>
      <c r="F92" s="23"/>
      <c r="G92" s="23"/>
      <c r="H92" s="23"/>
      <c r="I92" s="23"/>
      <c r="J92" s="23"/>
      <c r="K92" s="23"/>
      <c r="L92" s="23"/>
      <c r="M92" s="23"/>
      <c r="N92" s="23"/>
      <c r="O92" s="23"/>
      <c r="P92" s="23"/>
      <c r="Q92" s="23"/>
      <c r="R92" s="23"/>
      <c r="S92" s="23"/>
      <c r="T92" s="23"/>
      <c r="U92" s="23"/>
      <c r="V92" s="23"/>
    </row>
    <row r="93" spans="1:22" ht="30" customHeight="1" x14ac:dyDescent="0.25">
      <c r="A93" s="22" t="s">
        <v>225</v>
      </c>
      <c r="B93" s="23"/>
      <c r="C93" s="23"/>
      <c r="D93" s="23"/>
      <c r="E93" s="23"/>
      <c r="F93" s="23"/>
      <c r="G93" s="23"/>
      <c r="H93" s="23"/>
      <c r="I93" s="23"/>
      <c r="J93" s="23"/>
      <c r="K93" s="23"/>
      <c r="L93" s="23"/>
      <c r="M93" s="23"/>
      <c r="N93" s="23"/>
      <c r="O93" s="23"/>
      <c r="P93" s="23"/>
      <c r="Q93" s="23"/>
      <c r="R93" s="23"/>
      <c r="S93" s="23"/>
      <c r="T93" s="23"/>
      <c r="U93" s="23"/>
      <c r="V93" s="23"/>
    </row>
    <row r="94" spans="1:22" ht="30" customHeight="1" x14ac:dyDescent="0.25">
      <c r="A94" s="22" t="s">
        <v>226</v>
      </c>
      <c r="B94" s="23"/>
      <c r="C94" s="23"/>
      <c r="D94" s="23"/>
      <c r="E94" s="23"/>
      <c r="F94" s="23"/>
      <c r="G94" s="23"/>
      <c r="H94" s="23"/>
      <c r="I94" s="23"/>
      <c r="J94" s="23"/>
      <c r="K94" s="23"/>
      <c r="L94" s="23"/>
      <c r="M94" s="23"/>
      <c r="N94" s="23"/>
      <c r="O94" s="23"/>
      <c r="P94" s="23"/>
      <c r="Q94" s="23"/>
      <c r="R94" s="23"/>
      <c r="S94" s="23"/>
      <c r="T94" s="23"/>
      <c r="U94" s="23"/>
      <c r="V94" s="23"/>
    </row>
    <row r="95" spans="1:22" ht="30" customHeight="1" x14ac:dyDescent="0.25">
      <c r="A95" s="22" t="s">
        <v>227</v>
      </c>
      <c r="B95" s="23"/>
      <c r="C95" s="23"/>
      <c r="D95" s="23"/>
      <c r="E95" s="23"/>
      <c r="F95" s="23"/>
      <c r="G95" s="23"/>
      <c r="H95" s="23"/>
      <c r="I95" s="23"/>
      <c r="J95" s="23"/>
      <c r="K95" s="23"/>
      <c r="L95" s="23"/>
      <c r="M95" s="23"/>
      <c r="N95" s="23"/>
      <c r="O95" s="23"/>
      <c r="P95" s="23"/>
      <c r="Q95" s="23"/>
      <c r="R95" s="23"/>
      <c r="S95" s="23"/>
      <c r="T95" s="23"/>
      <c r="U95" s="23"/>
      <c r="V95" s="23"/>
    </row>
    <row r="96" spans="1:22" ht="30" customHeight="1" x14ac:dyDescent="0.25">
      <c r="A96" s="22" t="s">
        <v>228</v>
      </c>
      <c r="B96" s="23"/>
      <c r="C96" s="23"/>
      <c r="D96" s="23"/>
      <c r="E96" s="23"/>
      <c r="F96" s="23"/>
      <c r="G96" s="23"/>
      <c r="H96" s="23"/>
      <c r="I96" s="23"/>
      <c r="J96" s="23"/>
      <c r="K96" s="23"/>
      <c r="L96" s="23"/>
      <c r="M96" s="23"/>
      <c r="N96" s="23"/>
      <c r="O96" s="23"/>
      <c r="P96" s="23"/>
      <c r="Q96" s="23"/>
      <c r="R96" s="23"/>
      <c r="S96" s="23"/>
      <c r="T96" s="23"/>
      <c r="U96" s="23"/>
      <c r="V96" s="23"/>
    </row>
  </sheetData>
  <mergeCells count="24">
    <mergeCell ref="O4:P4"/>
    <mergeCell ref="Q4:R4"/>
    <mergeCell ref="S4:T4"/>
    <mergeCell ref="U4:V4"/>
    <mergeCell ref="A1:V1"/>
    <mergeCell ref="A2:V2"/>
    <mergeCell ref="E4:F4"/>
    <mergeCell ref="G4:H4"/>
    <mergeCell ref="I4:J4"/>
    <mergeCell ref="K4:L4"/>
    <mergeCell ref="M4:N4"/>
    <mergeCell ref="A84:V84"/>
    <mergeCell ref="A85:V85"/>
    <mergeCell ref="A86:V86"/>
    <mergeCell ref="A87:V87"/>
    <mergeCell ref="A88:V88"/>
    <mergeCell ref="A94:V94"/>
    <mergeCell ref="A95:V95"/>
    <mergeCell ref="A96:V96"/>
    <mergeCell ref="A89:V89"/>
    <mergeCell ref="A90:V90"/>
    <mergeCell ref="A91:V91"/>
    <mergeCell ref="A92:V92"/>
    <mergeCell ref="A93:V93"/>
  </mergeCells>
  <pageMargins left="0.75" right="0.75" top="1" bottom="1" header="0.5" footer="0.5"/>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6"/>
  <dimension ref="A1:R96"/>
  <sheetViews>
    <sheetView zoomScale="80" workbookViewId="0">
      <pane xSplit="4" topLeftCell="E1" activePane="topRight" state="frozen"/>
      <selection sqref="A1:R1"/>
      <selection pane="topRight" sqref="A1:R1"/>
    </sheetView>
  </sheetViews>
  <sheetFormatPr defaultColWidth="11.42578125" defaultRowHeight="15" x14ac:dyDescent="0.25"/>
  <cols>
    <col min="1" max="1" width="50" customWidth="1"/>
  </cols>
  <sheetData>
    <row r="1" spans="1:18" x14ac:dyDescent="0.25">
      <c r="A1" s="26" t="s">
        <v>122</v>
      </c>
      <c r="B1" s="23"/>
      <c r="C1" s="23"/>
      <c r="D1" s="23"/>
      <c r="E1" s="23"/>
      <c r="F1" s="23"/>
      <c r="G1" s="23"/>
      <c r="H1" s="23"/>
      <c r="I1" s="23"/>
      <c r="J1" s="23"/>
      <c r="K1" s="23"/>
      <c r="L1" s="23"/>
      <c r="M1" s="23"/>
      <c r="N1" s="23"/>
      <c r="O1" s="23"/>
      <c r="P1" s="23"/>
      <c r="Q1" s="23"/>
      <c r="R1" s="23"/>
    </row>
    <row r="2" spans="1:18" x14ac:dyDescent="0.25">
      <c r="A2" s="27" t="s">
        <v>262</v>
      </c>
      <c r="B2" s="23"/>
      <c r="C2" s="23"/>
      <c r="D2" s="23"/>
      <c r="E2" s="23"/>
      <c r="F2" s="23"/>
      <c r="G2" s="23"/>
      <c r="H2" s="23"/>
      <c r="I2" s="23"/>
      <c r="J2" s="23"/>
      <c r="K2" s="23"/>
      <c r="L2" s="23"/>
      <c r="M2" s="23"/>
      <c r="N2" s="23"/>
      <c r="O2" s="23"/>
      <c r="P2" s="23"/>
      <c r="Q2" s="23"/>
      <c r="R2" s="23"/>
    </row>
    <row r="4" spans="1:18" ht="30" customHeight="1" x14ac:dyDescent="0.25">
      <c r="A4" s="4"/>
      <c r="B4" s="5" t="s">
        <v>123</v>
      </c>
      <c r="C4" s="5" t="s">
        <v>124</v>
      </c>
      <c r="D4" s="6" t="s">
        <v>123</v>
      </c>
      <c r="E4" s="24" t="s">
        <v>125</v>
      </c>
      <c r="F4" s="25"/>
      <c r="G4" s="24" t="s">
        <v>126</v>
      </c>
      <c r="H4" s="25"/>
      <c r="I4" s="24" t="s">
        <v>127</v>
      </c>
      <c r="J4" s="25"/>
      <c r="K4" s="24" t="s">
        <v>128</v>
      </c>
      <c r="L4" s="25"/>
      <c r="M4" s="24" t="s">
        <v>129</v>
      </c>
      <c r="N4" s="25"/>
      <c r="O4" s="24" t="s">
        <v>130</v>
      </c>
      <c r="P4" s="25"/>
      <c r="Q4" s="24" t="s">
        <v>131</v>
      </c>
      <c r="R4" s="25"/>
    </row>
    <row r="5" spans="1:18" x14ac:dyDescent="0.25">
      <c r="A5" s="7"/>
      <c r="B5" s="8" t="s">
        <v>132</v>
      </c>
      <c r="C5" s="8" t="s">
        <v>133</v>
      </c>
      <c r="D5" s="7" t="s">
        <v>134</v>
      </c>
      <c r="E5" s="8" t="s">
        <v>135</v>
      </c>
      <c r="F5" s="7" t="s">
        <v>136</v>
      </c>
      <c r="G5" s="8" t="s">
        <v>135</v>
      </c>
      <c r="H5" s="7" t="s">
        <v>136</v>
      </c>
      <c r="I5" s="8" t="s">
        <v>135</v>
      </c>
      <c r="J5" s="7" t="s">
        <v>136</v>
      </c>
      <c r="K5" s="8" t="s">
        <v>135</v>
      </c>
      <c r="L5" s="7" t="s">
        <v>136</v>
      </c>
      <c r="M5" s="8" t="s">
        <v>135</v>
      </c>
      <c r="N5" s="7" t="s">
        <v>136</v>
      </c>
      <c r="O5" s="8" t="s">
        <v>135</v>
      </c>
      <c r="P5" s="7" t="s">
        <v>136</v>
      </c>
      <c r="Q5" s="8" t="s">
        <v>135</v>
      </c>
      <c r="R5" s="7" t="s">
        <v>136</v>
      </c>
    </row>
    <row r="6" spans="1:18" x14ac:dyDescent="0.25">
      <c r="A6" s="9" t="s">
        <v>137</v>
      </c>
      <c r="B6" s="10"/>
      <c r="C6" s="10"/>
      <c r="D6" s="11"/>
      <c r="E6" s="10"/>
      <c r="F6" s="11"/>
      <c r="G6" s="10"/>
      <c r="H6" s="11"/>
      <c r="I6" s="10"/>
      <c r="J6" s="11"/>
      <c r="K6" s="10"/>
      <c r="L6" s="11"/>
      <c r="M6" s="10"/>
      <c r="N6" s="11"/>
      <c r="O6" s="10"/>
      <c r="P6" s="11"/>
      <c r="Q6" s="10"/>
      <c r="R6" s="12"/>
    </row>
    <row r="7" spans="1:18" x14ac:dyDescent="0.25">
      <c r="A7" s="11" t="s">
        <v>138</v>
      </c>
      <c r="B7" s="13">
        <v>14530</v>
      </c>
      <c r="C7" s="14">
        <f>(12186/B7*100)</f>
        <v>83.867859600825881</v>
      </c>
      <c r="D7" s="15">
        <v>2344</v>
      </c>
      <c r="E7" s="14">
        <v>42.147013870000002</v>
      </c>
      <c r="F7" s="16">
        <v>1.29988766</v>
      </c>
      <c r="G7" s="14">
        <v>57.852986129999998</v>
      </c>
      <c r="H7" s="16">
        <v>1.29988766</v>
      </c>
      <c r="I7" s="14" t="s">
        <v>139</v>
      </c>
      <c r="J7" s="16" t="s">
        <v>139</v>
      </c>
      <c r="K7" s="14">
        <v>0</v>
      </c>
      <c r="L7" s="16">
        <v>0</v>
      </c>
      <c r="M7" s="14">
        <v>0</v>
      </c>
      <c r="N7" s="16">
        <v>0</v>
      </c>
      <c r="O7" s="14">
        <v>0</v>
      </c>
      <c r="P7" s="16">
        <v>0</v>
      </c>
      <c r="Q7" s="14">
        <v>0</v>
      </c>
      <c r="R7" s="16">
        <v>0</v>
      </c>
    </row>
    <row r="8" spans="1:18" x14ac:dyDescent="0.25">
      <c r="A8" s="11" t="s">
        <v>140</v>
      </c>
      <c r="B8" s="13">
        <v>7007</v>
      </c>
      <c r="C8" s="14">
        <f>(5832/B8*100)</f>
        <v>83.231054659626096</v>
      </c>
      <c r="D8" s="15">
        <v>1175</v>
      </c>
      <c r="E8" s="14">
        <v>40.999138709999997</v>
      </c>
      <c r="F8" s="16">
        <v>1.5625818600000001</v>
      </c>
      <c r="G8" s="14">
        <v>59.000861290000003</v>
      </c>
      <c r="H8" s="16">
        <v>1.5625818600000001</v>
      </c>
      <c r="I8" s="14" t="s">
        <v>139</v>
      </c>
      <c r="J8" s="16" t="s">
        <v>139</v>
      </c>
      <c r="K8" s="14">
        <v>0</v>
      </c>
      <c r="L8" s="16">
        <v>0</v>
      </c>
      <c r="M8" s="14">
        <v>0</v>
      </c>
      <c r="N8" s="16">
        <v>0</v>
      </c>
      <c r="O8" s="14">
        <v>0</v>
      </c>
      <c r="P8" s="16">
        <v>0</v>
      </c>
      <c r="Q8" s="14">
        <v>0</v>
      </c>
      <c r="R8" s="16">
        <v>0</v>
      </c>
    </row>
    <row r="9" spans="1:18" x14ac:dyDescent="0.25">
      <c r="A9" s="11" t="s">
        <v>141</v>
      </c>
      <c r="B9" s="13">
        <v>9651</v>
      </c>
      <c r="C9" s="14">
        <f>(8126/B9*100)</f>
        <v>84.198528649880842</v>
      </c>
      <c r="D9" s="15">
        <v>1525</v>
      </c>
      <c r="E9" s="14">
        <v>44.662358040000001</v>
      </c>
      <c r="F9" s="16">
        <v>1.4967528800000001</v>
      </c>
      <c r="G9" s="14">
        <v>55.337641959999999</v>
      </c>
      <c r="H9" s="16">
        <v>1.4967528800000001</v>
      </c>
      <c r="I9" s="14" t="s">
        <v>139</v>
      </c>
      <c r="J9" s="16" t="s">
        <v>139</v>
      </c>
      <c r="K9" s="14">
        <v>0</v>
      </c>
      <c r="L9" s="16">
        <v>0</v>
      </c>
      <c r="M9" s="14">
        <v>0</v>
      </c>
      <c r="N9" s="16">
        <v>0</v>
      </c>
      <c r="O9" s="14">
        <v>0</v>
      </c>
      <c r="P9" s="16">
        <v>0</v>
      </c>
      <c r="Q9" s="14">
        <v>0</v>
      </c>
      <c r="R9" s="16">
        <v>0</v>
      </c>
    </row>
    <row r="10" spans="1:18" x14ac:dyDescent="0.25">
      <c r="A10" s="11" t="s">
        <v>142</v>
      </c>
      <c r="B10" s="13">
        <v>20058</v>
      </c>
      <c r="C10" s="14">
        <f>(16663/B10*100)</f>
        <v>83.074085153056132</v>
      </c>
      <c r="D10" s="15">
        <v>3395</v>
      </c>
      <c r="E10" s="14">
        <v>41.439223320000004</v>
      </c>
      <c r="F10" s="16">
        <v>1.17840338</v>
      </c>
      <c r="G10" s="14">
        <v>58.560776679999996</v>
      </c>
      <c r="H10" s="16">
        <v>1.17840338</v>
      </c>
      <c r="I10" s="14" t="s">
        <v>139</v>
      </c>
      <c r="J10" s="16" t="s">
        <v>139</v>
      </c>
      <c r="K10" s="14">
        <v>0</v>
      </c>
      <c r="L10" s="16">
        <v>0</v>
      </c>
      <c r="M10" s="14">
        <v>0</v>
      </c>
      <c r="N10" s="16">
        <v>0</v>
      </c>
      <c r="O10" s="14">
        <v>0</v>
      </c>
      <c r="P10" s="16">
        <v>0</v>
      </c>
      <c r="Q10" s="14">
        <v>0</v>
      </c>
      <c r="R10" s="16">
        <v>0</v>
      </c>
    </row>
    <row r="11" spans="1:18" x14ac:dyDescent="0.25">
      <c r="A11" s="11" t="s">
        <v>143</v>
      </c>
      <c r="B11" s="13">
        <v>7053</v>
      </c>
      <c r="C11" s="14">
        <f>(5925/B11*100)</f>
        <v>84.006805614632071</v>
      </c>
      <c r="D11" s="15">
        <v>1128</v>
      </c>
      <c r="E11" s="14">
        <v>37.820740370000003</v>
      </c>
      <c r="F11" s="16">
        <v>1.70124476</v>
      </c>
      <c r="G11" s="14">
        <v>62.179259629999997</v>
      </c>
      <c r="H11" s="16">
        <v>1.70124476</v>
      </c>
      <c r="I11" s="14" t="s">
        <v>139</v>
      </c>
      <c r="J11" s="16" t="s">
        <v>139</v>
      </c>
      <c r="K11" s="14">
        <v>0</v>
      </c>
      <c r="L11" s="16">
        <v>0</v>
      </c>
      <c r="M11" s="14">
        <v>0</v>
      </c>
      <c r="N11" s="16">
        <v>0</v>
      </c>
      <c r="O11" s="14">
        <v>0</v>
      </c>
      <c r="P11" s="16">
        <v>0</v>
      </c>
      <c r="Q11" s="14">
        <v>0</v>
      </c>
      <c r="R11" s="16">
        <v>0</v>
      </c>
    </row>
    <row r="12" spans="1:18" x14ac:dyDescent="0.25">
      <c r="A12" s="11" t="s">
        <v>144</v>
      </c>
      <c r="B12" s="13">
        <v>6894</v>
      </c>
      <c r="C12" s="14">
        <f>(5770/B12*100)</f>
        <v>83.695967507977954</v>
      </c>
      <c r="D12" s="15">
        <v>1124</v>
      </c>
      <c r="E12" s="14">
        <v>39.208878159999998</v>
      </c>
      <c r="F12" s="16">
        <v>1.9398003100000001</v>
      </c>
      <c r="G12" s="14">
        <v>60.791121840000002</v>
      </c>
      <c r="H12" s="16">
        <v>1.9398003100000001</v>
      </c>
      <c r="I12" s="14" t="s">
        <v>139</v>
      </c>
      <c r="J12" s="16" t="s">
        <v>139</v>
      </c>
      <c r="K12" s="14">
        <v>0</v>
      </c>
      <c r="L12" s="16">
        <v>0</v>
      </c>
      <c r="M12" s="14">
        <v>0</v>
      </c>
      <c r="N12" s="16">
        <v>0</v>
      </c>
      <c r="O12" s="14">
        <v>0</v>
      </c>
      <c r="P12" s="16">
        <v>0</v>
      </c>
      <c r="Q12" s="14">
        <v>0</v>
      </c>
      <c r="R12" s="16">
        <v>0</v>
      </c>
    </row>
    <row r="13" spans="1:18" x14ac:dyDescent="0.25">
      <c r="A13" s="11" t="s">
        <v>145</v>
      </c>
      <c r="B13" s="13">
        <v>7161</v>
      </c>
      <c r="C13" s="14">
        <f>(6035/B13*100)</f>
        <v>84.275939114648793</v>
      </c>
      <c r="D13" s="15">
        <v>1126</v>
      </c>
      <c r="E13" s="14">
        <v>36.327512659999996</v>
      </c>
      <c r="F13" s="16">
        <v>1.70305734</v>
      </c>
      <c r="G13" s="14">
        <v>63.672487340000004</v>
      </c>
      <c r="H13" s="16">
        <v>1.70305734</v>
      </c>
      <c r="I13" s="14" t="s">
        <v>139</v>
      </c>
      <c r="J13" s="16" t="s">
        <v>139</v>
      </c>
      <c r="K13" s="14">
        <v>0</v>
      </c>
      <c r="L13" s="16">
        <v>0</v>
      </c>
      <c r="M13" s="14">
        <v>0</v>
      </c>
      <c r="N13" s="16">
        <v>0</v>
      </c>
      <c r="O13" s="14">
        <v>0</v>
      </c>
      <c r="P13" s="16">
        <v>0</v>
      </c>
      <c r="Q13" s="14">
        <v>0</v>
      </c>
      <c r="R13" s="16">
        <v>0</v>
      </c>
    </row>
    <row r="14" spans="1:18" x14ac:dyDescent="0.25">
      <c r="A14" s="11" t="s">
        <v>146</v>
      </c>
      <c r="B14" s="13">
        <v>5587</v>
      </c>
      <c r="C14" s="14">
        <f>(4647/B14*100)</f>
        <v>83.175228208340783</v>
      </c>
      <c r="D14" s="15">
        <v>940</v>
      </c>
      <c r="E14" s="14">
        <v>18.823740399999998</v>
      </c>
      <c r="F14" s="16">
        <v>1.4159617099999999</v>
      </c>
      <c r="G14" s="14">
        <v>81.176259599999995</v>
      </c>
      <c r="H14" s="16">
        <v>1.4159617099999999</v>
      </c>
      <c r="I14" s="14" t="s">
        <v>139</v>
      </c>
      <c r="J14" s="16" t="s">
        <v>139</v>
      </c>
      <c r="K14" s="14">
        <v>0</v>
      </c>
      <c r="L14" s="16">
        <v>0</v>
      </c>
      <c r="M14" s="14">
        <v>0</v>
      </c>
      <c r="N14" s="16">
        <v>0</v>
      </c>
      <c r="O14" s="14">
        <v>0</v>
      </c>
      <c r="P14" s="16">
        <v>0</v>
      </c>
      <c r="Q14" s="14">
        <v>0</v>
      </c>
      <c r="R14" s="16">
        <v>0</v>
      </c>
    </row>
    <row r="15" spans="1:18" x14ac:dyDescent="0.25">
      <c r="A15" s="11" t="s">
        <v>147</v>
      </c>
      <c r="B15" s="13">
        <v>5882</v>
      </c>
      <c r="C15" s="14">
        <f>(4921/B15*100)</f>
        <v>83.66201972118327</v>
      </c>
      <c r="D15" s="15">
        <v>961</v>
      </c>
      <c r="E15" s="14">
        <v>35.174291949999997</v>
      </c>
      <c r="F15" s="16">
        <v>1.6265428900000001</v>
      </c>
      <c r="G15" s="14">
        <v>64.825708050000003</v>
      </c>
      <c r="H15" s="16">
        <v>1.6265428900000001</v>
      </c>
      <c r="I15" s="14" t="s">
        <v>139</v>
      </c>
      <c r="J15" s="16" t="s">
        <v>139</v>
      </c>
      <c r="K15" s="14">
        <v>0</v>
      </c>
      <c r="L15" s="16">
        <v>0</v>
      </c>
      <c r="M15" s="14">
        <v>0</v>
      </c>
      <c r="N15" s="16">
        <v>0</v>
      </c>
      <c r="O15" s="14">
        <v>0</v>
      </c>
      <c r="P15" s="16">
        <v>0</v>
      </c>
      <c r="Q15" s="14">
        <v>0</v>
      </c>
      <c r="R15" s="16">
        <v>0</v>
      </c>
    </row>
    <row r="16" spans="1:18" x14ac:dyDescent="0.25">
      <c r="A16" s="11" t="s">
        <v>148</v>
      </c>
      <c r="B16" s="13">
        <v>6108</v>
      </c>
      <c r="C16" s="14">
        <f>(5092/B16*100)</f>
        <v>83.366077275704001</v>
      </c>
      <c r="D16" s="15">
        <v>1016</v>
      </c>
      <c r="E16" s="14">
        <v>46.620545530000001</v>
      </c>
      <c r="F16" s="16">
        <v>1.4590839900000001</v>
      </c>
      <c r="G16" s="14">
        <v>53.379454469999999</v>
      </c>
      <c r="H16" s="16">
        <v>1.4590839900000001</v>
      </c>
      <c r="I16" s="14" t="s">
        <v>139</v>
      </c>
      <c r="J16" s="16" t="s">
        <v>139</v>
      </c>
      <c r="K16" s="14">
        <v>0</v>
      </c>
      <c r="L16" s="16">
        <v>0</v>
      </c>
      <c r="M16" s="14">
        <v>0</v>
      </c>
      <c r="N16" s="16">
        <v>0</v>
      </c>
      <c r="O16" s="14">
        <v>0</v>
      </c>
      <c r="P16" s="16">
        <v>0</v>
      </c>
      <c r="Q16" s="14">
        <v>0</v>
      </c>
      <c r="R16" s="16">
        <v>0</v>
      </c>
    </row>
    <row r="17" spans="1:18" x14ac:dyDescent="0.25">
      <c r="A17" s="11" t="s">
        <v>149</v>
      </c>
      <c r="B17" s="13">
        <v>6504</v>
      </c>
      <c r="C17" s="14">
        <f>(5459/B17*100)</f>
        <v>83.932964329643298</v>
      </c>
      <c r="D17" s="15">
        <v>1045</v>
      </c>
      <c r="E17" s="14">
        <v>39.532601419999999</v>
      </c>
      <c r="F17" s="16">
        <v>1.69149003</v>
      </c>
      <c r="G17" s="14">
        <v>60.467398580000001</v>
      </c>
      <c r="H17" s="16">
        <v>1.69149003</v>
      </c>
      <c r="I17" s="14" t="s">
        <v>139</v>
      </c>
      <c r="J17" s="16" t="s">
        <v>139</v>
      </c>
      <c r="K17" s="14">
        <v>0</v>
      </c>
      <c r="L17" s="16">
        <v>0</v>
      </c>
      <c r="M17" s="14">
        <v>0</v>
      </c>
      <c r="N17" s="16">
        <v>0</v>
      </c>
      <c r="O17" s="14">
        <v>0</v>
      </c>
      <c r="P17" s="16">
        <v>0</v>
      </c>
      <c r="Q17" s="14">
        <v>0</v>
      </c>
      <c r="R17" s="16">
        <v>0</v>
      </c>
    </row>
    <row r="18" spans="1:18" x14ac:dyDescent="0.25">
      <c r="A18" s="11" t="s">
        <v>150</v>
      </c>
      <c r="B18" s="13">
        <v>5532</v>
      </c>
      <c r="C18" s="14">
        <f>(4583/B18*100)</f>
        <v>82.845263919016631</v>
      </c>
      <c r="D18" s="15">
        <v>949</v>
      </c>
      <c r="E18" s="14">
        <v>58.770201720000003</v>
      </c>
      <c r="F18" s="16">
        <v>1.5629584999999999</v>
      </c>
      <c r="G18" s="14">
        <v>41.229798279999997</v>
      </c>
      <c r="H18" s="16">
        <v>1.5629584999999999</v>
      </c>
      <c r="I18" s="14" t="s">
        <v>139</v>
      </c>
      <c r="J18" s="16" t="s">
        <v>139</v>
      </c>
      <c r="K18" s="14">
        <v>0</v>
      </c>
      <c r="L18" s="16">
        <v>0</v>
      </c>
      <c r="M18" s="14">
        <v>0</v>
      </c>
      <c r="N18" s="16">
        <v>0</v>
      </c>
      <c r="O18" s="14">
        <v>0</v>
      </c>
      <c r="P18" s="16">
        <v>0</v>
      </c>
      <c r="Q18" s="14">
        <v>0</v>
      </c>
      <c r="R18" s="16">
        <v>0</v>
      </c>
    </row>
    <row r="19" spans="1:18" x14ac:dyDescent="0.25">
      <c r="A19" s="11" t="s">
        <v>151</v>
      </c>
      <c r="B19" s="13">
        <v>5658</v>
      </c>
      <c r="C19" s="14">
        <f>(4745/B19*100)</f>
        <v>83.863556026864615</v>
      </c>
      <c r="D19" s="15">
        <v>913</v>
      </c>
      <c r="E19" s="14">
        <v>48.033279129999997</v>
      </c>
      <c r="F19" s="16">
        <v>1.8260421099999999</v>
      </c>
      <c r="G19" s="14">
        <v>51.966720870000003</v>
      </c>
      <c r="H19" s="16">
        <v>1.8260421099999999</v>
      </c>
      <c r="I19" s="14" t="s">
        <v>139</v>
      </c>
      <c r="J19" s="16" t="s">
        <v>139</v>
      </c>
      <c r="K19" s="14">
        <v>0</v>
      </c>
      <c r="L19" s="16">
        <v>0</v>
      </c>
      <c r="M19" s="14">
        <v>0</v>
      </c>
      <c r="N19" s="16">
        <v>0</v>
      </c>
      <c r="O19" s="14">
        <v>0</v>
      </c>
      <c r="P19" s="16">
        <v>0</v>
      </c>
      <c r="Q19" s="14">
        <v>0</v>
      </c>
      <c r="R19" s="16">
        <v>0</v>
      </c>
    </row>
    <row r="20" spans="1:18" x14ac:dyDescent="0.25">
      <c r="A20" s="11" t="s">
        <v>152</v>
      </c>
      <c r="B20" s="13">
        <v>3371</v>
      </c>
      <c r="C20" s="14">
        <f>(2820/B20*100)</f>
        <v>83.654701868881645</v>
      </c>
      <c r="D20" s="15">
        <v>551</v>
      </c>
      <c r="E20" s="14">
        <v>44.647005669999999</v>
      </c>
      <c r="F20" s="16">
        <v>2.01555653</v>
      </c>
      <c r="G20" s="14">
        <v>55.352994330000001</v>
      </c>
      <c r="H20" s="16">
        <v>2.01555653</v>
      </c>
      <c r="I20" s="14" t="s">
        <v>139</v>
      </c>
      <c r="J20" s="16" t="s">
        <v>139</v>
      </c>
      <c r="K20" s="14">
        <v>0</v>
      </c>
      <c r="L20" s="16">
        <v>0</v>
      </c>
      <c r="M20" s="14">
        <v>0</v>
      </c>
      <c r="N20" s="16">
        <v>0</v>
      </c>
      <c r="O20" s="14">
        <v>0</v>
      </c>
      <c r="P20" s="16">
        <v>0</v>
      </c>
      <c r="Q20" s="14">
        <v>0</v>
      </c>
      <c r="R20" s="16">
        <v>0</v>
      </c>
    </row>
    <row r="21" spans="1:18" x14ac:dyDescent="0.25">
      <c r="A21" s="11" t="s">
        <v>153</v>
      </c>
      <c r="B21" s="17" t="s">
        <v>154</v>
      </c>
      <c r="C21" s="17" t="s">
        <v>154</v>
      </c>
      <c r="D21" s="18" t="s">
        <v>154</v>
      </c>
      <c r="E21" s="17" t="s">
        <v>154</v>
      </c>
      <c r="F21" s="18" t="s">
        <v>154</v>
      </c>
      <c r="G21" s="17" t="s">
        <v>154</v>
      </c>
      <c r="H21" s="18" t="s">
        <v>154</v>
      </c>
      <c r="I21" s="17" t="s">
        <v>154</v>
      </c>
      <c r="J21" s="18" t="s">
        <v>154</v>
      </c>
      <c r="K21" s="17" t="s">
        <v>154</v>
      </c>
      <c r="L21" s="18" t="s">
        <v>154</v>
      </c>
      <c r="M21" s="17" t="s">
        <v>154</v>
      </c>
      <c r="N21" s="18" t="s">
        <v>154</v>
      </c>
      <c r="O21" s="17" t="s">
        <v>154</v>
      </c>
      <c r="P21" s="18" t="s">
        <v>154</v>
      </c>
      <c r="Q21" s="17" t="s">
        <v>154</v>
      </c>
      <c r="R21" s="18" t="s">
        <v>154</v>
      </c>
    </row>
    <row r="22" spans="1:18" x14ac:dyDescent="0.25">
      <c r="A22" s="11" t="s">
        <v>155</v>
      </c>
      <c r="B22" s="13">
        <v>6598</v>
      </c>
      <c r="C22" s="14">
        <f>(5607/B22*100)</f>
        <v>84.980297059715056</v>
      </c>
      <c r="D22" s="15">
        <v>991</v>
      </c>
      <c r="E22" s="14">
        <v>32.943271969999998</v>
      </c>
      <c r="F22" s="16">
        <v>1.5664480700000001</v>
      </c>
      <c r="G22" s="14">
        <v>67.056728030000002</v>
      </c>
      <c r="H22" s="16">
        <v>1.5664480700000001</v>
      </c>
      <c r="I22" s="14" t="s">
        <v>139</v>
      </c>
      <c r="J22" s="16" t="s">
        <v>139</v>
      </c>
      <c r="K22" s="14">
        <v>0</v>
      </c>
      <c r="L22" s="16">
        <v>0</v>
      </c>
      <c r="M22" s="14">
        <v>0</v>
      </c>
      <c r="N22" s="16">
        <v>0</v>
      </c>
      <c r="O22" s="14">
        <v>0</v>
      </c>
      <c r="P22" s="16">
        <v>0</v>
      </c>
      <c r="Q22" s="14">
        <v>0</v>
      </c>
      <c r="R22" s="16">
        <v>0</v>
      </c>
    </row>
    <row r="23" spans="1:18" x14ac:dyDescent="0.25">
      <c r="A23" s="11" t="s">
        <v>156</v>
      </c>
      <c r="B23" s="13">
        <v>11583</v>
      </c>
      <c r="C23" s="14">
        <f>(9661/B23*100)</f>
        <v>83.406716740050072</v>
      </c>
      <c r="D23" s="15">
        <v>1922</v>
      </c>
      <c r="E23" s="14">
        <v>49.903199049999998</v>
      </c>
      <c r="F23" s="16">
        <v>1.67960639</v>
      </c>
      <c r="G23" s="14">
        <v>50.096800950000002</v>
      </c>
      <c r="H23" s="16">
        <v>1.67960639</v>
      </c>
      <c r="I23" s="14" t="s">
        <v>139</v>
      </c>
      <c r="J23" s="16" t="s">
        <v>139</v>
      </c>
      <c r="K23" s="14">
        <v>0</v>
      </c>
      <c r="L23" s="16">
        <v>0</v>
      </c>
      <c r="M23" s="14">
        <v>0</v>
      </c>
      <c r="N23" s="16">
        <v>0</v>
      </c>
      <c r="O23" s="14">
        <v>0</v>
      </c>
      <c r="P23" s="16">
        <v>0</v>
      </c>
      <c r="Q23" s="14">
        <v>0</v>
      </c>
      <c r="R23" s="16">
        <v>0</v>
      </c>
    </row>
    <row r="24" spans="1:18" x14ac:dyDescent="0.25">
      <c r="A24" s="11" t="s">
        <v>157</v>
      </c>
      <c r="B24" s="13">
        <v>6647</v>
      </c>
      <c r="C24" s="14">
        <f>(5508/B24*100)</f>
        <v>82.864450127877248</v>
      </c>
      <c r="D24" s="15">
        <v>1139</v>
      </c>
      <c r="E24" s="14">
        <v>60.060911750000002</v>
      </c>
      <c r="F24" s="16">
        <v>1.50586624</v>
      </c>
      <c r="G24" s="14">
        <v>39.939088249999998</v>
      </c>
      <c r="H24" s="16">
        <v>1.50586624</v>
      </c>
      <c r="I24" s="14" t="s">
        <v>139</v>
      </c>
      <c r="J24" s="16" t="s">
        <v>139</v>
      </c>
      <c r="K24" s="14">
        <v>0</v>
      </c>
      <c r="L24" s="16">
        <v>0</v>
      </c>
      <c r="M24" s="14">
        <v>0</v>
      </c>
      <c r="N24" s="16">
        <v>0</v>
      </c>
      <c r="O24" s="14">
        <v>0</v>
      </c>
      <c r="P24" s="16">
        <v>0</v>
      </c>
      <c r="Q24" s="14">
        <v>0</v>
      </c>
      <c r="R24" s="16">
        <v>0</v>
      </c>
    </row>
    <row r="25" spans="1:18" x14ac:dyDescent="0.25">
      <c r="A25" s="11" t="s">
        <v>158</v>
      </c>
      <c r="B25" s="13">
        <v>5581</v>
      </c>
      <c r="C25" s="14">
        <f>(4617/B25*100)</f>
        <v>82.727109836946795</v>
      </c>
      <c r="D25" s="15">
        <v>964</v>
      </c>
      <c r="E25" s="14">
        <v>45.197934240000002</v>
      </c>
      <c r="F25" s="16">
        <v>1.87781799</v>
      </c>
      <c r="G25" s="14">
        <v>54.802065759999998</v>
      </c>
      <c r="H25" s="16">
        <v>1.87781799</v>
      </c>
      <c r="I25" s="14" t="s">
        <v>139</v>
      </c>
      <c r="J25" s="16" t="s">
        <v>139</v>
      </c>
      <c r="K25" s="14">
        <v>0</v>
      </c>
      <c r="L25" s="16">
        <v>0</v>
      </c>
      <c r="M25" s="14">
        <v>0</v>
      </c>
      <c r="N25" s="16">
        <v>0</v>
      </c>
      <c r="O25" s="14">
        <v>0</v>
      </c>
      <c r="P25" s="16">
        <v>0</v>
      </c>
      <c r="Q25" s="14">
        <v>0</v>
      </c>
      <c r="R25" s="16">
        <v>0</v>
      </c>
    </row>
    <row r="26" spans="1:18" x14ac:dyDescent="0.25">
      <c r="A26" s="11" t="s">
        <v>159</v>
      </c>
      <c r="B26" s="13">
        <v>4869</v>
      </c>
      <c r="C26" s="14">
        <f>(4025/B26*100)</f>
        <v>82.665845142739784</v>
      </c>
      <c r="D26" s="15">
        <v>844</v>
      </c>
      <c r="E26" s="14">
        <v>32.132294889999997</v>
      </c>
      <c r="F26" s="16">
        <v>1.5407359599999999</v>
      </c>
      <c r="G26" s="14">
        <v>67.867705110000003</v>
      </c>
      <c r="H26" s="16">
        <v>1.5407359599999999</v>
      </c>
      <c r="I26" s="14" t="s">
        <v>139</v>
      </c>
      <c r="J26" s="16" t="s">
        <v>139</v>
      </c>
      <c r="K26" s="14">
        <v>0</v>
      </c>
      <c r="L26" s="16">
        <v>0</v>
      </c>
      <c r="M26" s="14">
        <v>0</v>
      </c>
      <c r="N26" s="16">
        <v>0</v>
      </c>
      <c r="O26" s="14">
        <v>0</v>
      </c>
      <c r="P26" s="16">
        <v>0</v>
      </c>
      <c r="Q26" s="14">
        <v>0</v>
      </c>
      <c r="R26" s="16">
        <v>0</v>
      </c>
    </row>
    <row r="27" spans="1:18" x14ac:dyDescent="0.25">
      <c r="A27" s="11" t="s">
        <v>160</v>
      </c>
      <c r="B27" s="13">
        <v>5299</v>
      </c>
      <c r="C27" s="14">
        <f>(4441/B27*100)</f>
        <v>83.808265710511421</v>
      </c>
      <c r="D27" s="15">
        <v>858</v>
      </c>
      <c r="E27" s="14">
        <v>44.128330560000002</v>
      </c>
      <c r="F27" s="16">
        <v>1.6750939899999999</v>
      </c>
      <c r="G27" s="14">
        <v>55.871669439999998</v>
      </c>
      <c r="H27" s="16">
        <v>1.6750939899999999</v>
      </c>
      <c r="I27" s="14" t="s">
        <v>139</v>
      </c>
      <c r="J27" s="16" t="s">
        <v>139</v>
      </c>
      <c r="K27" s="14">
        <v>0</v>
      </c>
      <c r="L27" s="16">
        <v>0</v>
      </c>
      <c r="M27" s="14">
        <v>0</v>
      </c>
      <c r="N27" s="16">
        <v>0</v>
      </c>
      <c r="O27" s="14">
        <v>0</v>
      </c>
      <c r="P27" s="16">
        <v>0</v>
      </c>
      <c r="Q27" s="14">
        <v>0</v>
      </c>
      <c r="R27" s="16">
        <v>0</v>
      </c>
    </row>
    <row r="28" spans="1:18" x14ac:dyDescent="0.25">
      <c r="A28" s="11" t="s">
        <v>161</v>
      </c>
      <c r="B28" s="13">
        <v>7568</v>
      </c>
      <c r="C28" s="14">
        <f>(6479/B28*100)</f>
        <v>85.610465116279073</v>
      </c>
      <c r="D28" s="15">
        <v>1089</v>
      </c>
      <c r="E28" s="14">
        <v>54.086065220000002</v>
      </c>
      <c r="F28" s="16">
        <v>1.69239513</v>
      </c>
      <c r="G28" s="14">
        <v>45.913934779999998</v>
      </c>
      <c r="H28" s="16">
        <v>1.69239513</v>
      </c>
      <c r="I28" s="14" t="s">
        <v>139</v>
      </c>
      <c r="J28" s="16" t="s">
        <v>139</v>
      </c>
      <c r="K28" s="14">
        <v>0</v>
      </c>
      <c r="L28" s="16">
        <v>0</v>
      </c>
      <c r="M28" s="14">
        <v>0</v>
      </c>
      <c r="N28" s="16">
        <v>0</v>
      </c>
      <c r="O28" s="14">
        <v>0</v>
      </c>
      <c r="P28" s="16">
        <v>0</v>
      </c>
      <c r="Q28" s="14">
        <v>0</v>
      </c>
      <c r="R28" s="16">
        <v>0</v>
      </c>
    </row>
    <row r="29" spans="1:18" x14ac:dyDescent="0.25">
      <c r="A29" s="11" t="s">
        <v>162</v>
      </c>
      <c r="B29" s="13">
        <v>5385</v>
      </c>
      <c r="C29" s="14">
        <f>(4470/B29*100)</f>
        <v>83.008356545961007</v>
      </c>
      <c r="D29" s="15">
        <v>915</v>
      </c>
      <c r="E29" s="14">
        <v>49.356306050000001</v>
      </c>
      <c r="F29" s="16">
        <v>1.7930586500000001</v>
      </c>
      <c r="G29" s="14">
        <v>50.643693949999999</v>
      </c>
      <c r="H29" s="16">
        <v>1.7930586500000001</v>
      </c>
      <c r="I29" s="14" t="s">
        <v>139</v>
      </c>
      <c r="J29" s="16" t="s">
        <v>139</v>
      </c>
      <c r="K29" s="14">
        <v>0</v>
      </c>
      <c r="L29" s="16">
        <v>0</v>
      </c>
      <c r="M29" s="14">
        <v>0</v>
      </c>
      <c r="N29" s="16">
        <v>0</v>
      </c>
      <c r="O29" s="14">
        <v>0</v>
      </c>
      <c r="P29" s="16">
        <v>0</v>
      </c>
      <c r="Q29" s="14">
        <v>0</v>
      </c>
      <c r="R29" s="16">
        <v>0</v>
      </c>
    </row>
    <row r="30" spans="1:18" x14ac:dyDescent="0.25">
      <c r="A30" s="11" t="s">
        <v>163</v>
      </c>
      <c r="B30" s="13">
        <v>4520</v>
      </c>
      <c r="C30" s="14">
        <f>(3779/B30*100)</f>
        <v>83.606194690265482</v>
      </c>
      <c r="D30" s="15">
        <v>741</v>
      </c>
      <c r="E30" s="14">
        <v>33.179088520000001</v>
      </c>
      <c r="F30" s="16">
        <v>1.5486686599999999</v>
      </c>
      <c r="G30" s="14">
        <v>66.820911480000007</v>
      </c>
      <c r="H30" s="16">
        <v>1.5486686599999999</v>
      </c>
      <c r="I30" s="14" t="s">
        <v>139</v>
      </c>
      <c r="J30" s="16" t="s">
        <v>139</v>
      </c>
      <c r="K30" s="14">
        <v>0</v>
      </c>
      <c r="L30" s="16">
        <v>0</v>
      </c>
      <c r="M30" s="14">
        <v>0</v>
      </c>
      <c r="N30" s="16">
        <v>0</v>
      </c>
      <c r="O30" s="14">
        <v>0</v>
      </c>
      <c r="P30" s="16">
        <v>0</v>
      </c>
      <c r="Q30" s="14">
        <v>0</v>
      </c>
      <c r="R30" s="16">
        <v>0</v>
      </c>
    </row>
    <row r="31" spans="1:18" x14ac:dyDescent="0.25">
      <c r="A31" s="11" t="s">
        <v>164</v>
      </c>
      <c r="B31" s="13">
        <v>5456</v>
      </c>
      <c r="C31" s="14">
        <f>(4579/B31*100)</f>
        <v>83.925953079178882</v>
      </c>
      <c r="D31" s="15">
        <v>877</v>
      </c>
      <c r="E31" s="14">
        <v>41.21847588</v>
      </c>
      <c r="F31" s="16">
        <v>2.0070004699999999</v>
      </c>
      <c r="G31" s="14">
        <v>58.78152412</v>
      </c>
      <c r="H31" s="16">
        <v>2.0070004699999999</v>
      </c>
      <c r="I31" s="14" t="s">
        <v>139</v>
      </c>
      <c r="J31" s="16" t="s">
        <v>139</v>
      </c>
      <c r="K31" s="14">
        <v>0</v>
      </c>
      <c r="L31" s="16">
        <v>0</v>
      </c>
      <c r="M31" s="14">
        <v>0</v>
      </c>
      <c r="N31" s="16">
        <v>0</v>
      </c>
      <c r="O31" s="14">
        <v>0</v>
      </c>
      <c r="P31" s="16">
        <v>0</v>
      </c>
      <c r="Q31" s="14">
        <v>0</v>
      </c>
      <c r="R31" s="16">
        <v>0</v>
      </c>
    </row>
    <row r="32" spans="1:18" x14ac:dyDescent="0.25">
      <c r="A32" s="11" t="s">
        <v>165</v>
      </c>
      <c r="B32" s="17" t="s">
        <v>154</v>
      </c>
      <c r="C32" s="17" t="s">
        <v>154</v>
      </c>
      <c r="D32" s="18" t="s">
        <v>154</v>
      </c>
      <c r="E32" s="17" t="s">
        <v>154</v>
      </c>
      <c r="F32" s="18" t="s">
        <v>154</v>
      </c>
      <c r="G32" s="17" t="s">
        <v>154</v>
      </c>
      <c r="H32" s="18" t="s">
        <v>154</v>
      </c>
      <c r="I32" s="17" t="s">
        <v>154</v>
      </c>
      <c r="J32" s="18" t="s">
        <v>154</v>
      </c>
      <c r="K32" s="17" t="s">
        <v>154</v>
      </c>
      <c r="L32" s="18" t="s">
        <v>154</v>
      </c>
      <c r="M32" s="17" t="s">
        <v>154</v>
      </c>
      <c r="N32" s="18" t="s">
        <v>154</v>
      </c>
      <c r="O32" s="17" t="s">
        <v>154</v>
      </c>
      <c r="P32" s="18" t="s">
        <v>154</v>
      </c>
      <c r="Q32" s="17" t="s">
        <v>154</v>
      </c>
      <c r="R32" s="18" t="s">
        <v>154</v>
      </c>
    </row>
    <row r="33" spans="1:18" x14ac:dyDescent="0.25">
      <c r="A33" s="11" t="s">
        <v>166</v>
      </c>
      <c r="B33" s="13">
        <v>7325</v>
      </c>
      <c r="C33" s="14">
        <f>(6194/B33*100)</f>
        <v>84.559726962457333</v>
      </c>
      <c r="D33" s="15">
        <v>1131</v>
      </c>
      <c r="E33" s="14">
        <v>36.02070209</v>
      </c>
      <c r="F33" s="16">
        <v>1.4420790400000001</v>
      </c>
      <c r="G33" s="14">
        <v>63.97929791</v>
      </c>
      <c r="H33" s="16">
        <v>1.4420790400000001</v>
      </c>
      <c r="I33" s="14" t="s">
        <v>139</v>
      </c>
      <c r="J33" s="16" t="s">
        <v>139</v>
      </c>
      <c r="K33" s="14">
        <v>0</v>
      </c>
      <c r="L33" s="16">
        <v>0</v>
      </c>
      <c r="M33" s="14">
        <v>0</v>
      </c>
      <c r="N33" s="16">
        <v>0</v>
      </c>
      <c r="O33" s="14">
        <v>0</v>
      </c>
      <c r="P33" s="16">
        <v>0</v>
      </c>
      <c r="Q33" s="14">
        <v>0</v>
      </c>
      <c r="R33" s="16">
        <v>0</v>
      </c>
    </row>
    <row r="34" spans="1:18" x14ac:dyDescent="0.25">
      <c r="A34" s="11" t="s">
        <v>167</v>
      </c>
      <c r="B34" s="13">
        <v>6350</v>
      </c>
      <c r="C34" s="14">
        <f>(5345/B34*100)</f>
        <v>84.173228346456696</v>
      </c>
      <c r="D34" s="15">
        <v>1005</v>
      </c>
      <c r="E34" s="14">
        <v>39.568932160000003</v>
      </c>
      <c r="F34" s="16">
        <v>1.57685469</v>
      </c>
      <c r="G34" s="14">
        <v>60.431067839999997</v>
      </c>
      <c r="H34" s="16">
        <v>1.57685469</v>
      </c>
      <c r="I34" s="14" t="s">
        <v>139</v>
      </c>
      <c r="J34" s="16" t="s">
        <v>139</v>
      </c>
      <c r="K34" s="14">
        <v>0</v>
      </c>
      <c r="L34" s="16">
        <v>0</v>
      </c>
      <c r="M34" s="14">
        <v>0</v>
      </c>
      <c r="N34" s="16">
        <v>0</v>
      </c>
      <c r="O34" s="14">
        <v>0</v>
      </c>
      <c r="P34" s="16">
        <v>0</v>
      </c>
      <c r="Q34" s="14">
        <v>0</v>
      </c>
      <c r="R34" s="16">
        <v>0</v>
      </c>
    </row>
    <row r="35" spans="1:18" x14ac:dyDescent="0.25">
      <c r="A35" s="11" t="s">
        <v>168</v>
      </c>
      <c r="B35" s="13">
        <v>6406</v>
      </c>
      <c r="C35" s="14">
        <f>(5316/B35*100)</f>
        <v>82.9847018420231</v>
      </c>
      <c r="D35" s="15">
        <v>1090</v>
      </c>
      <c r="E35" s="14">
        <v>27.525183340000002</v>
      </c>
      <c r="F35" s="16">
        <v>1.5193042699999999</v>
      </c>
      <c r="G35" s="14">
        <v>72.474816660000002</v>
      </c>
      <c r="H35" s="16">
        <v>1.5193042699999999</v>
      </c>
      <c r="I35" s="14" t="s">
        <v>139</v>
      </c>
      <c r="J35" s="16" t="s">
        <v>139</v>
      </c>
      <c r="K35" s="14">
        <v>0</v>
      </c>
      <c r="L35" s="16">
        <v>0</v>
      </c>
      <c r="M35" s="14">
        <v>0</v>
      </c>
      <c r="N35" s="16">
        <v>0</v>
      </c>
      <c r="O35" s="14">
        <v>0</v>
      </c>
      <c r="P35" s="16">
        <v>0</v>
      </c>
      <c r="Q35" s="14">
        <v>0</v>
      </c>
      <c r="R35" s="16">
        <v>0</v>
      </c>
    </row>
    <row r="36" spans="1:18" x14ac:dyDescent="0.25">
      <c r="A36" s="11" t="s">
        <v>169</v>
      </c>
      <c r="B36" s="13">
        <v>6736</v>
      </c>
      <c r="C36" s="14">
        <f>(5652/B36*100)</f>
        <v>83.907363420427544</v>
      </c>
      <c r="D36" s="15">
        <v>1084</v>
      </c>
      <c r="E36" s="14">
        <v>39.896095940000002</v>
      </c>
      <c r="F36" s="16">
        <v>1.54553246</v>
      </c>
      <c r="G36" s="14">
        <v>60.103904059999998</v>
      </c>
      <c r="H36" s="16">
        <v>1.54553246</v>
      </c>
      <c r="I36" s="14" t="s">
        <v>139</v>
      </c>
      <c r="J36" s="16" t="s">
        <v>139</v>
      </c>
      <c r="K36" s="14">
        <v>0</v>
      </c>
      <c r="L36" s="16">
        <v>0</v>
      </c>
      <c r="M36" s="14">
        <v>0</v>
      </c>
      <c r="N36" s="16">
        <v>0</v>
      </c>
      <c r="O36" s="14">
        <v>0</v>
      </c>
      <c r="P36" s="16">
        <v>0</v>
      </c>
      <c r="Q36" s="14">
        <v>0</v>
      </c>
      <c r="R36" s="16">
        <v>0</v>
      </c>
    </row>
    <row r="37" spans="1:18" x14ac:dyDescent="0.25">
      <c r="A37" s="11" t="s">
        <v>170</v>
      </c>
      <c r="B37" s="13">
        <v>5458</v>
      </c>
      <c r="C37" s="14">
        <f>(4608/B37*100)</f>
        <v>84.426529864419194</v>
      </c>
      <c r="D37" s="15">
        <v>850</v>
      </c>
      <c r="E37" s="14">
        <v>47.734771080000002</v>
      </c>
      <c r="F37" s="16">
        <v>1.9782399900000001</v>
      </c>
      <c r="G37" s="14">
        <v>52.265228919999998</v>
      </c>
      <c r="H37" s="16">
        <v>1.9782399900000001</v>
      </c>
      <c r="I37" s="14" t="s">
        <v>139</v>
      </c>
      <c r="J37" s="16" t="s">
        <v>139</v>
      </c>
      <c r="K37" s="14">
        <v>0</v>
      </c>
      <c r="L37" s="16">
        <v>0</v>
      </c>
      <c r="M37" s="14">
        <v>0</v>
      </c>
      <c r="N37" s="16">
        <v>0</v>
      </c>
      <c r="O37" s="14">
        <v>0</v>
      </c>
      <c r="P37" s="16">
        <v>0</v>
      </c>
      <c r="Q37" s="14">
        <v>0</v>
      </c>
      <c r="R37" s="16">
        <v>0</v>
      </c>
    </row>
    <row r="38" spans="1:18" x14ac:dyDescent="0.25">
      <c r="A38" s="11" t="s">
        <v>171</v>
      </c>
      <c r="B38" s="17" t="s">
        <v>154</v>
      </c>
      <c r="C38" s="17" t="s">
        <v>154</v>
      </c>
      <c r="D38" s="18" t="s">
        <v>154</v>
      </c>
      <c r="E38" s="17" t="s">
        <v>154</v>
      </c>
      <c r="F38" s="18" t="s">
        <v>154</v>
      </c>
      <c r="G38" s="17" t="s">
        <v>154</v>
      </c>
      <c r="H38" s="18" t="s">
        <v>154</v>
      </c>
      <c r="I38" s="17" t="s">
        <v>154</v>
      </c>
      <c r="J38" s="18" t="s">
        <v>154</v>
      </c>
      <c r="K38" s="17" t="s">
        <v>154</v>
      </c>
      <c r="L38" s="18" t="s">
        <v>154</v>
      </c>
      <c r="M38" s="17" t="s">
        <v>154</v>
      </c>
      <c r="N38" s="18" t="s">
        <v>154</v>
      </c>
      <c r="O38" s="17" t="s">
        <v>154</v>
      </c>
      <c r="P38" s="18" t="s">
        <v>154</v>
      </c>
      <c r="Q38" s="17" t="s">
        <v>154</v>
      </c>
      <c r="R38" s="18" t="s">
        <v>154</v>
      </c>
    </row>
    <row r="39" spans="1:18" x14ac:dyDescent="0.25">
      <c r="A39" s="11" t="s">
        <v>172</v>
      </c>
      <c r="B39" s="13">
        <v>5895</v>
      </c>
      <c r="C39" s="14">
        <f>(4875/B39*100)</f>
        <v>82.697201017811707</v>
      </c>
      <c r="D39" s="15">
        <v>1020</v>
      </c>
      <c r="E39" s="14">
        <v>60.90178521</v>
      </c>
      <c r="F39" s="16">
        <v>1.9111453199999999</v>
      </c>
      <c r="G39" s="14">
        <v>39.09821479</v>
      </c>
      <c r="H39" s="16">
        <v>1.9111453199999999</v>
      </c>
      <c r="I39" s="14" t="s">
        <v>139</v>
      </c>
      <c r="J39" s="16" t="s">
        <v>139</v>
      </c>
      <c r="K39" s="14">
        <v>0</v>
      </c>
      <c r="L39" s="16">
        <v>0</v>
      </c>
      <c r="M39" s="14">
        <v>0</v>
      </c>
      <c r="N39" s="16">
        <v>0</v>
      </c>
      <c r="O39" s="14">
        <v>0</v>
      </c>
      <c r="P39" s="16">
        <v>0</v>
      </c>
      <c r="Q39" s="14">
        <v>0</v>
      </c>
      <c r="R39" s="16">
        <v>0</v>
      </c>
    </row>
    <row r="40" spans="1:18" x14ac:dyDescent="0.25">
      <c r="A40" s="11" t="s">
        <v>173</v>
      </c>
      <c r="B40" s="13">
        <v>14157</v>
      </c>
      <c r="C40" s="14">
        <f>(11677/B40*100)</f>
        <v>82.482164300346113</v>
      </c>
      <c r="D40" s="15">
        <v>2480</v>
      </c>
      <c r="E40" s="14">
        <v>40.217240889999999</v>
      </c>
      <c r="F40" s="16">
        <v>1.6645485600000001</v>
      </c>
      <c r="G40" s="14">
        <v>59.782759110000001</v>
      </c>
      <c r="H40" s="16">
        <v>1.6645485600000001</v>
      </c>
      <c r="I40" s="14" t="s">
        <v>139</v>
      </c>
      <c r="J40" s="16" t="s">
        <v>139</v>
      </c>
      <c r="K40" s="14">
        <v>0</v>
      </c>
      <c r="L40" s="16">
        <v>0</v>
      </c>
      <c r="M40" s="14">
        <v>0</v>
      </c>
      <c r="N40" s="16">
        <v>0</v>
      </c>
      <c r="O40" s="14">
        <v>0</v>
      </c>
      <c r="P40" s="16">
        <v>0</v>
      </c>
      <c r="Q40" s="14">
        <v>0</v>
      </c>
      <c r="R40" s="16">
        <v>0</v>
      </c>
    </row>
    <row r="41" spans="1:18" x14ac:dyDescent="0.25">
      <c r="A41" s="11" t="s">
        <v>174</v>
      </c>
      <c r="B41" s="13">
        <v>5712</v>
      </c>
      <c r="C41" s="14">
        <f>(4807/B41*100)</f>
        <v>84.156162464985997</v>
      </c>
      <c r="D41" s="15">
        <v>905</v>
      </c>
      <c r="E41" s="14">
        <v>46.868402959999997</v>
      </c>
      <c r="F41" s="16">
        <v>1.76973782</v>
      </c>
      <c r="G41" s="14">
        <v>53.131597040000003</v>
      </c>
      <c r="H41" s="16">
        <v>1.76973782</v>
      </c>
      <c r="I41" s="14" t="s">
        <v>139</v>
      </c>
      <c r="J41" s="16" t="s">
        <v>139</v>
      </c>
      <c r="K41" s="14">
        <v>0</v>
      </c>
      <c r="L41" s="16">
        <v>0</v>
      </c>
      <c r="M41" s="14">
        <v>0</v>
      </c>
      <c r="N41" s="16">
        <v>0</v>
      </c>
      <c r="O41" s="14">
        <v>0</v>
      </c>
      <c r="P41" s="16">
        <v>0</v>
      </c>
      <c r="Q41" s="14">
        <v>0</v>
      </c>
      <c r="R41" s="16">
        <v>0</v>
      </c>
    </row>
    <row r="42" spans="1:18" x14ac:dyDescent="0.25">
      <c r="A42" s="11" t="s">
        <v>175</v>
      </c>
      <c r="B42" s="13">
        <f>IF(COUNT(B7:B41) &gt; 0, AVERAGE(B7:B41), "\u2014")</f>
        <v>7266.90625</v>
      </c>
      <c r="C42" s="14">
        <f>IF(COUNT(C7:C41) &gt; 0, AVERAGE(C7:C41), "—")</f>
        <v>83.651274497460449</v>
      </c>
      <c r="D42" s="15">
        <f>IF(COUNT(D7:D41) &gt; 0, AVERAGE(D7:D41), "—")</f>
        <v>1190.53125</v>
      </c>
      <c r="E42" s="14">
        <f>IF(COUNT(E7:E41) &gt; 0, AVERAGE(E7:E41), "—")</f>
        <v>42.348297585937509</v>
      </c>
      <c r="F42" s="16">
        <f>IF(COUNT(F7:F41) &gt; 0, SQRT(SUMSQ(F7:F41)/(COUNT(F7:F41)*COUNT(F7:F41)) ), "—")</f>
        <v>0.29362350100305645</v>
      </c>
      <c r="G42" s="14">
        <f>IF(COUNT(G7:G41) &gt; 0, AVERAGE(G7:G41), "—")</f>
        <v>57.651702414062505</v>
      </c>
      <c r="H42" s="16">
        <f>IF(COUNT(H7:H41) &gt; 0, SQRT(SUMSQ(H7:H41)/(COUNT(H7:H41)*COUNT(H7:H41)) ), "—")</f>
        <v>0.29362350100305645</v>
      </c>
      <c r="I42" s="14" t="str">
        <f>IF(COUNT(I7:I41) &gt; 0, AVERAGE(I7:I41), "—")</f>
        <v>—</v>
      </c>
      <c r="J42" s="16" t="str">
        <f>IF(COUNT(J7:J41) &gt; 0, SQRT(SUMSQ(J7:J41)/(COUNT(J7:J41)*COUNT(J7:J41)) ), "—")</f>
        <v>—</v>
      </c>
      <c r="K42" s="14">
        <f>IF(COUNT(K7:K41) &gt; 0, AVERAGE(K7:K41), "—")</f>
        <v>0</v>
      </c>
      <c r="L42" s="16">
        <f>IF(COUNT(L7:L41) &gt; 0, SQRT(SUMSQ(L7:L41)/(COUNT(L7:L41)*COUNT(L7:L41)) ), "—")</f>
        <v>0</v>
      </c>
      <c r="M42" s="14">
        <f>IF(COUNT(M7:M41) &gt; 0, AVERAGE(M7:M41), "—")</f>
        <v>0</v>
      </c>
      <c r="N42" s="16">
        <f>IF(COUNT(N7:N41) &gt; 0, SQRT(SUMSQ(N7:N41)/(COUNT(N7:N41)*COUNT(N7:N41)) ), "—")</f>
        <v>0</v>
      </c>
      <c r="O42" s="14">
        <f>IF(COUNT(O7:O41) &gt; 0, AVERAGE(O7:O41), "—")</f>
        <v>0</v>
      </c>
      <c r="P42" s="16">
        <f>IF(COUNT(P7:P41) &gt; 0, SQRT(SUMSQ(P7:P41)/(COUNT(P7:P41)*COUNT(P7:P41)) ), "—")</f>
        <v>0</v>
      </c>
      <c r="Q42" s="14">
        <f>IF(COUNT(Q7:Q41) &gt; 0, AVERAGE(Q7:Q41), "—")</f>
        <v>0</v>
      </c>
      <c r="R42" s="16">
        <f>IF(COUNT(R7:R41) &gt; 0, SQRT(SUMSQ(R7:R41)/(COUNT(R7:R41)*COUNT(R7:R41)) ), "—")</f>
        <v>0</v>
      </c>
    </row>
    <row r="43" spans="1:18" x14ac:dyDescent="0.25">
      <c r="A43" s="9" t="s">
        <v>176</v>
      </c>
      <c r="B43" s="10"/>
      <c r="C43" s="10"/>
      <c r="D43" s="11"/>
      <c r="E43" s="10"/>
      <c r="F43" s="11"/>
      <c r="G43" s="10"/>
      <c r="H43" s="11"/>
      <c r="I43" s="10"/>
      <c r="J43" s="11"/>
      <c r="K43" s="10"/>
      <c r="L43" s="11"/>
      <c r="M43" s="10"/>
      <c r="N43" s="11"/>
      <c r="O43" s="10"/>
      <c r="P43" s="11"/>
      <c r="Q43" s="10"/>
      <c r="R43" s="12"/>
    </row>
    <row r="44" spans="1:18" x14ac:dyDescent="0.25">
      <c r="A44" s="11" t="s">
        <v>177</v>
      </c>
      <c r="B44" s="17" t="s">
        <v>154</v>
      </c>
      <c r="C44" s="17" t="s">
        <v>154</v>
      </c>
      <c r="D44" s="18" t="s">
        <v>154</v>
      </c>
      <c r="E44" s="17" t="s">
        <v>154</v>
      </c>
      <c r="F44" s="18" t="s">
        <v>154</v>
      </c>
      <c r="G44" s="17" t="s">
        <v>154</v>
      </c>
      <c r="H44" s="18" t="s">
        <v>154</v>
      </c>
      <c r="I44" s="17" t="s">
        <v>154</v>
      </c>
      <c r="J44" s="18" t="s">
        <v>154</v>
      </c>
      <c r="K44" s="17" t="s">
        <v>154</v>
      </c>
      <c r="L44" s="18" t="s">
        <v>154</v>
      </c>
      <c r="M44" s="17" t="s">
        <v>154</v>
      </c>
      <c r="N44" s="18" t="s">
        <v>154</v>
      </c>
      <c r="O44" s="17" t="s">
        <v>154</v>
      </c>
      <c r="P44" s="18" t="s">
        <v>154</v>
      </c>
      <c r="Q44" s="17" t="s">
        <v>154</v>
      </c>
      <c r="R44" s="18" t="s">
        <v>154</v>
      </c>
    </row>
    <row r="45" spans="1:18" x14ac:dyDescent="0.25">
      <c r="A45" s="11" t="s">
        <v>178</v>
      </c>
      <c r="B45" s="17" t="s">
        <v>154</v>
      </c>
      <c r="C45" s="17" t="s">
        <v>154</v>
      </c>
      <c r="D45" s="18" t="s">
        <v>154</v>
      </c>
      <c r="E45" s="17" t="s">
        <v>154</v>
      </c>
      <c r="F45" s="18" t="s">
        <v>154</v>
      </c>
      <c r="G45" s="17" t="s">
        <v>154</v>
      </c>
      <c r="H45" s="18" t="s">
        <v>154</v>
      </c>
      <c r="I45" s="17" t="s">
        <v>154</v>
      </c>
      <c r="J45" s="18" t="s">
        <v>154</v>
      </c>
      <c r="K45" s="17" t="s">
        <v>154</v>
      </c>
      <c r="L45" s="18" t="s">
        <v>154</v>
      </c>
      <c r="M45" s="17" t="s">
        <v>154</v>
      </c>
      <c r="N45" s="18" t="s">
        <v>154</v>
      </c>
      <c r="O45" s="17" t="s">
        <v>154</v>
      </c>
      <c r="P45" s="18" t="s">
        <v>154</v>
      </c>
      <c r="Q45" s="17" t="s">
        <v>154</v>
      </c>
      <c r="R45" s="18" t="s">
        <v>154</v>
      </c>
    </row>
    <row r="46" spans="1:18" x14ac:dyDescent="0.25">
      <c r="A46" s="11" t="s">
        <v>179</v>
      </c>
      <c r="B46" s="13">
        <v>23141</v>
      </c>
      <c r="C46" s="14">
        <f>(20519/B46*100)</f>
        <v>88.669461129596812</v>
      </c>
      <c r="D46" s="15">
        <v>2622</v>
      </c>
      <c r="E46" s="14">
        <v>62.469295850000002</v>
      </c>
      <c r="F46" s="16">
        <v>1.3729873800000001</v>
      </c>
      <c r="G46" s="14">
        <v>37.530704149999998</v>
      </c>
      <c r="H46" s="16">
        <v>1.3729873800000001</v>
      </c>
      <c r="I46" s="14" t="s">
        <v>139</v>
      </c>
      <c r="J46" s="16" t="s">
        <v>139</v>
      </c>
      <c r="K46" s="14">
        <v>0</v>
      </c>
      <c r="L46" s="16">
        <v>0</v>
      </c>
      <c r="M46" s="14">
        <v>0</v>
      </c>
      <c r="N46" s="16">
        <v>0</v>
      </c>
      <c r="O46" s="14">
        <v>0</v>
      </c>
      <c r="P46" s="16">
        <v>0</v>
      </c>
      <c r="Q46" s="14">
        <v>0</v>
      </c>
      <c r="R46" s="16">
        <v>0</v>
      </c>
    </row>
    <row r="47" spans="1:18" x14ac:dyDescent="0.25">
      <c r="A47" s="11" t="s">
        <v>180</v>
      </c>
      <c r="B47" s="13">
        <v>5928</v>
      </c>
      <c r="C47" s="14">
        <f>(4996/B47*100)</f>
        <v>84.278002699055335</v>
      </c>
      <c r="D47" s="15">
        <v>932</v>
      </c>
      <c r="E47" s="14">
        <v>38.608020170000003</v>
      </c>
      <c r="F47" s="16">
        <v>1.8294275799999999</v>
      </c>
      <c r="G47" s="14">
        <v>61.391979829999997</v>
      </c>
      <c r="H47" s="16">
        <v>1.8294275799999999</v>
      </c>
      <c r="I47" s="14" t="s">
        <v>139</v>
      </c>
      <c r="J47" s="16" t="s">
        <v>139</v>
      </c>
      <c r="K47" s="14">
        <v>0</v>
      </c>
      <c r="L47" s="16">
        <v>0</v>
      </c>
      <c r="M47" s="14">
        <v>0</v>
      </c>
      <c r="N47" s="16">
        <v>0</v>
      </c>
      <c r="O47" s="14">
        <v>0</v>
      </c>
      <c r="P47" s="16">
        <v>0</v>
      </c>
      <c r="Q47" s="14">
        <v>0</v>
      </c>
      <c r="R47" s="16">
        <v>0</v>
      </c>
    </row>
    <row r="48" spans="1:18" x14ac:dyDescent="0.25">
      <c r="A48" s="11" t="s">
        <v>181</v>
      </c>
      <c r="B48" s="13">
        <v>9841</v>
      </c>
      <c r="C48" s="14">
        <f>(8165/B48*100)</f>
        <v>82.969210446092873</v>
      </c>
      <c r="D48" s="15">
        <v>1676</v>
      </c>
      <c r="E48" s="14">
        <v>58.087565990000002</v>
      </c>
      <c r="F48" s="16">
        <v>1.2702946399999999</v>
      </c>
      <c r="G48" s="14">
        <v>41.912434009999998</v>
      </c>
      <c r="H48" s="16">
        <v>1.2702946399999999</v>
      </c>
      <c r="I48" s="14" t="s">
        <v>139</v>
      </c>
      <c r="J48" s="16" t="s">
        <v>139</v>
      </c>
      <c r="K48" s="14">
        <v>0</v>
      </c>
      <c r="L48" s="16">
        <v>0</v>
      </c>
      <c r="M48" s="14">
        <v>0</v>
      </c>
      <c r="N48" s="16">
        <v>0</v>
      </c>
      <c r="O48" s="14">
        <v>0</v>
      </c>
      <c r="P48" s="16">
        <v>0</v>
      </c>
      <c r="Q48" s="14">
        <v>0</v>
      </c>
      <c r="R48" s="16">
        <v>0</v>
      </c>
    </row>
    <row r="49" spans="1:18" x14ac:dyDescent="0.25">
      <c r="A49" s="11" t="s">
        <v>182</v>
      </c>
      <c r="B49" s="17" t="s">
        <v>154</v>
      </c>
      <c r="C49" s="17" t="s">
        <v>154</v>
      </c>
      <c r="D49" s="18" t="s">
        <v>154</v>
      </c>
      <c r="E49" s="17" t="s">
        <v>154</v>
      </c>
      <c r="F49" s="18" t="s">
        <v>154</v>
      </c>
      <c r="G49" s="17" t="s">
        <v>154</v>
      </c>
      <c r="H49" s="18" t="s">
        <v>154</v>
      </c>
      <c r="I49" s="17" t="s">
        <v>154</v>
      </c>
      <c r="J49" s="18" t="s">
        <v>154</v>
      </c>
      <c r="K49" s="17" t="s">
        <v>154</v>
      </c>
      <c r="L49" s="18" t="s">
        <v>154</v>
      </c>
      <c r="M49" s="17" t="s">
        <v>154</v>
      </c>
      <c r="N49" s="18" t="s">
        <v>154</v>
      </c>
      <c r="O49" s="17" t="s">
        <v>154</v>
      </c>
      <c r="P49" s="18" t="s">
        <v>154</v>
      </c>
      <c r="Q49" s="17" t="s">
        <v>154</v>
      </c>
      <c r="R49" s="18" t="s">
        <v>154</v>
      </c>
    </row>
    <row r="50" spans="1:18" x14ac:dyDescent="0.25">
      <c r="A50" s="11" t="s">
        <v>183</v>
      </c>
      <c r="B50" s="13">
        <v>11795</v>
      </c>
      <c r="C50" s="14">
        <f>(9985/B50*100)</f>
        <v>84.654514624841042</v>
      </c>
      <c r="D50" s="15">
        <v>1810</v>
      </c>
      <c r="E50" s="14">
        <v>39.193847390000002</v>
      </c>
      <c r="F50" s="16">
        <v>1.46870105</v>
      </c>
      <c r="G50" s="14">
        <v>60.806152609999998</v>
      </c>
      <c r="H50" s="16">
        <v>1.46870105</v>
      </c>
      <c r="I50" s="14" t="s">
        <v>139</v>
      </c>
      <c r="J50" s="16" t="s">
        <v>139</v>
      </c>
      <c r="K50" s="14">
        <v>0</v>
      </c>
      <c r="L50" s="16">
        <v>0</v>
      </c>
      <c r="M50" s="14">
        <v>0</v>
      </c>
      <c r="N50" s="16">
        <v>0</v>
      </c>
      <c r="O50" s="14">
        <v>0</v>
      </c>
      <c r="P50" s="16">
        <v>0</v>
      </c>
      <c r="Q50" s="14">
        <v>0</v>
      </c>
      <c r="R50" s="16">
        <v>0</v>
      </c>
    </row>
    <row r="51" spans="1:18" x14ac:dyDescent="0.25">
      <c r="A51" s="11" t="s">
        <v>184</v>
      </c>
      <c r="B51" s="13">
        <v>6866</v>
      </c>
      <c r="C51" s="14">
        <f>(5942/B51*100)</f>
        <v>86.542382755607335</v>
      </c>
      <c r="D51" s="15">
        <v>924</v>
      </c>
      <c r="E51" s="14">
        <v>39.741493810000001</v>
      </c>
      <c r="F51" s="16">
        <v>1.7599802600000001</v>
      </c>
      <c r="G51" s="14">
        <v>60.258506189999999</v>
      </c>
      <c r="H51" s="16">
        <v>1.7599802600000001</v>
      </c>
      <c r="I51" s="14" t="s">
        <v>139</v>
      </c>
      <c r="J51" s="16" t="s">
        <v>139</v>
      </c>
      <c r="K51" s="14">
        <v>0</v>
      </c>
      <c r="L51" s="16">
        <v>0</v>
      </c>
      <c r="M51" s="14">
        <v>0</v>
      </c>
      <c r="N51" s="16">
        <v>0</v>
      </c>
      <c r="O51" s="14">
        <v>0</v>
      </c>
      <c r="P51" s="16">
        <v>0</v>
      </c>
      <c r="Q51" s="14">
        <v>0</v>
      </c>
      <c r="R51" s="16">
        <v>0</v>
      </c>
    </row>
    <row r="52" spans="1:18" x14ac:dyDescent="0.25">
      <c r="A52" s="11" t="s">
        <v>185</v>
      </c>
      <c r="B52" s="13">
        <v>5809</v>
      </c>
      <c r="C52" s="14">
        <f>(4824/B52*100)</f>
        <v>83.043553107247376</v>
      </c>
      <c r="D52" s="15">
        <v>985</v>
      </c>
      <c r="E52" s="14">
        <v>47.118548820000001</v>
      </c>
      <c r="F52" s="16">
        <v>1.66493202</v>
      </c>
      <c r="G52" s="14">
        <v>52.881451179999999</v>
      </c>
      <c r="H52" s="16">
        <v>1.66493202</v>
      </c>
      <c r="I52" s="14" t="s">
        <v>139</v>
      </c>
      <c r="J52" s="16" t="s">
        <v>139</v>
      </c>
      <c r="K52" s="14">
        <v>0</v>
      </c>
      <c r="L52" s="16">
        <v>0</v>
      </c>
      <c r="M52" s="14">
        <v>0</v>
      </c>
      <c r="N52" s="16">
        <v>0</v>
      </c>
      <c r="O52" s="14">
        <v>0</v>
      </c>
      <c r="P52" s="16">
        <v>0</v>
      </c>
      <c r="Q52" s="14">
        <v>0</v>
      </c>
      <c r="R52" s="16">
        <v>0</v>
      </c>
    </row>
    <row r="53" spans="1:18" x14ac:dyDescent="0.25">
      <c r="A53" s="11" t="s">
        <v>186</v>
      </c>
      <c r="B53" s="13">
        <v>5571</v>
      </c>
      <c r="C53" s="14">
        <f>(4639/B53*100)</f>
        <v>83.270507987793934</v>
      </c>
      <c r="D53" s="15">
        <v>932</v>
      </c>
      <c r="E53" s="14">
        <v>49.406987399999998</v>
      </c>
      <c r="F53" s="16">
        <v>1.52541723</v>
      </c>
      <c r="G53" s="14">
        <v>50.593012600000002</v>
      </c>
      <c r="H53" s="16">
        <v>1.52541723</v>
      </c>
      <c r="I53" s="14" t="s">
        <v>139</v>
      </c>
      <c r="J53" s="16" t="s">
        <v>139</v>
      </c>
      <c r="K53" s="14">
        <v>0</v>
      </c>
      <c r="L53" s="16">
        <v>0</v>
      </c>
      <c r="M53" s="14">
        <v>0</v>
      </c>
      <c r="N53" s="16">
        <v>0</v>
      </c>
      <c r="O53" s="14">
        <v>0</v>
      </c>
      <c r="P53" s="16">
        <v>0</v>
      </c>
      <c r="Q53" s="14">
        <v>0</v>
      </c>
      <c r="R53" s="16">
        <v>0</v>
      </c>
    </row>
    <row r="54" spans="1:18" x14ac:dyDescent="0.25">
      <c r="A54" s="11" t="s">
        <v>187</v>
      </c>
      <c r="B54" s="17" t="s">
        <v>154</v>
      </c>
      <c r="C54" s="17" t="s">
        <v>154</v>
      </c>
      <c r="D54" s="18" t="s">
        <v>154</v>
      </c>
      <c r="E54" s="17" t="s">
        <v>154</v>
      </c>
      <c r="F54" s="18" t="s">
        <v>154</v>
      </c>
      <c r="G54" s="17" t="s">
        <v>154</v>
      </c>
      <c r="H54" s="18" t="s">
        <v>154</v>
      </c>
      <c r="I54" s="17" t="s">
        <v>154</v>
      </c>
      <c r="J54" s="18" t="s">
        <v>154</v>
      </c>
      <c r="K54" s="17" t="s">
        <v>154</v>
      </c>
      <c r="L54" s="18" t="s">
        <v>154</v>
      </c>
      <c r="M54" s="17" t="s">
        <v>154</v>
      </c>
      <c r="N54" s="18" t="s">
        <v>154</v>
      </c>
      <c r="O54" s="17" t="s">
        <v>154</v>
      </c>
      <c r="P54" s="18" t="s">
        <v>154</v>
      </c>
      <c r="Q54" s="17" t="s">
        <v>154</v>
      </c>
      <c r="R54" s="18" t="s">
        <v>154</v>
      </c>
    </row>
    <row r="55" spans="1:18" x14ac:dyDescent="0.25">
      <c r="A55" s="11" t="s">
        <v>188</v>
      </c>
      <c r="B55" s="17" t="s">
        <v>154</v>
      </c>
      <c r="C55" s="17" t="s">
        <v>154</v>
      </c>
      <c r="D55" s="18" t="s">
        <v>154</v>
      </c>
      <c r="E55" s="17" t="s">
        <v>154</v>
      </c>
      <c r="F55" s="18" t="s">
        <v>154</v>
      </c>
      <c r="G55" s="17" t="s">
        <v>154</v>
      </c>
      <c r="H55" s="18" t="s">
        <v>154</v>
      </c>
      <c r="I55" s="17" t="s">
        <v>154</v>
      </c>
      <c r="J55" s="18" t="s">
        <v>154</v>
      </c>
      <c r="K55" s="17" t="s">
        <v>154</v>
      </c>
      <c r="L55" s="18" t="s">
        <v>154</v>
      </c>
      <c r="M55" s="17" t="s">
        <v>154</v>
      </c>
      <c r="N55" s="18" t="s">
        <v>154</v>
      </c>
      <c r="O55" s="17" t="s">
        <v>154</v>
      </c>
      <c r="P55" s="18" t="s">
        <v>154</v>
      </c>
      <c r="Q55" s="17" t="s">
        <v>154</v>
      </c>
      <c r="R55" s="18" t="s">
        <v>154</v>
      </c>
    </row>
    <row r="56" spans="1:18" x14ac:dyDescent="0.25">
      <c r="A56" s="11" t="s">
        <v>189</v>
      </c>
      <c r="B56" s="13">
        <v>5359</v>
      </c>
      <c r="C56" s="14">
        <f>(4451/B56*100)</f>
        <v>83.056540399328242</v>
      </c>
      <c r="D56" s="15">
        <v>908</v>
      </c>
      <c r="E56" s="14">
        <v>38.267651549999997</v>
      </c>
      <c r="F56" s="16">
        <v>1.7916596499999999</v>
      </c>
      <c r="G56" s="14">
        <v>61.732348450000003</v>
      </c>
      <c r="H56" s="16">
        <v>1.7916596499999999</v>
      </c>
      <c r="I56" s="14" t="s">
        <v>139</v>
      </c>
      <c r="J56" s="16" t="s">
        <v>139</v>
      </c>
      <c r="K56" s="14">
        <v>0</v>
      </c>
      <c r="L56" s="16">
        <v>0</v>
      </c>
      <c r="M56" s="14">
        <v>0</v>
      </c>
      <c r="N56" s="16">
        <v>0</v>
      </c>
      <c r="O56" s="14">
        <v>0</v>
      </c>
      <c r="P56" s="16">
        <v>0</v>
      </c>
      <c r="Q56" s="14">
        <v>0</v>
      </c>
      <c r="R56" s="16">
        <v>0</v>
      </c>
    </row>
    <row r="57" spans="1:18" x14ac:dyDescent="0.25">
      <c r="A57" s="11" t="s">
        <v>190</v>
      </c>
      <c r="B57" s="17" t="s">
        <v>154</v>
      </c>
      <c r="C57" s="17" t="s">
        <v>154</v>
      </c>
      <c r="D57" s="18" t="s">
        <v>154</v>
      </c>
      <c r="E57" s="17" t="s">
        <v>154</v>
      </c>
      <c r="F57" s="18" t="s">
        <v>154</v>
      </c>
      <c r="G57" s="17" t="s">
        <v>154</v>
      </c>
      <c r="H57" s="18" t="s">
        <v>154</v>
      </c>
      <c r="I57" s="17" t="s">
        <v>154</v>
      </c>
      <c r="J57" s="18" t="s">
        <v>154</v>
      </c>
      <c r="K57" s="17" t="s">
        <v>154</v>
      </c>
      <c r="L57" s="18" t="s">
        <v>154</v>
      </c>
      <c r="M57" s="17" t="s">
        <v>154</v>
      </c>
      <c r="N57" s="18" t="s">
        <v>154</v>
      </c>
      <c r="O57" s="17" t="s">
        <v>154</v>
      </c>
      <c r="P57" s="18" t="s">
        <v>154</v>
      </c>
      <c r="Q57" s="17" t="s">
        <v>154</v>
      </c>
      <c r="R57" s="18" t="s">
        <v>154</v>
      </c>
    </row>
    <row r="58" spans="1:18" x14ac:dyDescent="0.25">
      <c r="A58" s="11" t="s">
        <v>191</v>
      </c>
      <c r="B58" s="17" t="s">
        <v>154</v>
      </c>
      <c r="C58" s="17" t="s">
        <v>154</v>
      </c>
      <c r="D58" s="18" t="s">
        <v>154</v>
      </c>
      <c r="E58" s="17" t="s">
        <v>154</v>
      </c>
      <c r="F58" s="18" t="s">
        <v>154</v>
      </c>
      <c r="G58" s="17" t="s">
        <v>154</v>
      </c>
      <c r="H58" s="18" t="s">
        <v>154</v>
      </c>
      <c r="I58" s="17" t="s">
        <v>154</v>
      </c>
      <c r="J58" s="18" t="s">
        <v>154</v>
      </c>
      <c r="K58" s="17" t="s">
        <v>154</v>
      </c>
      <c r="L58" s="18" t="s">
        <v>154</v>
      </c>
      <c r="M58" s="17" t="s">
        <v>154</v>
      </c>
      <c r="N58" s="18" t="s">
        <v>154</v>
      </c>
      <c r="O58" s="17" t="s">
        <v>154</v>
      </c>
      <c r="P58" s="18" t="s">
        <v>154</v>
      </c>
      <c r="Q58" s="17" t="s">
        <v>154</v>
      </c>
      <c r="R58" s="18" t="s">
        <v>154</v>
      </c>
    </row>
    <row r="59" spans="1:18" x14ac:dyDescent="0.25">
      <c r="A59" s="11" t="s">
        <v>192</v>
      </c>
      <c r="B59" s="17" t="s">
        <v>154</v>
      </c>
      <c r="C59" s="17" t="s">
        <v>154</v>
      </c>
      <c r="D59" s="18" t="s">
        <v>154</v>
      </c>
      <c r="E59" s="17" t="s">
        <v>154</v>
      </c>
      <c r="F59" s="18" t="s">
        <v>154</v>
      </c>
      <c r="G59" s="17" t="s">
        <v>154</v>
      </c>
      <c r="H59" s="18" t="s">
        <v>154</v>
      </c>
      <c r="I59" s="17" t="s">
        <v>154</v>
      </c>
      <c r="J59" s="18" t="s">
        <v>154</v>
      </c>
      <c r="K59" s="17" t="s">
        <v>154</v>
      </c>
      <c r="L59" s="18" t="s">
        <v>154</v>
      </c>
      <c r="M59" s="17" t="s">
        <v>154</v>
      </c>
      <c r="N59" s="18" t="s">
        <v>154</v>
      </c>
      <c r="O59" s="17" t="s">
        <v>154</v>
      </c>
      <c r="P59" s="18" t="s">
        <v>154</v>
      </c>
      <c r="Q59" s="17" t="s">
        <v>154</v>
      </c>
      <c r="R59" s="18" t="s">
        <v>154</v>
      </c>
    </row>
    <row r="60" spans="1:18" x14ac:dyDescent="0.25">
      <c r="A60" s="11" t="s">
        <v>193</v>
      </c>
      <c r="B60" s="17" t="s">
        <v>154</v>
      </c>
      <c r="C60" s="17" t="s">
        <v>154</v>
      </c>
      <c r="D60" s="18" t="s">
        <v>154</v>
      </c>
      <c r="E60" s="17" t="s">
        <v>154</v>
      </c>
      <c r="F60" s="18" t="s">
        <v>154</v>
      </c>
      <c r="G60" s="17" t="s">
        <v>154</v>
      </c>
      <c r="H60" s="18" t="s">
        <v>154</v>
      </c>
      <c r="I60" s="17" t="s">
        <v>154</v>
      </c>
      <c r="J60" s="18" t="s">
        <v>154</v>
      </c>
      <c r="K60" s="17" t="s">
        <v>154</v>
      </c>
      <c r="L60" s="18" t="s">
        <v>154</v>
      </c>
      <c r="M60" s="17" t="s">
        <v>154</v>
      </c>
      <c r="N60" s="18" t="s">
        <v>154</v>
      </c>
      <c r="O60" s="17" t="s">
        <v>154</v>
      </c>
      <c r="P60" s="18" t="s">
        <v>154</v>
      </c>
      <c r="Q60" s="17" t="s">
        <v>154</v>
      </c>
      <c r="R60" s="18" t="s">
        <v>154</v>
      </c>
    </row>
    <row r="61" spans="1:18" x14ac:dyDescent="0.25">
      <c r="A61" s="11" t="s">
        <v>194</v>
      </c>
      <c r="B61" s="13">
        <v>6525</v>
      </c>
      <c r="C61" s="14">
        <f>(5436/B61*100)</f>
        <v>83.310344827586206</v>
      </c>
      <c r="D61" s="15">
        <v>1089</v>
      </c>
      <c r="E61" s="14">
        <v>39.116551809999997</v>
      </c>
      <c r="F61" s="16">
        <v>1.49999265</v>
      </c>
      <c r="G61" s="14">
        <v>60.883448190000003</v>
      </c>
      <c r="H61" s="16">
        <v>1.49999265</v>
      </c>
      <c r="I61" s="14" t="s">
        <v>139</v>
      </c>
      <c r="J61" s="16" t="s">
        <v>139</v>
      </c>
      <c r="K61" s="14">
        <v>0</v>
      </c>
      <c r="L61" s="16">
        <v>0</v>
      </c>
      <c r="M61" s="14">
        <v>0</v>
      </c>
      <c r="N61" s="16">
        <v>0</v>
      </c>
      <c r="O61" s="14">
        <v>0</v>
      </c>
      <c r="P61" s="16">
        <v>0</v>
      </c>
      <c r="Q61" s="14">
        <v>0</v>
      </c>
      <c r="R61" s="16">
        <v>0</v>
      </c>
    </row>
    <row r="62" spans="1:18" x14ac:dyDescent="0.25">
      <c r="A62" s="11" t="s">
        <v>195</v>
      </c>
      <c r="B62" s="13">
        <v>4476</v>
      </c>
      <c r="C62" s="14">
        <f>(3709/B62*100)</f>
        <v>82.864164432529037</v>
      </c>
      <c r="D62" s="15">
        <v>767</v>
      </c>
      <c r="E62" s="14">
        <v>35.239408679999997</v>
      </c>
      <c r="F62" s="16">
        <v>1.88973737</v>
      </c>
      <c r="G62" s="14">
        <v>64.760591320000003</v>
      </c>
      <c r="H62" s="16">
        <v>1.88973737</v>
      </c>
      <c r="I62" s="14" t="s">
        <v>139</v>
      </c>
      <c r="J62" s="16" t="s">
        <v>139</v>
      </c>
      <c r="K62" s="14">
        <v>0</v>
      </c>
      <c r="L62" s="16">
        <v>0</v>
      </c>
      <c r="M62" s="14">
        <v>0</v>
      </c>
      <c r="N62" s="16">
        <v>0</v>
      </c>
      <c r="O62" s="14">
        <v>0</v>
      </c>
      <c r="P62" s="16">
        <v>0</v>
      </c>
      <c r="Q62" s="14">
        <v>0</v>
      </c>
      <c r="R62" s="16">
        <v>0</v>
      </c>
    </row>
    <row r="63" spans="1:18" x14ac:dyDescent="0.25">
      <c r="A63" s="11" t="s">
        <v>196</v>
      </c>
      <c r="B63" s="17" t="s">
        <v>154</v>
      </c>
      <c r="C63" s="17" t="s">
        <v>154</v>
      </c>
      <c r="D63" s="18" t="s">
        <v>154</v>
      </c>
      <c r="E63" s="17" t="s">
        <v>154</v>
      </c>
      <c r="F63" s="18" t="s">
        <v>154</v>
      </c>
      <c r="G63" s="17" t="s">
        <v>154</v>
      </c>
      <c r="H63" s="18" t="s">
        <v>154</v>
      </c>
      <c r="I63" s="17" t="s">
        <v>154</v>
      </c>
      <c r="J63" s="18" t="s">
        <v>154</v>
      </c>
      <c r="K63" s="17" t="s">
        <v>154</v>
      </c>
      <c r="L63" s="18" t="s">
        <v>154</v>
      </c>
      <c r="M63" s="17" t="s">
        <v>154</v>
      </c>
      <c r="N63" s="18" t="s">
        <v>154</v>
      </c>
      <c r="O63" s="17" t="s">
        <v>154</v>
      </c>
      <c r="P63" s="18" t="s">
        <v>154</v>
      </c>
      <c r="Q63" s="17" t="s">
        <v>154</v>
      </c>
      <c r="R63" s="18" t="s">
        <v>154</v>
      </c>
    </row>
    <row r="64" spans="1:18" x14ac:dyDescent="0.25">
      <c r="A64" s="11" t="s">
        <v>197</v>
      </c>
      <c r="B64" s="17" t="s">
        <v>154</v>
      </c>
      <c r="C64" s="17" t="s">
        <v>154</v>
      </c>
      <c r="D64" s="18" t="s">
        <v>154</v>
      </c>
      <c r="E64" s="17" t="s">
        <v>154</v>
      </c>
      <c r="F64" s="18" t="s">
        <v>154</v>
      </c>
      <c r="G64" s="17" t="s">
        <v>154</v>
      </c>
      <c r="H64" s="18" t="s">
        <v>154</v>
      </c>
      <c r="I64" s="17" t="s">
        <v>154</v>
      </c>
      <c r="J64" s="18" t="s">
        <v>154</v>
      </c>
      <c r="K64" s="17" t="s">
        <v>154</v>
      </c>
      <c r="L64" s="18" t="s">
        <v>154</v>
      </c>
      <c r="M64" s="17" t="s">
        <v>154</v>
      </c>
      <c r="N64" s="18" t="s">
        <v>154</v>
      </c>
      <c r="O64" s="17" t="s">
        <v>154</v>
      </c>
      <c r="P64" s="18" t="s">
        <v>154</v>
      </c>
      <c r="Q64" s="17" t="s">
        <v>154</v>
      </c>
      <c r="R64" s="18" t="s">
        <v>154</v>
      </c>
    </row>
    <row r="65" spans="1:18" x14ac:dyDescent="0.25">
      <c r="A65" s="11" t="s">
        <v>198</v>
      </c>
      <c r="B65" s="17" t="s">
        <v>154</v>
      </c>
      <c r="C65" s="17" t="s">
        <v>154</v>
      </c>
      <c r="D65" s="18" t="s">
        <v>154</v>
      </c>
      <c r="E65" s="17" t="s">
        <v>154</v>
      </c>
      <c r="F65" s="18" t="s">
        <v>154</v>
      </c>
      <c r="G65" s="17" t="s">
        <v>154</v>
      </c>
      <c r="H65" s="18" t="s">
        <v>154</v>
      </c>
      <c r="I65" s="17" t="s">
        <v>154</v>
      </c>
      <c r="J65" s="18" t="s">
        <v>154</v>
      </c>
      <c r="K65" s="17" t="s">
        <v>154</v>
      </c>
      <c r="L65" s="18" t="s">
        <v>154</v>
      </c>
      <c r="M65" s="17" t="s">
        <v>154</v>
      </c>
      <c r="N65" s="18" t="s">
        <v>154</v>
      </c>
      <c r="O65" s="17" t="s">
        <v>154</v>
      </c>
      <c r="P65" s="18" t="s">
        <v>154</v>
      </c>
      <c r="Q65" s="17" t="s">
        <v>154</v>
      </c>
      <c r="R65" s="18" t="s">
        <v>154</v>
      </c>
    </row>
    <row r="66" spans="1:18" x14ac:dyDescent="0.25">
      <c r="A66" s="11" t="s">
        <v>199</v>
      </c>
      <c r="B66" s="13">
        <v>5665</v>
      </c>
      <c r="C66" s="14">
        <f>(4753/B66*100)</f>
        <v>83.901147396293027</v>
      </c>
      <c r="D66" s="15">
        <v>912</v>
      </c>
      <c r="E66" s="14">
        <v>56.034846979999998</v>
      </c>
      <c r="F66" s="16">
        <v>1.6351484199999999</v>
      </c>
      <c r="G66" s="14">
        <v>43.965153020000002</v>
      </c>
      <c r="H66" s="16">
        <v>1.6351484199999999</v>
      </c>
      <c r="I66" s="14" t="s">
        <v>139</v>
      </c>
      <c r="J66" s="16" t="s">
        <v>139</v>
      </c>
      <c r="K66" s="14">
        <v>0</v>
      </c>
      <c r="L66" s="16">
        <v>0</v>
      </c>
      <c r="M66" s="14">
        <v>0</v>
      </c>
      <c r="N66" s="16">
        <v>0</v>
      </c>
      <c r="O66" s="14">
        <v>0</v>
      </c>
      <c r="P66" s="16">
        <v>0</v>
      </c>
      <c r="Q66" s="14">
        <v>0</v>
      </c>
      <c r="R66" s="16">
        <v>0</v>
      </c>
    </row>
    <row r="67" spans="1:18" x14ac:dyDescent="0.25">
      <c r="A67" s="11" t="s">
        <v>200</v>
      </c>
      <c r="B67" s="13">
        <v>6971</v>
      </c>
      <c r="C67" s="14">
        <f>(6054/B67*100)</f>
        <v>86.845502797303112</v>
      </c>
      <c r="D67" s="15">
        <v>917</v>
      </c>
      <c r="E67" s="14">
        <v>38.476246140000001</v>
      </c>
      <c r="F67" s="16">
        <v>1.70274444</v>
      </c>
      <c r="G67" s="14">
        <v>61.523753859999999</v>
      </c>
      <c r="H67" s="16">
        <v>1.70274444</v>
      </c>
      <c r="I67" s="14" t="s">
        <v>139</v>
      </c>
      <c r="J67" s="16" t="s">
        <v>139</v>
      </c>
      <c r="K67" s="14">
        <v>0</v>
      </c>
      <c r="L67" s="16">
        <v>0</v>
      </c>
      <c r="M67" s="14">
        <v>0</v>
      </c>
      <c r="N67" s="16">
        <v>0</v>
      </c>
      <c r="O67" s="14">
        <v>0</v>
      </c>
      <c r="P67" s="16">
        <v>0</v>
      </c>
      <c r="Q67" s="14">
        <v>0</v>
      </c>
      <c r="R67" s="16">
        <v>0</v>
      </c>
    </row>
    <row r="68" spans="1:18" x14ac:dyDescent="0.25">
      <c r="A68" s="11" t="s">
        <v>201</v>
      </c>
      <c r="B68" s="17" t="s">
        <v>154</v>
      </c>
      <c r="C68" s="17" t="s">
        <v>154</v>
      </c>
      <c r="D68" s="18" t="s">
        <v>154</v>
      </c>
      <c r="E68" s="17" t="s">
        <v>154</v>
      </c>
      <c r="F68" s="18" t="s">
        <v>154</v>
      </c>
      <c r="G68" s="17" t="s">
        <v>154</v>
      </c>
      <c r="H68" s="18" t="s">
        <v>154</v>
      </c>
      <c r="I68" s="17" t="s">
        <v>154</v>
      </c>
      <c r="J68" s="18" t="s">
        <v>154</v>
      </c>
      <c r="K68" s="17" t="s">
        <v>154</v>
      </c>
      <c r="L68" s="18" t="s">
        <v>154</v>
      </c>
      <c r="M68" s="17" t="s">
        <v>154</v>
      </c>
      <c r="N68" s="18" t="s">
        <v>154</v>
      </c>
      <c r="O68" s="17" t="s">
        <v>154</v>
      </c>
      <c r="P68" s="18" t="s">
        <v>154</v>
      </c>
      <c r="Q68" s="17" t="s">
        <v>154</v>
      </c>
      <c r="R68" s="18" t="s">
        <v>154</v>
      </c>
    </row>
    <row r="69" spans="1:18" x14ac:dyDescent="0.25">
      <c r="A69" s="11" t="s">
        <v>202</v>
      </c>
      <c r="B69" s="17" t="s">
        <v>154</v>
      </c>
      <c r="C69" s="17" t="s">
        <v>154</v>
      </c>
      <c r="D69" s="18" t="s">
        <v>154</v>
      </c>
      <c r="E69" s="17" t="s">
        <v>154</v>
      </c>
      <c r="F69" s="18" t="s">
        <v>154</v>
      </c>
      <c r="G69" s="17" t="s">
        <v>154</v>
      </c>
      <c r="H69" s="18" t="s">
        <v>154</v>
      </c>
      <c r="I69" s="17" t="s">
        <v>154</v>
      </c>
      <c r="J69" s="18" t="s">
        <v>154</v>
      </c>
      <c r="K69" s="17" t="s">
        <v>154</v>
      </c>
      <c r="L69" s="18" t="s">
        <v>154</v>
      </c>
      <c r="M69" s="17" t="s">
        <v>154</v>
      </c>
      <c r="N69" s="18" t="s">
        <v>154</v>
      </c>
      <c r="O69" s="17" t="s">
        <v>154</v>
      </c>
      <c r="P69" s="18" t="s">
        <v>154</v>
      </c>
      <c r="Q69" s="17" t="s">
        <v>154</v>
      </c>
      <c r="R69" s="18" t="s">
        <v>154</v>
      </c>
    </row>
    <row r="70" spans="1:18" x14ac:dyDescent="0.25">
      <c r="A70" s="11" t="s">
        <v>203</v>
      </c>
      <c r="B70" s="13">
        <v>6036</v>
      </c>
      <c r="C70" s="14">
        <f>(5065/B70*100)</f>
        <v>83.913187541418154</v>
      </c>
      <c r="D70" s="15">
        <v>971</v>
      </c>
      <c r="E70" s="14">
        <v>30.00335827</v>
      </c>
      <c r="F70" s="16">
        <v>1.375888</v>
      </c>
      <c r="G70" s="14">
        <v>69.996641729999993</v>
      </c>
      <c r="H70" s="16">
        <v>1.375888</v>
      </c>
      <c r="I70" s="14" t="s">
        <v>139</v>
      </c>
      <c r="J70" s="16" t="s">
        <v>139</v>
      </c>
      <c r="K70" s="14">
        <v>0</v>
      </c>
      <c r="L70" s="16">
        <v>0</v>
      </c>
      <c r="M70" s="14">
        <v>0</v>
      </c>
      <c r="N70" s="16">
        <v>0</v>
      </c>
      <c r="O70" s="14">
        <v>0</v>
      </c>
      <c r="P70" s="16">
        <v>0</v>
      </c>
      <c r="Q70" s="14">
        <v>0</v>
      </c>
      <c r="R70" s="16">
        <v>0</v>
      </c>
    </row>
    <row r="71" spans="1:18" x14ac:dyDescent="0.25">
      <c r="A71" s="11" t="s">
        <v>204</v>
      </c>
      <c r="B71" s="17" t="s">
        <v>154</v>
      </c>
      <c r="C71" s="17" t="s">
        <v>154</v>
      </c>
      <c r="D71" s="18" t="s">
        <v>154</v>
      </c>
      <c r="E71" s="17" t="s">
        <v>154</v>
      </c>
      <c r="F71" s="18" t="s">
        <v>154</v>
      </c>
      <c r="G71" s="17" t="s">
        <v>154</v>
      </c>
      <c r="H71" s="18" t="s">
        <v>154</v>
      </c>
      <c r="I71" s="17" t="s">
        <v>154</v>
      </c>
      <c r="J71" s="18" t="s">
        <v>154</v>
      </c>
      <c r="K71" s="17" t="s">
        <v>154</v>
      </c>
      <c r="L71" s="18" t="s">
        <v>154</v>
      </c>
      <c r="M71" s="17" t="s">
        <v>154</v>
      </c>
      <c r="N71" s="18" t="s">
        <v>154</v>
      </c>
      <c r="O71" s="17" t="s">
        <v>154</v>
      </c>
      <c r="P71" s="18" t="s">
        <v>154</v>
      </c>
      <c r="Q71" s="17" t="s">
        <v>154</v>
      </c>
      <c r="R71" s="18" t="s">
        <v>154</v>
      </c>
    </row>
    <row r="72" spans="1:18" x14ac:dyDescent="0.25">
      <c r="A72" s="11" t="s">
        <v>205</v>
      </c>
      <c r="B72" s="13">
        <v>7708</v>
      </c>
      <c r="C72" s="14">
        <f>(6396/B72*100)</f>
        <v>82.978723404255319</v>
      </c>
      <c r="D72" s="15">
        <v>1312</v>
      </c>
      <c r="E72" s="14">
        <v>75.806050249999998</v>
      </c>
      <c r="F72" s="16">
        <v>1.3297215099999999</v>
      </c>
      <c r="G72" s="14">
        <v>24.193949750000002</v>
      </c>
      <c r="H72" s="16">
        <v>1.3297215099999999</v>
      </c>
      <c r="I72" s="14" t="s">
        <v>139</v>
      </c>
      <c r="J72" s="16" t="s">
        <v>139</v>
      </c>
      <c r="K72" s="14">
        <v>0</v>
      </c>
      <c r="L72" s="16">
        <v>0</v>
      </c>
      <c r="M72" s="14">
        <v>0</v>
      </c>
      <c r="N72" s="16">
        <v>0</v>
      </c>
      <c r="O72" s="14">
        <v>0</v>
      </c>
      <c r="P72" s="16">
        <v>0</v>
      </c>
      <c r="Q72" s="14">
        <v>0</v>
      </c>
      <c r="R72" s="16">
        <v>0</v>
      </c>
    </row>
    <row r="73" spans="1:18" x14ac:dyDescent="0.25">
      <c r="A73" s="11" t="s">
        <v>206</v>
      </c>
      <c r="B73" s="13">
        <v>8249</v>
      </c>
      <c r="C73" s="14">
        <f>(7001/B73*100)</f>
        <v>84.870893441629292</v>
      </c>
      <c r="D73" s="15">
        <v>1248</v>
      </c>
      <c r="E73" s="14">
        <v>44.817740329999999</v>
      </c>
      <c r="F73" s="16">
        <v>1.73746351</v>
      </c>
      <c r="G73" s="14">
        <v>55.182259670000001</v>
      </c>
      <c r="H73" s="16">
        <v>1.73746351</v>
      </c>
      <c r="I73" s="14" t="s">
        <v>139</v>
      </c>
      <c r="J73" s="16" t="s">
        <v>139</v>
      </c>
      <c r="K73" s="14">
        <v>0</v>
      </c>
      <c r="L73" s="16">
        <v>0</v>
      </c>
      <c r="M73" s="14">
        <v>0</v>
      </c>
      <c r="N73" s="16">
        <v>0</v>
      </c>
      <c r="O73" s="14">
        <v>0</v>
      </c>
      <c r="P73" s="16">
        <v>0</v>
      </c>
      <c r="Q73" s="14">
        <v>0</v>
      </c>
      <c r="R73" s="16">
        <v>0</v>
      </c>
    </row>
    <row r="74" spans="1:18" x14ac:dyDescent="0.25">
      <c r="A74" s="11" t="s">
        <v>207</v>
      </c>
      <c r="B74" s="17" t="s">
        <v>154</v>
      </c>
      <c r="C74" s="17" t="s">
        <v>154</v>
      </c>
      <c r="D74" s="18" t="s">
        <v>154</v>
      </c>
      <c r="E74" s="17" t="s">
        <v>154</v>
      </c>
      <c r="F74" s="18" t="s">
        <v>154</v>
      </c>
      <c r="G74" s="17" t="s">
        <v>154</v>
      </c>
      <c r="H74" s="18" t="s">
        <v>154</v>
      </c>
      <c r="I74" s="17" t="s">
        <v>154</v>
      </c>
      <c r="J74" s="18" t="s">
        <v>154</v>
      </c>
      <c r="K74" s="17" t="s">
        <v>154</v>
      </c>
      <c r="L74" s="18" t="s">
        <v>154</v>
      </c>
      <c r="M74" s="17" t="s">
        <v>154</v>
      </c>
      <c r="N74" s="18" t="s">
        <v>154</v>
      </c>
      <c r="O74" s="17" t="s">
        <v>154</v>
      </c>
      <c r="P74" s="18" t="s">
        <v>154</v>
      </c>
      <c r="Q74" s="17" t="s">
        <v>154</v>
      </c>
      <c r="R74" s="18" t="s">
        <v>154</v>
      </c>
    </row>
    <row r="75" spans="1:18" x14ac:dyDescent="0.25">
      <c r="A75" s="11" t="s">
        <v>208</v>
      </c>
      <c r="B75" s="13">
        <v>5375</v>
      </c>
      <c r="C75" s="14">
        <f>(4571/B75*100)</f>
        <v>85.041860465116287</v>
      </c>
      <c r="D75" s="15">
        <v>804</v>
      </c>
      <c r="E75" s="14">
        <v>67.079848960000007</v>
      </c>
      <c r="F75" s="16">
        <v>1.87696939</v>
      </c>
      <c r="G75" s="14">
        <v>32.92015104</v>
      </c>
      <c r="H75" s="16">
        <v>1.87696939</v>
      </c>
      <c r="I75" s="14" t="s">
        <v>139</v>
      </c>
      <c r="J75" s="16" t="s">
        <v>139</v>
      </c>
      <c r="K75" s="14">
        <v>0</v>
      </c>
      <c r="L75" s="16">
        <v>0</v>
      </c>
      <c r="M75" s="14">
        <v>0</v>
      </c>
      <c r="N75" s="16">
        <v>0</v>
      </c>
      <c r="O75" s="14">
        <v>0</v>
      </c>
      <c r="P75" s="16">
        <v>0</v>
      </c>
      <c r="Q75" s="14">
        <v>0</v>
      </c>
      <c r="R75" s="16">
        <v>0</v>
      </c>
    </row>
    <row r="76" spans="1:18" x14ac:dyDescent="0.25">
      <c r="A76" s="11" t="s">
        <v>209</v>
      </c>
      <c r="B76" s="13">
        <v>14167</v>
      </c>
      <c r="C76" s="14">
        <f>(11809/B76*100)</f>
        <v>83.355685748570622</v>
      </c>
      <c r="D76" s="15">
        <v>2358</v>
      </c>
      <c r="E76" s="14">
        <v>56.056051420000003</v>
      </c>
      <c r="F76" s="16">
        <v>1.0612602499999999</v>
      </c>
      <c r="G76" s="14">
        <v>43.943948579999997</v>
      </c>
      <c r="H76" s="16">
        <v>1.0612602499999999</v>
      </c>
      <c r="I76" s="14" t="s">
        <v>139</v>
      </c>
      <c r="J76" s="16" t="s">
        <v>139</v>
      </c>
      <c r="K76" s="14">
        <v>0</v>
      </c>
      <c r="L76" s="16">
        <v>0</v>
      </c>
      <c r="M76" s="14">
        <v>0</v>
      </c>
      <c r="N76" s="16">
        <v>0</v>
      </c>
      <c r="O76" s="14">
        <v>0</v>
      </c>
      <c r="P76" s="16">
        <v>0</v>
      </c>
      <c r="Q76" s="14">
        <v>0</v>
      </c>
      <c r="R76" s="16">
        <v>0</v>
      </c>
    </row>
    <row r="77" spans="1:18" x14ac:dyDescent="0.25">
      <c r="A77" s="11" t="s">
        <v>210</v>
      </c>
      <c r="B77" s="13">
        <v>6062</v>
      </c>
      <c r="C77" s="14">
        <f>(5111/B77*100)</f>
        <v>84.312108215110527</v>
      </c>
      <c r="D77" s="15">
        <v>951</v>
      </c>
      <c r="E77" s="14">
        <v>44.245568509999998</v>
      </c>
      <c r="F77" s="16">
        <v>1.8347860499999999</v>
      </c>
      <c r="G77" s="14">
        <v>55.754431490000002</v>
      </c>
      <c r="H77" s="16">
        <v>1.8347860499999999</v>
      </c>
      <c r="I77" s="14" t="s">
        <v>139</v>
      </c>
      <c r="J77" s="16" t="s">
        <v>139</v>
      </c>
      <c r="K77" s="14">
        <v>0</v>
      </c>
      <c r="L77" s="16">
        <v>0</v>
      </c>
      <c r="M77" s="14">
        <v>0</v>
      </c>
      <c r="N77" s="16">
        <v>0</v>
      </c>
      <c r="O77" s="14">
        <v>0</v>
      </c>
      <c r="P77" s="16">
        <v>0</v>
      </c>
      <c r="Q77" s="14">
        <v>0</v>
      </c>
      <c r="R77" s="16">
        <v>0</v>
      </c>
    </row>
    <row r="78" spans="1:18" x14ac:dyDescent="0.25">
      <c r="A78" s="11" t="s">
        <v>211</v>
      </c>
      <c r="B78" s="17" t="s">
        <v>154</v>
      </c>
      <c r="C78" s="17" t="s">
        <v>154</v>
      </c>
      <c r="D78" s="18" t="s">
        <v>154</v>
      </c>
      <c r="E78" s="17" t="s">
        <v>154</v>
      </c>
      <c r="F78" s="18" t="s">
        <v>154</v>
      </c>
      <c r="G78" s="17" t="s">
        <v>154</v>
      </c>
      <c r="H78" s="18" t="s">
        <v>154</v>
      </c>
      <c r="I78" s="17" t="s">
        <v>154</v>
      </c>
      <c r="J78" s="18" t="s">
        <v>154</v>
      </c>
      <c r="K78" s="17" t="s">
        <v>154</v>
      </c>
      <c r="L78" s="18" t="s">
        <v>154</v>
      </c>
      <c r="M78" s="17" t="s">
        <v>154</v>
      </c>
      <c r="N78" s="18" t="s">
        <v>154</v>
      </c>
      <c r="O78" s="17" t="s">
        <v>154</v>
      </c>
      <c r="P78" s="18" t="s">
        <v>154</v>
      </c>
      <c r="Q78" s="17" t="s">
        <v>154</v>
      </c>
      <c r="R78" s="18" t="s">
        <v>154</v>
      </c>
    </row>
    <row r="79" spans="1:18" ht="24.95" customHeight="1" x14ac:dyDescent="0.25">
      <c r="A79" s="11" t="s">
        <v>212</v>
      </c>
      <c r="B79" s="17" t="s">
        <v>154</v>
      </c>
      <c r="C79" s="17" t="s">
        <v>154</v>
      </c>
      <c r="D79" s="18" t="s">
        <v>154</v>
      </c>
      <c r="E79" s="17" t="s">
        <v>154</v>
      </c>
      <c r="F79" s="18" t="s">
        <v>154</v>
      </c>
      <c r="G79" s="17" t="s">
        <v>154</v>
      </c>
      <c r="H79" s="18" t="s">
        <v>154</v>
      </c>
      <c r="I79" s="17" t="s">
        <v>154</v>
      </c>
      <c r="J79" s="18" t="s">
        <v>154</v>
      </c>
      <c r="K79" s="17" t="s">
        <v>154</v>
      </c>
      <c r="L79" s="18" t="s">
        <v>154</v>
      </c>
      <c r="M79" s="17" t="s">
        <v>154</v>
      </c>
      <c r="N79" s="18" t="s">
        <v>154</v>
      </c>
      <c r="O79" s="17" t="s">
        <v>154</v>
      </c>
      <c r="P79" s="18" t="s">
        <v>154</v>
      </c>
      <c r="Q79" s="17" t="s">
        <v>154</v>
      </c>
      <c r="R79" s="18" t="s">
        <v>154</v>
      </c>
    </row>
    <row r="80" spans="1:18" x14ac:dyDescent="0.25">
      <c r="A80" s="11" t="s">
        <v>213</v>
      </c>
      <c r="B80" s="17" t="s">
        <v>154</v>
      </c>
      <c r="C80" s="17" t="s">
        <v>154</v>
      </c>
      <c r="D80" s="18" t="s">
        <v>154</v>
      </c>
      <c r="E80" s="17" t="s">
        <v>154</v>
      </c>
      <c r="F80" s="18" t="s">
        <v>154</v>
      </c>
      <c r="G80" s="17" t="s">
        <v>154</v>
      </c>
      <c r="H80" s="18" t="s">
        <v>154</v>
      </c>
      <c r="I80" s="17" t="s">
        <v>154</v>
      </c>
      <c r="J80" s="18" t="s">
        <v>154</v>
      </c>
      <c r="K80" s="17" t="s">
        <v>154</v>
      </c>
      <c r="L80" s="18" t="s">
        <v>154</v>
      </c>
      <c r="M80" s="17" t="s">
        <v>154</v>
      </c>
      <c r="N80" s="18" t="s">
        <v>154</v>
      </c>
      <c r="O80" s="17" t="s">
        <v>154</v>
      </c>
      <c r="P80" s="18" t="s">
        <v>154</v>
      </c>
      <c r="Q80" s="17" t="s">
        <v>154</v>
      </c>
      <c r="R80" s="18" t="s">
        <v>154</v>
      </c>
    </row>
    <row r="81" spans="1:18" x14ac:dyDescent="0.25">
      <c r="A81" s="19" t="s">
        <v>214</v>
      </c>
      <c r="B81" s="13">
        <v>8861</v>
      </c>
      <c r="C81" s="14">
        <f>(7350/B81*100)</f>
        <v>82.947748561110473</v>
      </c>
      <c r="D81" s="15">
        <v>1511</v>
      </c>
      <c r="E81" s="14">
        <v>53.474363840000002</v>
      </c>
      <c r="F81" s="16">
        <v>1.7661647599999999</v>
      </c>
      <c r="G81" s="14">
        <v>46.525636159999998</v>
      </c>
      <c r="H81" s="16">
        <v>1.7661647599999999</v>
      </c>
      <c r="I81" s="14" t="s">
        <v>139</v>
      </c>
      <c r="J81" s="16" t="s">
        <v>139</v>
      </c>
      <c r="K81" s="14">
        <v>0</v>
      </c>
      <c r="L81" s="16">
        <v>0</v>
      </c>
      <c r="M81" s="14">
        <v>0</v>
      </c>
      <c r="N81" s="16">
        <v>0</v>
      </c>
      <c r="O81" s="14">
        <v>0</v>
      </c>
      <c r="P81" s="16">
        <v>0</v>
      </c>
      <c r="Q81" s="14">
        <v>0</v>
      </c>
      <c r="R81" s="16">
        <v>0</v>
      </c>
    </row>
    <row r="82" spans="1:18" x14ac:dyDescent="0.25">
      <c r="A82" s="20"/>
      <c r="B82" s="20" t="s">
        <v>215</v>
      </c>
      <c r="C82" s="20" t="s">
        <v>215</v>
      </c>
      <c r="D82" s="20" t="s">
        <v>215</v>
      </c>
      <c r="E82" s="20" t="s">
        <v>215</v>
      </c>
      <c r="F82" s="20" t="s">
        <v>215</v>
      </c>
      <c r="G82" s="20" t="s">
        <v>215</v>
      </c>
      <c r="H82" s="20" t="s">
        <v>215</v>
      </c>
      <c r="I82" s="20" t="s">
        <v>215</v>
      </c>
      <c r="J82" s="20" t="s">
        <v>215</v>
      </c>
      <c r="K82" s="20" t="s">
        <v>215</v>
      </c>
      <c r="L82" s="20" t="s">
        <v>215</v>
      </c>
      <c r="M82" s="20" t="s">
        <v>215</v>
      </c>
      <c r="N82" s="20" t="s">
        <v>215</v>
      </c>
      <c r="O82" s="20" t="s">
        <v>215</v>
      </c>
      <c r="P82" s="20" t="s">
        <v>215</v>
      </c>
      <c r="Q82" s="20" t="s">
        <v>215</v>
      </c>
      <c r="R82" s="20" t="s">
        <v>215</v>
      </c>
    </row>
    <row r="83" spans="1:18" x14ac:dyDescent="0.25">
      <c r="A83" s="3" t="s">
        <v>216</v>
      </c>
    </row>
    <row r="84" spans="1:18" x14ac:dyDescent="0.25">
      <c r="A84" s="22" t="s">
        <v>217</v>
      </c>
      <c r="B84" s="23"/>
      <c r="C84" s="23"/>
      <c r="D84" s="23"/>
      <c r="E84" s="23"/>
      <c r="F84" s="23"/>
      <c r="G84" s="23"/>
      <c r="H84" s="23"/>
      <c r="I84" s="23"/>
      <c r="J84" s="23"/>
      <c r="K84" s="23"/>
      <c r="L84" s="23"/>
      <c r="M84" s="23"/>
      <c r="N84" s="23"/>
      <c r="O84" s="23"/>
      <c r="P84" s="23"/>
      <c r="Q84" s="23"/>
      <c r="R84" s="23"/>
    </row>
    <row r="85" spans="1:18" x14ac:dyDescent="0.25">
      <c r="A85" s="22" t="s">
        <v>218</v>
      </c>
      <c r="B85" s="23"/>
      <c r="C85" s="23"/>
      <c r="D85" s="23"/>
      <c r="E85" s="23"/>
      <c r="F85" s="23"/>
      <c r="G85" s="23"/>
      <c r="H85" s="23"/>
      <c r="I85" s="23"/>
      <c r="J85" s="23"/>
      <c r="K85" s="23"/>
      <c r="L85" s="23"/>
      <c r="M85" s="23"/>
      <c r="N85" s="23"/>
      <c r="O85" s="23"/>
      <c r="P85" s="23"/>
      <c r="Q85" s="23"/>
      <c r="R85" s="23"/>
    </row>
    <row r="86" spans="1:18" ht="30" customHeight="1" x14ac:dyDescent="0.25">
      <c r="A86" s="22" t="s">
        <v>219</v>
      </c>
      <c r="B86" s="23"/>
      <c r="C86" s="23"/>
      <c r="D86" s="23"/>
      <c r="E86" s="23"/>
      <c r="F86" s="23"/>
      <c r="G86" s="23"/>
      <c r="H86" s="23"/>
      <c r="I86" s="23"/>
      <c r="J86" s="23"/>
      <c r="K86" s="23"/>
      <c r="L86" s="23"/>
      <c r="M86" s="23"/>
      <c r="N86" s="23"/>
      <c r="O86" s="23"/>
      <c r="P86" s="23"/>
      <c r="Q86" s="23"/>
      <c r="R86" s="23"/>
    </row>
    <row r="87" spans="1:18" ht="30" customHeight="1" x14ac:dyDescent="0.25">
      <c r="A87" s="22" t="s">
        <v>215</v>
      </c>
      <c r="B87" s="23"/>
      <c r="C87" s="23"/>
      <c r="D87" s="23"/>
      <c r="E87" s="23"/>
      <c r="F87" s="23"/>
      <c r="G87" s="23"/>
      <c r="H87" s="23"/>
      <c r="I87" s="23"/>
      <c r="J87" s="23"/>
      <c r="K87" s="23"/>
      <c r="L87" s="23"/>
      <c r="M87" s="23"/>
      <c r="N87" s="23"/>
      <c r="O87" s="23"/>
      <c r="P87" s="23"/>
      <c r="Q87" s="23"/>
      <c r="R87" s="23"/>
    </row>
    <row r="88" spans="1:18" ht="30" customHeight="1" x14ac:dyDescent="0.25">
      <c r="A88" s="22" t="s">
        <v>220</v>
      </c>
      <c r="B88" s="23"/>
      <c r="C88" s="23"/>
      <c r="D88" s="23"/>
      <c r="E88" s="23"/>
      <c r="F88" s="23"/>
      <c r="G88" s="23"/>
      <c r="H88" s="23"/>
      <c r="I88" s="23"/>
      <c r="J88" s="23"/>
      <c r="K88" s="23"/>
      <c r="L88" s="23"/>
      <c r="M88" s="23"/>
      <c r="N88" s="23"/>
      <c r="O88" s="23"/>
      <c r="P88" s="23"/>
      <c r="Q88" s="23"/>
      <c r="R88" s="23"/>
    </row>
    <row r="89" spans="1:18" ht="30" customHeight="1" x14ac:dyDescent="0.25">
      <c r="A89" s="22" t="s">
        <v>221</v>
      </c>
      <c r="B89" s="23"/>
      <c r="C89" s="23"/>
      <c r="D89" s="23"/>
      <c r="E89" s="23"/>
      <c r="F89" s="23"/>
      <c r="G89" s="23"/>
      <c r="H89" s="23"/>
      <c r="I89" s="23"/>
      <c r="J89" s="23"/>
      <c r="K89" s="23"/>
      <c r="L89" s="23"/>
      <c r="M89" s="23"/>
      <c r="N89" s="23"/>
      <c r="O89" s="23"/>
      <c r="P89" s="23"/>
      <c r="Q89" s="23"/>
      <c r="R89" s="23"/>
    </row>
    <row r="90" spans="1:18" ht="30" customHeight="1" x14ac:dyDescent="0.25">
      <c r="A90" s="22" t="s">
        <v>222</v>
      </c>
      <c r="B90" s="23"/>
      <c r="C90" s="23"/>
      <c r="D90" s="23"/>
      <c r="E90" s="23"/>
      <c r="F90" s="23"/>
      <c r="G90" s="23"/>
      <c r="H90" s="23"/>
      <c r="I90" s="23"/>
      <c r="J90" s="23"/>
      <c r="K90" s="23"/>
      <c r="L90" s="23"/>
      <c r="M90" s="23"/>
      <c r="N90" s="23"/>
      <c r="O90" s="23"/>
      <c r="P90" s="23"/>
      <c r="Q90" s="23"/>
      <c r="R90" s="23"/>
    </row>
    <row r="91" spans="1:18" ht="30" customHeight="1" x14ac:dyDescent="0.25">
      <c r="A91" s="22" t="s">
        <v>223</v>
      </c>
      <c r="B91" s="23"/>
      <c r="C91" s="23"/>
      <c r="D91" s="23"/>
      <c r="E91" s="23"/>
      <c r="F91" s="23"/>
      <c r="G91" s="23"/>
      <c r="H91" s="23"/>
      <c r="I91" s="23"/>
      <c r="J91" s="23"/>
      <c r="K91" s="23"/>
      <c r="L91" s="23"/>
      <c r="M91" s="23"/>
      <c r="N91" s="23"/>
      <c r="O91" s="23"/>
      <c r="P91" s="23"/>
      <c r="Q91" s="23"/>
      <c r="R91" s="23"/>
    </row>
    <row r="92" spans="1:18" ht="30" customHeight="1" x14ac:dyDescent="0.25">
      <c r="A92" s="22" t="s">
        <v>224</v>
      </c>
      <c r="B92" s="23"/>
      <c r="C92" s="23"/>
      <c r="D92" s="23"/>
      <c r="E92" s="23"/>
      <c r="F92" s="23"/>
      <c r="G92" s="23"/>
      <c r="H92" s="23"/>
      <c r="I92" s="23"/>
      <c r="J92" s="23"/>
      <c r="K92" s="23"/>
      <c r="L92" s="23"/>
      <c r="M92" s="23"/>
      <c r="N92" s="23"/>
      <c r="O92" s="23"/>
      <c r="P92" s="23"/>
      <c r="Q92" s="23"/>
      <c r="R92" s="23"/>
    </row>
    <row r="93" spans="1:18" ht="30" customHeight="1" x14ac:dyDescent="0.25">
      <c r="A93" s="22" t="s">
        <v>225</v>
      </c>
      <c r="B93" s="23"/>
      <c r="C93" s="23"/>
      <c r="D93" s="23"/>
      <c r="E93" s="23"/>
      <c r="F93" s="23"/>
      <c r="G93" s="23"/>
      <c r="H93" s="23"/>
      <c r="I93" s="23"/>
      <c r="J93" s="23"/>
      <c r="K93" s="23"/>
      <c r="L93" s="23"/>
      <c r="M93" s="23"/>
      <c r="N93" s="23"/>
      <c r="O93" s="23"/>
      <c r="P93" s="23"/>
      <c r="Q93" s="23"/>
      <c r="R93" s="23"/>
    </row>
    <row r="94" spans="1:18" ht="30" customHeight="1" x14ac:dyDescent="0.25">
      <c r="A94" s="22" t="s">
        <v>226</v>
      </c>
      <c r="B94" s="23"/>
      <c r="C94" s="23"/>
      <c r="D94" s="23"/>
      <c r="E94" s="23"/>
      <c r="F94" s="23"/>
      <c r="G94" s="23"/>
      <c r="H94" s="23"/>
      <c r="I94" s="23"/>
      <c r="J94" s="23"/>
      <c r="K94" s="23"/>
      <c r="L94" s="23"/>
      <c r="M94" s="23"/>
      <c r="N94" s="23"/>
      <c r="O94" s="23"/>
      <c r="P94" s="23"/>
      <c r="Q94" s="23"/>
      <c r="R94" s="23"/>
    </row>
    <row r="95" spans="1:18" ht="30" customHeight="1" x14ac:dyDescent="0.25">
      <c r="A95" s="22" t="s">
        <v>227</v>
      </c>
      <c r="B95" s="23"/>
      <c r="C95" s="23"/>
      <c r="D95" s="23"/>
      <c r="E95" s="23"/>
      <c r="F95" s="23"/>
      <c r="G95" s="23"/>
      <c r="H95" s="23"/>
      <c r="I95" s="23"/>
      <c r="J95" s="23"/>
      <c r="K95" s="23"/>
      <c r="L95" s="23"/>
      <c r="M95" s="23"/>
      <c r="N95" s="23"/>
      <c r="O95" s="23"/>
      <c r="P95" s="23"/>
      <c r="Q95" s="23"/>
      <c r="R95" s="23"/>
    </row>
    <row r="96" spans="1:18" ht="30" customHeight="1" x14ac:dyDescent="0.25">
      <c r="A96" s="22" t="s">
        <v>228</v>
      </c>
      <c r="B96" s="23"/>
      <c r="C96" s="23"/>
      <c r="D96" s="23"/>
      <c r="E96" s="23"/>
      <c r="F96" s="23"/>
      <c r="G96" s="23"/>
      <c r="H96" s="23"/>
      <c r="I96" s="23"/>
      <c r="J96" s="23"/>
      <c r="K96" s="23"/>
      <c r="L96" s="23"/>
      <c r="M96" s="23"/>
      <c r="N96" s="23"/>
      <c r="O96" s="23"/>
      <c r="P96" s="23"/>
      <c r="Q96" s="23"/>
      <c r="R96" s="23"/>
    </row>
  </sheetData>
  <mergeCells count="22">
    <mergeCell ref="O4:P4"/>
    <mergeCell ref="Q4:R4"/>
    <mergeCell ref="A1:R1"/>
    <mergeCell ref="A2:R2"/>
    <mergeCell ref="A84:R84"/>
    <mergeCell ref="E4:F4"/>
    <mergeCell ref="G4:H4"/>
    <mergeCell ref="I4:J4"/>
    <mergeCell ref="K4:L4"/>
    <mergeCell ref="M4:N4"/>
    <mergeCell ref="A85:R85"/>
    <mergeCell ref="A86:R86"/>
    <mergeCell ref="A87:R87"/>
    <mergeCell ref="A88:R88"/>
    <mergeCell ref="A89:R89"/>
    <mergeCell ref="A95:R95"/>
    <mergeCell ref="A96:R96"/>
    <mergeCell ref="A90:R90"/>
    <mergeCell ref="A91:R91"/>
    <mergeCell ref="A92:R92"/>
    <mergeCell ref="A93:R93"/>
    <mergeCell ref="A94:R94"/>
  </mergeCells>
  <pageMargins left="0.75" right="0.75" top="1" bottom="1" header="0.5" footer="0.5"/>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7"/>
  <dimension ref="A1:R96"/>
  <sheetViews>
    <sheetView zoomScale="80" workbookViewId="0">
      <pane xSplit="4" topLeftCell="E1" activePane="topRight" state="frozen"/>
      <selection sqref="A1:R1"/>
      <selection pane="topRight" sqref="A1:R1"/>
    </sheetView>
  </sheetViews>
  <sheetFormatPr defaultColWidth="11.42578125" defaultRowHeight="15" x14ac:dyDescent="0.25"/>
  <cols>
    <col min="1" max="1" width="50" customWidth="1"/>
  </cols>
  <sheetData>
    <row r="1" spans="1:18" x14ac:dyDescent="0.25">
      <c r="A1" s="26" t="s">
        <v>122</v>
      </c>
      <c r="B1" s="23"/>
      <c r="C1" s="23"/>
      <c r="D1" s="23"/>
      <c r="E1" s="23"/>
      <c r="F1" s="23"/>
      <c r="G1" s="23"/>
      <c r="H1" s="23"/>
      <c r="I1" s="23"/>
      <c r="J1" s="23"/>
      <c r="K1" s="23"/>
      <c r="L1" s="23"/>
      <c r="M1" s="23"/>
      <c r="N1" s="23"/>
      <c r="O1" s="23"/>
      <c r="P1" s="23"/>
      <c r="Q1" s="23"/>
      <c r="R1" s="23"/>
    </row>
    <row r="2" spans="1:18" x14ac:dyDescent="0.25">
      <c r="A2" s="27" t="s">
        <v>263</v>
      </c>
      <c r="B2" s="23"/>
      <c r="C2" s="23"/>
      <c r="D2" s="23"/>
      <c r="E2" s="23"/>
      <c r="F2" s="23"/>
      <c r="G2" s="23"/>
      <c r="H2" s="23"/>
      <c r="I2" s="23"/>
      <c r="J2" s="23"/>
      <c r="K2" s="23"/>
      <c r="L2" s="23"/>
      <c r="M2" s="23"/>
      <c r="N2" s="23"/>
      <c r="O2" s="23"/>
      <c r="P2" s="23"/>
      <c r="Q2" s="23"/>
      <c r="R2" s="23"/>
    </row>
    <row r="4" spans="1:18" ht="30" customHeight="1" x14ac:dyDescent="0.25">
      <c r="A4" s="4"/>
      <c r="B4" s="5" t="s">
        <v>123</v>
      </c>
      <c r="C4" s="5" t="s">
        <v>124</v>
      </c>
      <c r="D4" s="6" t="s">
        <v>123</v>
      </c>
      <c r="E4" s="24" t="s">
        <v>125</v>
      </c>
      <c r="F4" s="25"/>
      <c r="G4" s="24" t="s">
        <v>126</v>
      </c>
      <c r="H4" s="25"/>
      <c r="I4" s="24" t="s">
        <v>127</v>
      </c>
      <c r="J4" s="25"/>
      <c r="K4" s="24" t="s">
        <v>128</v>
      </c>
      <c r="L4" s="25"/>
      <c r="M4" s="24" t="s">
        <v>129</v>
      </c>
      <c r="N4" s="25"/>
      <c r="O4" s="24" t="s">
        <v>130</v>
      </c>
      <c r="P4" s="25"/>
      <c r="Q4" s="24" t="s">
        <v>131</v>
      </c>
      <c r="R4" s="25"/>
    </row>
    <row r="5" spans="1:18" x14ac:dyDescent="0.25">
      <c r="A5" s="7"/>
      <c r="B5" s="8" t="s">
        <v>132</v>
      </c>
      <c r="C5" s="8" t="s">
        <v>133</v>
      </c>
      <c r="D5" s="7" t="s">
        <v>134</v>
      </c>
      <c r="E5" s="8" t="s">
        <v>135</v>
      </c>
      <c r="F5" s="7" t="s">
        <v>136</v>
      </c>
      <c r="G5" s="8" t="s">
        <v>135</v>
      </c>
      <c r="H5" s="7" t="s">
        <v>136</v>
      </c>
      <c r="I5" s="8" t="s">
        <v>135</v>
      </c>
      <c r="J5" s="7" t="s">
        <v>136</v>
      </c>
      <c r="K5" s="8" t="s">
        <v>135</v>
      </c>
      <c r="L5" s="7" t="s">
        <v>136</v>
      </c>
      <c r="M5" s="8" t="s">
        <v>135</v>
      </c>
      <c r="N5" s="7" t="s">
        <v>136</v>
      </c>
      <c r="O5" s="8" t="s">
        <v>135</v>
      </c>
      <c r="P5" s="7" t="s">
        <v>136</v>
      </c>
      <c r="Q5" s="8" t="s">
        <v>135</v>
      </c>
      <c r="R5" s="7" t="s">
        <v>136</v>
      </c>
    </row>
    <row r="6" spans="1:18" x14ac:dyDescent="0.25">
      <c r="A6" s="9" t="s">
        <v>137</v>
      </c>
      <c r="B6" s="10"/>
      <c r="C6" s="10"/>
      <c r="D6" s="11"/>
      <c r="E6" s="10"/>
      <c r="F6" s="11"/>
      <c r="G6" s="10"/>
      <c r="H6" s="11"/>
      <c r="I6" s="10"/>
      <c r="J6" s="11"/>
      <c r="K6" s="10"/>
      <c r="L6" s="11"/>
      <c r="M6" s="10"/>
      <c r="N6" s="11"/>
      <c r="O6" s="10"/>
      <c r="P6" s="11"/>
      <c r="Q6" s="10"/>
      <c r="R6" s="12"/>
    </row>
    <row r="7" spans="1:18" x14ac:dyDescent="0.25">
      <c r="A7" s="11" t="s">
        <v>138</v>
      </c>
      <c r="B7" s="13">
        <v>14530</v>
      </c>
      <c r="C7" s="14">
        <f>(12186/B7*100)</f>
        <v>83.867859600825881</v>
      </c>
      <c r="D7" s="15">
        <v>2344</v>
      </c>
      <c r="E7" s="14">
        <v>77.936491349999997</v>
      </c>
      <c r="F7" s="16">
        <v>0.93321337999999998</v>
      </c>
      <c r="G7" s="14">
        <v>22.063508649999999</v>
      </c>
      <c r="H7" s="16">
        <v>0.93321337999999998</v>
      </c>
      <c r="I7" s="14" t="s">
        <v>139</v>
      </c>
      <c r="J7" s="16" t="s">
        <v>139</v>
      </c>
      <c r="K7" s="14">
        <v>0</v>
      </c>
      <c r="L7" s="16">
        <v>0</v>
      </c>
      <c r="M7" s="14">
        <v>0</v>
      </c>
      <c r="N7" s="16">
        <v>0</v>
      </c>
      <c r="O7" s="14">
        <v>0</v>
      </c>
      <c r="P7" s="16">
        <v>0</v>
      </c>
      <c r="Q7" s="14">
        <v>0</v>
      </c>
      <c r="R7" s="16">
        <v>0</v>
      </c>
    </row>
    <row r="8" spans="1:18" x14ac:dyDescent="0.25">
      <c r="A8" s="11" t="s">
        <v>140</v>
      </c>
      <c r="B8" s="13">
        <v>7007</v>
      </c>
      <c r="C8" s="14">
        <f>(5832/B8*100)</f>
        <v>83.231054659626096</v>
      </c>
      <c r="D8" s="15">
        <v>1175</v>
      </c>
      <c r="E8" s="14">
        <v>75.458784829999999</v>
      </c>
      <c r="F8" s="16">
        <v>1.25961075</v>
      </c>
      <c r="G8" s="14">
        <v>24.541215170000001</v>
      </c>
      <c r="H8" s="16">
        <v>1.25961075</v>
      </c>
      <c r="I8" s="14" t="s">
        <v>139</v>
      </c>
      <c r="J8" s="16" t="s">
        <v>139</v>
      </c>
      <c r="K8" s="14">
        <v>0</v>
      </c>
      <c r="L8" s="16">
        <v>0</v>
      </c>
      <c r="M8" s="14">
        <v>0</v>
      </c>
      <c r="N8" s="16">
        <v>0</v>
      </c>
      <c r="O8" s="14">
        <v>0</v>
      </c>
      <c r="P8" s="16">
        <v>0</v>
      </c>
      <c r="Q8" s="14">
        <v>0</v>
      </c>
      <c r="R8" s="16">
        <v>0</v>
      </c>
    </row>
    <row r="9" spans="1:18" x14ac:dyDescent="0.25">
      <c r="A9" s="11" t="s">
        <v>141</v>
      </c>
      <c r="B9" s="13">
        <v>9651</v>
      </c>
      <c r="C9" s="14">
        <f>(8126/B9*100)</f>
        <v>84.198528649880842</v>
      </c>
      <c r="D9" s="15">
        <v>1525</v>
      </c>
      <c r="E9" s="14">
        <v>80.120430650000003</v>
      </c>
      <c r="F9" s="16">
        <v>0.98175597999999997</v>
      </c>
      <c r="G9" s="14">
        <v>19.879569350000001</v>
      </c>
      <c r="H9" s="16">
        <v>0.98175597999999997</v>
      </c>
      <c r="I9" s="14" t="s">
        <v>139</v>
      </c>
      <c r="J9" s="16" t="s">
        <v>139</v>
      </c>
      <c r="K9" s="14">
        <v>0</v>
      </c>
      <c r="L9" s="16">
        <v>0</v>
      </c>
      <c r="M9" s="14">
        <v>0</v>
      </c>
      <c r="N9" s="16">
        <v>0</v>
      </c>
      <c r="O9" s="14">
        <v>0</v>
      </c>
      <c r="P9" s="16">
        <v>0</v>
      </c>
      <c r="Q9" s="14">
        <v>0</v>
      </c>
      <c r="R9" s="16">
        <v>0</v>
      </c>
    </row>
    <row r="10" spans="1:18" x14ac:dyDescent="0.25">
      <c r="A10" s="11" t="s">
        <v>142</v>
      </c>
      <c r="B10" s="13">
        <v>20058</v>
      </c>
      <c r="C10" s="14">
        <f>(16663/B10*100)</f>
        <v>83.074085153056132</v>
      </c>
      <c r="D10" s="15">
        <v>3395</v>
      </c>
      <c r="E10" s="14">
        <v>77.121383069999993</v>
      </c>
      <c r="F10" s="16">
        <v>1.0526014299999999</v>
      </c>
      <c r="G10" s="14">
        <v>22.87861693</v>
      </c>
      <c r="H10" s="16">
        <v>1.0526014299999999</v>
      </c>
      <c r="I10" s="14" t="s">
        <v>139</v>
      </c>
      <c r="J10" s="16" t="s">
        <v>139</v>
      </c>
      <c r="K10" s="14">
        <v>0</v>
      </c>
      <c r="L10" s="16">
        <v>0</v>
      </c>
      <c r="M10" s="14">
        <v>0</v>
      </c>
      <c r="N10" s="16">
        <v>0</v>
      </c>
      <c r="O10" s="14">
        <v>0</v>
      </c>
      <c r="P10" s="16">
        <v>0</v>
      </c>
      <c r="Q10" s="14">
        <v>0</v>
      </c>
      <c r="R10" s="16">
        <v>0</v>
      </c>
    </row>
    <row r="11" spans="1:18" x14ac:dyDescent="0.25">
      <c r="A11" s="11" t="s">
        <v>143</v>
      </c>
      <c r="B11" s="13">
        <v>7053</v>
      </c>
      <c r="C11" s="14">
        <f>(5925/B11*100)</f>
        <v>84.006805614632071</v>
      </c>
      <c r="D11" s="15">
        <v>1128</v>
      </c>
      <c r="E11" s="14">
        <v>75.153296549999993</v>
      </c>
      <c r="F11" s="16">
        <v>1.41671803</v>
      </c>
      <c r="G11" s="14">
        <v>24.84670345</v>
      </c>
      <c r="H11" s="16">
        <v>1.41671803</v>
      </c>
      <c r="I11" s="14" t="s">
        <v>139</v>
      </c>
      <c r="J11" s="16" t="s">
        <v>139</v>
      </c>
      <c r="K11" s="14">
        <v>0</v>
      </c>
      <c r="L11" s="16">
        <v>0</v>
      </c>
      <c r="M11" s="14">
        <v>0</v>
      </c>
      <c r="N11" s="16">
        <v>0</v>
      </c>
      <c r="O11" s="14">
        <v>0</v>
      </c>
      <c r="P11" s="16">
        <v>0</v>
      </c>
      <c r="Q11" s="14">
        <v>0</v>
      </c>
      <c r="R11" s="16">
        <v>0</v>
      </c>
    </row>
    <row r="12" spans="1:18" x14ac:dyDescent="0.25">
      <c r="A12" s="11" t="s">
        <v>144</v>
      </c>
      <c r="B12" s="13">
        <v>6894</v>
      </c>
      <c r="C12" s="14">
        <f>(5770/B12*100)</f>
        <v>83.695967507977954</v>
      </c>
      <c r="D12" s="15">
        <v>1124</v>
      </c>
      <c r="E12" s="14">
        <v>79.248600719999999</v>
      </c>
      <c r="F12" s="16">
        <v>1.35827455</v>
      </c>
      <c r="G12" s="14">
        <v>20.751399280000001</v>
      </c>
      <c r="H12" s="16">
        <v>1.35827455</v>
      </c>
      <c r="I12" s="14" t="s">
        <v>139</v>
      </c>
      <c r="J12" s="16" t="s">
        <v>139</v>
      </c>
      <c r="K12" s="14">
        <v>0</v>
      </c>
      <c r="L12" s="16">
        <v>0</v>
      </c>
      <c r="M12" s="14">
        <v>0</v>
      </c>
      <c r="N12" s="16">
        <v>0</v>
      </c>
      <c r="O12" s="14">
        <v>0</v>
      </c>
      <c r="P12" s="16">
        <v>0</v>
      </c>
      <c r="Q12" s="14">
        <v>0</v>
      </c>
      <c r="R12" s="16">
        <v>0</v>
      </c>
    </row>
    <row r="13" spans="1:18" x14ac:dyDescent="0.25">
      <c r="A13" s="11" t="s">
        <v>145</v>
      </c>
      <c r="B13" s="13">
        <v>7161</v>
      </c>
      <c r="C13" s="14">
        <f>(6035/B13*100)</f>
        <v>84.275939114648793</v>
      </c>
      <c r="D13" s="15">
        <v>1126</v>
      </c>
      <c r="E13" s="14">
        <v>84.075300960000007</v>
      </c>
      <c r="F13" s="16">
        <v>1.2130223</v>
      </c>
      <c r="G13" s="14">
        <v>15.92469904</v>
      </c>
      <c r="H13" s="16">
        <v>1.2130223</v>
      </c>
      <c r="I13" s="14" t="s">
        <v>139</v>
      </c>
      <c r="J13" s="16" t="s">
        <v>139</v>
      </c>
      <c r="K13" s="14">
        <v>0</v>
      </c>
      <c r="L13" s="16">
        <v>0</v>
      </c>
      <c r="M13" s="14">
        <v>0</v>
      </c>
      <c r="N13" s="16">
        <v>0</v>
      </c>
      <c r="O13" s="14">
        <v>0</v>
      </c>
      <c r="P13" s="16">
        <v>0</v>
      </c>
      <c r="Q13" s="14">
        <v>0</v>
      </c>
      <c r="R13" s="16">
        <v>0</v>
      </c>
    </row>
    <row r="14" spans="1:18" x14ac:dyDescent="0.25">
      <c r="A14" s="11" t="s">
        <v>146</v>
      </c>
      <c r="B14" s="13">
        <v>5587</v>
      </c>
      <c r="C14" s="14">
        <f>(4647/B14*100)</f>
        <v>83.175228208340783</v>
      </c>
      <c r="D14" s="15">
        <v>940</v>
      </c>
      <c r="E14" s="14">
        <v>69.841406289999995</v>
      </c>
      <c r="F14" s="16">
        <v>1.4317907599999999</v>
      </c>
      <c r="G14" s="14">
        <v>30.158593710000002</v>
      </c>
      <c r="H14" s="16">
        <v>1.4317907599999999</v>
      </c>
      <c r="I14" s="14" t="s">
        <v>139</v>
      </c>
      <c r="J14" s="16" t="s">
        <v>139</v>
      </c>
      <c r="K14" s="14">
        <v>0</v>
      </c>
      <c r="L14" s="16">
        <v>0</v>
      </c>
      <c r="M14" s="14">
        <v>0</v>
      </c>
      <c r="N14" s="16">
        <v>0</v>
      </c>
      <c r="O14" s="14">
        <v>0</v>
      </c>
      <c r="P14" s="16">
        <v>0</v>
      </c>
      <c r="Q14" s="14">
        <v>0</v>
      </c>
      <c r="R14" s="16">
        <v>0</v>
      </c>
    </row>
    <row r="15" spans="1:18" x14ac:dyDescent="0.25">
      <c r="A15" s="11" t="s">
        <v>147</v>
      </c>
      <c r="B15" s="13">
        <v>5882</v>
      </c>
      <c r="C15" s="14">
        <f>(4921/B15*100)</f>
        <v>83.66201972118327</v>
      </c>
      <c r="D15" s="15">
        <v>961</v>
      </c>
      <c r="E15" s="14">
        <v>77.39107147</v>
      </c>
      <c r="F15" s="16">
        <v>1.39873406</v>
      </c>
      <c r="G15" s="14">
        <v>22.60892853</v>
      </c>
      <c r="H15" s="16">
        <v>1.39873406</v>
      </c>
      <c r="I15" s="14" t="s">
        <v>139</v>
      </c>
      <c r="J15" s="16" t="s">
        <v>139</v>
      </c>
      <c r="K15" s="14">
        <v>0</v>
      </c>
      <c r="L15" s="16">
        <v>0</v>
      </c>
      <c r="M15" s="14">
        <v>0</v>
      </c>
      <c r="N15" s="16">
        <v>0</v>
      </c>
      <c r="O15" s="14">
        <v>0</v>
      </c>
      <c r="P15" s="16">
        <v>0</v>
      </c>
      <c r="Q15" s="14">
        <v>0</v>
      </c>
      <c r="R15" s="16">
        <v>0</v>
      </c>
    </row>
    <row r="16" spans="1:18" x14ac:dyDescent="0.25">
      <c r="A16" s="11" t="s">
        <v>148</v>
      </c>
      <c r="B16" s="13">
        <v>6108</v>
      </c>
      <c r="C16" s="14">
        <f>(5092/B16*100)</f>
        <v>83.366077275704001</v>
      </c>
      <c r="D16" s="15">
        <v>1016</v>
      </c>
      <c r="E16" s="14">
        <v>78.437372280000005</v>
      </c>
      <c r="F16" s="16">
        <v>1.30584568</v>
      </c>
      <c r="G16" s="14">
        <v>21.562627719999998</v>
      </c>
      <c r="H16" s="16">
        <v>1.30584568</v>
      </c>
      <c r="I16" s="14" t="s">
        <v>139</v>
      </c>
      <c r="J16" s="16" t="s">
        <v>139</v>
      </c>
      <c r="K16" s="14">
        <v>0</v>
      </c>
      <c r="L16" s="16">
        <v>0</v>
      </c>
      <c r="M16" s="14">
        <v>0</v>
      </c>
      <c r="N16" s="16">
        <v>0</v>
      </c>
      <c r="O16" s="14">
        <v>0</v>
      </c>
      <c r="P16" s="16">
        <v>0</v>
      </c>
      <c r="Q16" s="14">
        <v>0</v>
      </c>
      <c r="R16" s="16">
        <v>0</v>
      </c>
    </row>
    <row r="17" spans="1:18" x14ac:dyDescent="0.25">
      <c r="A17" s="11" t="s">
        <v>149</v>
      </c>
      <c r="B17" s="13">
        <v>6504</v>
      </c>
      <c r="C17" s="14">
        <f>(5459/B17*100)</f>
        <v>83.932964329643298</v>
      </c>
      <c r="D17" s="15">
        <v>1045</v>
      </c>
      <c r="E17" s="14">
        <v>71.331815989999996</v>
      </c>
      <c r="F17" s="16">
        <v>1.6709668</v>
      </c>
      <c r="G17" s="14">
        <v>28.668184010000001</v>
      </c>
      <c r="H17" s="16">
        <v>1.6709668</v>
      </c>
      <c r="I17" s="14" t="s">
        <v>139</v>
      </c>
      <c r="J17" s="16" t="s">
        <v>139</v>
      </c>
      <c r="K17" s="14">
        <v>0</v>
      </c>
      <c r="L17" s="16">
        <v>0</v>
      </c>
      <c r="M17" s="14">
        <v>0</v>
      </c>
      <c r="N17" s="16">
        <v>0</v>
      </c>
      <c r="O17" s="14">
        <v>0</v>
      </c>
      <c r="P17" s="16">
        <v>0</v>
      </c>
      <c r="Q17" s="14">
        <v>0</v>
      </c>
      <c r="R17" s="16">
        <v>0</v>
      </c>
    </row>
    <row r="18" spans="1:18" x14ac:dyDescent="0.25">
      <c r="A18" s="11" t="s">
        <v>150</v>
      </c>
      <c r="B18" s="13">
        <v>5532</v>
      </c>
      <c r="C18" s="14">
        <f>(4583/B18*100)</f>
        <v>82.845263919016631</v>
      </c>
      <c r="D18" s="15">
        <v>949</v>
      </c>
      <c r="E18" s="14">
        <v>77.858652079999999</v>
      </c>
      <c r="F18" s="16">
        <v>1.29360634</v>
      </c>
      <c r="G18" s="14">
        <v>22.141347920000001</v>
      </c>
      <c r="H18" s="16">
        <v>1.29360634</v>
      </c>
      <c r="I18" s="14" t="s">
        <v>139</v>
      </c>
      <c r="J18" s="16" t="s">
        <v>139</v>
      </c>
      <c r="K18" s="14">
        <v>0</v>
      </c>
      <c r="L18" s="16">
        <v>0</v>
      </c>
      <c r="M18" s="14">
        <v>0</v>
      </c>
      <c r="N18" s="16">
        <v>0</v>
      </c>
      <c r="O18" s="14">
        <v>0</v>
      </c>
      <c r="P18" s="16">
        <v>0</v>
      </c>
      <c r="Q18" s="14">
        <v>0</v>
      </c>
      <c r="R18" s="16">
        <v>0</v>
      </c>
    </row>
    <row r="19" spans="1:18" x14ac:dyDescent="0.25">
      <c r="A19" s="11" t="s">
        <v>151</v>
      </c>
      <c r="B19" s="13">
        <v>5658</v>
      </c>
      <c r="C19" s="14">
        <f>(4745/B19*100)</f>
        <v>83.863556026864615</v>
      </c>
      <c r="D19" s="15">
        <v>913</v>
      </c>
      <c r="E19" s="14">
        <v>78.232856709999993</v>
      </c>
      <c r="F19" s="16">
        <v>1.6096203200000001</v>
      </c>
      <c r="G19" s="14">
        <v>21.76714329</v>
      </c>
      <c r="H19" s="16">
        <v>1.6096203200000001</v>
      </c>
      <c r="I19" s="14" t="s">
        <v>139</v>
      </c>
      <c r="J19" s="16" t="s">
        <v>139</v>
      </c>
      <c r="K19" s="14">
        <v>0</v>
      </c>
      <c r="L19" s="16">
        <v>0</v>
      </c>
      <c r="M19" s="14">
        <v>0</v>
      </c>
      <c r="N19" s="16">
        <v>0</v>
      </c>
      <c r="O19" s="14">
        <v>0</v>
      </c>
      <c r="P19" s="16">
        <v>0</v>
      </c>
      <c r="Q19" s="14">
        <v>0</v>
      </c>
      <c r="R19" s="16">
        <v>0</v>
      </c>
    </row>
    <row r="20" spans="1:18" x14ac:dyDescent="0.25">
      <c r="A20" s="11" t="s">
        <v>152</v>
      </c>
      <c r="B20" s="13">
        <v>3371</v>
      </c>
      <c r="C20" s="14">
        <f>(2820/B20*100)</f>
        <v>83.654701868881645</v>
      </c>
      <c r="D20" s="15">
        <v>551</v>
      </c>
      <c r="E20" s="14">
        <v>80.249125449999994</v>
      </c>
      <c r="F20" s="16">
        <v>1.8058403199999999</v>
      </c>
      <c r="G20" s="14">
        <v>19.750874549999999</v>
      </c>
      <c r="H20" s="16">
        <v>1.8058403199999999</v>
      </c>
      <c r="I20" s="14" t="s">
        <v>139</v>
      </c>
      <c r="J20" s="16" t="s">
        <v>139</v>
      </c>
      <c r="K20" s="14">
        <v>0</v>
      </c>
      <c r="L20" s="16">
        <v>0</v>
      </c>
      <c r="M20" s="14">
        <v>0</v>
      </c>
      <c r="N20" s="16">
        <v>0</v>
      </c>
      <c r="O20" s="14">
        <v>0</v>
      </c>
      <c r="P20" s="16">
        <v>0</v>
      </c>
      <c r="Q20" s="14">
        <v>0</v>
      </c>
      <c r="R20" s="16">
        <v>0</v>
      </c>
    </row>
    <row r="21" spans="1:18" x14ac:dyDescent="0.25">
      <c r="A21" s="11" t="s">
        <v>153</v>
      </c>
      <c r="B21" s="17" t="s">
        <v>154</v>
      </c>
      <c r="C21" s="17" t="s">
        <v>154</v>
      </c>
      <c r="D21" s="18" t="s">
        <v>154</v>
      </c>
      <c r="E21" s="17" t="s">
        <v>154</v>
      </c>
      <c r="F21" s="18" t="s">
        <v>154</v>
      </c>
      <c r="G21" s="17" t="s">
        <v>154</v>
      </c>
      <c r="H21" s="18" t="s">
        <v>154</v>
      </c>
      <c r="I21" s="17" t="s">
        <v>154</v>
      </c>
      <c r="J21" s="18" t="s">
        <v>154</v>
      </c>
      <c r="K21" s="17" t="s">
        <v>154</v>
      </c>
      <c r="L21" s="18" t="s">
        <v>154</v>
      </c>
      <c r="M21" s="17" t="s">
        <v>154</v>
      </c>
      <c r="N21" s="18" t="s">
        <v>154</v>
      </c>
      <c r="O21" s="17" t="s">
        <v>154</v>
      </c>
      <c r="P21" s="18" t="s">
        <v>154</v>
      </c>
      <c r="Q21" s="17" t="s">
        <v>154</v>
      </c>
      <c r="R21" s="18" t="s">
        <v>154</v>
      </c>
    </row>
    <row r="22" spans="1:18" x14ac:dyDescent="0.25">
      <c r="A22" s="11" t="s">
        <v>155</v>
      </c>
      <c r="B22" s="13">
        <v>6598</v>
      </c>
      <c r="C22" s="14">
        <f>(5607/B22*100)</f>
        <v>84.980297059715056</v>
      </c>
      <c r="D22" s="15">
        <v>991</v>
      </c>
      <c r="E22" s="14">
        <v>76.374212459999995</v>
      </c>
      <c r="F22" s="16">
        <v>1.3030727499999999</v>
      </c>
      <c r="G22" s="14">
        <v>23.625787540000001</v>
      </c>
      <c r="H22" s="16">
        <v>1.3030727499999999</v>
      </c>
      <c r="I22" s="14" t="s">
        <v>139</v>
      </c>
      <c r="J22" s="16" t="s">
        <v>139</v>
      </c>
      <c r="K22" s="14">
        <v>0</v>
      </c>
      <c r="L22" s="16">
        <v>0</v>
      </c>
      <c r="M22" s="14">
        <v>0</v>
      </c>
      <c r="N22" s="16">
        <v>0</v>
      </c>
      <c r="O22" s="14">
        <v>0</v>
      </c>
      <c r="P22" s="16">
        <v>0</v>
      </c>
      <c r="Q22" s="14">
        <v>0</v>
      </c>
      <c r="R22" s="16">
        <v>0</v>
      </c>
    </row>
    <row r="23" spans="1:18" x14ac:dyDescent="0.25">
      <c r="A23" s="11" t="s">
        <v>156</v>
      </c>
      <c r="B23" s="13">
        <v>11583</v>
      </c>
      <c r="C23" s="14">
        <f>(9661/B23*100)</f>
        <v>83.406716740050072</v>
      </c>
      <c r="D23" s="15">
        <v>1922</v>
      </c>
      <c r="E23" s="14">
        <v>80.492241669999999</v>
      </c>
      <c r="F23" s="16">
        <v>1.0558000000000001</v>
      </c>
      <c r="G23" s="14">
        <v>19.507758330000001</v>
      </c>
      <c r="H23" s="16">
        <v>1.0558000000000001</v>
      </c>
      <c r="I23" s="14" t="s">
        <v>139</v>
      </c>
      <c r="J23" s="16" t="s">
        <v>139</v>
      </c>
      <c r="K23" s="14">
        <v>0</v>
      </c>
      <c r="L23" s="16">
        <v>0</v>
      </c>
      <c r="M23" s="14">
        <v>0</v>
      </c>
      <c r="N23" s="16">
        <v>0</v>
      </c>
      <c r="O23" s="14">
        <v>0</v>
      </c>
      <c r="P23" s="16">
        <v>0</v>
      </c>
      <c r="Q23" s="14">
        <v>0</v>
      </c>
      <c r="R23" s="16">
        <v>0</v>
      </c>
    </row>
    <row r="24" spans="1:18" x14ac:dyDescent="0.25">
      <c r="A24" s="11" t="s">
        <v>157</v>
      </c>
      <c r="B24" s="13">
        <v>6647</v>
      </c>
      <c r="C24" s="14">
        <f>(5508/B24*100)</f>
        <v>82.864450127877248</v>
      </c>
      <c r="D24" s="15">
        <v>1139</v>
      </c>
      <c r="E24" s="14">
        <v>82.629034079999997</v>
      </c>
      <c r="F24" s="16">
        <v>1.16374022</v>
      </c>
      <c r="G24" s="14">
        <v>17.37096592</v>
      </c>
      <c r="H24" s="16">
        <v>1.16374022</v>
      </c>
      <c r="I24" s="14" t="s">
        <v>139</v>
      </c>
      <c r="J24" s="16" t="s">
        <v>139</v>
      </c>
      <c r="K24" s="14">
        <v>0</v>
      </c>
      <c r="L24" s="16">
        <v>0</v>
      </c>
      <c r="M24" s="14">
        <v>0</v>
      </c>
      <c r="N24" s="16">
        <v>0</v>
      </c>
      <c r="O24" s="14">
        <v>0</v>
      </c>
      <c r="P24" s="16">
        <v>0</v>
      </c>
      <c r="Q24" s="14">
        <v>0</v>
      </c>
      <c r="R24" s="16">
        <v>0</v>
      </c>
    </row>
    <row r="25" spans="1:18" x14ac:dyDescent="0.25">
      <c r="A25" s="11" t="s">
        <v>158</v>
      </c>
      <c r="B25" s="13">
        <v>5581</v>
      </c>
      <c r="C25" s="14">
        <f>(4617/B25*100)</f>
        <v>82.727109836946795</v>
      </c>
      <c r="D25" s="15">
        <v>964</v>
      </c>
      <c r="E25" s="14">
        <v>73.085174269999996</v>
      </c>
      <c r="F25" s="16">
        <v>1.6694095600000001</v>
      </c>
      <c r="G25" s="14">
        <v>26.91482573</v>
      </c>
      <c r="H25" s="16">
        <v>1.6694095600000001</v>
      </c>
      <c r="I25" s="14" t="s">
        <v>139</v>
      </c>
      <c r="J25" s="16" t="s">
        <v>139</v>
      </c>
      <c r="K25" s="14">
        <v>0</v>
      </c>
      <c r="L25" s="16">
        <v>0</v>
      </c>
      <c r="M25" s="14">
        <v>0</v>
      </c>
      <c r="N25" s="16">
        <v>0</v>
      </c>
      <c r="O25" s="14">
        <v>0</v>
      </c>
      <c r="P25" s="16">
        <v>0</v>
      </c>
      <c r="Q25" s="14">
        <v>0</v>
      </c>
      <c r="R25" s="16">
        <v>0</v>
      </c>
    </row>
    <row r="26" spans="1:18" x14ac:dyDescent="0.25">
      <c r="A26" s="11" t="s">
        <v>159</v>
      </c>
      <c r="B26" s="13">
        <v>4869</v>
      </c>
      <c r="C26" s="14">
        <f>(4025/B26*100)</f>
        <v>82.665845142739784</v>
      </c>
      <c r="D26" s="15">
        <v>844</v>
      </c>
      <c r="E26" s="14">
        <v>71.242504199999999</v>
      </c>
      <c r="F26" s="16">
        <v>1.71049232</v>
      </c>
      <c r="G26" s="14">
        <v>28.757495800000001</v>
      </c>
      <c r="H26" s="16">
        <v>1.71049232</v>
      </c>
      <c r="I26" s="14" t="s">
        <v>139</v>
      </c>
      <c r="J26" s="16" t="s">
        <v>139</v>
      </c>
      <c r="K26" s="14">
        <v>0</v>
      </c>
      <c r="L26" s="16">
        <v>0</v>
      </c>
      <c r="M26" s="14">
        <v>0</v>
      </c>
      <c r="N26" s="16">
        <v>0</v>
      </c>
      <c r="O26" s="14">
        <v>0</v>
      </c>
      <c r="P26" s="16">
        <v>0</v>
      </c>
      <c r="Q26" s="14">
        <v>0</v>
      </c>
      <c r="R26" s="16">
        <v>0</v>
      </c>
    </row>
    <row r="27" spans="1:18" x14ac:dyDescent="0.25">
      <c r="A27" s="11" t="s">
        <v>160</v>
      </c>
      <c r="B27" s="13">
        <v>5299</v>
      </c>
      <c r="C27" s="14">
        <f>(4441/B27*100)</f>
        <v>83.808265710511421</v>
      </c>
      <c r="D27" s="15">
        <v>858</v>
      </c>
      <c r="E27" s="14">
        <v>80.10930587</v>
      </c>
      <c r="F27" s="16">
        <v>1.33912421</v>
      </c>
      <c r="G27" s="14">
        <v>19.89069413</v>
      </c>
      <c r="H27" s="16">
        <v>1.33912421</v>
      </c>
      <c r="I27" s="14" t="s">
        <v>139</v>
      </c>
      <c r="J27" s="16" t="s">
        <v>139</v>
      </c>
      <c r="K27" s="14">
        <v>0</v>
      </c>
      <c r="L27" s="16">
        <v>0</v>
      </c>
      <c r="M27" s="14">
        <v>0</v>
      </c>
      <c r="N27" s="16">
        <v>0</v>
      </c>
      <c r="O27" s="14">
        <v>0</v>
      </c>
      <c r="P27" s="16">
        <v>0</v>
      </c>
      <c r="Q27" s="14">
        <v>0</v>
      </c>
      <c r="R27" s="16">
        <v>0</v>
      </c>
    </row>
    <row r="28" spans="1:18" x14ac:dyDescent="0.25">
      <c r="A28" s="11" t="s">
        <v>161</v>
      </c>
      <c r="B28" s="13">
        <v>7568</v>
      </c>
      <c r="C28" s="14">
        <f>(6479/B28*100)</f>
        <v>85.610465116279073</v>
      </c>
      <c r="D28" s="15">
        <v>1089</v>
      </c>
      <c r="E28" s="14">
        <v>71.633860459999994</v>
      </c>
      <c r="F28" s="16">
        <v>1.51899516</v>
      </c>
      <c r="G28" s="14">
        <v>28.366139539999999</v>
      </c>
      <c r="H28" s="16">
        <v>1.51899516</v>
      </c>
      <c r="I28" s="14" t="s">
        <v>139</v>
      </c>
      <c r="J28" s="16" t="s">
        <v>139</v>
      </c>
      <c r="K28" s="14">
        <v>0</v>
      </c>
      <c r="L28" s="16">
        <v>0</v>
      </c>
      <c r="M28" s="14">
        <v>0</v>
      </c>
      <c r="N28" s="16">
        <v>0</v>
      </c>
      <c r="O28" s="14">
        <v>0</v>
      </c>
      <c r="P28" s="16">
        <v>0</v>
      </c>
      <c r="Q28" s="14">
        <v>0</v>
      </c>
      <c r="R28" s="16">
        <v>0</v>
      </c>
    </row>
    <row r="29" spans="1:18" x14ac:dyDescent="0.25">
      <c r="A29" s="11" t="s">
        <v>162</v>
      </c>
      <c r="B29" s="13">
        <v>5385</v>
      </c>
      <c r="C29" s="14">
        <f>(4470/B29*100)</f>
        <v>83.008356545961007</v>
      </c>
      <c r="D29" s="15">
        <v>915</v>
      </c>
      <c r="E29" s="14">
        <v>82.02903508</v>
      </c>
      <c r="F29" s="16">
        <v>1.3997850300000001</v>
      </c>
      <c r="G29" s="14">
        <v>17.97096492</v>
      </c>
      <c r="H29" s="16">
        <v>1.3997850300000001</v>
      </c>
      <c r="I29" s="14" t="s">
        <v>139</v>
      </c>
      <c r="J29" s="16" t="s">
        <v>139</v>
      </c>
      <c r="K29" s="14">
        <v>0</v>
      </c>
      <c r="L29" s="16">
        <v>0</v>
      </c>
      <c r="M29" s="14">
        <v>0</v>
      </c>
      <c r="N29" s="16">
        <v>0</v>
      </c>
      <c r="O29" s="14">
        <v>0</v>
      </c>
      <c r="P29" s="16">
        <v>0</v>
      </c>
      <c r="Q29" s="14">
        <v>0</v>
      </c>
      <c r="R29" s="16">
        <v>0</v>
      </c>
    </row>
    <row r="30" spans="1:18" x14ac:dyDescent="0.25">
      <c r="A30" s="11" t="s">
        <v>163</v>
      </c>
      <c r="B30" s="13">
        <v>4520</v>
      </c>
      <c r="C30" s="14">
        <f>(3779/B30*100)</f>
        <v>83.606194690265482</v>
      </c>
      <c r="D30" s="15">
        <v>741</v>
      </c>
      <c r="E30" s="14">
        <v>78.989214259999997</v>
      </c>
      <c r="F30" s="16">
        <v>1.50032812</v>
      </c>
      <c r="G30" s="14">
        <v>21.010785739999999</v>
      </c>
      <c r="H30" s="16">
        <v>1.50032812</v>
      </c>
      <c r="I30" s="14" t="s">
        <v>139</v>
      </c>
      <c r="J30" s="16" t="s">
        <v>139</v>
      </c>
      <c r="K30" s="14">
        <v>0</v>
      </c>
      <c r="L30" s="16">
        <v>0</v>
      </c>
      <c r="M30" s="14">
        <v>0</v>
      </c>
      <c r="N30" s="16">
        <v>0</v>
      </c>
      <c r="O30" s="14">
        <v>0</v>
      </c>
      <c r="P30" s="16">
        <v>0</v>
      </c>
      <c r="Q30" s="14">
        <v>0</v>
      </c>
      <c r="R30" s="16">
        <v>0</v>
      </c>
    </row>
    <row r="31" spans="1:18" x14ac:dyDescent="0.25">
      <c r="A31" s="11" t="s">
        <v>164</v>
      </c>
      <c r="B31" s="13">
        <v>5456</v>
      </c>
      <c r="C31" s="14">
        <f>(4579/B31*100)</f>
        <v>83.925953079178882</v>
      </c>
      <c r="D31" s="15">
        <v>877</v>
      </c>
      <c r="E31" s="14">
        <v>82.289780660000005</v>
      </c>
      <c r="F31" s="16">
        <v>1.23638995</v>
      </c>
      <c r="G31" s="14">
        <v>17.710219339999998</v>
      </c>
      <c r="H31" s="16">
        <v>1.23638995</v>
      </c>
      <c r="I31" s="14" t="s">
        <v>139</v>
      </c>
      <c r="J31" s="16" t="s">
        <v>139</v>
      </c>
      <c r="K31" s="14">
        <v>0</v>
      </c>
      <c r="L31" s="16">
        <v>0</v>
      </c>
      <c r="M31" s="14">
        <v>0</v>
      </c>
      <c r="N31" s="16">
        <v>0</v>
      </c>
      <c r="O31" s="14">
        <v>0</v>
      </c>
      <c r="P31" s="16">
        <v>0</v>
      </c>
      <c r="Q31" s="14">
        <v>0</v>
      </c>
      <c r="R31" s="16">
        <v>0</v>
      </c>
    </row>
    <row r="32" spans="1:18" x14ac:dyDescent="0.25">
      <c r="A32" s="11" t="s">
        <v>165</v>
      </c>
      <c r="B32" s="17" t="s">
        <v>154</v>
      </c>
      <c r="C32" s="17" t="s">
        <v>154</v>
      </c>
      <c r="D32" s="18" t="s">
        <v>154</v>
      </c>
      <c r="E32" s="17" t="s">
        <v>154</v>
      </c>
      <c r="F32" s="18" t="s">
        <v>154</v>
      </c>
      <c r="G32" s="17" t="s">
        <v>154</v>
      </c>
      <c r="H32" s="18" t="s">
        <v>154</v>
      </c>
      <c r="I32" s="17" t="s">
        <v>154</v>
      </c>
      <c r="J32" s="18" t="s">
        <v>154</v>
      </c>
      <c r="K32" s="17" t="s">
        <v>154</v>
      </c>
      <c r="L32" s="18" t="s">
        <v>154</v>
      </c>
      <c r="M32" s="17" t="s">
        <v>154</v>
      </c>
      <c r="N32" s="18" t="s">
        <v>154</v>
      </c>
      <c r="O32" s="17" t="s">
        <v>154</v>
      </c>
      <c r="P32" s="18" t="s">
        <v>154</v>
      </c>
      <c r="Q32" s="17" t="s">
        <v>154</v>
      </c>
      <c r="R32" s="18" t="s">
        <v>154</v>
      </c>
    </row>
    <row r="33" spans="1:18" x14ac:dyDescent="0.25">
      <c r="A33" s="11" t="s">
        <v>166</v>
      </c>
      <c r="B33" s="13">
        <v>7325</v>
      </c>
      <c r="C33" s="14">
        <f>(6194/B33*100)</f>
        <v>84.559726962457333</v>
      </c>
      <c r="D33" s="15">
        <v>1131</v>
      </c>
      <c r="E33" s="14">
        <v>79.618356610000006</v>
      </c>
      <c r="F33" s="16">
        <v>1.3508904799999999</v>
      </c>
      <c r="G33" s="14">
        <v>20.381643390000001</v>
      </c>
      <c r="H33" s="16">
        <v>1.3508904799999999</v>
      </c>
      <c r="I33" s="14" t="s">
        <v>139</v>
      </c>
      <c r="J33" s="16" t="s">
        <v>139</v>
      </c>
      <c r="K33" s="14">
        <v>0</v>
      </c>
      <c r="L33" s="16">
        <v>0</v>
      </c>
      <c r="M33" s="14">
        <v>0</v>
      </c>
      <c r="N33" s="16">
        <v>0</v>
      </c>
      <c r="O33" s="14">
        <v>0</v>
      </c>
      <c r="P33" s="16">
        <v>0</v>
      </c>
      <c r="Q33" s="14">
        <v>0</v>
      </c>
      <c r="R33" s="16">
        <v>0</v>
      </c>
    </row>
    <row r="34" spans="1:18" x14ac:dyDescent="0.25">
      <c r="A34" s="11" t="s">
        <v>167</v>
      </c>
      <c r="B34" s="13">
        <v>6350</v>
      </c>
      <c r="C34" s="14">
        <f>(5345/B34*100)</f>
        <v>84.173228346456696</v>
      </c>
      <c r="D34" s="15">
        <v>1005</v>
      </c>
      <c r="E34" s="14">
        <v>81.063638449999999</v>
      </c>
      <c r="F34" s="16">
        <v>1.13840472</v>
      </c>
      <c r="G34" s="14">
        <v>18.936361550000001</v>
      </c>
      <c r="H34" s="16">
        <v>1.13840472</v>
      </c>
      <c r="I34" s="14" t="s">
        <v>139</v>
      </c>
      <c r="J34" s="16" t="s">
        <v>139</v>
      </c>
      <c r="K34" s="14">
        <v>0</v>
      </c>
      <c r="L34" s="16">
        <v>0</v>
      </c>
      <c r="M34" s="14">
        <v>0</v>
      </c>
      <c r="N34" s="16">
        <v>0</v>
      </c>
      <c r="O34" s="14">
        <v>0</v>
      </c>
      <c r="P34" s="16">
        <v>0</v>
      </c>
      <c r="Q34" s="14">
        <v>0</v>
      </c>
      <c r="R34" s="16">
        <v>0</v>
      </c>
    </row>
    <row r="35" spans="1:18" x14ac:dyDescent="0.25">
      <c r="A35" s="11" t="s">
        <v>168</v>
      </c>
      <c r="B35" s="13">
        <v>6406</v>
      </c>
      <c r="C35" s="14">
        <f>(5316/B35*100)</f>
        <v>82.9847018420231</v>
      </c>
      <c r="D35" s="15">
        <v>1090</v>
      </c>
      <c r="E35" s="14">
        <v>75.282698269999997</v>
      </c>
      <c r="F35" s="16">
        <v>1.57994105</v>
      </c>
      <c r="G35" s="14">
        <v>24.717301729999999</v>
      </c>
      <c r="H35" s="16">
        <v>1.57994105</v>
      </c>
      <c r="I35" s="14" t="s">
        <v>139</v>
      </c>
      <c r="J35" s="16" t="s">
        <v>139</v>
      </c>
      <c r="K35" s="14">
        <v>0</v>
      </c>
      <c r="L35" s="16">
        <v>0</v>
      </c>
      <c r="M35" s="14">
        <v>0</v>
      </c>
      <c r="N35" s="16">
        <v>0</v>
      </c>
      <c r="O35" s="14">
        <v>0</v>
      </c>
      <c r="P35" s="16">
        <v>0</v>
      </c>
      <c r="Q35" s="14">
        <v>0</v>
      </c>
      <c r="R35" s="16">
        <v>0</v>
      </c>
    </row>
    <row r="36" spans="1:18" x14ac:dyDescent="0.25">
      <c r="A36" s="11" t="s">
        <v>169</v>
      </c>
      <c r="B36" s="13">
        <v>6736</v>
      </c>
      <c r="C36" s="14">
        <f>(5652/B36*100)</f>
        <v>83.907363420427544</v>
      </c>
      <c r="D36" s="15">
        <v>1084</v>
      </c>
      <c r="E36" s="14">
        <v>79.838436049999999</v>
      </c>
      <c r="F36" s="16">
        <v>1.36308345</v>
      </c>
      <c r="G36" s="14">
        <v>20.161563950000001</v>
      </c>
      <c r="H36" s="16">
        <v>1.36308345</v>
      </c>
      <c r="I36" s="14" t="s">
        <v>139</v>
      </c>
      <c r="J36" s="16" t="s">
        <v>139</v>
      </c>
      <c r="K36" s="14">
        <v>0</v>
      </c>
      <c r="L36" s="16">
        <v>0</v>
      </c>
      <c r="M36" s="14">
        <v>0</v>
      </c>
      <c r="N36" s="16">
        <v>0</v>
      </c>
      <c r="O36" s="14">
        <v>0</v>
      </c>
      <c r="P36" s="16">
        <v>0</v>
      </c>
      <c r="Q36" s="14">
        <v>0</v>
      </c>
      <c r="R36" s="16">
        <v>0</v>
      </c>
    </row>
    <row r="37" spans="1:18" x14ac:dyDescent="0.25">
      <c r="A37" s="11" t="s">
        <v>170</v>
      </c>
      <c r="B37" s="13">
        <v>5458</v>
      </c>
      <c r="C37" s="14">
        <f>(4608/B37*100)</f>
        <v>84.426529864419194</v>
      </c>
      <c r="D37" s="15">
        <v>850</v>
      </c>
      <c r="E37" s="14">
        <v>83.206360160000003</v>
      </c>
      <c r="F37" s="16">
        <v>1.3363428100000001</v>
      </c>
      <c r="G37" s="14">
        <v>16.793639840000001</v>
      </c>
      <c r="H37" s="16">
        <v>1.3363428100000001</v>
      </c>
      <c r="I37" s="14" t="s">
        <v>139</v>
      </c>
      <c r="J37" s="16" t="s">
        <v>139</v>
      </c>
      <c r="K37" s="14">
        <v>0</v>
      </c>
      <c r="L37" s="16">
        <v>0</v>
      </c>
      <c r="M37" s="14">
        <v>0</v>
      </c>
      <c r="N37" s="16">
        <v>0</v>
      </c>
      <c r="O37" s="14">
        <v>0</v>
      </c>
      <c r="P37" s="16">
        <v>0</v>
      </c>
      <c r="Q37" s="14">
        <v>0</v>
      </c>
      <c r="R37" s="16">
        <v>0</v>
      </c>
    </row>
    <row r="38" spans="1:18" x14ac:dyDescent="0.25">
      <c r="A38" s="11" t="s">
        <v>171</v>
      </c>
      <c r="B38" s="17" t="s">
        <v>154</v>
      </c>
      <c r="C38" s="17" t="s">
        <v>154</v>
      </c>
      <c r="D38" s="18" t="s">
        <v>154</v>
      </c>
      <c r="E38" s="17" t="s">
        <v>154</v>
      </c>
      <c r="F38" s="18" t="s">
        <v>154</v>
      </c>
      <c r="G38" s="17" t="s">
        <v>154</v>
      </c>
      <c r="H38" s="18" t="s">
        <v>154</v>
      </c>
      <c r="I38" s="17" t="s">
        <v>154</v>
      </c>
      <c r="J38" s="18" t="s">
        <v>154</v>
      </c>
      <c r="K38" s="17" t="s">
        <v>154</v>
      </c>
      <c r="L38" s="18" t="s">
        <v>154</v>
      </c>
      <c r="M38" s="17" t="s">
        <v>154</v>
      </c>
      <c r="N38" s="18" t="s">
        <v>154</v>
      </c>
      <c r="O38" s="17" t="s">
        <v>154</v>
      </c>
      <c r="P38" s="18" t="s">
        <v>154</v>
      </c>
      <c r="Q38" s="17" t="s">
        <v>154</v>
      </c>
      <c r="R38" s="18" t="s">
        <v>154</v>
      </c>
    </row>
    <row r="39" spans="1:18" x14ac:dyDescent="0.25">
      <c r="A39" s="11" t="s">
        <v>172</v>
      </c>
      <c r="B39" s="13">
        <v>5895</v>
      </c>
      <c r="C39" s="14">
        <f>(4875/B39*100)</f>
        <v>82.697201017811707</v>
      </c>
      <c r="D39" s="15">
        <v>1020</v>
      </c>
      <c r="E39" s="14">
        <v>83.959855709999999</v>
      </c>
      <c r="F39" s="16">
        <v>1.4787523</v>
      </c>
      <c r="G39" s="14">
        <v>16.040144290000001</v>
      </c>
      <c r="H39" s="16">
        <v>1.4787523</v>
      </c>
      <c r="I39" s="14" t="s">
        <v>139</v>
      </c>
      <c r="J39" s="16" t="s">
        <v>139</v>
      </c>
      <c r="K39" s="14">
        <v>0</v>
      </c>
      <c r="L39" s="16">
        <v>0</v>
      </c>
      <c r="M39" s="14">
        <v>0</v>
      </c>
      <c r="N39" s="16">
        <v>0</v>
      </c>
      <c r="O39" s="14">
        <v>0</v>
      </c>
      <c r="P39" s="16">
        <v>0</v>
      </c>
      <c r="Q39" s="14">
        <v>0</v>
      </c>
      <c r="R39" s="16">
        <v>0</v>
      </c>
    </row>
    <row r="40" spans="1:18" x14ac:dyDescent="0.25">
      <c r="A40" s="11" t="s">
        <v>173</v>
      </c>
      <c r="B40" s="13">
        <v>14157</v>
      </c>
      <c r="C40" s="14">
        <f>(11677/B40*100)</f>
        <v>82.482164300346113</v>
      </c>
      <c r="D40" s="15">
        <v>2480</v>
      </c>
      <c r="E40" s="14">
        <v>73.981877220000001</v>
      </c>
      <c r="F40" s="16">
        <v>1.54082286</v>
      </c>
      <c r="G40" s="14">
        <v>26.018122779999999</v>
      </c>
      <c r="H40" s="16">
        <v>1.54082286</v>
      </c>
      <c r="I40" s="14" t="s">
        <v>139</v>
      </c>
      <c r="J40" s="16" t="s">
        <v>139</v>
      </c>
      <c r="K40" s="14">
        <v>0</v>
      </c>
      <c r="L40" s="16">
        <v>0</v>
      </c>
      <c r="M40" s="14">
        <v>0</v>
      </c>
      <c r="N40" s="16">
        <v>0</v>
      </c>
      <c r="O40" s="14">
        <v>0</v>
      </c>
      <c r="P40" s="16">
        <v>0</v>
      </c>
      <c r="Q40" s="14">
        <v>0</v>
      </c>
      <c r="R40" s="16">
        <v>0</v>
      </c>
    </row>
    <row r="41" spans="1:18" x14ac:dyDescent="0.25">
      <c r="A41" s="11" t="s">
        <v>174</v>
      </c>
      <c r="B41" s="13">
        <v>5712</v>
      </c>
      <c r="C41" s="14">
        <f>(4807/B41*100)</f>
        <v>84.156162464985997</v>
      </c>
      <c r="D41" s="15">
        <v>905</v>
      </c>
      <c r="E41" s="14">
        <v>73.59900322</v>
      </c>
      <c r="F41" s="16">
        <v>1.82185913</v>
      </c>
      <c r="G41" s="14">
        <v>26.40099678</v>
      </c>
      <c r="H41" s="16">
        <v>1.82185913</v>
      </c>
      <c r="I41" s="14" t="s">
        <v>139</v>
      </c>
      <c r="J41" s="16" t="s">
        <v>139</v>
      </c>
      <c r="K41" s="14">
        <v>0</v>
      </c>
      <c r="L41" s="16">
        <v>0</v>
      </c>
      <c r="M41" s="14">
        <v>0</v>
      </c>
      <c r="N41" s="16">
        <v>0</v>
      </c>
      <c r="O41" s="14">
        <v>0</v>
      </c>
      <c r="P41" s="16">
        <v>0</v>
      </c>
      <c r="Q41" s="14">
        <v>0</v>
      </c>
      <c r="R41" s="16">
        <v>0</v>
      </c>
    </row>
    <row r="42" spans="1:18" x14ac:dyDescent="0.25">
      <c r="A42" s="11" t="s">
        <v>175</v>
      </c>
      <c r="B42" s="13">
        <f>IF(COUNT(B7:B41) &gt; 0, AVERAGE(B7:B41), "\u2014")</f>
        <v>7266.90625</v>
      </c>
      <c r="C42" s="14">
        <f>IF(COUNT(C7:C41) &gt; 0, AVERAGE(C7:C41), "—")</f>
        <v>83.651274497460449</v>
      </c>
      <c r="D42" s="15">
        <f>IF(COUNT(D7:D41) &gt; 0, AVERAGE(D7:D41), "—")</f>
        <v>1190.53125</v>
      </c>
      <c r="E42" s="14">
        <f>IF(COUNT(E7:E41) &gt; 0, AVERAGE(E7:E41), "—")</f>
        <v>77.871286784375002</v>
      </c>
      <c r="F42" s="16">
        <f>IF(COUNT(F7:F41) &gt; 0, SQRT(SUMSQ(F7:F41)/(COUNT(F7:F41)*COUNT(F7:F41)) ), "—")</f>
        <v>0.24753118508053379</v>
      </c>
      <c r="G42" s="14">
        <f>IF(COUNT(G7:G41) &gt; 0, AVERAGE(G7:G41), "—")</f>
        <v>22.128713215625002</v>
      </c>
      <c r="H42" s="16">
        <f>IF(COUNT(H7:H41) &gt; 0, SQRT(SUMSQ(H7:H41)/(COUNT(H7:H41)*COUNT(H7:H41)) ), "—")</f>
        <v>0.24753118508053379</v>
      </c>
      <c r="I42" s="14" t="str">
        <f>IF(COUNT(I7:I41) &gt; 0, AVERAGE(I7:I41), "—")</f>
        <v>—</v>
      </c>
      <c r="J42" s="16" t="str">
        <f>IF(COUNT(J7:J41) &gt; 0, SQRT(SUMSQ(J7:J41)/(COUNT(J7:J41)*COUNT(J7:J41)) ), "—")</f>
        <v>—</v>
      </c>
      <c r="K42" s="14">
        <f>IF(COUNT(K7:K41) &gt; 0, AVERAGE(K7:K41), "—")</f>
        <v>0</v>
      </c>
      <c r="L42" s="16">
        <f>IF(COUNT(L7:L41) &gt; 0, SQRT(SUMSQ(L7:L41)/(COUNT(L7:L41)*COUNT(L7:L41)) ), "—")</f>
        <v>0</v>
      </c>
      <c r="M42" s="14">
        <f>IF(COUNT(M7:M41) &gt; 0, AVERAGE(M7:M41), "—")</f>
        <v>0</v>
      </c>
      <c r="N42" s="16">
        <f>IF(COUNT(N7:N41) &gt; 0, SQRT(SUMSQ(N7:N41)/(COUNT(N7:N41)*COUNT(N7:N41)) ), "—")</f>
        <v>0</v>
      </c>
      <c r="O42" s="14">
        <f>IF(COUNT(O7:O41) &gt; 0, AVERAGE(O7:O41), "—")</f>
        <v>0</v>
      </c>
      <c r="P42" s="16">
        <f>IF(COUNT(P7:P41) &gt; 0, SQRT(SUMSQ(P7:P41)/(COUNT(P7:P41)*COUNT(P7:P41)) ), "—")</f>
        <v>0</v>
      </c>
      <c r="Q42" s="14">
        <f>IF(COUNT(Q7:Q41) &gt; 0, AVERAGE(Q7:Q41), "—")</f>
        <v>0</v>
      </c>
      <c r="R42" s="16">
        <f>IF(COUNT(R7:R41) &gt; 0, SQRT(SUMSQ(R7:R41)/(COUNT(R7:R41)*COUNT(R7:R41)) ), "—")</f>
        <v>0</v>
      </c>
    </row>
    <row r="43" spans="1:18" x14ac:dyDescent="0.25">
      <c r="A43" s="9" t="s">
        <v>176</v>
      </c>
      <c r="B43" s="10"/>
      <c r="C43" s="10"/>
      <c r="D43" s="11"/>
      <c r="E43" s="10"/>
      <c r="F43" s="11"/>
      <c r="G43" s="10"/>
      <c r="H43" s="11"/>
      <c r="I43" s="10"/>
      <c r="J43" s="11"/>
      <c r="K43" s="10"/>
      <c r="L43" s="11"/>
      <c r="M43" s="10"/>
      <c r="N43" s="11"/>
      <c r="O43" s="10"/>
      <c r="P43" s="11"/>
      <c r="Q43" s="10"/>
      <c r="R43" s="12"/>
    </row>
    <row r="44" spans="1:18" x14ac:dyDescent="0.25">
      <c r="A44" s="11" t="s">
        <v>177</v>
      </c>
      <c r="B44" s="17" t="s">
        <v>154</v>
      </c>
      <c r="C44" s="17" t="s">
        <v>154</v>
      </c>
      <c r="D44" s="18" t="s">
        <v>154</v>
      </c>
      <c r="E44" s="17" t="s">
        <v>154</v>
      </c>
      <c r="F44" s="18" t="s">
        <v>154</v>
      </c>
      <c r="G44" s="17" t="s">
        <v>154</v>
      </c>
      <c r="H44" s="18" t="s">
        <v>154</v>
      </c>
      <c r="I44" s="17" t="s">
        <v>154</v>
      </c>
      <c r="J44" s="18" t="s">
        <v>154</v>
      </c>
      <c r="K44" s="17" t="s">
        <v>154</v>
      </c>
      <c r="L44" s="18" t="s">
        <v>154</v>
      </c>
      <c r="M44" s="17" t="s">
        <v>154</v>
      </c>
      <c r="N44" s="18" t="s">
        <v>154</v>
      </c>
      <c r="O44" s="17" t="s">
        <v>154</v>
      </c>
      <c r="P44" s="18" t="s">
        <v>154</v>
      </c>
      <c r="Q44" s="17" t="s">
        <v>154</v>
      </c>
      <c r="R44" s="18" t="s">
        <v>154</v>
      </c>
    </row>
    <row r="45" spans="1:18" x14ac:dyDescent="0.25">
      <c r="A45" s="11" t="s">
        <v>178</v>
      </c>
      <c r="B45" s="17" t="s">
        <v>154</v>
      </c>
      <c r="C45" s="17" t="s">
        <v>154</v>
      </c>
      <c r="D45" s="18" t="s">
        <v>154</v>
      </c>
      <c r="E45" s="17" t="s">
        <v>154</v>
      </c>
      <c r="F45" s="18" t="s">
        <v>154</v>
      </c>
      <c r="G45" s="17" t="s">
        <v>154</v>
      </c>
      <c r="H45" s="18" t="s">
        <v>154</v>
      </c>
      <c r="I45" s="17" t="s">
        <v>154</v>
      </c>
      <c r="J45" s="18" t="s">
        <v>154</v>
      </c>
      <c r="K45" s="17" t="s">
        <v>154</v>
      </c>
      <c r="L45" s="18" t="s">
        <v>154</v>
      </c>
      <c r="M45" s="17" t="s">
        <v>154</v>
      </c>
      <c r="N45" s="18" t="s">
        <v>154</v>
      </c>
      <c r="O45" s="17" t="s">
        <v>154</v>
      </c>
      <c r="P45" s="18" t="s">
        <v>154</v>
      </c>
      <c r="Q45" s="17" t="s">
        <v>154</v>
      </c>
      <c r="R45" s="18" t="s">
        <v>154</v>
      </c>
    </row>
    <row r="46" spans="1:18" x14ac:dyDescent="0.25">
      <c r="A46" s="11" t="s">
        <v>179</v>
      </c>
      <c r="B46" s="13">
        <v>23141</v>
      </c>
      <c r="C46" s="14">
        <f>(20519/B46*100)</f>
        <v>88.669461129596812</v>
      </c>
      <c r="D46" s="15">
        <v>2622</v>
      </c>
      <c r="E46" s="14">
        <v>79.404686699999999</v>
      </c>
      <c r="F46" s="16">
        <v>1.12529507</v>
      </c>
      <c r="G46" s="14">
        <v>20.595313300000001</v>
      </c>
      <c r="H46" s="16">
        <v>1.12529507</v>
      </c>
      <c r="I46" s="14" t="s">
        <v>139</v>
      </c>
      <c r="J46" s="16" t="s">
        <v>139</v>
      </c>
      <c r="K46" s="14">
        <v>0</v>
      </c>
      <c r="L46" s="16">
        <v>0</v>
      </c>
      <c r="M46" s="14">
        <v>0</v>
      </c>
      <c r="N46" s="16">
        <v>0</v>
      </c>
      <c r="O46" s="14">
        <v>0</v>
      </c>
      <c r="P46" s="16">
        <v>0</v>
      </c>
      <c r="Q46" s="14">
        <v>0</v>
      </c>
      <c r="R46" s="16">
        <v>0</v>
      </c>
    </row>
    <row r="47" spans="1:18" x14ac:dyDescent="0.25">
      <c r="A47" s="11" t="s">
        <v>180</v>
      </c>
      <c r="B47" s="13">
        <v>5928</v>
      </c>
      <c r="C47" s="14">
        <f>(4996/B47*100)</f>
        <v>84.278002699055335</v>
      </c>
      <c r="D47" s="15">
        <v>932</v>
      </c>
      <c r="E47" s="14">
        <v>78.396414829999998</v>
      </c>
      <c r="F47" s="16">
        <v>1.3609967999999999</v>
      </c>
      <c r="G47" s="14">
        <v>21.603585169999999</v>
      </c>
      <c r="H47" s="16">
        <v>1.3609967999999999</v>
      </c>
      <c r="I47" s="14" t="s">
        <v>139</v>
      </c>
      <c r="J47" s="16" t="s">
        <v>139</v>
      </c>
      <c r="K47" s="14">
        <v>0</v>
      </c>
      <c r="L47" s="16">
        <v>0</v>
      </c>
      <c r="M47" s="14">
        <v>0</v>
      </c>
      <c r="N47" s="16">
        <v>0</v>
      </c>
      <c r="O47" s="14">
        <v>0</v>
      </c>
      <c r="P47" s="16">
        <v>0</v>
      </c>
      <c r="Q47" s="14">
        <v>0</v>
      </c>
      <c r="R47" s="16">
        <v>0</v>
      </c>
    </row>
    <row r="48" spans="1:18" x14ac:dyDescent="0.25">
      <c r="A48" s="11" t="s">
        <v>181</v>
      </c>
      <c r="B48" s="13">
        <v>9841</v>
      </c>
      <c r="C48" s="14">
        <f>(8165/B48*100)</f>
        <v>82.969210446092873</v>
      </c>
      <c r="D48" s="15">
        <v>1676</v>
      </c>
      <c r="E48" s="14">
        <v>77.85955654</v>
      </c>
      <c r="F48" s="16">
        <v>1.1709907900000001</v>
      </c>
      <c r="G48" s="14">
        <v>22.14044346</v>
      </c>
      <c r="H48" s="16">
        <v>1.1709907900000001</v>
      </c>
      <c r="I48" s="14" t="s">
        <v>139</v>
      </c>
      <c r="J48" s="16" t="s">
        <v>139</v>
      </c>
      <c r="K48" s="14">
        <v>0</v>
      </c>
      <c r="L48" s="16">
        <v>0</v>
      </c>
      <c r="M48" s="14">
        <v>0</v>
      </c>
      <c r="N48" s="16">
        <v>0</v>
      </c>
      <c r="O48" s="14">
        <v>0</v>
      </c>
      <c r="P48" s="16">
        <v>0</v>
      </c>
      <c r="Q48" s="14">
        <v>0</v>
      </c>
      <c r="R48" s="16">
        <v>0</v>
      </c>
    </row>
    <row r="49" spans="1:18" x14ac:dyDescent="0.25">
      <c r="A49" s="11" t="s">
        <v>182</v>
      </c>
      <c r="B49" s="17" t="s">
        <v>154</v>
      </c>
      <c r="C49" s="17" t="s">
        <v>154</v>
      </c>
      <c r="D49" s="18" t="s">
        <v>154</v>
      </c>
      <c r="E49" s="17" t="s">
        <v>154</v>
      </c>
      <c r="F49" s="18" t="s">
        <v>154</v>
      </c>
      <c r="G49" s="17" t="s">
        <v>154</v>
      </c>
      <c r="H49" s="18" t="s">
        <v>154</v>
      </c>
      <c r="I49" s="17" t="s">
        <v>154</v>
      </c>
      <c r="J49" s="18" t="s">
        <v>154</v>
      </c>
      <c r="K49" s="17" t="s">
        <v>154</v>
      </c>
      <c r="L49" s="18" t="s">
        <v>154</v>
      </c>
      <c r="M49" s="17" t="s">
        <v>154</v>
      </c>
      <c r="N49" s="18" t="s">
        <v>154</v>
      </c>
      <c r="O49" s="17" t="s">
        <v>154</v>
      </c>
      <c r="P49" s="18" t="s">
        <v>154</v>
      </c>
      <c r="Q49" s="17" t="s">
        <v>154</v>
      </c>
      <c r="R49" s="18" t="s">
        <v>154</v>
      </c>
    </row>
    <row r="50" spans="1:18" x14ac:dyDescent="0.25">
      <c r="A50" s="11" t="s">
        <v>183</v>
      </c>
      <c r="B50" s="13">
        <v>11795</v>
      </c>
      <c r="C50" s="14">
        <f>(9985/B50*100)</f>
        <v>84.654514624841042</v>
      </c>
      <c r="D50" s="15">
        <v>1810</v>
      </c>
      <c r="E50" s="14">
        <v>81.879510609999997</v>
      </c>
      <c r="F50" s="16">
        <v>1.21865603</v>
      </c>
      <c r="G50" s="14">
        <v>18.120489389999999</v>
      </c>
      <c r="H50" s="16">
        <v>1.21865603</v>
      </c>
      <c r="I50" s="14" t="s">
        <v>139</v>
      </c>
      <c r="J50" s="16" t="s">
        <v>139</v>
      </c>
      <c r="K50" s="14">
        <v>0</v>
      </c>
      <c r="L50" s="16">
        <v>0</v>
      </c>
      <c r="M50" s="14">
        <v>0</v>
      </c>
      <c r="N50" s="16">
        <v>0</v>
      </c>
      <c r="O50" s="14">
        <v>0</v>
      </c>
      <c r="P50" s="16">
        <v>0</v>
      </c>
      <c r="Q50" s="14">
        <v>0</v>
      </c>
      <c r="R50" s="16">
        <v>0</v>
      </c>
    </row>
    <row r="51" spans="1:18" x14ac:dyDescent="0.25">
      <c r="A51" s="11" t="s">
        <v>184</v>
      </c>
      <c r="B51" s="13">
        <v>6866</v>
      </c>
      <c r="C51" s="14">
        <f>(5942/B51*100)</f>
        <v>86.542382755607335</v>
      </c>
      <c r="D51" s="15">
        <v>924</v>
      </c>
      <c r="E51" s="14">
        <v>81.984008590000002</v>
      </c>
      <c r="F51" s="16">
        <v>1.36464348</v>
      </c>
      <c r="G51" s="14">
        <v>18.015991410000002</v>
      </c>
      <c r="H51" s="16">
        <v>1.36464348</v>
      </c>
      <c r="I51" s="14" t="s">
        <v>139</v>
      </c>
      <c r="J51" s="16" t="s">
        <v>139</v>
      </c>
      <c r="K51" s="14">
        <v>0</v>
      </c>
      <c r="L51" s="16">
        <v>0</v>
      </c>
      <c r="M51" s="14">
        <v>0</v>
      </c>
      <c r="N51" s="16">
        <v>0</v>
      </c>
      <c r="O51" s="14">
        <v>0</v>
      </c>
      <c r="P51" s="16">
        <v>0</v>
      </c>
      <c r="Q51" s="14">
        <v>0</v>
      </c>
      <c r="R51" s="16">
        <v>0</v>
      </c>
    </row>
    <row r="52" spans="1:18" x14ac:dyDescent="0.25">
      <c r="A52" s="11" t="s">
        <v>185</v>
      </c>
      <c r="B52" s="13">
        <v>5809</v>
      </c>
      <c r="C52" s="14">
        <f>(4824/B52*100)</f>
        <v>83.043553107247376</v>
      </c>
      <c r="D52" s="15">
        <v>985</v>
      </c>
      <c r="E52" s="14">
        <v>79.389386639999998</v>
      </c>
      <c r="F52" s="16">
        <v>1.33395657</v>
      </c>
      <c r="G52" s="14">
        <v>20.610613359999999</v>
      </c>
      <c r="H52" s="16">
        <v>1.33395657</v>
      </c>
      <c r="I52" s="14" t="s">
        <v>139</v>
      </c>
      <c r="J52" s="16" t="s">
        <v>139</v>
      </c>
      <c r="K52" s="14">
        <v>0</v>
      </c>
      <c r="L52" s="16">
        <v>0</v>
      </c>
      <c r="M52" s="14">
        <v>0</v>
      </c>
      <c r="N52" s="16">
        <v>0</v>
      </c>
      <c r="O52" s="14">
        <v>0</v>
      </c>
      <c r="P52" s="16">
        <v>0</v>
      </c>
      <c r="Q52" s="14">
        <v>0</v>
      </c>
      <c r="R52" s="16">
        <v>0</v>
      </c>
    </row>
    <row r="53" spans="1:18" x14ac:dyDescent="0.25">
      <c r="A53" s="11" t="s">
        <v>186</v>
      </c>
      <c r="B53" s="13">
        <v>5571</v>
      </c>
      <c r="C53" s="14">
        <f>(4639/B53*100)</f>
        <v>83.270507987793934</v>
      </c>
      <c r="D53" s="15">
        <v>932</v>
      </c>
      <c r="E53" s="14">
        <v>76.949408629999994</v>
      </c>
      <c r="F53" s="16">
        <v>1.27382208</v>
      </c>
      <c r="G53" s="14">
        <v>23.050591369999999</v>
      </c>
      <c r="H53" s="16">
        <v>1.27382208</v>
      </c>
      <c r="I53" s="14" t="s">
        <v>139</v>
      </c>
      <c r="J53" s="16" t="s">
        <v>139</v>
      </c>
      <c r="K53" s="14">
        <v>0</v>
      </c>
      <c r="L53" s="16">
        <v>0</v>
      </c>
      <c r="M53" s="14">
        <v>0</v>
      </c>
      <c r="N53" s="16">
        <v>0</v>
      </c>
      <c r="O53" s="14">
        <v>0</v>
      </c>
      <c r="P53" s="16">
        <v>0</v>
      </c>
      <c r="Q53" s="14">
        <v>0</v>
      </c>
      <c r="R53" s="16">
        <v>0</v>
      </c>
    </row>
    <row r="54" spans="1:18" x14ac:dyDescent="0.25">
      <c r="A54" s="11" t="s">
        <v>187</v>
      </c>
      <c r="B54" s="17" t="s">
        <v>154</v>
      </c>
      <c r="C54" s="17" t="s">
        <v>154</v>
      </c>
      <c r="D54" s="18" t="s">
        <v>154</v>
      </c>
      <c r="E54" s="17" t="s">
        <v>154</v>
      </c>
      <c r="F54" s="18" t="s">
        <v>154</v>
      </c>
      <c r="G54" s="17" t="s">
        <v>154</v>
      </c>
      <c r="H54" s="18" t="s">
        <v>154</v>
      </c>
      <c r="I54" s="17" t="s">
        <v>154</v>
      </c>
      <c r="J54" s="18" t="s">
        <v>154</v>
      </c>
      <c r="K54" s="17" t="s">
        <v>154</v>
      </c>
      <c r="L54" s="18" t="s">
        <v>154</v>
      </c>
      <c r="M54" s="17" t="s">
        <v>154</v>
      </c>
      <c r="N54" s="18" t="s">
        <v>154</v>
      </c>
      <c r="O54" s="17" t="s">
        <v>154</v>
      </c>
      <c r="P54" s="18" t="s">
        <v>154</v>
      </c>
      <c r="Q54" s="17" t="s">
        <v>154</v>
      </c>
      <c r="R54" s="18" t="s">
        <v>154</v>
      </c>
    </row>
    <row r="55" spans="1:18" x14ac:dyDescent="0.25">
      <c r="A55" s="11" t="s">
        <v>188</v>
      </c>
      <c r="B55" s="17" t="s">
        <v>154</v>
      </c>
      <c r="C55" s="17" t="s">
        <v>154</v>
      </c>
      <c r="D55" s="18" t="s">
        <v>154</v>
      </c>
      <c r="E55" s="17" t="s">
        <v>154</v>
      </c>
      <c r="F55" s="18" t="s">
        <v>154</v>
      </c>
      <c r="G55" s="17" t="s">
        <v>154</v>
      </c>
      <c r="H55" s="18" t="s">
        <v>154</v>
      </c>
      <c r="I55" s="17" t="s">
        <v>154</v>
      </c>
      <c r="J55" s="18" t="s">
        <v>154</v>
      </c>
      <c r="K55" s="17" t="s">
        <v>154</v>
      </c>
      <c r="L55" s="18" t="s">
        <v>154</v>
      </c>
      <c r="M55" s="17" t="s">
        <v>154</v>
      </c>
      <c r="N55" s="18" t="s">
        <v>154</v>
      </c>
      <c r="O55" s="17" t="s">
        <v>154</v>
      </c>
      <c r="P55" s="18" t="s">
        <v>154</v>
      </c>
      <c r="Q55" s="17" t="s">
        <v>154</v>
      </c>
      <c r="R55" s="18" t="s">
        <v>154</v>
      </c>
    </row>
    <row r="56" spans="1:18" x14ac:dyDescent="0.25">
      <c r="A56" s="11" t="s">
        <v>189</v>
      </c>
      <c r="B56" s="13">
        <v>5359</v>
      </c>
      <c r="C56" s="14">
        <f>(4451/B56*100)</f>
        <v>83.056540399328242</v>
      </c>
      <c r="D56" s="15">
        <v>908</v>
      </c>
      <c r="E56" s="14">
        <v>74.01150432</v>
      </c>
      <c r="F56" s="16">
        <v>1.60421814</v>
      </c>
      <c r="G56" s="14">
        <v>25.98849568</v>
      </c>
      <c r="H56" s="16">
        <v>1.60421814</v>
      </c>
      <c r="I56" s="14" t="s">
        <v>139</v>
      </c>
      <c r="J56" s="16" t="s">
        <v>139</v>
      </c>
      <c r="K56" s="14">
        <v>0</v>
      </c>
      <c r="L56" s="16">
        <v>0</v>
      </c>
      <c r="M56" s="14">
        <v>0</v>
      </c>
      <c r="N56" s="16">
        <v>0</v>
      </c>
      <c r="O56" s="14">
        <v>0</v>
      </c>
      <c r="P56" s="16">
        <v>0</v>
      </c>
      <c r="Q56" s="14">
        <v>0</v>
      </c>
      <c r="R56" s="16">
        <v>0</v>
      </c>
    </row>
    <row r="57" spans="1:18" x14ac:dyDescent="0.25">
      <c r="A57" s="11" t="s">
        <v>190</v>
      </c>
      <c r="B57" s="17" t="s">
        <v>154</v>
      </c>
      <c r="C57" s="17" t="s">
        <v>154</v>
      </c>
      <c r="D57" s="18" t="s">
        <v>154</v>
      </c>
      <c r="E57" s="17" t="s">
        <v>154</v>
      </c>
      <c r="F57" s="18" t="s">
        <v>154</v>
      </c>
      <c r="G57" s="17" t="s">
        <v>154</v>
      </c>
      <c r="H57" s="18" t="s">
        <v>154</v>
      </c>
      <c r="I57" s="17" t="s">
        <v>154</v>
      </c>
      <c r="J57" s="18" t="s">
        <v>154</v>
      </c>
      <c r="K57" s="17" t="s">
        <v>154</v>
      </c>
      <c r="L57" s="18" t="s">
        <v>154</v>
      </c>
      <c r="M57" s="17" t="s">
        <v>154</v>
      </c>
      <c r="N57" s="18" t="s">
        <v>154</v>
      </c>
      <c r="O57" s="17" t="s">
        <v>154</v>
      </c>
      <c r="P57" s="18" t="s">
        <v>154</v>
      </c>
      <c r="Q57" s="17" t="s">
        <v>154</v>
      </c>
      <c r="R57" s="18" t="s">
        <v>154</v>
      </c>
    </row>
    <row r="58" spans="1:18" x14ac:dyDescent="0.25">
      <c r="A58" s="11" t="s">
        <v>191</v>
      </c>
      <c r="B58" s="17" t="s">
        <v>154</v>
      </c>
      <c r="C58" s="17" t="s">
        <v>154</v>
      </c>
      <c r="D58" s="18" t="s">
        <v>154</v>
      </c>
      <c r="E58" s="17" t="s">
        <v>154</v>
      </c>
      <c r="F58" s="18" t="s">
        <v>154</v>
      </c>
      <c r="G58" s="17" t="s">
        <v>154</v>
      </c>
      <c r="H58" s="18" t="s">
        <v>154</v>
      </c>
      <c r="I58" s="17" t="s">
        <v>154</v>
      </c>
      <c r="J58" s="18" t="s">
        <v>154</v>
      </c>
      <c r="K58" s="17" t="s">
        <v>154</v>
      </c>
      <c r="L58" s="18" t="s">
        <v>154</v>
      </c>
      <c r="M58" s="17" t="s">
        <v>154</v>
      </c>
      <c r="N58" s="18" t="s">
        <v>154</v>
      </c>
      <c r="O58" s="17" t="s">
        <v>154</v>
      </c>
      <c r="P58" s="18" t="s">
        <v>154</v>
      </c>
      <c r="Q58" s="17" t="s">
        <v>154</v>
      </c>
      <c r="R58" s="18" t="s">
        <v>154</v>
      </c>
    </row>
    <row r="59" spans="1:18" x14ac:dyDescent="0.25">
      <c r="A59" s="11" t="s">
        <v>192</v>
      </c>
      <c r="B59" s="17" t="s">
        <v>154</v>
      </c>
      <c r="C59" s="17" t="s">
        <v>154</v>
      </c>
      <c r="D59" s="18" t="s">
        <v>154</v>
      </c>
      <c r="E59" s="17" t="s">
        <v>154</v>
      </c>
      <c r="F59" s="18" t="s">
        <v>154</v>
      </c>
      <c r="G59" s="17" t="s">
        <v>154</v>
      </c>
      <c r="H59" s="18" t="s">
        <v>154</v>
      </c>
      <c r="I59" s="17" t="s">
        <v>154</v>
      </c>
      <c r="J59" s="18" t="s">
        <v>154</v>
      </c>
      <c r="K59" s="17" t="s">
        <v>154</v>
      </c>
      <c r="L59" s="18" t="s">
        <v>154</v>
      </c>
      <c r="M59" s="17" t="s">
        <v>154</v>
      </c>
      <c r="N59" s="18" t="s">
        <v>154</v>
      </c>
      <c r="O59" s="17" t="s">
        <v>154</v>
      </c>
      <c r="P59" s="18" t="s">
        <v>154</v>
      </c>
      <c r="Q59" s="17" t="s">
        <v>154</v>
      </c>
      <c r="R59" s="18" t="s">
        <v>154</v>
      </c>
    </row>
    <row r="60" spans="1:18" x14ac:dyDescent="0.25">
      <c r="A60" s="11" t="s">
        <v>193</v>
      </c>
      <c r="B60" s="17" t="s">
        <v>154</v>
      </c>
      <c r="C60" s="17" t="s">
        <v>154</v>
      </c>
      <c r="D60" s="18" t="s">
        <v>154</v>
      </c>
      <c r="E60" s="17" t="s">
        <v>154</v>
      </c>
      <c r="F60" s="18" t="s">
        <v>154</v>
      </c>
      <c r="G60" s="17" t="s">
        <v>154</v>
      </c>
      <c r="H60" s="18" t="s">
        <v>154</v>
      </c>
      <c r="I60" s="17" t="s">
        <v>154</v>
      </c>
      <c r="J60" s="18" t="s">
        <v>154</v>
      </c>
      <c r="K60" s="17" t="s">
        <v>154</v>
      </c>
      <c r="L60" s="18" t="s">
        <v>154</v>
      </c>
      <c r="M60" s="17" t="s">
        <v>154</v>
      </c>
      <c r="N60" s="18" t="s">
        <v>154</v>
      </c>
      <c r="O60" s="17" t="s">
        <v>154</v>
      </c>
      <c r="P60" s="18" t="s">
        <v>154</v>
      </c>
      <c r="Q60" s="17" t="s">
        <v>154</v>
      </c>
      <c r="R60" s="18" t="s">
        <v>154</v>
      </c>
    </row>
    <row r="61" spans="1:18" x14ac:dyDescent="0.25">
      <c r="A61" s="11" t="s">
        <v>194</v>
      </c>
      <c r="B61" s="13">
        <v>6525</v>
      </c>
      <c r="C61" s="14">
        <f>(5436/B61*100)</f>
        <v>83.310344827586206</v>
      </c>
      <c r="D61" s="15">
        <v>1089</v>
      </c>
      <c r="E61" s="14">
        <v>78.03631987</v>
      </c>
      <c r="F61" s="16">
        <v>1.3292010000000001</v>
      </c>
      <c r="G61" s="14">
        <v>21.96368013</v>
      </c>
      <c r="H61" s="16">
        <v>1.3292010000000001</v>
      </c>
      <c r="I61" s="14" t="s">
        <v>139</v>
      </c>
      <c r="J61" s="16" t="s">
        <v>139</v>
      </c>
      <c r="K61" s="14">
        <v>0</v>
      </c>
      <c r="L61" s="16">
        <v>0</v>
      </c>
      <c r="M61" s="14">
        <v>0</v>
      </c>
      <c r="N61" s="16">
        <v>0</v>
      </c>
      <c r="O61" s="14">
        <v>0</v>
      </c>
      <c r="P61" s="16">
        <v>0</v>
      </c>
      <c r="Q61" s="14">
        <v>0</v>
      </c>
      <c r="R61" s="16">
        <v>0</v>
      </c>
    </row>
    <row r="62" spans="1:18" x14ac:dyDescent="0.25">
      <c r="A62" s="11" t="s">
        <v>195</v>
      </c>
      <c r="B62" s="13">
        <v>4476</v>
      </c>
      <c r="C62" s="14">
        <f>(3709/B62*100)</f>
        <v>82.864164432529037</v>
      </c>
      <c r="D62" s="15">
        <v>767</v>
      </c>
      <c r="E62" s="14">
        <v>75.843394540000006</v>
      </c>
      <c r="F62" s="16">
        <v>1.4854173500000001</v>
      </c>
      <c r="G62" s="14">
        <v>24.156605460000002</v>
      </c>
      <c r="H62" s="16">
        <v>1.4854173500000001</v>
      </c>
      <c r="I62" s="14" t="s">
        <v>139</v>
      </c>
      <c r="J62" s="16" t="s">
        <v>139</v>
      </c>
      <c r="K62" s="14">
        <v>0</v>
      </c>
      <c r="L62" s="16">
        <v>0</v>
      </c>
      <c r="M62" s="14">
        <v>0</v>
      </c>
      <c r="N62" s="16">
        <v>0</v>
      </c>
      <c r="O62" s="14">
        <v>0</v>
      </c>
      <c r="P62" s="16">
        <v>0</v>
      </c>
      <c r="Q62" s="14">
        <v>0</v>
      </c>
      <c r="R62" s="16">
        <v>0</v>
      </c>
    </row>
    <row r="63" spans="1:18" x14ac:dyDescent="0.25">
      <c r="A63" s="11" t="s">
        <v>196</v>
      </c>
      <c r="B63" s="17" t="s">
        <v>154</v>
      </c>
      <c r="C63" s="17" t="s">
        <v>154</v>
      </c>
      <c r="D63" s="18" t="s">
        <v>154</v>
      </c>
      <c r="E63" s="17" t="s">
        <v>154</v>
      </c>
      <c r="F63" s="18" t="s">
        <v>154</v>
      </c>
      <c r="G63" s="17" t="s">
        <v>154</v>
      </c>
      <c r="H63" s="18" t="s">
        <v>154</v>
      </c>
      <c r="I63" s="17" t="s">
        <v>154</v>
      </c>
      <c r="J63" s="18" t="s">
        <v>154</v>
      </c>
      <c r="K63" s="17" t="s">
        <v>154</v>
      </c>
      <c r="L63" s="18" t="s">
        <v>154</v>
      </c>
      <c r="M63" s="17" t="s">
        <v>154</v>
      </c>
      <c r="N63" s="18" t="s">
        <v>154</v>
      </c>
      <c r="O63" s="17" t="s">
        <v>154</v>
      </c>
      <c r="P63" s="18" t="s">
        <v>154</v>
      </c>
      <c r="Q63" s="17" t="s">
        <v>154</v>
      </c>
      <c r="R63" s="18" t="s">
        <v>154</v>
      </c>
    </row>
    <row r="64" spans="1:18" x14ac:dyDescent="0.25">
      <c r="A64" s="11" t="s">
        <v>197</v>
      </c>
      <c r="B64" s="17" t="s">
        <v>154</v>
      </c>
      <c r="C64" s="17" t="s">
        <v>154</v>
      </c>
      <c r="D64" s="18" t="s">
        <v>154</v>
      </c>
      <c r="E64" s="17" t="s">
        <v>154</v>
      </c>
      <c r="F64" s="18" t="s">
        <v>154</v>
      </c>
      <c r="G64" s="17" t="s">
        <v>154</v>
      </c>
      <c r="H64" s="18" t="s">
        <v>154</v>
      </c>
      <c r="I64" s="17" t="s">
        <v>154</v>
      </c>
      <c r="J64" s="18" t="s">
        <v>154</v>
      </c>
      <c r="K64" s="17" t="s">
        <v>154</v>
      </c>
      <c r="L64" s="18" t="s">
        <v>154</v>
      </c>
      <c r="M64" s="17" t="s">
        <v>154</v>
      </c>
      <c r="N64" s="18" t="s">
        <v>154</v>
      </c>
      <c r="O64" s="17" t="s">
        <v>154</v>
      </c>
      <c r="P64" s="18" t="s">
        <v>154</v>
      </c>
      <c r="Q64" s="17" t="s">
        <v>154</v>
      </c>
      <c r="R64" s="18" t="s">
        <v>154</v>
      </c>
    </row>
    <row r="65" spans="1:18" x14ac:dyDescent="0.25">
      <c r="A65" s="11" t="s">
        <v>198</v>
      </c>
      <c r="B65" s="17" t="s">
        <v>154</v>
      </c>
      <c r="C65" s="17" t="s">
        <v>154</v>
      </c>
      <c r="D65" s="18" t="s">
        <v>154</v>
      </c>
      <c r="E65" s="17" t="s">
        <v>154</v>
      </c>
      <c r="F65" s="18" t="s">
        <v>154</v>
      </c>
      <c r="G65" s="17" t="s">
        <v>154</v>
      </c>
      <c r="H65" s="18" t="s">
        <v>154</v>
      </c>
      <c r="I65" s="17" t="s">
        <v>154</v>
      </c>
      <c r="J65" s="18" t="s">
        <v>154</v>
      </c>
      <c r="K65" s="17" t="s">
        <v>154</v>
      </c>
      <c r="L65" s="18" t="s">
        <v>154</v>
      </c>
      <c r="M65" s="17" t="s">
        <v>154</v>
      </c>
      <c r="N65" s="18" t="s">
        <v>154</v>
      </c>
      <c r="O65" s="17" t="s">
        <v>154</v>
      </c>
      <c r="P65" s="18" t="s">
        <v>154</v>
      </c>
      <c r="Q65" s="17" t="s">
        <v>154</v>
      </c>
      <c r="R65" s="18" t="s">
        <v>154</v>
      </c>
    </row>
    <row r="66" spans="1:18" x14ac:dyDescent="0.25">
      <c r="A66" s="11" t="s">
        <v>199</v>
      </c>
      <c r="B66" s="13">
        <v>5665</v>
      </c>
      <c r="C66" s="14">
        <f>(4753/B66*100)</f>
        <v>83.901147396293027</v>
      </c>
      <c r="D66" s="15">
        <v>912</v>
      </c>
      <c r="E66" s="14">
        <v>83.137223680000005</v>
      </c>
      <c r="F66" s="16">
        <v>1.1246839099999999</v>
      </c>
      <c r="G66" s="14">
        <v>16.862776319999998</v>
      </c>
      <c r="H66" s="16">
        <v>1.1246839099999999</v>
      </c>
      <c r="I66" s="14" t="s">
        <v>139</v>
      </c>
      <c r="J66" s="16" t="s">
        <v>139</v>
      </c>
      <c r="K66" s="14">
        <v>0</v>
      </c>
      <c r="L66" s="16">
        <v>0</v>
      </c>
      <c r="M66" s="14">
        <v>0</v>
      </c>
      <c r="N66" s="16">
        <v>0</v>
      </c>
      <c r="O66" s="14">
        <v>0</v>
      </c>
      <c r="P66" s="16">
        <v>0</v>
      </c>
      <c r="Q66" s="14">
        <v>0</v>
      </c>
      <c r="R66" s="16">
        <v>0</v>
      </c>
    </row>
    <row r="67" spans="1:18" x14ac:dyDescent="0.25">
      <c r="A67" s="11" t="s">
        <v>200</v>
      </c>
      <c r="B67" s="13">
        <v>6971</v>
      </c>
      <c r="C67" s="14">
        <f>(6054/B67*100)</f>
        <v>86.845502797303112</v>
      </c>
      <c r="D67" s="15">
        <v>917</v>
      </c>
      <c r="E67" s="14">
        <v>78.941444829999995</v>
      </c>
      <c r="F67" s="16">
        <v>1.22992294</v>
      </c>
      <c r="G67" s="14">
        <v>21.058555170000002</v>
      </c>
      <c r="H67" s="16">
        <v>1.22992294</v>
      </c>
      <c r="I67" s="14" t="s">
        <v>139</v>
      </c>
      <c r="J67" s="16" t="s">
        <v>139</v>
      </c>
      <c r="K67" s="14">
        <v>0</v>
      </c>
      <c r="L67" s="16">
        <v>0</v>
      </c>
      <c r="M67" s="14">
        <v>0</v>
      </c>
      <c r="N67" s="16">
        <v>0</v>
      </c>
      <c r="O67" s="14">
        <v>0</v>
      </c>
      <c r="P67" s="16">
        <v>0</v>
      </c>
      <c r="Q67" s="14">
        <v>0</v>
      </c>
      <c r="R67" s="16">
        <v>0</v>
      </c>
    </row>
    <row r="68" spans="1:18" x14ac:dyDescent="0.25">
      <c r="A68" s="11" t="s">
        <v>201</v>
      </c>
      <c r="B68" s="17" t="s">
        <v>154</v>
      </c>
      <c r="C68" s="17" t="s">
        <v>154</v>
      </c>
      <c r="D68" s="18" t="s">
        <v>154</v>
      </c>
      <c r="E68" s="17" t="s">
        <v>154</v>
      </c>
      <c r="F68" s="18" t="s">
        <v>154</v>
      </c>
      <c r="G68" s="17" t="s">
        <v>154</v>
      </c>
      <c r="H68" s="18" t="s">
        <v>154</v>
      </c>
      <c r="I68" s="17" t="s">
        <v>154</v>
      </c>
      <c r="J68" s="18" t="s">
        <v>154</v>
      </c>
      <c r="K68" s="17" t="s">
        <v>154</v>
      </c>
      <c r="L68" s="18" t="s">
        <v>154</v>
      </c>
      <c r="M68" s="17" t="s">
        <v>154</v>
      </c>
      <c r="N68" s="18" t="s">
        <v>154</v>
      </c>
      <c r="O68" s="17" t="s">
        <v>154</v>
      </c>
      <c r="P68" s="18" t="s">
        <v>154</v>
      </c>
      <c r="Q68" s="17" t="s">
        <v>154</v>
      </c>
      <c r="R68" s="18" t="s">
        <v>154</v>
      </c>
    </row>
    <row r="69" spans="1:18" x14ac:dyDescent="0.25">
      <c r="A69" s="11" t="s">
        <v>202</v>
      </c>
      <c r="B69" s="17" t="s">
        <v>154</v>
      </c>
      <c r="C69" s="17" t="s">
        <v>154</v>
      </c>
      <c r="D69" s="18" t="s">
        <v>154</v>
      </c>
      <c r="E69" s="17" t="s">
        <v>154</v>
      </c>
      <c r="F69" s="18" t="s">
        <v>154</v>
      </c>
      <c r="G69" s="17" t="s">
        <v>154</v>
      </c>
      <c r="H69" s="18" t="s">
        <v>154</v>
      </c>
      <c r="I69" s="17" t="s">
        <v>154</v>
      </c>
      <c r="J69" s="18" t="s">
        <v>154</v>
      </c>
      <c r="K69" s="17" t="s">
        <v>154</v>
      </c>
      <c r="L69" s="18" t="s">
        <v>154</v>
      </c>
      <c r="M69" s="17" t="s">
        <v>154</v>
      </c>
      <c r="N69" s="18" t="s">
        <v>154</v>
      </c>
      <c r="O69" s="17" t="s">
        <v>154</v>
      </c>
      <c r="P69" s="18" t="s">
        <v>154</v>
      </c>
      <c r="Q69" s="17" t="s">
        <v>154</v>
      </c>
      <c r="R69" s="18" t="s">
        <v>154</v>
      </c>
    </row>
    <row r="70" spans="1:18" x14ac:dyDescent="0.25">
      <c r="A70" s="11" t="s">
        <v>203</v>
      </c>
      <c r="B70" s="13">
        <v>6036</v>
      </c>
      <c r="C70" s="14">
        <f>(5065/B70*100)</f>
        <v>83.913187541418154</v>
      </c>
      <c r="D70" s="15">
        <v>971</v>
      </c>
      <c r="E70" s="14">
        <v>83.433763279999994</v>
      </c>
      <c r="F70" s="16">
        <v>1.0545338399999999</v>
      </c>
      <c r="G70" s="14">
        <v>16.566236719999999</v>
      </c>
      <c r="H70" s="16">
        <v>1.0545338399999999</v>
      </c>
      <c r="I70" s="14" t="s">
        <v>139</v>
      </c>
      <c r="J70" s="16" t="s">
        <v>139</v>
      </c>
      <c r="K70" s="14">
        <v>0</v>
      </c>
      <c r="L70" s="16">
        <v>0</v>
      </c>
      <c r="M70" s="14">
        <v>0</v>
      </c>
      <c r="N70" s="16">
        <v>0</v>
      </c>
      <c r="O70" s="14">
        <v>0</v>
      </c>
      <c r="P70" s="16">
        <v>0</v>
      </c>
      <c r="Q70" s="14">
        <v>0</v>
      </c>
      <c r="R70" s="16">
        <v>0</v>
      </c>
    </row>
    <row r="71" spans="1:18" x14ac:dyDescent="0.25">
      <c r="A71" s="11" t="s">
        <v>204</v>
      </c>
      <c r="B71" s="17" t="s">
        <v>154</v>
      </c>
      <c r="C71" s="17" t="s">
        <v>154</v>
      </c>
      <c r="D71" s="18" t="s">
        <v>154</v>
      </c>
      <c r="E71" s="17" t="s">
        <v>154</v>
      </c>
      <c r="F71" s="18" t="s">
        <v>154</v>
      </c>
      <c r="G71" s="17" t="s">
        <v>154</v>
      </c>
      <c r="H71" s="18" t="s">
        <v>154</v>
      </c>
      <c r="I71" s="17" t="s">
        <v>154</v>
      </c>
      <c r="J71" s="18" t="s">
        <v>154</v>
      </c>
      <c r="K71" s="17" t="s">
        <v>154</v>
      </c>
      <c r="L71" s="18" t="s">
        <v>154</v>
      </c>
      <c r="M71" s="17" t="s">
        <v>154</v>
      </c>
      <c r="N71" s="18" t="s">
        <v>154</v>
      </c>
      <c r="O71" s="17" t="s">
        <v>154</v>
      </c>
      <c r="P71" s="18" t="s">
        <v>154</v>
      </c>
      <c r="Q71" s="17" t="s">
        <v>154</v>
      </c>
      <c r="R71" s="18" t="s">
        <v>154</v>
      </c>
    </row>
    <row r="72" spans="1:18" x14ac:dyDescent="0.25">
      <c r="A72" s="11" t="s">
        <v>205</v>
      </c>
      <c r="B72" s="13">
        <v>7708</v>
      </c>
      <c r="C72" s="14">
        <f>(6396/B72*100)</f>
        <v>82.978723404255319</v>
      </c>
      <c r="D72" s="15">
        <v>1312</v>
      </c>
      <c r="E72" s="14">
        <v>75.156054429999998</v>
      </c>
      <c r="F72" s="16">
        <v>1.2373532199999999</v>
      </c>
      <c r="G72" s="14">
        <v>24.843945569999999</v>
      </c>
      <c r="H72" s="16">
        <v>1.2373532199999999</v>
      </c>
      <c r="I72" s="14" t="s">
        <v>139</v>
      </c>
      <c r="J72" s="16" t="s">
        <v>139</v>
      </c>
      <c r="K72" s="14">
        <v>0</v>
      </c>
      <c r="L72" s="16">
        <v>0</v>
      </c>
      <c r="M72" s="14">
        <v>0</v>
      </c>
      <c r="N72" s="16">
        <v>0</v>
      </c>
      <c r="O72" s="14">
        <v>0</v>
      </c>
      <c r="P72" s="16">
        <v>0</v>
      </c>
      <c r="Q72" s="14">
        <v>0</v>
      </c>
      <c r="R72" s="16">
        <v>0</v>
      </c>
    </row>
    <row r="73" spans="1:18" x14ac:dyDescent="0.25">
      <c r="A73" s="11" t="s">
        <v>206</v>
      </c>
      <c r="B73" s="13">
        <v>8249</v>
      </c>
      <c r="C73" s="14">
        <f>(7001/B73*100)</f>
        <v>84.870893441629292</v>
      </c>
      <c r="D73" s="15">
        <v>1248</v>
      </c>
      <c r="E73" s="14">
        <v>64.998769569999993</v>
      </c>
      <c r="F73" s="16">
        <v>1.5049662500000001</v>
      </c>
      <c r="G73" s="14">
        <v>35.00123043</v>
      </c>
      <c r="H73" s="16">
        <v>1.5049662500000001</v>
      </c>
      <c r="I73" s="14" t="s">
        <v>139</v>
      </c>
      <c r="J73" s="16" t="s">
        <v>139</v>
      </c>
      <c r="K73" s="14">
        <v>0</v>
      </c>
      <c r="L73" s="16">
        <v>0</v>
      </c>
      <c r="M73" s="14">
        <v>0</v>
      </c>
      <c r="N73" s="16">
        <v>0</v>
      </c>
      <c r="O73" s="14">
        <v>0</v>
      </c>
      <c r="P73" s="16">
        <v>0</v>
      </c>
      <c r="Q73" s="14">
        <v>0</v>
      </c>
      <c r="R73" s="16">
        <v>0</v>
      </c>
    </row>
    <row r="74" spans="1:18" x14ac:dyDescent="0.25">
      <c r="A74" s="11" t="s">
        <v>207</v>
      </c>
      <c r="B74" s="17" t="s">
        <v>154</v>
      </c>
      <c r="C74" s="17" t="s">
        <v>154</v>
      </c>
      <c r="D74" s="18" t="s">
        <v>154</v>
      </c>
      <c r="E74" s="17" t="s">
        <v>154</v>
      </c>
      <c r="F74" s="18" t="s">
        <v>154</v>
      </c>
      <c r="G74" s="17" t="s">
        <v>154</v>
      </c>
      <c r="H74" s="18" t="s">
        <v>154</v>
      </c>
      <c r="I74" s="17" t="s">
        <v>154</v>
      </c>
      <c r="J74" s="18" t="s">
        <v>154</v>
      </c>
      <c r="K74" s="17" t="s">
        <v>154</v>
      </c>
      <c r="L74" s="18" t="s">
        <v>154</v>
      </c>
      <c r="M74" s="17" t="s">
        <v>154</v>
      </c>
      <c r="N74" s="18" t="s">
        <v>154</v>
      </c>
      <c r="O74" s="17" t="s">
        <v>154</v>
      </c>
      <c r="P74" s="18" t="s">
        <v>154</v>
      </c>
      <c r="Q74" s="17" t="s">
        <v>154</v>
      </c>
      <c r="R74" s="18" t="s">
        <v>154</v>
      </c>
    </row>
    <row r="75" spans="1:18" x14ac:dyDescent="0.25">
      <c r="A75" s="11" t="s">
        <v>208</v>
      </c>
      <c r="B75" s="13">
        <v>5375</v>
      </c>
      <c r="C75" s="14">
        <f>(4571/B75*100)</f>
        <v>85.041860465116287</v>
      </c>
      <c r="D75" s="15">
        <v>804</v>
      </c>
      <c r="E75" s="14">
        <v>72.92082345</v>
      </c>
      <c r="F75" s="16">
        <v>1.5662578</v>
      </c>
      <c r="G75" s="14">
        <v>27.07917655</v>
      </c>
      <c r="H75" s="16">
        <v>1.5662578</v>
      </c>
      <c r="I75" s="14" t="s">
        <v>139</v>
      </c>
      <c r="J75" s="16" t="s">
        <v>139</v>
      </c>
      <c r="K75" s="14">
        <v>0</v>
      </c>
      <c r="L75" s="16">
        <v>0</v>
      </c>
      <c r="M75" s="14">
        <v>0</v>
      </c>
      <c r="N75" s="16">
        <v>0</v>
      </c>
      <c r="O75" s="14">
        <v>0</v>
      </c>
      <c r="P75" s="16">
        <v>0</v>
      </c>
      <c r="Q75" s="14">
        <v>0</v>
      </c>
      <c r="R75" s="16">
        <v>0</v>
      </c>
    </row>
    <row r="76" spans="1:18" x14ac:dyDescent="0.25">
      <c r="A76" s="11" t="s">
        <v>209</v>
      </c>
      <c r="B76" s="13">
        <v>14167</v>
      </c>
      <c r="C76" s="14">
        <f>(11809/B76*100)</f>
        <v>83.355685748570622</v>
      </c>
      <c r="D76" s="15">
        <v>2358</v>
      </c>
      <c r="E76" s="14">
        <v>78.344885219999995</v>
      </c>
      <c r="F76" s="16">
        <v>1.1953088000000001</v>
      </c>
      <c r="G76" s="14">
        <v>21.655114780000002</v>
      </c>
      <c r="H76" s="16">
        <v>1.1953088000000001</v>
      </c>
      <c r="I76" s="14" t="s">
        <v>139</v>
      </c>
      <c r="J76" s="16" t="s">
        <v>139</v>
      </c>
      <c r="K76" s="14">
        <v>0</v>
      </c>
      <c r="L76" s="16">
        <v>0</v>
      </c>
      <c r="M76" s="14">
        <v>0</v>
      </c>
      <c r="N76" s="16">
        <v>0</v>
      </c>
      <c r="O76" s="14">
        <v>0</v>
      </c>
      <c r="P76" s="16">
        <v>0</v>
      </c>
      <c r="Q76" s="14">
        <v>0</v>
      </c>
      <c r="R76" s="16">
        <v>0</v>
      </c>
    </row>
    <row r="77" spans="1:18" x14ac:dyDescent="0.25">
      <c r="A77" s="11" t="s">
        <v>210</v>
      </c>
      <c r="B77" s="13">
        <v>6062</v>
      </c>
      <c r="C77" s="14">
        <f>(5111/B77*100)</f>
        <v>84.312108215110527</v>
      </c>
      <c r="D77" s="15">
        <v>951</v>
      </c>
      <c r="E77" s="14">
        <v>80.328468939999993</v>
      </c>
      <c r="F77" s="16">
        <v>1.28103045</v>
      </c>
      <c r="G77" s="14">
        <v>19.67153106</v>
      </c>
      <c r="H77" s="16">
        <v>1.28103045</v>
      </c>
      <c r="I77" s="14" t="s">
        <v>139</v>
      </c>
      <c r="J77" s="16" t="s">
        <v>139</v>
      </c>
      <c r="K77" s="14">
        <v>0</v>
      </c>
      <c r="L77" s="16">
        <v>0</v>
      </c>
      <c r="M77" s="14">
        <v>0</v>
      </c>
      <c r="N77" s="16">
        <v>0</v>
      </c>
      <c r="O77" s="14">
        <v>0</v>
      </c>
      <c r="P77" s="16">
        <v>0</v>
      </c>
      <c r="Q77" s="14">
        <v>0</v>
      </c>
      <c r="R77" s="16">
        <v>0</v>
      </c>
    </row>
    <row r="78" spans="1:18" x14ac:dyDescent="0.25">
      <c r="A78" s="11" t="s">
        <v>211</v>
      </c>
      <c r="B78" s="17" t="s">
        <v>154</v>
      </c>
      <c r="C78" s="17" t="s">
        <v>154</v>
      </c>
      <c r="D78" s="18" t="s">
        <v>154</v>
      </c>
      <c r="E78" s="17" t="s">
        <v>154</v>
      </c>
      <c r="F78" s="18" t="s">
        <v>154</v>
      </c>
      <c r="G78" s="17" t="s">
        <v>154</v>
      </c>
      <c r="H78" s="18" t="s">
        <v>154</v>
      </c>
      <c r="I78" s="17" t="s">
        <v>154</v>
      </c>
      <c r="J78" s="18" t="s">
        <v>154</v>
      </c>
      <c r="K78" s="17" t="s">
        <v>154</v>
      </c>
      <c r="L78" s="18" t="s">
        <v>154</v>
      </c>
      <c r="M78" s="17" t="s">
        <v>154</v>
      </c>
      <c r="N78" s="18" t="s">
        <v>154</v>
      </c>
      <c r="O78" s="17" t="s">
        <v>154</v>
      </c>
      <c r="P78" s="18" t="s">
        <v>154</v>
      </c>
      <c r="Q78" s="17" t="s">
        <v>154</v>
      </c>
      <c r="R78" s="18" t="s">
        <v>154</v>
      </c>
    </row>
    <row r="79" spans="1:18" ht="24.95" customHeight="1" x14ac:dyDescent="0.25">
      <c r="A79" s="11" t="s">
        <v>212</v>
      </c>
      <c r="B79" s="17" t="s">
        <v>154</v>
      </c>
      <c r="C79" s="17" t="s">
        <v>154</v>
      </c>
      <c r="D79" s="18" t="s">
        <v>154</v>
      </c>
      <c r="E79" s="17" t="s">
        <v>154</v>
      </c>
      <c r="F79" s="18" t="s">
        <v>154</v>
      </c>
      <c r="G79" s="17" t="s">
        <v>154</v>
      </c>
      <c r="H79" s="18" t="s">
        <v>154</v>
      </c>
      <c r="I79" s="17" t="s">
        <v>154</v>
      </c>
      <c r="J79" s="18" t="s">
        <v>154</v>
      </c>
      <c r="K79" s="17" t="s">
        <v>154</v>
      </c>
      <c r="L79" s="18" t="s">
        <v>154</v>
      </c>
      <c r="M79" s="17" t="s">
        <v>154</v>
      </c>
      <c r="N79" s="18" t="s">
        <v>154</v>
      </c>
      <c r="O79" s="17" t="s">
        <v>154</v>
      </c>
      <c r="P79" s="18" t="s">
        <v>154</v>
      </c>
      <c r="Q79" s="17" t="s">
        <v>154</v>
      </c>
      <c r="R79" s="18" t="s">
        <v>154</v>
      </c>
    </row>
    <row r="80" spans="1:18" x14ac:dyDescent="0.25">
      <c r="A80" s="11" t="s">
        <v>213</v>
      </c>
      <c r="B80" s="17" t="s">
        <v>154</v>
      </c>
      <c r="C80" s="17" t="s">
        <v>154</v>
      </c>
      <c r="D80" s="18" t="s">
        <v>154</v>
      </c>
      <c r="E80" s="17" t="s">
        <v>154</v>
      </c>
      <c r="F80" s="18" t="s">
        <v>154</v>
      </c>
      <c r="G80" s="17" t="s">
        <v>154</v>
      </c>
      <c r="H80" s="18" t="s">
        <v>154</v>
      </c>
      <c r="I80" s="17" t="s">
        <v>154</v>
      </c>
      <c r="J80" s="18" t="s">
        <v>154</v>
      </c>
      <c r="K80" s="17" t="s">
        <v>154</v>
      </c>
      <c r="L80" s="18" t="s">
        <v>154</v>
      </c>
      <c r="M80" s="17" t="s">
        <v>154</v>
      </c>
      <c r="N80" s="18" t="s">
        <v>154</v>
      </c>
      <c r="O80" s="17" t="s">
        <v>154</v>
      </c>
      <c r="P80" s="18" t="s">
        <v>154</v>
      </c>
      <c r="Q80" s="17" t="s">
        <v>154</v>
      </c>
      <c r="R80" s="18" t="s">
        <v>154</v>
      </c>
    </row>
    <row r="81" spans="1:18" x14ac:dyDescent="0.25">
      <c r="A81" s="19" t="s">
        <v>214</v>
      </c>
      <c r="B81" s="13">
        <v>8861</v>
      </c>
      <c r="C81" s="14">
        <f>(7350/B81*100)</f>
        <v>82.947748561110473</v>
      </c>
      <c r="D81" s="15">
        <v>1511</v>
      </c>
      <c r="E81" s="14">
        <v>70.515487649999997</v>
      </c>
      <c r="F81" s="16">
        <v>1.32134394</v>
      </c>
      <c r="G81" s="14">
        <v>29.484512349999999</v>
      </c>
      <c r="H81" s="16">
        <v>1.32134394</v>
      </c>
      <c r="I81" s="14" t="s">
        <v>139</v>
      </c>
      <c r="J81" s="16" t="s">
        <v>139</v>
      </c>
      <c r="K81" s="14">
        <v>0</v>
      </c>
      <c r="L81" s="16">
        <v>0</v>
      </c>
      <c r="M81" s="14">
        <v>0</v>
      </c>
      <c r="N81" s="16">
        <v>0</v>
      </c>
      <c r="O81" s="14">
        <v>0</v>
      </c>
      <c r="P81" s="16">
        <v>0</v>
      </c>
      <c r="Q81" s="14">
        <v>0</v>
      </c>
      <c r="R81" s="16">
        <v>0</v>
      </c>
    </row>
    <row r="82" spans="1:18" x14ac:dyDescent="0.25">
      <c r="A82" s="20"/>
      <c r="B82" s="20" t="s">
        <v>215</v>
      </c>
      <c r="C82" s="20" t="s">
        <v>215</v>
      </c>
      <c r="D82" s="20" t="s">
        <v>215</v>
      </c>
      <c r="E82" s="20" t="s">
        <v>215</v>
      </c>
      <c r="F82" s="20" t="s">
        <v>215</v>
      </c>
      <c r="G82" s="20" t="s">
        <v>215</v>
      </c>
      <c r="H82" s="20" t="s">
        <v>215</v>
      </c>
      <c r="I82" s="20" t="s">
        <v>215</v>
      </c>
      <c r="J82" s="20" t="s">
        <v>215</v>
      </c>
      <c r="K82" s="20" t="s">
        <v>215</v>
      </c>
      <c r="L82" s="20" t="s">
        <v>215</v>
      </c>
      <c r="M82" s="20" t="s">
        <v>215</v>
      </c>
      <c r="N82" s="20" t="s">
        <v>215</v>
      </c>
      <c r="O82" s="20" t="s">
        <v>215</v>
      </c>
      <c r="P82" s="20" t="s">
        <v>215</v>
      </c>
      <c r="Q82" s="20" t="s">
        <v>215</v>
      </c>
      <c r="R82" s="20" t="s">
        <v>215</v>
      </c>
    </row>
    <row r="83" spans="1:18" x14ac:dyDescent="0.25">
      <c r="A83" s="3" t="s">
        <v>216</v>
      </c>
    </row>
    <row r="84" spans="1:18" x14ac:dyDescent="0.25">
      <c r="A84" s="22" t="s">
        <v>217</v>
      </c>
      <c r="B84" s="23"/>
      <c r="C84" s="23"/>
      <c r="D84" s="23"/>
      <c r="E84" s="23"/>
      <c r="F84" s="23"/>
      <c r="G84" s="23"/>
      <c r="H84" s="23"/>
      <c r="I84" s="23"/>
      <c r="J84" s="23"/>
      <c r="K84" s="23"/>
      <c r="L84" s="23"/>
      <c r="M84" s="23"/>
      <c r="N84" s="23"/>
      <c r="O84" s="23"/>
      <c r="P84" s="23"/>
      <c r="Q84" s="23"/>
      <c r="R84" s="23"/>
    </row>
    <row r="85" spans="1:18" x14ac:dyDescent="0.25">
      <c r="A85" s="22" t="s">
        <v>218</v>
      </c>
      <c r="B85" s="23"/>
      <c r="C85" s="23"/>
      <c r="D85" s="23"/>
      <c r="E85" s="23"/>
      <c r="F85" s="23"/>
      <c r="G85" s="23"/>
      <c r="H85" s="23"/>
      <c r="I85" s="23"/>
      <c r="J85" s="23"/>
      <c r="K85" s="23"/>
      <c r="L85" s="23"/>
      <c r="M85" s="23"/>
      <c r="N85" s="23"/>
      <c r="O85" s="23"/>
      <c r="P85" s="23"/>
      <c r="Q85" s="23"/>
      <c r="R85" s="23"/>
    </row>
    <row r="86" spans="1:18" ht="30" customHeight="1" x14ac:dyDescent="0.25">
      <c r="A86" s="22" t="s">
        <v>219</v>
      </c>
      <c r="B86" s="23"/>
      <c r="C86" s="23"/>
      <c r="D86" s="23"/>
      <c r="E86" s="23"/>
      <c r="F86" s="23"/>
      <c r="G86" s="23"/>
      <c r="H86" s="23"/>
      <c r="I86" s="23"/>
      <c r="J86" s="23"/>
      <c r="K86" s="23"/>
      <c r="L86" s="23"/>
      <c r="M86" s="23"/>
      <c r="N86" s="23"/>
      <c r="O86" s="23"/>
      <c r="P86" s="23"/>
      <c r="Q86" s="23"/>
      <c r="R86" s="23"/>
    </row>
    <row r="87" spans="1:18" ht="30" customHeight="1" x14ac:dyDescent="0.25">
      <c r="A87" s="22" t="s">
        <v>215</v>
      </c>
      <c r="B87" s="23"/>
      <c r="C87" s="23"/>
      <c r="D87" s="23"/>
      <c r="E87" s="23"/>
      <c r="F87" s="23"/>
      <c r="G87" s="23"/>
      <c r="H87" s="23"/>
      <c r="I87" s="23"/>
      <c r="J87" s="23"/>
      <c r="K87" s="23"/>
      <c r="L87" s="23"/>
      <c r="M87" s="23"/>
      <c r="N87" s="23"/>
      <c r="O87" s="23"/>
      <c r="P87" s="23"/>
      <c r="Q87" s="23"/>
      <c r="R87" s="23"/>
    </row>
    <row r="88" spans="1:18" ht="30" customHeight="1" x14ac:dyDescent="0.25">
      <c r="A88" s="22" t="s">
        <v>220</v>
      </c>
      <c r="B88" s="23"/>
      <c r="C88" s="23"/>
      <c r="D88" s="23"/>
      <c r="E88" s="23"/>
      <c r="F88" s="23"/>
      <c r="G88" s="23"/>
      <c r="H88" s="23"/>
      <c r="I88" s="23"/>
      <c r="J88" s="23"/>
      <c r="K88" s="23"/>
      <c r="L88" s="23"/>
      <c r="M88" s="23"/>
      <c r="N88" s="23"/>
      <c r="O88" s="23"/>
      <c r="P88" s="23"/>
      <c r="Q88" s="23"/>
      <c r="R88" s="23"/>
    </row>
    <row r="89" spans="1:18" ht="30" customHeight="1" x14ac:dyDescent="0.25">
      <c r="A89" s="22" t="s">
        <v>221</v>
      </c>
      <c r="B89" s="23"/>
      <c r="C89" s="23"/>
      <c r="D89" s="23"/>
      <c r="E89" s="23"/>
      <c r="F89" s="23"/>
      <c r="G89" s="23"/>
      <c r="H89" s="23"/>
      <c r="I89" s="23"/>
      <c r="J89" s="23"/>
      <c r="K89" s="23"/>
      <c r="L89" s="23"/>
      <c r="M89" s="23"/>
      <c r="N89" s="23"/>
      <c r="O89" s="23"/>
      <c r="P89" s="23"/>
      <c r="Q89" s="23"/>
      <c r="R89" s="23"/>
    </row>
    <row r="90" spans="1:18" ht="30" customHeight="1" x14ac:dyDescent="0.25">
      <c r="A90" s="22" t="s">
        <v>222</v>
      </c>
      <c r="B90" s="23"/>
      <c r="C90" s="23"/>
      <c r="D90" s="23"/>
      <c r="E90" s="23"/>
      <c r="F90" s="23"/>
      <c r="G90" s="23"/>
      <c r="H90" s="23"/>
      <c r="I90" s="23"/>
      <c r="J90" s="23"/>
      <c r="K90" s="23"/>
      <c r="L90" s="23"/>
      <c r="M90" s="23"/>
      <c r="N90" s="23"/>
      <c r="O90" s="23"/>
      <c r="P90" s="23"/>
      <c r="Q90" s="23"/>
      <c r="R90" s="23"/>
    </row>
    <row r="91" spans="1:18" ht="30" customHeight="1" x14ac:dyDescent="0.25">
      <c r="A91" s="22" t="s">
        <v>223</v>
      </c>
      <c r="B91" s="23"/>
      <c r="C91" s="23"/>
      <c r="D91" s="23"/>
      <c r="E91" s="23"/>
      <c r="F91" s="23"/>
      <c r="G91" s="23"/>
      <c r="H91" s="23"/>
      <c r="I91" s="23"/>
      <c r="J91" s="23"/>
      <c r="K91" s="23"/>
      <c r="L91" s="23"/>
      <c r="M91" s="23"/>
      <c r="N91" s="23"/>
      <c r="O91" s="23"/>
      <c r="P91" s="23"/>
      <c r="Q91" s="23"/>
      <c r="R91" s="23"/>
    </row>
    <row r="92" spans="1:18" ht="30" customHeight="1" x14ac:dyDescent="0.25">
      <c r="A92" s="22" t="s">
        <v>224</v>
      </c>
      <c r="B92" s="23"/>
      <c r="C92" s="23"/>
      <c r="D92" s="23"/>
      <c r="E92" s="23"/>
      <c r="F92" s="23"/>
      <c r="G92" s="23"/>
      <c r="H92" s="23"/>
      <c r="I92" s="23"/>
      <c r="J92" s="23"/>
      <c r="K92" s="23"/>
      <c r="L92" s="23"/>
      <c r="M92" s="23"/>
      <c r="N92" s="23"/>
      <c r="O92" s="23"/>
      <c r="P92" s="23"/>
      <c r="Q92" s="23"/>
      <c r="R92" s="23"/>
    </row>
    <row r="93" spans="1:18" ht="30" customHeight="1" x14ac:dyDescent="0.25">
      <c r="A93" s="22" t="s">
        <v>225</v>
      </c>
      <c r="B93" s="23"/>
      <c r="C93" s="23"/>
      <c r="D93" s="23"/>
      <c r="E93" s="23"/>
      <c r="F93" s="23"/>
      <c r="G93" s="23"/>
      <c r="H93" s="23"/>
      <c r="I93" s="23"/>
      <c r="J93" s="23"/>
      <c r="K93" s="23"/>
      <c r="L93" s="23"/>
      <c r="M93" s="23"/>
      <c r="N93" s="23"/>
      <c r="O93" s="23"/>
      <c r="P93" s="23"/>
      <c r="Q93" s="23"/>
      <c r="R93" s="23"/>
    </row>
    <row r="94" spans="1:18" ht="30" customHeight="1" x14ac:dyDescent="0.25">
      <c r="A94" s="22" t="s">
        <v>226</v>
      </c>
      <c r="B94" s="23"/>
      <c r="C94" s="23"/>
      <c r="D94" s="23"/>
      <c r="E94" s="23"/>
      <c r="F94" s="23"/>
      <c r="G94" s="23"/>
      <c r="H94" s="23"/>
      <c r="I94" s="23"/>
      <c r="J94" s="23"/>
      <c r="K94" s="23"/>
      <c r="L94" s="23"/>
      <c r="M94" s="23"/>
      <c r="N94" s="23"/>
      <c r="O94" s="23"/>
      <c r="P94" s="23"/>
      <c r="Q94" s="23"/>
      <c r="R94" s="23"/>
    </row>
    <row r="95" spans="1:18" ht="30" customHeight="1" x14ac:dyDescent="0.25">
      <c r="A95" s="22" t="s">
        <v>227</v>
      </c>
      <c r="B95" s="23"/>
      <c r="C95" s="23"/>
      <c r="D95" s="23"/>
      <c r="E95" s="23"/>
      <c r="F95" s="23"/>
      <c r="G95" s="23"/>
      <c r="H95" s="23"/>
      <c r="I95" s="23"/>
      <c r="J95" s="23"/>
      <c r="K95" s="23"/>
      <c r="L95" s="23"/>
      <c r="M95" s="23"/>
      <c r="N95" s="23"/>
      <c r="O95" s="23"/>
      <c r="P95" s="23"/>
      <c r="Q95" s="23"/>
      <c r="R95" s="23"/>
    </row>
    <row r="96" spans="1:18" ht="30" customHeight="1" x14ac:dyDescent="0.25">
      <c r="A96" s="22" t="s">
        <v>228</v>
      </c>
      <c r="B96" s="23"/>
      <c r="C96" s="23"/>
      <c r="D96" s="23"/>
      <c r="E96" s="23"/>
      <c r="F96" s="23"/>
      <c r="G96" s="23"/>
      <c r="H96" s="23"/>
      <c r="I96" s="23"/>
      <c r="J96" s="23"/>
      <c r="K96" s="23"/>
      <c r="L96" s="23"/>
      <c r="M96" s="23"/>
      <c r="N96" s="23"/>
      <c r="O96" s="23"/>
      <c r="P96" s="23"/>
      <c r="Q96" s="23"/>
      <c r="R96" s="23"/>
    </row>
  </sheetData>
  <mergeCells count="22">
    <mergeCell ref="O4:P4"/>
    <mergeCell ref="Q4:R4"/>
    <mergeCell ref="A1:R1"/>
    <mergeCell ref="A2:R2"/>
    <mergeCell ref="A84:R84"/>
    <mergeCell ref="E4:F4"/>
    <mergeCell ref="G4:H4"/>
    <mergeCell ref="I4:J4"/>
    <mergeCell ref="K4:L4"/>
    <mergeCell ref="M4:N4"/>
    <mergeCell ref="A85:R85"/>
    <mergeCell ref="A86:R86"/>
    <mergeCell ref="A87:R87"/>
    <mergeCell ref="A88:R88"/>
    <mergeCell ref="A89:R89"/>
    <mergeCell ref="A95:R95"/>
    <mergeCell ref="A96:R96"/>
    <mergeCell ref="A90:R90"/>
    <mergeCell ref="A91:R91"/>
    <mergeCell ref="A92:R92"/>
    <mergeCell ref="A93:R93"/>
    <mergeCell ref="A94:R94"/>
  </mergeCells>
  <pageMargins left="0.75" right="0.75" top="1" bottom="1" header="0.5" footer="0.5"/>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8"/>
  <dimension ref="A1:R96"/>
  <sheetViews>
    <sheetView zoomScale="80" workbookViewId="0">
      <pane xSplit="4" topLeftCell="E1" activePane="topRight" state="frozen"/>
      <selection sqref="A1:R1"/>
      <selection pane="topRight" sqref="A1:R1"/>
    </sheetView>
  </sheetViews>
  <sheetFormatPr defaultColWidth="11.42578125" defaultRowHeight="15" x14ac:dyDescent="0.25"/>
  <cols>
    <col min="1" max="1" width="50" customWidth="1"/>
  </cols>
  <sheetData>
    <row r="1" spans="1:18" x14ac:dyDescent="0.25">
      <c r="A1" s="26" t="s">
        <v>122</v>
      </c>
      <c r="B1" s="23"/>
      <c r="C1" s="23"/>
      <c r="D1" s="23"/>
      <c r="E1" s="23"/>
      <c r="F1" s="23"/>
      <c r="G1" s="23"/>
      <c r="H1" s="23"/>
      <c r="I1" s="23"/>
      <c r="J1" s="23"/>
      <c r="K1" s="23"/>
      <c r="L1" s="23"/>
      <c r="M1" s="23"/>
      <c r="N1" s="23"/>
      <c r="O1" s="23"/>
      <c r="P1" s="23"/>
      <c r="Q1" s="23"/>
      <c r="R1" s="23"/>
    </row>
    <row r="2" spans="1:18" x14ac:dyDescent="0.25">
      <c r="A2" s="27" t="s">
        <v>264</v>
      </c>
      <c r="B2" s="23"/>
      <c r="C2" s="23"/>
      <c r="D2" s="23"/>
      <c r="E2" s="23"/>
      <c r="F2" s="23"/>
      <c r="G2" s="23"/>
      <c r="H2" s="23"/>
      <c r="I2" s="23"/>
      <c r="J2" s="23"/>
      <c r="K2" s="23"/>
      <c r="L2" s="23"/>
      <c r="M2" s="23"/>
      <c r="N2" s="23"/>
      <c r="O2" s="23"/>
      <c r="P2" s="23"/>
      <c r="Q2" s="23"/>
      <c r="R2" s="23"/>
    </row>
    <row r="4" spans="1:18" ht="30" customHeight="1" x14ac:dyDescent="0.25">
      <c r="A4" s="4"/>
      <c r="B4" s="5" t="s">
        <v>123</v>
      </c>
      <c r="C4" s="5" t="s">
        <v>124</v>
      </c>
      <c r="D4" s="6" t="s">
        <v>123</v>
      </c>
      <c r="E4" s="24" t="s">
        <v>125</v>
      </c>
      <c r="F4" s="25"/>
      <c r="G4" s="24" t="s">
        <v>126</v>
      </c>
      <c r="H4" s="25"/>
      <c r="I4" s="24" t="s">
        <v>127</v>
      </c>
      <c r="J4" s="25"/>
      <c r="K4" s="24" t="s">
        <v>128</v>
      </c>
      <c r="L4" s="25"/>
      <c r="M4" s="24" t="s">
        <v>129</v>
      </c>
      <c r="N4" s="25"/>
      <c r="O4" s="24" t="s">
        <v>130</v>
      </c>
      <c r="P4" s="25"/>
      <c r="Q4" s="24" t="s">
        <v>131</v>
      </c>
      <c r="R4" s="25"/>
    </row>
    <row r="5" spans="1:18" x14ac:dyDescent="0.25">
      <c r="A5" s="7"/>
      <c r="B5" s="8" t="s">
        <v>132</v>
      </c>
      <c r="C5" s="8" t="s">
        <v>133</v>
      </c>
      <c r="D5" s="7" t="s">
        <v>134</v>
      </c>
      <c r="E5" s="8" t="s">
        <v>135</v>
      </c>
      <c r="F5" s="7" t="s">
        <v>136</v>
      </c>
      <c r="G5" s="8" t="s">
        <v>135</v>
      </c>
      <c r="H5" s="7" t="s">
        <v>136</v>
      </c>
      <c r="I5" s="8" t="s">
        <v>135</v>
      </c>
      <c r="J5" s="7" t="s">
        <v>136</v>
      </c>
      <c r="K5" s="8" t="s">
        <v>135</v>
      </c>
      <c r="L5" s="7" t="s">
        <v>136</v>
      </c>
      <c r="M5" s="8" t="s">
        <v>135</v>
      </c>
      <c r="N5" s="7" t="s">
        <v>136</v>
      </c>
      <c r="O5" s="8" t="s">
        <v>135</v>
      </c>
      <c r="P5" s="7" t="s">
        <v>136</v>
      </c>
      <c r="Q5" s="8" t="s">
        <v>135</v>
      </c>
      <c r="R5" s="7" t="s">
        <v>136</v>
      </c>
    </row>
    <row r="6" spans="1:18" x14ac:dyDescent="0.25">
      <c r="A6" s="9" t="s">
        <v>137</v>
      </c>
      <c r="B6" s="10"/>
      <c r="C6" s="10"/>
      <c r="D6" s="11"/>
      <c r="E6" s="10"/>
      <c r="F6" s="11"/>
      <c r="G6" s="10"/>
      <c r="H6" s="11"/>
      <c r="I6" s="10"/>
      <c r="J6" s="11"/>
      <c r="K6" s="10"/>
      <c r="L6" s="11"/>
      <c r="M6" s="10"/>
      <c r="N6" s="11"/>
      <c r="O6" s="10"/>
      <c r="P6" s="11"/>
      <c r="Q6" s="10"/>
      <c r="R6" s="12"/>
    </row>
    <row r="7" spans="1:18" x14ac:dyDescent="0.25">
      <c r="A7" s="11" t="s">
        <v>138</v>
      </c>
      <c r="B7" s="13">
        <v>14530</v>
      </c>
      <c r="C7" s="14">
        <f>(12186/B7*100)</f>
        <v>83.867859600825881</v>
      </c>
      <c r="D7" s="15">
        <v>2344</v>
      </c>
      <c r="E7" s="14">
        <v>51.90293441</v>
      </c>
      <c r="F7" s="16">
        <v>1.2343031799999999</v>
      </c>
      <c r="G7" s="14">
        <v>48.09706559</v>
      </c>
      <c r="H7" s="16">
        <v>1.2343031799999999</v>
      </c>
      <c r="I7" s="14" t="s">
        <v>139</v>
      </c>
      <c r="J7" s="16" t="s">
        <v>139</v>
      </c>
      <c r="K7" s="14">
        <v>0</v>
      </c>
      <c r="L7" s="16">
        <v>0</v>
      </c>
      <c r="M7" s="14">
        <v>0</v>
      </c>
      <c r="N7" s="16">
        <v>0</v>
      </c>
      <c r="O7" s="14">
        <v>0</v>
      </c>
      <c r="P7" s="16">
        <v>0</v>
      </c>
      <c r="Q7" s="14">
        <v>0</v>
      </c>
      <c r="R7" s="16">
        <v>0</v>
      </c>
    </row>
    <row r="8" spans="1:18" x14ac:dyDescent="0.25">
      <c r="A8" s="11" t="s">
        <v>140</v>
      </c>
      <c r="B8" s="13">
        <v>7007</v>
      </c>
      <c r="C8" s="14">
        <f>(5832/B8*100)</f>
        <v>83.231054659626096</v>
      </c>
      <c r="D8" s="15">
        <v>1175</v>
      </c>
      <c r="E8" s="14">
        <v>62.87420659</v>
      </c>
      <c r="F8" s="16">
        <v>1.62467983</v>
      </c>
      <c r="G8" s="14">
        <v>37.12579341</v>
      </c>
      <c r="H8" s="16">
        <v>1.62467983</v>
      </c>
      <c r="I8" s="14" t="s">
        <v>139</v>
      </c>
      <c r="J8" s="16" t="s">
        <v>139</v>
      </c>
      <c r="K8" s="14">
        <v>0</v>
      </c>
      <c r="L8" s="16">
        <v>0</v>
      </c>
      <c r="M8" s="14">
        <v>0</v>
      </c>
      <c r="N8" s="16">
        <v>0</v>
      </c>
      <c r="O8" s="14">
        <v>0</v>
      </c>
      <c r="P8" s="16">
        <v>0</v>
      </c>
      <c r="Q8" s="14">
        <v>0</v>
      </c>
      <c r="R8" s="16">
        <v>0</v>
      </c>
    </row>
    <row r="9" spans="1:18" x14ac:dyDescent="0.25">
      <c r="A9" s="11" t="s">
        <v>141</v>
      </c>
      <c r="B9" s="13">
        <v>9651</v>
      </c>
      <c r="C9" s="14">
        <f>(8126/B9*100)</f>
        <v>84.198528649880842</v>
      </c>
      <c r="D9" s="15">
        <v>1525</v>
      </c>
      <c r="E9" s="14">
        <v>67.323778070000003</v>
      </c>
      <c r="F9" s="16">
        <v>1.1683325899999999</v>
      </c>
      <c r="G9" s="14">
        <v>32.676221929999997</v>
      </c>
      <c r="H9" s="16">
        <v>1.1683325899999999</v>
      </c>
      <c r="I9" s="14" t="s">
        <v>139</v>
      </c>
      <c r="J9" s="16" t="s">
        <v>139</v>
      </c>
      <c r="K9" s="14">
        <v>0</v>
      </c>
      <c r="L9" s="16">
        <v>0</v>
      </c>
      <c r="M9" s="14">
        <v>0</v>
      </c>
      <c r="N9" s="16">
        <v>0</v>
      </c>
      <c r="O9" s="14">
        <v>0</v>
      </c>
      <c r="P9" s="16">
        <v>0</v>
      </c>
      <c r="Q9" s="14">
        <v>0</v>
      </c>
      <c r="R9" s="16">
        <v>0</v>
      </c>
    </row>
    <row r="10" spans="1:18" x14ac:dyDescent="0.25">
      <c r="A10" s="11" t="s">
        <v>142</v>
      </c>
      <c r="B10" s="13">
        <v>20058</v>
      </c>
      <c r="C10" s="14">
        <f>(16663/B10*100)</f>
        <v>83.074085153056132</v>
      </c>
      <c r="D10" s="15">
        <v>3395</v>
      </c>
      <c r="E10" s="14">
        <v>53.376585439999999</v>
      </c>
      <c r="F10" s="16">
        <v>1.210472</v>
      </c>
      <c r="G10" s="14">
        <v>46.623414560000001</v>
      </c>
      <c r="H10" s="16">
        <v>1.210472</v>
      </c>
      <c r="I10" s="14" t="s">
        <v>139</v>
      </c>
      <c r="J10" s="16" t="s">
        <v>139</v>
      </c>
      <c r="K10" s="14">
        <v>0</v>
      </c>
      <c r="L10" s="16">
        <v>0</v>
      </c>
      <c r="M10" s="14">
        <v>0</v>
      </c>
      <c r="N10" s="16">
        <v>0</v>
      </c>
      <c r="O10" s="14">
        <v>0</v>
      </c>
      <c r="P10" s="16">
        <v>0</v>
      </c>
      <c r="Q10" s="14">
        <v>0</v>
      </c>
      <c r="R10" s="16">
        <v>0</v>
      </c>
    </row>
    <row r="11" spans="1:18" x14ac:dyDescent="0.25">
      <c r="A11" s="11" t="s">
        <v>143</v>
      </c>
      <c r="B11" s="13">
        <v>7053</v>
      </c>
      <c r="C11" s="14">
        <f>(5925/B11*100)</f>
        <v>84.006805614632071</v>
      </c>
      <c r="D11" s="15">
        <v>1128</v>
      </c>
      <c r="E11" s="14">
        <v>71.042005509999996</v>
      </c>
      <c r="F11" s="16">
        <v>1.5696854899999999</v>
      </c>
      <c r="G11" s="14">
        <v>28.957994490000001</v>
      </c>
      <c r="H11" s="16">
        <v>1.5696854899999999</v>
      </c>
      <c r="I11" s="14" t="s">
        <v>139</v>
      </c>
      <c r="J11" s="16" t="s">
        <v>139</v>
      </c>
      <c r="K11" s="14">
        <v>0</v>
      </c>
      <c r="L11" s="16">
        <v>0</v>
      </c>
      <c r="M11" s="14">
        <v>0</v>
      </c>
      <c r="N11" s="16">
        <v>0</v>
      </c>
      <c r="O11" s="14">
        <v>0</v>
      </c>
      <c r="P11" s="16">
        <v>0</v>
      </c>
      <c r="Q11" s="14">
        <v>0</v>
      </c>
      <c r="R11" s="16">
        <v>0</v>
      </c>
    </row>
    <row r="12" spans="1:18" x14ac:dyDescent="0.25">
      <c r="A12" s="11" t="s">
        <v>144</v>
      </c>
      <c r="B12" s="13">
        <v>6894</v>
      </c>
      <c r="C12" s="14">
        <f>(5770/B12*100)</f>
        <v>83.695967507977954</v>
      </c>
      <c r="D12" s="15">
        <v>1124</v>
      </c>
      <c r="E12" s="14">
        <v>69.109914180000004</v>
      </c>
      <c r="F12" s="16">
        <v>1.5369418100000001</v>
      </c>
      <c r="G12" s="14">
        <v>30.890085819999999</v>
      </c>
      <c r="H12" s="16">
        <v>1.5369418100000001</v>
      </c>
      <c r="I12" s="14" t="s">
        <v>139</v>
      </c>
      <c r="J12" s="16" t="s">
        <v>139</v>
      </c>
      <c r="K12" s="14">
        <v>0</v>
      </c>
      <c r="L12" s="16">
        <v>0</v>
      </c>
      <c r="M12" s="14">
        <v>0</v>
      </c>
      <c r="N12" s="16">
        <v>0</v>
      </c>
      <c r="O12" s="14">
        <v>0</v>
      </c>
      <c r="P12" s="16">
        <v>0</v>
      </c>
      <c r="Q12" s="14">
        <v>0</v>
      </c>
      <c r="R12" s="16">
        <v>0</v>
      </c>
    </row>
    <row r="13" spans="1:18" x14ac:dyDescent="0.25">
      <c r="A13" s="11" t="s">
        <v>145</v>
      </c>
      <c r="B13" s="13">
        <v>7161</v>
      </c>
      <c r="C13" s="14">
        <f>(6035/B13*100)</f>
        <v>84.275939114648793</v>
      </c>
      <c r="D13" s="15">
        <v>1126</v>
      </c>
      <c r="E13" s="14">
        <v>55.9214068</v>
      </c>
      <c r="F13" s="16">
        <v>1.6984258999999999</v>
      </c>
      <c r="G13" s="14">
        <v>44.0785932</v>
      </c>
      <c r="H13" s="16">
        <v>1.6984258999999999</v>
      </c>
      <c r="I13" s="14" t="s">
        <v>139</v>
      </c>
      <c r="J13" s="16" t="s">
        <v>139</v>
      </c>
      <c r="K13" s="14">
        <v>0</v>
      </c>
      <c r="L13" s="16">
        <v>0</v>
      </c>
      <c r="M13" s="14">
        <v>0</v>
      </c>
      <c r="N13" s="16">
        <v>0</v>
      </c>
      <c r="O13" s="14">
        <v>0</v>
      </c>
      <c r="P13" s="16">
        <v>0</v>
      </c>
      <c r="Q13" s="14">
        <v>0</v>
      </c>
      <c r="R13" s="16">
        <v>0</v>
      </c>
    </row>
    <row r="14" spans="1:18" x14ac:dyDescent="0.25">
      <c r="A14" s="11" t="s">
        <v>146</v>
      </c>
      <c r="B14" s="13">
        <v>5587</v>
      </c>
      <c r="C14" s="14">
        <f>(4647/B14*100)</f>
        <v>83.175228208340783</v>
      </c>
      <c r="D14" s="15">
        <v>940</v>
      </c>
      <c r="E14" s="14">
        <v>57.199449430000001</v>
      </c>
      <c r="F14" s="16">
        <v>1.64282759</v>
      </c>
      <c r="G14" s="14">
        <v>42.800550569999999</v>
      </c>
      <c r="H14" s="16">
        <v>1.64282759</v>
      </c>
      <c r="I14" s="14" t="s">
        <v>139</v>
      </c>
      <c r="J14" s="16" t="s">
        <v>139</v>
      </c>
      <c r="K14" s="14">
        <v>0</v>
      </c>
      <c r="L14" s="16">
        <v>0</v>
      </c>
      <c r="M14" s="14">
        <v>0</v>
      </c>
      <c r="N14" s="16">
        <v>0</v>
      </c>
      <c r="O14" s="14">
        <v>0</v>
      </c>
      <c r="P14" s="16">
        <v>0</v>
      </c>
      <c r="Q14" s="14">
        <v>0</v>
      </c>
      <c r="R14" s="16">
        <v>0</v>
      </c>
    </row>
    <row r="15" spans="1:18" x14ac:dyDescent="0.25">
      <c r="A15" s="11" t="s">
        <v>147</v>
      </c>
      <c r="B15" s="13">
        <v>5882</v>
      </c>
      <c r="C15" s="14">
        <f>(4921/B15*100)</f>
        <v>83.66201972118327</v>
      </c>
      <c r="D15" s="15">
        <v>961</v>
      </c>
      <c r="E15" s="14">
        <v>55.574677999999999</v>
      </c>
      <c r="F15" s="16">
        <v>1.46156408</v>
      </c>
      <c r="G15" s="14">
        <v>44.425322000000001</v>
      </c>
      <c r="H15" s="16">
        <v>1.46156408</v>
      </c>
      <c r="I15" s="14" t="s">
        <v>139</v>
      </c>
      <c r="J15" s="16" t="s">
        <v>139</v>
      </c>
      <c r="K15" s="14">
        <v>0</v>
      </c>
      <c r="L15" s="16">
        <v>0</v>
      </c>
      <c r="M15" s="14">
        <v>0</v>
      </c>
      <c r="N15" s="16">
        <v>0</v>
      </c>
      <c r="O15" s="14">
        <v>0</v>
      </c>
      <c r="P15" s="16">
        <v>0</v>
      </c>
      <c r="Q15" s="14">
        <v>0</v>
      </c>
      <c r="R15" s="16">
        <v>0</v>
      </c>
    </row>
    <row r="16" spans="1:18" x14ac:dyDescent="0.25">
      <c r="A16" s="11" t="s">
        <v>148</v>
      </c>
      <c r="B16" s="13">
        <v>6108</v>
      </c>
      <c r="C16" s="14">
        <f>(5092/B16*100)</f>
        <v>83.366077275704001</v>
      </c>
      <c r="D16" s="15">
        <v>1016</v>
      </c>
      <c r="E16" s="14">
        <v>69.624876790000002</v>
      </c>
      <c r="F16" s="16">
        <v>1.2796202999999999</v>
      </c>
      <c r="G16" s="14">
        <v>30.375123210000002</v>
      </c>
      <c r="H16" s="16">
        <v>1.2796202999999999</v>
      </c>
      <c r="I16" s="14" t="s">
        <v>139</v>
      </c>
      <c r="J16" s="16" t="s">
        <v>139</v>
      </c>
      <c r="K16" s="14">
        <v>0</v>
      </c>
      <c r="L16" s="16">
        <v>0</v>
      </c>
      <c r="M16" s="14">
        <v>0</v>
      </c>
      <c r="N16" s="16">
        <v>0</v>
      </c>
      <c r="O16" s="14">
        <v>0</v>
      </c>
      <c r="P16" s="16">
        <v>0</v>
      </c>
      <c r="Q16" s="14">
        <v>0</v>
      </c>
      <c r="R16" s="16">
        <v>0</v>
      </c>
    </row>
    <row r="17" spans="1:18" x14ac:dyDescent="0.25">
      <c r="A17" s="11" t="s">
        <v>149</v>
      </c>
      <c r="B17" s="13">
        <v>6504</v>
      </c>
      <c r="C17" s="14">
        <f>(5459/B17*100)</f>
        <v>83.932964329643298</v>
      </c>
      <c r="D17" s="15">
        <v>1045</v>
      </c>
      <c r="E17" s="14">
        <v>62.810834419999999</v>
      </c>
      <c r="F17" s="16">
        <v>1.54706733</v>
      </c>
      <c r="G17" s="14">
        <v>37.189165580000001</v>
      </c>
      <c r="H17" s="16">
        <v>1.54706733</v>
      </c>
      <c r="I17" s="14" t="s">
        <v>139</v>
      </c>
      <c r="J17" s="16" t="s">
        <v>139</v>
      </c>
      <c r="K17" s="14">
        <v>0</v>
      </c>
      <c r="L17" s="16">
        <v>0</v>
      </c>
      <c r="M17" s="14">
        <v>0</v>
      </c>
      <c r="N17" s="16">
        <v>0</v>
      </c>
      <c r="O17" s="14">
        <v>0</v>
      </c>
      <c r="P17" s="16">
        <v>0</v>
      </c>
      <c r="Q17" s="14">
        <v>0</v>
      </c>
      <c r="R17" s="16">
        <v>0</v>
      </c>
    </row>
    <row r="18" spans="1:18" x14ac:dyDescent="0.25">
      <c r="A18" s="11" t="s">
        <v>150</v>
      </c>
      <c r="B18" s="13">
        <v>5532</v>
      </c>
      <c r="C18" s="14">
        <f>(4583/B18*100)</f>
        <v>82.845263919016631</v>
      </c>
      <c r="D18" s="15">
        <v>949</v>
      </c>
      <c r="E18" s="14">
        <v>69.207272739999993</v>
      </c>
      <c r="F18" s="16">
        <v>1.83781577</v>
      </c>
      <c r="G18" s="14">
        <v>30.792727259999999</v>
      </c>
      <c r="H18" s="16">
        <v>1.83781577</v>
      </c>
      <c r="I18" s="14" t="s">
        <v>139</v>
      </c>
      <c r="J18" s="16" t="s">
        <v>139</v>
      </c>
      <c r="K18" s="14">
        <v>0</v>
      </c>
      <c r="L18" s="16">
        <v>0</v>
      </c>
      <c r="M18" s="14">
        <v>0</v>
      </c>
      <c r="N18" s="16">
        <v>0</v>
      </c>
      <c r="O18" s="14">
        <v>0</v>
      </c>
      <c r="P18" s="16">
        <v>0</v>
      </c>
      <c r="Q18" s="14">
        <v>0</v>
      </c>
      <c r="R18" s="16">
        <v>0</v>
      </c>
    </row>
    <row r="19" spans="1:18" x14ac:dyDescent="0.25">
      <c r="A19" s="11" t="s">
        <v>151</v>
      </c>
      <c r="B19" s="13">
        <v>5658</v>
      </c>
      <c r="C19" s="14">
        <f>(4745/B19*100)</f>
        <v>83.863556026864615</v>
      </c>
      <c r="D19" s="15">
        <v>913</v>
      </c>
      <c r="E19" s="14">
        <v>58.538787329999998</v>
      </c>
      <c r="F19" s="16">
        <v>1.7473228700000001</v>
      </c>
      <c r="G19" s="14">
        <v>41.461212670000002</v>
      </c>
      <c r="H19" s="16">
        <v>1.7473228700000001</v>
      </c>
      <c r="I19" s="14" t="s">
        <v>139</v>
      </c>
      <c r="J19" s="16" t="s">
        <v>139</v>
      </c>
      <c r="K19" s="14">
        <v>0</v>
      </c>
      <c r="L19" s="16">
        <v>0</v>
      </c>
      <c r="M19" s="14">
        <v>0</v>
      </c>
      <c r="N19" s="16">
        <v>0</v>
      </c>
      <c r="O19" s="14">
        <v>0</v>
      </c>
      <c r="P19" s="16">
        <v>0</v>
      </c>
      <c r="Q19" s="14">
        <v>0</v>
      </c>
      <c r="R19" s="16">
        <v>0</v>
      </c>
    </row>
    <row r="20" spans="1:18" x14ac:dyDescent="0.25">
      <c r="A20" s="11" t="s">
        <v>152</v>
      </c>
      <c r="B20" s="13">
        <v>3371</v>
      </c>
      <c r="C20" s="14">
        <f>(2820/B20*100)</f>
        <v>83.654701868881645</v>
      </c>
      <c r="D20" s="15">
        <v>551</v>
      </c>
      <c r="E20" s="14">
        <v>65.618439120000005</v>
      </c>
      <c r="F20" s="16">
        <v>1.9894423999999999</v>
      </c>
      <c r="G20" s="14">
        <v>34.381560880000002</v>
      </c>
      <c r="H20" s="16">
        <v>1.9894423999999999</v>
      </c>
      <c r="I20" s="14" t="s">
        <v>139</v>
      </c>
      <c r="J20" s="16" t="s">
        <v>139</v>
      </c>
      <c r="K20" s="14">
        <v>0</v>
      </c>
      <c r="L20" s="16">
        <v>0</v>
      </c>
      <c r="M20" s="14">
        <v>0</v>
      </c>
      <c r="N20" s="16">
        <v>0</v>
      </c>
      <c r="O20" s="14">
        <v>0</v>
      </c>
      <c r="P20" s="16">
        <v>0</v>
      </c>
      <c r="Q20" s="14">
        <v>0</v>
      </c>
      <c r="R20" s="16">
        <v>0</v>
      </c>
    </row>
    <row r="21" spans="1:18" x14ac:dyDescent="0.25">
      <c r="A21" s="11" t="s">
        <v>153</v>
      </c>
      <c r="B21" s="17" t="s">
        <v>154</v>
      </c>
      <c r="C21" s="17" t="s">
        <v>154</v>
      </c>
      <c r="D21" s="18" t="s">
        <v>154</v>
      </c>
      <c r="E21" s="17" t="s">
        <v>154</v>
      </c>
      <c r="F21" s="18" t="s">
        <v>154</v>
      </c>
      <c r="G21" s="17" t="s">
        <v>154</v>
      </c>
      <c r="H21" s="18" t="s">
        <v>154</v>
      </c>
      <c r="I21" s="17" t="s">
        <v>154</v>
      </c>
      <c r="J21" s="18" t="s">
        <v>154</v>
      </c>
      <c r="K21" s="17" t="s">
        <v>154</v>
      </c>
      <c r="L21" s="18" t="s">
        <v>154</v>
      </c>
      <c r="M21" s="17" t="s">
        <v>154</v>
      </c>
      <c r="N21" s="18" t="s">
        <v>154</v>
      </c>
      <c r="O21" s="17" t="s">
        <v>154</v>
      </c>
      <c r="P21" s="18" t="s">
        <v>154</v>
      </c>
      <c r="Q21" s="17" t="s">
        <v>154</v>
      </c>
      <c r="R21" s="18" t="s">
        <v>154</v>
      </c>
    </row>
    <row r="22" spans="1:18" x14ac:dyDescent="0.25">
      <c r="A22" s="11" t="s">
        <v>155</v>
      </c>
      <c r="B22" s="13">
        <v>6598</v>
      </c>
      <c r="C22" s="14">
        <f>(5607/B22*100)</f>
        <v>84.980297059715056</v>
      </c>
      <c r="D22" s="15">
        <v>991</v>
      </c>
      <c r="E22" s="14">
        <v>64.06006601</v>
      </c>
      <c r="F22" s="16">
        <v>1.53894753</v>
      </c>
      <c r="G22" s="14">
        <v>35.93993399</v>
      </c>
      <c r="H22" s="16">
        <v>1.53894753</v>
      </c>
      <c r="I22" s="14" t="s">
        <v>139</v>
      </c>
      <c r="J22" s="16" t="s">
        <v>139</v>
      </c>
      <c r="K22" s="14">
        <v>0</v>
      </c>
      <c r="L22" s="16">
        <v>0</v>
      </c>
      <c r="M22" s="14">
        <v>0</v>
      </c>
      <c r="N22" s="16">
        <v>0</v>
      </c>
      <c r="O22" s="14">
        <v>0</v>
      </c>
      <c r="P22" s="16">
        <v>0</v>
      </c>
      <c r="Q22" s="14">
        <v>0</v>
      </c>
      <c r="R22" s="16">
        <v>0</v>
      </c>
    </row>
    <row r="23" spans="1:18" x14ac:dyDescent="0.25">
      <c r="A23" s="11" t="s">
        <v>156</v>
      </c>
      <c r="B23" s="13">
        <v>11583</v>
      </c>
      <c r="C23" s="14">
        <f>(9661/B23*100)</f>
        <v>83.406716740050072</v>
      </c>
      <c r="D23" s="15">
        <v>1922</v>
      </c>
      <c r="E23" s="14">
        <v>60.363377569999997</v>
      </c>
      <c r="F23" s="16">
        <v>1.41511466</v>
      </c>
      <c r="G23" s="14">
        <v>39.636622430000003</v>
      </c>
      <c r="H23" s="16">
        <v>1.41511466</v>
      </c>
      <c r="I23" s="14" t="s">
        <v>139</v>
      </c>
      <c r="J23" s="16" t="s">
        <v>139</v>
      </c>
      <c r="K23" s="14">
        <v>0</v>
      </c>
      <c r="L23" s="16">
        <v>0</v>
      </c>
      <c r="M23" s="14">
        <v>0</v>
      </c>
      <c r="N23" s="16">
        <v>0</v>
      </c>
      <c r="O23" s="14">
        <v>0</v>
      </c>
      <c r="P23" s="16">
        <v>0</v>
      </c>
      <c r="Q23" s="14">
        <v>0</v>
      </c>
      <c r="R23" s="16">
        <v>0</v>
      </c>
    </row>
    <row r="24" spans="1:18" x14ac:dyDescent="0.25">
      <c r="A24" s="11" t="s">
        <v>157</v>
      </c>
      <c r="B24" s="13">
        <v>6647</v>
      </c>
      <c r="C24" s="14">
        <f>(5508/B24*100)</f>
        <v>82.864450127877248</v>
      </c>
      <c r="D24" s="15">
        <v>1139</v>
      </c>
      <c r="E24" s="14">
        <v>56.346242420000003</v>
      </c>
      <c r="F24" s="16">
        <v>1.5629625599999999</v>
      </c>
      <c r="G24" s="14">
        <v>43.653757579999997</v>
      </c>
      <c r="H24" s="16">
        <v>1.5629625599999999</v>
      </c>
      <c r="I24" s="14" t="s">
        <v>139</v>
      </c>
      <c r="J24" s="16" t="s">
        <v>139</v>
      </c>
      <c r="K24" s="14">
        <v>0</v>
      </c>
      <c r="L24" s="16">
        <v>0</v>
      </c>
      <c r="M24" s="14">
        <v>0</v>
      </c>
      <c r="N24" s="16">
        <v>0</v>
      </c>
      <c r="O24" s="14">
        <v>0</v>
      </c>
      <c r="P24" s="16">
        <v>0</v>
      </c>
      <c r="Q24" s="14">
        <v>0</v>
      </c>
      <c r="R24" s="16">
        <v>0</v>
      </c>
    </row>
    <row r="25" spans="1:18" x14ac:dyDescent="0.25">
      <c r="A25" s="11" t="s">
        <v>158</v>
      </c>
      <c r="B25" s="13">
        <v>5581</v>
      </c>
      <c r="C25" s="14">
        <f>(4617/B25*100)</f>
        <v>82.727109836946795</v>
      </c>
      <c r="D25" s="15">
        <v>964</v>
      </c>
      <c r="E25" s="14">
        <v>62.245142319999999</v>
      </c>
      <c r="F25" s="16">
        <v>1.79941507</v>
      </c>
      <c r="G25" s="14">
        <v>37.754857680000001</v>
      </c>
      <c r="H25" s="16">
        <v>1.79941507</v>
      </c>
      <c r="I25" s="14" t="s">
        <v>139</v>
      </c>
      <c r="J25" s="16" t="s">
        <v>139</v>
      </c>
      <c r="K25" s="14">
        <v>0</v>
      </c>
      <c r="L25" s="16">
        <v>0</v>
      </c>
      <c r="M25" s="14">
        <v>0</v>
      </c>
      <c r="N25" s="16">
        <v>0</v>
      </c>
      <c r="O25" s="14">
        <v>0</v>
      </c>
      <c r="P25" s="16">
        <v>0</v>
      </c>
      <c r="Q25" s="14">
        <v>0</v>
      </c>
      <c r="R25" s="16">
        <v>0</v>
      </c>
    </row>
    <row r="26" spans="1:18" x14ac:dyDescent="0.25">
      <c r="A26" s="11" t="s">
        <v>159</v>
      </c>
      <c r="B26" s="13">
        <v>4869</v>
      </c>
      <c r="C26" s="14">
        <f>(4025/B26*100)</f>
        <v>82.665845142739784</v>
      </c>
      <c r="D26" s="15">
        <v>844</v>
      </c>
      <c r="E26" s="14">
        <v>56.648545380000002</v>
      </c>
      <c r="F26" s="16">
        <v>1.8745431800000001</v>
      </c>
      <c r="G26" s="14">
        <v>43.351454619999998</v>
      </c>
      <c r="H26" s="16">
        <v>1.8745431800000001</v>
      </c>
      <c r="I26" s="14" t="s">
        <v>139</v>
      </c>
      <c r="J26" s="16" t="s">
        <v>139</v>
      </c>
      <c r="K26" s="14">
        <v>0</v>
      </c>
      <c r="L26" s="16">
        <v>0</v>
      </c>
      <c r="M26" s="14">
        <v>0</v>
      </c>
      <c r="N26" s="16">
        <v>0</v>
      </c>
      <c r="O26" s="14">
        <v>0</v>
      </c>
      <c r="P26" s="16">
        <v>0</v>
      </c>
      <c r="Q26" s="14">
        <v>0</v>
      </c>
      <c r="R26" s="16">
        <v>0</v>
      </c>
    </row>
    <row r="27" spans="1:18" x14ac:dyDescent="0.25">
      <c r="A27" s="11" t="s">
        <v>160</v>
      </c>
      <c r="B27" s="13">
        <v>5299</v>
      </c>
      <c r="C27" s="14">
        <f>(4441/B27*100)</f>
        <v>83.808265710511421</v>
      </c>
      <c r="D27" s="15">
        <v>858</v>
      </c>
      <c r="E27" s="14">
        <v>68.336451850000003</v>
      </c>
      <c r="F27" s="16">
        <v>1.53317561</v>
      </c>
      <c r="G27" s="14">
        <v>31.66354815</v>
      </c>
      <c r="H27" s="16">
        <v>1.53317561</v>
      </c>
      <c r="I27" s="14" t="s">
        <v>139</v>
      </c>
      <c r="J27" s="16" t="s">
        <v>139</v>
      </c>
      <c r="K27" s="14">
        <v>0</v>
      </c>
      <c r="L27" s="16">
        <v>0</v>
      </c>
      <c r="M27" s="14">
        <v>0</v>
      </c>
      <c r="N27" s="16">
        <v>0</v>
      </c>
      <c r="O27" s="14">
        <v>0</v>
      </c>
      <c r="P27" s="16">
        <v>0</v>
      </c>
      <c r="Q27" s="14">
        <v>0</v>
      </c>
      <c r="R27" s="16">
        <v>0</v>
      </c>
    </row>
    <row r="28" spans="1:18" x14ac:dyDescent="0.25">
      <c r="A28" s="11" t="s">
        <v>161</v>
      </c>
      <c r="B28" s="13">
        <v>7568</v>
      </c>
      <c r="C28" s="14">
        <f>(6479/B28*100)</f>
        <v>85.610465116279073</v>
      </c>
      <c r="D28" s="15">
        <v>1089</v>
      </c>
      <c r="E28" s="14">
        <v>49.384121579999999</v>
      </c>
      <c r="F28" s="16">
        <v>1.67031313</v>
      </c>
      <c r="G28" s="14">
        <v>50.615878420000001</v>
      </c>
      <c r="H28" s="16">
        <v>1.67031313</v>
      </c>
      <c r="I28" s="14" t="s">
        <v>139</v>
      </c>
      <c r="J28" s="16" t="s">
        <v>139</v>
      </c>
      <c r="K28" s="14">
        <v>0</v>
      </c>
      <c r="L28" s="16">
        <v>0</v>
      </c>
      <c r="M28" s="14">
        <v>0</v>
      </c>
      <c r="N28" s="16">
        <v>0</v>
      </c>
      <c r="O28" s="14">
        <v>0</v>
      </c>
      <c r="P28" s="16">
        <v>0</v>
      </c>
      <c r="Q28" s="14">
        <v>0</v>
      </c>
      <c r="R28" s="16">
        <v>0</v>
      </c>
    </row>
    <row r="29" spans="1:18" x14ac:dyDescent="0.25">
      <c r="A29" s="11" t="s">
        <v>162</v>
      </c>
      <c r="B29" s="13">
        <v>5385</v>
      </c>
      <c r="C29" s="14">
        <f>(4470/B29*100)</f>
        <v>83.008356545961007</v>
      </c>
      <c r="D29" s="15">
        <v>915</v>
      </c>
      <c r="E29" s="14">
        <v>74.247460680000003</v>
      </c>
      <c r="F29" s="16">
        <v>1.4679717699999999</v>
      </c>
      <c r="G29" s="14">
        <v>25.75253932</v>
      </c>
      <c r="H29" s="16">
        <v>1.4679717699999999</v>
      </c>
      <c r="I29" s="14" t="s">
        <v>139</v>
      </c>
      <c r="J29" s="16" t="s">
        <v>139</v>
      </c>
      <c r="K29" s="14">
        <v>0</v>
      </c>
      <c r="L29" s="16">
        <v>0</v>
      </c>
      <c r="M29" s="14">
        <v>0</v>
      </c>
      <c r="N29" s="16">
        <v>0</v>
      </c>
      <c r="O29" s="14">
        <v>0</v>
      </c>
      <c r="P29" s="16">
        <v>0</v>
      </c>
      <c r="Q29" s="14">
        <v>0</v>
      </c>
      <c r="R29" s="16">
        <v>0</v>
      </c>
    </row>
    <row r="30" spans="1:18" x14ac:dyDescent="0.25">
      <c r="A30" s="11" t="s">
        <v>163</v>
      </c>
      <c r="B30" s="13">
        <v>4520</v>
      </c>
      <c r="C30" s="14">
        <f>(3779/B30*100)</f>
        <v>83.606194690265482</v>
      </c>
      <c r="D30" s="15">
        <v>741</v>
      </c>
      <c r="E30" s="14">
        <v>50.705822820000002</v>
      </c>
      <c r="F30" s="16">
        <v>1.96002565</v>
      </c>
      <c r="G30" s="14">
        <v>49.294177179999998</v>
      </c>
      <c r="H30" s="16">
        <v>1.96002565</v>
      </c>
      <c r="I30" s="14" t="s">
        <v>139</v>
      </c>
      <c r="J30" s="16" t="s">
        <v>139</v>
      </c>
      <c r="K30" s="14">
        <v>0</v>
      </c>
      <c r="L30" s="16">
        <v>0</v>
      </c>
      <c r="M30" s="14">
        <v>0</v>
      </c>
      <c r="N30" s="16">
        <v>0</v>
      </c>
      <c r="O30" s="14">
        <v>0</v>
      </c>
      <c r="P30" s="16">
        <v>0</v>
      </c>
      <c r="Q30" s="14">
        <v>0</v>
      </c>
      <c r="R30" s="16">
        <v>0</v>
      </c>
    </row>
    <row r="31" spans="1:18" x14ac:dyDescent="0.25">
      <c r="A31" s="11" t="s">
        <v>164</v>
      </c>
      <c r="B31" s="13">
        <v>5456</v>
      </c>
      <c r="C31" s="14">
        <f>(4579/B31*100)</f>
        <v>83.925953079178882</v>
      </c>
      <c r="D31" s="15">
        <v>877</v>
      </c>
      <c r="E31" s="14">
        <v>52.95675679</v>
      </c>
      <c r="F31" s="16">
        <v>1.45016553</v>
      </c>
      <c r="G31" s="14">
        <v>47.04324321</v>
      </c>
      <c r="H31" s="16">
        <v>1.45016553</v>
      </c>
      <c r="I31" s="14" t="s">
        <v>139</v>
      </c>
      <c r="J31" s="16" t="s">
        <v>139</v>
      </c>
      <c r="K31" s="14">
        <v>0</v>
      </c>
      <c r="L31" s="16">
        <v>0</v>
      </c>
      <c r="M31" s="14">
        <v>0</v>
      </c>
      <c r="N31" s="16">
        <v>0</v>
      </c>
      <c r="O31" s="14">
        <v>0</v>
      </c>
      <c r="P31" s="16">
        <v>0</v>
      </c>
      <c r="Q31" s="14">
        <v>0</v>
      </c>
      <c r="R31" s="16">
        <v>0</v>
      </c>
    </row>
    <row r="32" spans="1:18" x14ac:dyDescent="0.25">
      <c r="A32" s="11" t="s">
        <v>165</v>
      </c>
      <c r="B32" s="17" t="s">
        <v>154</v>
      </c>
      <c r="C32" s="17" t="s">
        <v>154</v>
      </c>
      <c r="D32" s="18" t="s">
        <v>154</v>
      </c>
      <c r="E32" s="17" t="s">
        <v>154</v>
      </c>
      <c r="F32" s="18" t="s">
        <v>154</v>
      </c>
      <c r="G32" s="17" t="s">
        <v>154</v>
      </c>
      <c r="H32" s="18" t="s">
        <v>154</v>
      </c>
      <c r="I32" s="17" t="s">
        <v>154</v>
      </c>
      <c r="J32" s="18" t="s">
        <v>154</v>
      </c>
      <c r="K32" s="17" t="s">
        <v>154</v>
      </c>
      <c r="L32" s="18" t="s">
        <v>154</v>
      </c>
      <c r="M32" s="17" t="s">
        <v>154</v>
      </c>
      <c r="N32" s="18" t="s">
        <v>154</v>
      </c>
      <c r="O32" s="17" t="s">
        <v>154</v>
      </c>
      <c r="P32" s="18" t="s">
        <v>154</v>
      </c>
      <c r="Q32" s="17" t="s">
        <v>154</v>
      </c>
      <c r="R32" s="18" t="s">
        <v>154</v>
      </c>
    </row>
    <row r="33" spans="1:18" x14ac:dyDescent="0.25">
      <c r="A33" s="11" t="s">
        <v>166</v>
      </c>
      <c r="B33" s="13">
        <v>7325</v>
      </c>
      <c r="C33" s="14">
        <f>(6194/B33*100)</f>
        <v>84.559726962457333</v>
      </c>
      <c r="D33" s="15">
        <v>1131</v>
      </c>
      <c r="E33" s="14">
        <v>60.741198820000001</v>
      </c>
      <c r="F33" s="16">
        <v>1.5335976</v>
      </c>
      <c r="G33" s="14">
        <v>39.258801179999999</v>
      </c>
      <c r="H33" s="16">
        <v>1.5335976</v>
      </c>
      <c r="I33" s="14" t="s">
        <v>139</v>
      </c>
      <c r="J33" s="16" t="s">
        <v>139</v>
      </c>
      <c r="K33" s="14">
        <v>0</v>
      </c>
      <c r="L33" s="16">
        <v>0</v>
      </c>
      <c r="M33" s="14">
        <v>0</v>
      </c>
      <c r="N33" s="16">
        <v>0</v>
      </c>
      <c r="O33" s="14">
        <v>0</v>
      </c>
      <c r="P33" s="16">
        <v>0</v>
      </c>
      <c r="Q33" s="14">
        <v>0</v>
      </c>
      <c r="R33" s="16">
        <v>0</v>
      </c>
    </row>
    <row r="34" spans="1:18" x14ac:dyDescent="0.25">
      <c r="A34" s="11" t="s">
        <v>167</v>
      </c>
      <c r="B34" s="13">
        <v>6350</v>
      </c>
      <c r="C34" s="14">
        <f>(5345/B34*100)</f>
        <v>84.173228346456696</v>
      </c>
      <c r="D34" s="15">
        <v>1005</v>
      </c>
      <c r="E34" s="14">
        <v>72.841516889999994</v>
      </c>
      <c r="F34" s="16">
        <v>1.47830101</v>
      </c>
      <c r="G34" s="14">
        <v>27.158483109999999</v>
      </c>
      <c r="H34" s="16">
        <v>1.47830101</v>
      </c>
      <c r="I34" s="14" t="s">
        <v>139</v>
      </c>
      <c r="J34" s="16" t="s">
        <v>139</v>
      </c>
      <c r="K34" s="14">
        <v>0</v>
      </c>
      <c r="L34" s="16">
        <v>0</v>
      </c>
      <c r="M34" s="14">
        <v>0</v>
      </c>
      <c r="N34" s="16">
        <v>0</v>
      </c>
      <c r="O34" s="14">
        <v>0</v>
      </c>
      <c r="P34" s="16">
        <v>0</v>
      </c>
      <c r="Q34" s="14">
        <v>0</v>
      </c>
      <c r="R34" s="16">
        <v>0</v>
      </c>
    </row>
    <row r="35" spans="1:18" x14ac:dyDescent="0.25">
      <c r="A35" s="11" t="s">
        <v>168</v>
      </c>
      <c r="B35" s="13">
        <v>6406</v>
      </c>
      <c r="C35" s="14">
        <f>(5316/B35*100)</f>
        <v>82.9847018420231</v>
      </c>
      <c r="D35" s="15">
        <v>1090</v>
      </c>
      <c r="E35" s="14">
        <v>67.18099153</v>
      </c>
      <c r="F35" s="16">
        <v>1.7141935800000001</v>
      </c>
      <c r="G35" s="14">
        <v>32.81900847</v>
      </c>
      <c r="H35" s="16">
        <v>1.7141935800000001</v>
      </c>
      <c r="I35" s="14" t="s">
        <v>139</v>
      </c>
      <c r="J35" s="16" t="s">
        <v>139</v>
      </c>
      <c r="K35" s="14">
        <v>0</v>
      </c>
      <c r="L35" s="16">
        <v>0</v>
      </c>
      <c r="M35" s="14">
        <v>0</v>
      </c>
      <c r="N35" s="16">
        <v>0</v>
      </c>
      <c r="O35" s="14">
        <v>0</v>
      </c>
      <c r="P35" s="16">
        <v>0</v>
      </c>
      <c r="Q35" s="14">
        <v>0</v>
      </c>
      <c r="R35" s="16">
        <v>0</v>
      </c>
    </row>
    <row r="36" spans="1:18" x14ac:dyDescent="0.25">
      <c r="A36" s="11" t="s">
        <v>169</v>
      </c>
      <c r="B36" s="13">
        <v>6736</v>
      </c>
      <c r="C36" s="14">
        <f>(5652/B36*100)</f>
        <v>83.907363420427544</v>
      </c>
      <c r="D36" s="15">
        <v>1084</v>
      </c>
      <c r="E36" s="14">
        <v>67.199919519999995</v>
      </c>
      <c r="F36" s="16">
        <v>1.29973377</v>
      </c>
      <c r="G36" s="14">
        <v>32.800080479999998</v>
      </c>
      <c r="H36" s="16">
        <v>1.29973377</v>
      </c>
      <c r="I36" s="14" t="s">
        <v>139</v>
      </c>
      <c r="J36" s="16" t="s">
        <v>139</v>
      </c>
      <c r="K36" s="14">
        <v>0</v>
      </c>
      <c r="L36" s="16">
        <v>0</v>
      </c>
      <c r="M36" s="14">
        <v>0</v>
      </c>
      <c r="N36" s="16">
        <v>0</v>
      </c>
      <c r="O36" s="14">
        <v>0</v>
      </c>
      <c r="P36" s="16">
        <v>0</v>
      </c>
      <c r="Q36" s="14">
        <v>0</v>
      </c>
      <c r="R36" s="16">
        <v>0</v>
      </c>
    </row>
    <row r="37" spans="1:18" x14ac:dyDescent="0.25">
      <c r="A37" s="11" t="s">
        <v>170</v>
      </c>
      <c r="B37" s="13">
        <v>5458</v>
      </c>
      <c r="C37" s="14">
        <f>(4608/B37*100)</f>
        <v>84.426529864419194</v>
      </c>
      <c r="D37" s="15">
        <v>850</v>
      </c>
      <c r="E37" s="14">
        <v>72.382202160000006</v>
      </c>
      <c r="F37" s="16">
        <v>1.5685491600000001</v>
      </c>
      <c r="G37" s="14">
        <v>27.617797840000001</v>
      </c>
      <c r="H37" s="16">
        <v>1.5685491600000001</v>
      </c>
      <c r="I37" s="14" t="s">
        <v>139</v>
      </c>
      <c r="J37" s="16" t="s">
        <v>139</v>
      </c>
      <c r="K37" s="14">
        <v>0</v>
      </c>
      <c r="L37" s="16">
        <v>0</v>
      </c>
      <c r="M37" s="14">
        <v>0</v>
      </c>
      <c r="N37" s="16">
        <v>0</v>
      </c>
      <c r="O37" s="14">
        <v>0</v>
      </c>
      <c r="P37" s="16">
        <v>0</v>
      </c>
      <c r="Q37" s="14">
        <v>0</v>
      </c>
      <c r="R37" s="16">
        <v>0</v>
      </c>
    </row>
    <row r="38" spans="1:18" x14ac:dyDescent="0.25">
      <c r="A38" s="11" t="s">
        <v>171</v>
      </c>
      <c r="B38" s="17" t="s">
        <v>154</v>
      </c>
      <c r="C38" s="17" t="s">
        <v>154</v>
      </c>
      <c r="D38" s="18" t="s">
        <v>154</v>
      </c>
      <c r="E38" s="17" t="s">
        <v>154</v>
      </c>
      <c r="F38" s="18" t="s">
        <v>154</v>
      </c>
      <c r="G38" s="17" t="s">
        <v>154</v>
      </c>
      <c r="H38" s="18" t="s">
        <v>154</v>
      </c>
      <c r="I38" s="17" t="s">
        <v>154</v>
      </c>
      <c r="J38" s="18" t="s">
        <v>154</v>
      </c>
      <c r="K38" s="17" t="s">
        <v>154</v>
      </c>
      <c r="L38" s="18" t="s">
        <v>154</v>
      </c>
      <c r="M38" s="17" t="s">
        <v>154</v>
      </c>
      <c r="N38" s="18" t="s">
        <v>154</v>
      </c>
      <c r="O38" s="17" t="s">
        <v>154</v>
      </c>
      <c r="P38" s="18" t="s">
        <v>154</v>
      </c>
      <c r="Q38" s="17" t="s">
        <v>154</v>
      </c>
      <c r="R38" s="18" t="s">
        <v>154</v>
      </c>
    </row>
    <row r="39" spans="1:18" x14ac:dyDescent="0.25">
      <c r="A39" s="11" t="s">
        <v>172</v>
      </c>
      <c r="B39" s="13">
        <v>5895</v>
      </c>
      <c r="C39" s="14">
        <f>(4875/B39*100)</f>
        <v>82.697201017811707</v>
      </c>
      <c r="D39" s="15">
        <v>1020</v>
      </c>
      <c r="E39" s="14">
        <v>0</v>
      </c>
      <c r="F39" s="16">
        <v>0</v>
      </c>
      <c r="G39" s="14">
        <v>0</v>
      </c>
      <c r="H39" s="16">
        <v>0</v>
      </c>
      <c r="I39" s="14" t="s">
        <v>139</v>
      </c>
      <c r="J39" s="16" t="s">
        <v>139</v>
      </c>
      <c r="K39" s="14">
        <v>0</v>
      </c>
      <c r="L39" s="16">
        <v>0</v>
      </c>
      <c r="M39" s="14">
        <v>100</v>
      </c>
      <c r="N39" s="16">
        <v>0</v>
      </c>
      <c r="O39" s="14">
        <v>0</v>
      </c>
      <c r="P39" s="16">
        <v>0</v>
      </c>
      <c r="Q39" s="14">
        <v>0</v>
      </c>
      <c r="R39" s="16">
        <v>0</v>
      </c>
    </row>
    <row r="40" spans="1:18" x14ac:dyDescent="0.25">
      <c r="A40" s="11" t="s">
        <v>173</v>
      </c>
      <c r="B40" s="13">
        <v>14157</v>
      </c>
      <c r="C40" s="14">
        <f>(11677/B40*100)</f>
        <v>82.482164300346113</v>
      </c>
      <c r="D40" s="15">
        <v>2480</v>
      </c>
      <c r="E40" s="14">
        <v>53.963022520000003</v>
      </c>
      <c r="F40" s="16">
        <v>1.6006276500000001</v>
      </c>
      <c r="G40" s="14">
        <v>46.036977479999997</v>
      </c>
      <c r="H40" s="16">
        <v>1.6006276500000001</v>
      </c>
      <c r="I40" s="14" t="s">
        <v>139</v>
      </c>
      <c r="J40" s="16" t="s">
        <v>139</v>
      </c>
      <c r="K40" s="14">
        <v>0</v>
      </c>
      <c r="L40" s="16">
        <v>0</v>
      </c>
      <c r="M40" s="14">
        <v>0</v>
      </c>
      <c r="N40" s="16">
        <v>0</v>
      </c>
      <c r="O40" s="14">
        <v>0</v>
      </c>
      <c r="P40" s="16">
        <v>0</v>
      </c>
      <c r="Q40" s="14">
        <v>0</v>
      </c>
      <c r="R40" s="16">
        <v>0</v>
      </c>
    </row>
    <row r="41" spans="1:18" x14ac:dyDescent="0.25">
      <c r="A41" s="11" t="s">
        <v>174</v>
      </c>
      <c r="B41" s="13">
        <v>5712</v>
      </c>
      <c r="C41" s="14">
        <f>(4807/B41*100)</f>
        <v>84.156162464985997</v>
      </c>
      <c r="D41" s="15">
        <v>905</v>
      </c>
      <c r="E41" s="14">
        <v>52.314765479999998</v>
      </c>
      <c r="F41" s="16">
        <v>1.68983795</v>
      </c>
      <c r="G41" s="14">
        <v>47.685234520000002</v>
      </c>
      <c r="H41" s="16">
        <v>1.68983795</v>
      </c>
      <c r="I41" s="14" t="s">
        <v>139</v>
      </c>
      <c r="J41" s="16" t="s">
        <v>139</v>
      </c>
      <c r="K41" s="14">
        <v>0</v>
      </c>
      <c r="L41" s="16">
        <v>0</v>
      </c>
      <c r="M41" s="14">
        <v>0</v>
      </c>
      <c r="N41" s="16">
        <v>0</v>
      </c>
      <c r="O41" s="14">
        <v>0</v>
      </c>
      <c r="P41" s="16">
        <v>0</v>
      </c>
      <c r="Q41" s="14">
        <v>0</v>
      </c>
      <c r="R41" s="16">
        <v>0</v>
      </c>
    </row>
    <row r="42" spans="1:18" x14ac:dyDescent="0.25">
      <c r="A42" s="11" t="s">
        <v>175</v>
      </c>
      <c r="B42" s="13">
        <f>IF(COUNT(B7:B41) &gt; 0, AVERAGE(B7:B41), "\u2014")</f>
        <v>7266.90625</v>
      </c>
      <c r="C42" s="14">
        <f>IF(COUNT(C7:C41) &gt; 0, AVERAGE(C7:C41), "—")</f>
        <v>83.651274497460449</v>
      </c>
      <c r="D42" s="15">
        <f>IF(COUNT(D7:D41) &gt; 0, AVERAGE(D7:D41), "—")</f>
        <v>1190.53125</v>
      </c>
      <c r="E42" s="14">
        <f>IF(COUNT(E7:E41) &gt; 0, AVERAGE(E7:E41), "—")</f>
        <v>59.751336661562519</v>
      </c>
      <c r="F42" s="16">
        <f>IF(COUNT(F7:F41) &gt; 0, SQRT(SUMSQ(F7:F41)/(COUNT(F7:F41)*COUNT(F7:F41)) ), "—")</f>
        <v>0.27565139755386475</v>
      </c>
      <c r="G42" s="14">
        <f>IF(COUNT(G7:G41) &gt; 0, AVERAGE(G7:G41), "—")</f>
        <v>37.123663338437503</v>
      </c>
      <c r="H42" s="16">
        <f>IF(COUNT(H7:H41) &gt; 0, SQRT(SUMSQ(H7:H41)/(COUNT(H7:H41)*COUNT(H7:H41)) ), "—")</f>
        <v>0.27565139755386475</v>
      </c>
      <c r="I42" s="14" t="str">
        <f>IF(COUNT(I7:I41) &gt; 0, AVERAGE(I7:I41), "—")</f>
        <v>—</v>
      </c>
      <c r="J42" s="16" t="str">
        <f>IF(COUNT(J7:J41) &gt; 0, SQRT(SUMSQ(J7:J41)/(COUNT(J7:J41)*COUNT(J7:J41)) ), "—")</f>
        <v>—</v>
      </c>
      <c r="K42" s="14">
        <f>IF(COUNT(K7:K41) &gt; 0, AVERAGE(K7:K41), "—")</f>
        <v>0</v>
      </c>
      <c r="L42" s="16">
        <f>IF(COUNT(L7:L41) &gt; 0, SQRT(SUMSQ(L7:L41)/(COUNT(L7:L41)*COUNT(L7:L41)) ), "—")</f>
        <v>0</v>
      </c>
      <c r="M42" s="14">
        <f>IF(COUNT(M7:M41) &gt; 0, AVERAGE(M7:M41), "—")</f>
        <v>3.125</v>
      </c>
      <c r="N42" s="16">
        <f>IF(COUNT(N7:N41) &gt; 0, SQRT(SUMSQ(N7:N41)/(COUNT(N7:N41)*COUNT(N7:N41)) ), "—")</f>
        <v>0</v>
      </c>
      <c r="O42" s="14">
        <f>IF(COUNT(O7:O41) &gt; 0, AVERAGE(O7:O41), "—")</f>
        <v>0</v>
      </c>
      <c r="P42" s="16">
        <f>IF(COUNT(P7:P41) &gt; 0, SQRT(SUMSQ(P7:P41)/(COUNT(P7:P41)*COUNT(P7:P41)) ), "—")</f>
        <v>0</v>
      </c>
      <c r="Q42" s="14">
        <f>IF(COUNT(Q7:Q41) &gt; 0, AVERAGE(Q7:Q41), "—")</f>
        <v>0</v>
      </c>
      <c r="R42" s="16">
        <f>IF(COUNT(R7:R41) &gt; 0, SQRT(SUMSQ(R7:R41)/(COUNT(R7:R41)*COUNT(R7:R41)) ), "—")</f>
        <v>0</v>
      </c>
    </row>
    <row r="43" spans="1:18" x14ac:dyDescent="0.25">
      <c r="A43" s="9" t="s">
        <v>176</v>
      </c>
      <c r="B43" s="10"/>
      <c r="C43" s="10"/>
      <c r="D43" s="11"/>
      <c r="E43" s="10"/>
      <c r="F43" s="11"/>
      <c r="G43" s="10"/>
      <c r="H43" s="11"/>
      <c r="I43" s="10"/>
      <c r="J43" s="11"/>
      <c r="K43" s="10"/>
      <c r="L43" s="11"/>
      <c r="M43" s="10"/>
      <c r="N43" s="11"/>
      <c r="O43" s="10"/>
      <c r="P43" s="11"/>
      <c r="Q43" s="10"/>
      <c r="R43" s="12"/>
    </row>
    <row r="44" spans="1:18" x14ac:dyDescent="0.25">
      <c r="A44" s="11" t="s">
        <v>177</v>
      </c>
      <c r="B44" s="17" t="s">
        <v>154</v>
      </c>
      <c r="C44" s="17" t="s">
        <v>154</v>
      </c>
      <c r="D44" s="18" t="s">
        <v>154</v>
      </c>
      <c r="E44" s="17" t="s">
        <v>154</v>
      </c>
      <c r="F44" s="18" t="s">
        <v>154</v>
      </c>
      <c r="G44" s="17" t="s">
        <v>154</v>
      </c>
      <c r="H44" s="18" t="s">
        <v>154</v>
      </c>
      <c r="I44" s="17" t="s">
        <v>154</v>
      </c>
      <c r="J44" s="18" t="s">
        <v>154</v>
      </c>
      <c r="K44" s="17" t="s">
        <v>154</v>
      </c>
      <c r="L44" s="18" t="s">
        <v>154</v>
      </c>
      <c r="M44" s="17" t="s">
        <v>154</v>
      </c>
      <c r="N44" s="18" t="s">
        <v>154</v>
      </c>
      <c r="O44" s="17" t="s">
        <v>154</v>
      </c>
      <c r="P44" s="18" t="s">
        <v>154</v>
      </c>
      <c r="Q44" s="17" t="s">
        <v>154</v>
      </c>
      <c r="R44" s="18" t="s">
        <v>154</v>
      </c>
    </row>
    <row r="45" spans="1:18" x14ac:dyDescent="0.25">
      <c r="A45" s="11" t="s">
        <v>178</v>
      </c>
      <c r="B45" s="17" t="s">
        <v>154</v>
      </c>
      <c r="C45" s="17" t="s">
        <v>154</v>
      </c>
      <c r="D45" s="18" t="s">
        <v>154</v>
      </c>
      <c r="E45" s="17" t="s">
        <v>154</v>
      </c>
      <c r="F45" s="18" t="s">
        <v>154</v>
      </c>
      <c r="G45" s="17" t="s">
        <v>154</v>
      </c>
      <c r="H45" s="18" t="s">
        <v>154</v>
      </c>
      <c r="I45" s="17" t="s">
        <v>154</v>
      </c>
      <c r="J45" s="18" t="s">
        <v>154</v>
      </c>
      <c r="K45" s="17" t="s">
        <v>154</v>
      </c>
      <c r="L45" s="18" t="s">
        <v>154</v>
      </c>
      <c r="M45" s="17" t="s">
        <v>154</v>
      </c>
      <c r="N45" s="18" t="s">
        <v>154</v>
      </c>
      <c r="O45" s="17" t="s">
        <v>154</v>
      </c>
      <c r="P45" s="18" t="s">
        <v>154</v>
      </c>
      <c r="Q45" s="17" t="s">
        <v>154</v>
      </c>
      <c r="R45" s="18" t="s">
        <v>154</v>
      </c>
    </row>
    <row r="46" spans="1:18" x14ac:dyDescent="0.25">
      <c r="A46" s="11" t="s">
        <v>179</v>
      </c>
      <c r="B46" s="13">
        <v>23141</v>
      </c>
      <c r="C46" s="14">
        <f>(20519/B46*100)</f>
        <v>88.669461129596812</v>
      </c>
      <c r="D46" s="15">
        <v>2622</v>
      </c>
      <c r="E46" s="14">
        <v>78.415774569999996</v>
      </c>
      <c r="F46" s="16">
        <v>1.0899139499999999</v>
      </c>
      <c r="G46" s="14">
        <v>21.58422543</v>
      </c>
      <c r="H46" s="16">
        <v>1.0899139499999999</v>
      </c>
      <c r="I46" s="14" t="s">
        <v>139</v>
      </c>
      <c r="J46" s="16" t="s">
        <v>139</v>
      </c>
      <c r="K46" s="14">
        <v>0</v>
      </c>
      <c r="L46" s="16">
        <v>0</v>
      </c>
      <c r="M46" s="14">
        <v>0</v>
      </c>
      <c r="N46" s="16">
        <v>0</v>
      </c>
      <c r="O46" s="14">
        <v>0</v>
      </c>
      <c r="P46" s="16">
        <v>0</v>
      </c>
      <c r="Q46" s="14">
        <v>0</v>
      </c>
      <c r="R46" s="16">
        <v>0</v>
      </c>
    </row>
    <row r="47" spans="1:18" x14ac:dyDescent="0.25">
      <c r="A47" s="11" t="s">
        <v>180</v>
      </c>
      <c r="B47" s="13">
        <v>5928</v>
      </c>
      <c r="C47" s="14">
        <f>(4996/B47*100)</f>
        <v>84.278002699055335</v>
      </c>
      <c r="D47" s="15">
        <v>932</v>
      </c>
      <c r="E47" s="14">
        <v>72.966807810000006</v>
      </c>
      <c r="F47" s="16">
        <v>1.3412534</v>
      </c>
      <c r="G47" s="14">
        <v>27.033192190000001</v>
      </c>
      <c r="H47" s="16">
        <v>1.3412534</v>
      </c>
      <c r="I47" s="14" t="s">
        <v>139</v>
      </c>
      <c r="J47" s="16" t="s">
        <v>139</v>
      </c>
      <c r="K47" s="14">
        <v>0</v>
      </c>
      <c r="L47" s="16">
        <v>0</v>
      </c>
      <c r="M47" s="14">
        <v>0</v>
      </c>
      <c r="N47" s="16">
        <v>0</v>
      </c>
      <c r="O47" s="14">
        <v>0</v>
      </c>
      <c r="P47" s="16">
        <v>0</v>
      </c>
      <c r="Q47" s="14">
        <v>0</v>
      </c>
      <c r="R47" s="16">
        <v>0</v>
      </c>
    </row>
    <row r="48" spans="1:18" x14ac:dyDescent="0.25">
      <c r="A48" s="11" t="s">
        <v>181</v>
      </c>
      <c r="B48" s="13">
        <v>9841</v>
      </c>
      <c r="C48" s="14">
        <f>(8165/B48*100)</f>
        <v>82.969210446092873</v>
      </c>
      <c r="D48" s="15">
        <v>1676</v>
      </c>
      <c r="E48" s="14">
        <v>82.825421919999997</v>
      </c>
      <c r="F48" s="16">
        <v>1.14535933</v>
      </c>
      <c r="G48" s="14">
        <v>17.17457808</v>
      </c>
      <c r="H48" s="16">
        <v>1.14535933</v>
      </c>
      <c r="I48" s="14" t="s">
        <v>139</v>
      </c>
      <c r="J48" s="16" t="s">
        <v>139</v>
      </c>
      <c r="K48" s="14">
        <v>0</v>
      </c>
      <c r="L48" s="16">
        <v>0</v>
      </c>
      <c r="M48" s="14">
        <v>0</v>
      </c>
      <c r="N48" s="16">
        <v>0</v>
      </c>
      <c r="O48" s="14">
        <v>0</v>
      </c>
      <c r="P48" s="16">
        <v>0</v>
      </c>
      <c r="Q48" s="14">
        <v>0</v>
      </c>
      <c r="R48" s="16">
        <v>0</v>
      </c>
    </row>
    <row r="49" spans="1:18" x14ac:dyDescent="0.25">
      <c r="A49" s="11" t="s">
        <v>182</v>
      </c>
      <c r="B49" s="17" t="s">
        <v>154</v>
      </c>
      <c r="C49" s="17" t="s">
        <v>154</v>
      </c>
      <c r="D49" s="18" t="s">
        <v>154</v>
      </c>
      <c r="E49" s="17" t="s">
        <v>154</v>
      </c>
      <c r="F49" s="18" t="s">
        <v>154</v>
      </c>
      <c r="G49" s="17" t="s">
        <v>154</v>
      </c>
      <c r="H49" s="18" t="s">
        <v>154</v>
      </c>
      <c r="I49" s="17" t="s">
        <v>154</v>
      </c>
      <c r="J49" s="18" t="s">
        <v>154</v>
      </c>
      <c r="K49" s="17" t="s">
        <v>154</v>
      </c>
      <c r="L49" s="18" t="s">
        <v>154</v>
      </c>
      <c r="M49" s="17" t="s">
        <v>154</v>
      </c>
      <c r="N49" s="18" t="s">
        <v>154</v>
      </c>
      <c r="O49" s="17" t="s">
        <v>154</v>
      </c>
      <c r="P49" s="18" t="s">
        <v>154</v>
      </c>
      <c r="Q49" s="17" t="s">
        <v>154</v>
      </c>
      <c r="R49" s="18" t="s">
        <v>154</v>
      </c>
    </row>
    <row r="50" spans="1:18" x14ac:dyDescent="0.25">
      <c r="A50" s="11" t="s">
        <v>183</v>
      </c>
      <c r="B50" s="13">
        <v>11795</v>
      </c>
      <c r="C50" s="14">
        <f>(9985/B50*100)</f>
        <v>84.654514624841042</v>
      </c>
      <c r="D50" s="15">
        <v>1810</v>
      </c>
      <c r="E50" s="14">
        <v>63.264005019999999</v>
      </c>
      <c r="F50" s="16">
        <v>1.5768458400000001</v>
      </c>
      <c r="G50" s="14">
        <v>36.735994980000001</v>
      </c>
      <c r="H50" s="16">
        <v>1.5768458400000001</v>
      </c>
      <c r="I50" s="14" t="s">
        <v>139</v>
      </c>
      <c r="J50" s="16" t="s">
        <v>139</v>
      </c>
      <c r="K50" s="14">
        <v>0</v>
      </c>
      <c r="L50" s="16">
        <v>0</v>
      </c>
      <c r="M50" s="14">
        <v>0</v>
      </c>
      <c r="N50" s="16">
        <v>0</v>
      </c>
      <c r="O50" s="14">
        <v>0</v>
      </c>
      <c r="P50" s="16">
        <v>0</v>
      </c>
      <c r="Q50" s="14">
        <v>0</v>
      </c>
      <c r="R50" s="16">
        <v>0</v>
      </c>
    </row>
    <row r="51" spans="1:18" x14ac:dyDescent="0.25">
      <c r="A51" s="11" t="s">
        <v>184</v>
      </c>
      <c r="B51" s="13">
        <v>6866</v>
      </c>
      <c r="C51" s="14">
        <f>(5942/B51*100)</f>
        <v>86.542382755607335</v>
      </c>
      <c r="D51" s="15">
        <v>924</v>
      </c>
      <c r="E51" s="14">
        <v>72.195375200000001</v>
      </c>
      <c r="F51" s="16">
        <v>1.4635995500000001</v>
      </c>
      <c r="G51" s="14">
        <v>27.804624799999999</v>
      </c>
      <c r="H51" s="16">
        <v>1.4635995500000001</v>
      </c>
      <c r="I51" s="14" t="s">
        <v>139</v>
      </c>
      <c r="J51" s="16" t="s">
        <v>139</v>
      </c>
      <c r="K51" s="14">
        <v>0</v>
      </c>
      <c r="L51" s="16">
        <v>0</v>
      </c>
      <c r="M51" s="14">
        <v>0</v>
      </c>
      <c r="N51" s="16">
        <v>0</v>
      </c>
      <c r="O51" s="14">
        <v>0</v>
      </c>
      <c r="P51" s="16">
        <v>0</v>
      </c>
      <c r="Q51" s="14">
        <v>0</v>
      </c>
      <c r="R51" s="16">
        <v>0</v>
      </c>
    </row>
    <row r="52" spans="1:18" x14ac:dyDescent="0.25">
      <c r="A52" s="11" t="s">
        <v>185</v>
      </c>
      <c r="B52" s="13">
        <v>5809</v>
      </c>
      <c r="C52" s="14">
        <f>(4824/B52*100)</f>
        <v>83.043553107247376</v>
      </c>
      <c r="D52" s="15">
        <v>985</v>
      </c>
      <c r="E52" s="14">
        <v>68.852627330000004</v>
      </c>
      <c r="F52" s="16">
        <v>1.4783576599999999</v>
      </c>
      <c r="G52" s="14">
        <v>31.147372669999999</v>
      </c>
      <c r="H52" s="16">
        <v>1.4783576599999999</v>
      </c>
      <c r="I52" s="14" t="s">
        <v>139</v>
      </c>
      <c r="J52" s="16" t="s">
        <v>139</v>
      </c>
      <c r="K52" s="14">
        <v>0</v>
      </c>
      <c r="L52" s="16">
        <v>0</v>
      </c>
      <c r="M52" s="14">
        <v>0</v>
      </c>
      <c r="N52" s="16">
        <v>0</v>
      </c>
      <c r="O52" s="14">
        <v>0</v>
      </c>
      <c r="P52" s="16">
        <v>0</v>
      </c>
      <c r="Q52" s="14">
        <v>0</v>
      </c>
      <c r="R52" s="16">
        <v>0</v>
      </c>
    </row>
    <row r="53" spans="1:18" x14ac:dyDescent="0.25">
      <c r="A53" s="11" t="s">
        <v>186</v>
      </c>
      <c r="B53" s="13">
        <v>5571</v>
      </c>
      <c r="C53" s="14">
        <f>(4639/B53*100)</f>
        <v>83.270507987793934</v>
      </c>
      <c r="D53" s="15">
        <v>932</v>
      </c>
      <c r="E53" s="14">
        <v>67.430862520000005</v>
      </c>
      <c r="F53" s="16">
        <v>1.51856696</v>
      </c>
      <c r="G53" s="14">
        <v>32.569137480000002</v>
      </c>
      <c r="H53" s="16">
        <v>1.51856696</v>
      </c>
      <c r="I53" s="14" t="s">
        <v>139</v>
      </c>
      <c r="J53" s="16" t="s">
        <v>139</v>
      </c>
      <c r="K53" s="14">
        <v>0</v>
      </c>
      <c r="L53" s="16">
        <v>0</v>
      </c>
      <c r="M53" s="14">
        <v>0</v>
      </c>
      <c r="N53" s="16">
        <v>0</v>
      </c>
      <c r="O53" s="14">
        <v>0</v>
      </c>
      <c r="P53" s="16">
        <v>0</v>
      </c>
      <c r="Q53" s="14">
        <v>0</v>
      </c>
      <c r="R53" s="16">
        <v>0</v>
      </c>
    </row>
    <row r="54" spans="1:18" x14ac:dyDescent="0.25">
      <c r="A54" s="11" t="s">
        <v>187</v>
      </c>
      <c r="B54" s="17" t="s">
        <v>154</v>
      </c>
      <c r="C54" s="17" t="s">
        <v>154</v>
      </c>
      <c r="D54" s="18" t="s">
        <v>154</v>
      </c>
      <c r="E54" s="17" t="s">
        <v>154</v>
      </c>
      <c r="F54" s="18" t="s">
        <v>154</v>
      </c>
      <c r="G54" s="17" t="s">
        <v>154</v>
      </c>
      <c r="H54" s="18" t="s">
        <v>154</v>
      </c>
      <c r="I54" s="17" t="s">
        <v>154</v>
      </c>
      <c r="J54" s="18" t="s">
        <v>154</v>
      </c>
      <c r="K54" s="17" t="s">
        <v>154</v>
      </c>
      <c r="L54" s="18" t="s">
        <v>154</v>
      </c>
      <c r="M54" s="17" t="s">
        <v>154</v>
      </c>
      <c r="N54" s="18" t="s">
        <v>154</v>
      </c>
      <c r="O54" s="17" t="s">
        <v>154</v>
      </c>
      <c r="P54" s="18" t="s">
        <v>154</v>
      </c>
      <c r="Q54" s="17" t="s">
        <v>154</v>
      </c>
      <c r="R54" s="18" t="s">
        <v>154</v>
      </c>
    </row>
    <row r="55" spans="1:18" x14ac:dyDescent="0.25">
      <c r="A55" s="11" t="s">
        <v>188</v>
      </c>
      <c r="B55" s="17" t="s">
        <v>154</v>
      </c>
      <c r="C55" s="17" t="s">
        <v>154</v>
      </c>
      <c r="D55" s="18" t="s">
        <v>154</v>
      </c>
      <c r="E55" s="17" t="s">
        <v>154</v>
      </c>
      <c r="F55" s="18" t="s">
        <v>154</v>
      </c>
      <c r="G55" s="17" t="s">
        <v>154</v>
      </c>
      <c r="H55" s="18" t="s">
        <v>154</v>
      </c>
      <c r="I55" s="17" t="s">
        <v>154</v>
      </c>
      <c r="J55" s="18" t="s">
        <v>154</v>
      </c>
      <c r="K55" s="17" t="s">
        <v>154</v>
      </c>
      <c r="L55" s="18" t="s">
        <v>154</v>
      </c>
      <c r="M55" s="17" t="s">
        <v>154</v>
      </c>
      <c r="N55" s="18" t="s">
        <v>154</v>
      </c>
      <c r="O55" s="17" t="s">
        <v>154</v>
      </c>
      <c r="P55" s="18" t="s">
        <v>154</v>
      </c>
      <c r="Q55" s="17" t="s">
        <v>154</v>
      </c>
      <c r="R55" s="18" t="s">
        <v>154</v>
      </c>
    </row>
    <row r="56" spans="1:18" x14ac:dyDescent="0.25">
      <c r="A56" s="11" t="s">
        <v>189</v>
      </c>
      <c r="B56" s="13">
        <v>5359</v>
      </c>
      <c r="C56" s="14">
        <f>(4451/B56*100)</f>
        <v>83.056540399328242</v>
      </c>
      <c r="D56" s="15">
        <v>908</v>
      </c>
      <c r="E56" s="14">
        <v>72.694866500000003</v>
      </c>
      <c r="F56" s="16">
        <v>1.6669465699999999</v>
      </c>
      <c r="G56" s="14">
        <v>27.3051335</v>
      </c>
      <c r="H56" s="16">
        <v>1.6669465699999999</v>
      </c>
      <c r="I56" s="14" t="s">
        <v>139</v>
      </c>
      <c r="J56" s="16" t="s">
        <v>139</v>
      </c>
      <c r="K56" s="14">
        <v>0</v>
      </c>
      <c r="L56" s="16">
        <v>0</v>
      </c>
      <c r="M56" s="14">
        <v>0</v>
      </c>
      <c r="N56" s="16">
        <v>0</v>
      </c>
      <c r="O56" s="14">
        <v>0</v>
      </c>
      <c r="P56" s="16">
        <v>0</v>
      </c>
      <c r="Q56" s="14">
        <v>0</v>
      </c>
      <c r="R56" s="16">
        <v>0</v>
      </c>
    </row>
    <row r="57" spans="1:18" x14ac:dyDescent="0.25">
      <c r="A57" s="11" t="s">
        <v>190</v>
      </c>
      <c r="B57" s="17" t="s">
        <v>154</v>
      </c>
      <c r="C57" s="17" t="s">
        <v>154</v>
      </c>
      <c r="D57" s="18" t="s">
        <v>154</v>
      </c>
      <c r="E57" s="17" t="s">
        <v>154</v>
      </c>
      <c r="F57" s="18" t="s">
        <v>154</v>
      </c>
      <c r="G57" s="17" t="s">
        <v>154</v>
      </c>
      <c r="H57" s="18" t="s">
        <v>154</v>
      </c>
      <c r="I57" s="17" t="s">
        <v>154</v>
      </c>
      <c r="J57" s="18" t="s">
        <v>154</v>
      </c>
      <c r="K57" s="17" t="s">
        <v>154</v>
      </c>
      <c r="L57" s="18" t="s">
        <v>154</v>
      </c>
      <c r="M57" s="17" t="s">
        <v>154</v>
      </c>
      <c r="N57" s="18" t="s">
        <v>154</v>
      </c>
      <c r="O57" s="17" t="s">
        <v>154</v>
      </c>
      <c r="P57" s="18" t="s">
        <v>154</v>
      </c>
      <c r="Q57" s="17" t="s">
        <v>154</v>
      </c>
      <c r="R57" s="18" t="s">
        <v>154</v>
      </c>
    </row>
    <row r="58" spans="1:18" x14ac:dyDescent="0.25">
      <c r="A58" s="11" t="s">
        <v>191</v>
      </c>
      <c r="B58" s="17" t="s">
        <v>154</v>
      </c>
      <c r="C58" s="17" t="s">
        <v>154</v>
      </c>
      <c r="D58" s="18" t="s">
        <v>154</v>
      </c>
      <c r="E58" s="17" t="s">
        <v>154</v>
      </c>
      <c r="F58" s="18" t="s">
        <v>154</v>
      </c>
      <c r="G58" s="17" t="s">
        <v>154</v>
      </c>
      <c r="H58" s="18" t="s">
        <v>154</v>
      </c>
      <c r="I58" s="17" t="s">
        <v>154</v>
      </c>
      <c r="J58" s="18" t="s">
        <v>154</v>
      </c>
      <c r="K58" s="17" t="s">
        <v>154</v>
      </c>
      <c r="L58" s="18" t="s">
        <v>154</v>
      </c>
      <c r="M58" s="17" t="s">
        <v>154</v>
      </c>
      <c r="N58" s="18" t="s">
        <v>154</v>
      </c>
      <c r="O58" s="17" t="s">
        <v>154</v>
      </c>
      <c r="P58" s="18" t="s">
        <v>154</v>
      </c>
      <c r="Q58" s="17" t="s">
        <v>154</v>
      </c>
      <c r="R58" s="18" t="s">
        <v>154</v>
      </c>
    </row>
    <row r="59" spans="1:18" x14ac:dyDescent="0.25">
      <c r="A59" s="11" t="s">
        <v>192</v>
      </c>
      <c r="B59" s="17" t="s">
        <v>154</v>
      </c>
      <c r="C59" s="17" t="s">
        <v>154</v>
      </c>
      <c r="D59" s="18" t="s">
        <v>154</v>
      </c>
      <c r="E59" s="17" t="s">
        <v>154</v>
      </c>
      <c r="F59" s="18" t="s">
        <v>154</v>
      </c>
      <c r="G59" s="17" t="s">
        <v>154</v>
      </c>
      <c r="H59" s="18" t="s">
        <v>154</v>
      </c>
      <c r="I59" s="17" t="s">
        <v>154</v>
      </c>
      <c r="J59" s="18" t="s">
        <v>154</v>
      </c>
      <c r="K59" s="17" t="s">
        <v>154</v>
      </c>
      <c r="L59" s="18" t="s">
        <v>154</v>
      </c>
      <c r="M59" s="17" t="s">
        <v>154</v>
      </c>
      <c r="N59" s="18" t="s">
        <v>154</v>
      </c>
      <c r="O59" s="17" t="s">
        <v>154</v>
      </c>
      <c r="P59" s="18" t="s">
        <v>154</v>
      </c>
      <c r="Q59" s="17" t="s">
        <v>154</v>
      </c>
      <c r="R59" s="18" t="s">
        <v>154</v>
      </c>
    </row>
    <row r="60" spans="1:18" x14ac:dyDescent="0.25">
      <c r="A60" s="11" t="s">
        <v>193</v>
      </c>
      <c r="B60" s="17" t="s">
        <v>154</v>
      </c>
      <c r="C60" s="17" t="s">
        <v>154</v>
      </c>
      <c r="D60" s="18" t="s">
        <v>154</v>
      </c>
      <c r="E60" s="17" t="s">
        <v>154</v>
      </c>
      <c r="F60" s="18" t="s">
        <v>154</v>
      </c>
      <c r="G60" s="17" t="s">
        <v>154</v>
      </c>
      <c r="H60" s="18" t="s">
        <v>154</v>
      </c>
      <c r="I60" s="17" t="s">
        <v>154</v>
      </c>
      <c r="J60" s="18" t="s">
        <v>154</v>
      </c>
      <c r="K60" s="17" t="s">
        <v>154</v>
      </c>
      <c r="L60" s="18" t="s">
        <v>154</v>
      </c>
      <c r="M60" s="17" t="s">
        <v>154</v>
      </c>
      <c r="N60" s="18" t="s">
        <v>154</v>
      </c>
      <c r="O60" s="17" t="s">
        <v>154</v>
      </c>
      <c r="P60" s="18" t="s">
        <v>154</v>
      </c>
      <c r="Q60" s="17" t="s">
        <v>154</v>
      </c>
      <c r="R60" s="18" t="s">
        <v>154</v>
      </c>
    </row>
    <row r="61" spans="1:18" x14ac:dyDescent="0.25">
      <c r="A61" s="11" t="s">
        <v>194</v>
      </c>
      <c r="B61" s="13">
        <v>6525</v>
      </c>
      <c r="C61" s="14">
        <f>(5436/B61*100)</f>
        <v>83.310344827586206</v>
      </c>
      <c r="D61" s="15">
        <v>1089</v>
      </c>
      <c r="E61" s="14">
        <v>67.038890719999998</v>
      </c>
      <c r="F61" s="16">
        <v>1.54797217</v>
      </c>
      <c r="G61" s="14">
        <v>32.961109280000002</v>
      </c>
      <c r="H61" s="16">
        <v>1.54797217</v>
      </c>
      <c r="I61" s="14" t="s">
        <v>139</v>
      </c>
      <c r="J61" s="16" t="s">
        <v>139</v>
      </c>
      <c r="K61" s="14">
        <v>0</v>
      </c>
      <c r="L61" s="16">
        <v>0</v>
      </c>
      <c r="M61" s="14">
        <v>0</v>
      </c>
      <c r="N61" s="16">
        <v>0</v>
      </c>
      <c r="O61" s="14">
        <v>0</v>
      </c>
      <c r="P61" s="16">
        <v>0</v>
      </c>
      <c r="Q61" s="14">
        <v>0</v>
      </c>
      <c r="R61" s="16">
        <v>0</v>
      </c>
    </row>
    <row r="62" spans="1:18" x14ac:dyDescent="0.25">
      <c r="A62" s="11" t="s">
        <v>195</v>
      </c>
      <c r="B62" s="13">
        <v>4476</v>
      </c>
      <c r="C62" s="14">
        <f>(3709/B62*100)</f>
        <v>82.864164432529037</v>
      </c>
      <c r="D62" s="15">
        <v>767</v>
      </c>
      <c r="E62" s="14">
        <v>69.367592920000007</v>
      </c>
      <c r="F62" s="16">
        <v>1.4951449999999999</v>
      </c>
      <c r="G62" s="14">
        <v>30.63240708</v>
      </c>
      <c r="H62" s="16">
        <v>1.4951449999999999</v>
      </c>
      <c r="I62" s="14" t="s">
        <v>139</v>
      </c>
      <c r="J62" s="16" t="s">
        <v>139</v>
      </c>
      <c r="K62" s="14">
        <v>0</v>
      </c>
      <c r="L62" s="16">
        <v>0</v>
      </c>
      <c r="M62" s="14">
        <v>0</v>
      </c>
      <c r="N62" s="16">
        <v>0</v>
      </c>
      <c r="O62" s="14">
        <v>0</v>
      </c>
      <c r="P62" s="16">
        <v>0</v>
      </c>
      <c r="Q62" s="14">
        <v>0</v>
      </c>
      <c r="R62" s="16">
        <v>0</v>
      </c>
    </row>
    <row r="63" spans="1:18" x14ac:dyDescent="0.25">
      <c r="A63" s="11" t="s">
        <v>196</v>
      </c>
      <c r="B63" s="17" t="s">
        <v>154</v>
      </c>
      <c r="C63" s="17" t="s">
        <v>154</v>
      </c>
      <c r="D63" s="18" t="s">
        <v>154</v>
      </c>
      <c r="E63" s="17" t="s">
        <v>154</v>
      </c>
      <c r="F63" s="18" t="s">
        <v>154</v>
      </c>
      <c r="G63" s="17" t="s">
        <v>154</v>
      </c>
      <c r="H63" s="18" t="s">
        <v>154</v>
      </c>
      <c r="I63" s="17" t="s">
        <v>154</v>
      </c>
      <c r="J63" s="18" t="s">
        <v>154</v>
      </c>
      <c r="K63" s="17" t="s">
        <v>154</v>
      </c>
      <c r="L63" s="18" t="s">
        <v>154</v>
      </c>
      <c r="M63" s="17" t="s">
        <v>154</v>
      </c>
      <c r="N63" s="18" t="s">
        <v>154</v>
      </c>
      <c r="O63" s="17" t="s">
        <v>154</v>
      </c>
      <c r="P63" s="18" t="s">
        <v>154</v>
      </c>
      <c r="Q63" s="17" t="s">
        <v>154</v>
      </c>
      <c r="R63" s="18" t="s">
        <v>154</v>
      </c>
    </row>
    <row r="64" spans="1:18" x14ac:dyDescent="0.25">
      <c r="A64" s="11" t="s">
        <v>197</v>
      </c>
      <c r="B64" s="17" t="s">
        <v>154</v>
      </c>
      <c r="C64" s="17" t="s">
        <v>154</v>
      </c>
      <c r="D64" s="18" t="s">
        <v>154</v>
      </c>
      <c r="E64" s="17" t="s">
        <v>154</v>
      </c>
      <c r="F64" s="18" t="s">
        <v>154</v>
      </c>
      <c r="G64" s="17" t="s">
        <v>154</v>
      </c>
      <c r="H64" s="18" t="s">
        <v>154</v>
      </c>
      <c r="I64" s="17" t="s">
        <v>154</v>
      </c>
      <c r="J64" s="18" t="s">
        <v>154</v>
      </c>
      <c r="K64" s="17" t="s">
        <v>154</v>
      </c>
      <c r="L64" s="18" t="s">
        <v>154</v>
      </c>
      <c r="M64" s="17" t="s">
        <v>154</v>
      </c>
      <c r="N64" s="18" t="s">
        <v>154</v>
      </c>
      <c r="O64" s="17" t="s">
        <v>154</v>
      </c>
      <c r="P64" s="18" t="s">
        <v>154</v>
      </c>
      <c r="Q64" s="17" t="s">
        <v>154</v>
      </c>
      <c r="R64" s="18" t="s">
        <v>154</v>
      </c>
    </row>
    <row r="65" spans="1:18" x14ac:dyDescent="0.25">
      <c r="A65" s="11" t="s">
        <v>198</v>
      </c>
      <c r="B65" s="17" t="s">
        <v>154</v>
      </c>
      <c r="C65" s="17" t="s">
        <v>154</v>
      </c>
      <c r="D65" s="18" t="s">
        <v>154</v>
      </c>
      <c r="E65" s="17" t="s">
        <v>154</v>
      </c>
      <c r="F65" s="18" t="s">
        <v>154</v>
      </c>
      <c r="G65" s="17" t="s">
        <v>154</v>
      </c>
      <c r="H65" s="18" t="s">
        <v>154</v>
      </c>
      <c r="I65" s="17" t="s">
        <v>154</v>
      </c>
      <c r="J65" s="18" t="s">
        <v>154</v>
      </c>
      <c r="K65" s="17" t="s">
        <v>154</v>
      </c>
      <c r="L65" s="18" t="s">
        <v>154</v>
      </c>
      <c r="M65" s="17" t="s">
        <v>154</v>
      </c>
      <c r="N65" s="18" t="s">
        <v>154</v>
      </c>
      <c r="O65" s="17" t="s">
        <v>154</v>
      </c>
      <c r="P65" s="18" t="s">
        <v>154</v>
      </c>
      <c r="Q65" s="17" t="s">
        <v>154</v>
      </c>
      <c r="R65" s="18" t="s">
        <v>154</v>
      </c>
    </row>
    <row r="66" spans="1:18" x14ac:dyDescent="0.25">
      <c r="A66" s="11" t="s">
        <v>199</v>
      </c>
      <c r="B66" s="13">
        <v>5665</v>
      </c>
      <c r="C66" s="14">
        <f>(4753/B66*100)</f>
        <v>83.901147396293027</v>
      </c>
      <c r="D66" s="15">
        <v>912</v>
      </c>
      <c r="E66" s="14">
        <v>69.667131530000006</v>
      </c>
      <c r="F66" s="16">
        <v>1.3603267000000001</v>
      </c>
      <c r="G66" s="14">
        <v>30.332868470000001</v>
      </c>
      <c r="H66" s="16">
        <v>1.3603267000000001</v>
      </c>
      <c r="I66" s="14" t="s">
        <v>139</v>
      </c>
      <c r="J66" s="16" t="s">
        <v>139</v>
      </c>
      <c r="K66" s="14">
        <v>0</v>
      </c>
      <c r="L66" s="16">
        <v>0</v>
      </c>
      <c r="M66" s="14">
        <v>0</v>
      </c>
      <c r="N66" s="16">
        <v>0</v>
      </c>
      <c r="O66" s="14">
        <v>0</v>
      </c>
      <c r="P66" s="16">
        <v>0</v>
      </c>
      <c r="Q66" s="14">
        <v>0</v>
      </c>
      <c r="R66" s="16">
        <v>0</v>
      </c>
    </row>
    <row r="67" spans="1:18" x14ac:dyDescent="0.25">
      <c r="A67" s="11" t="s">
        <v>200</v>
      </c>
      <c r="B67" s="13">
        <v>6971</v>
      </c>
      <c r="C67" s="14">
        <f>(6054/B67*100)</f>
        <v>86.845502797303112</v>
      </c>
      <c r="D67" s="15">
        <v>917</v>
      </c>
      <c r="E67" s="14">
        <v>63.352361760000001</v>
      </c>
      <c r="F67" s="16">
        <v>1.73656809</v>
      </c>
      <c r="G67" s="14">
        <v>36.647638239999999</v>
      </c>
      <c r="H67" s="16">
        <v>1.73656809</v>
      </c>
      <c r="I67" s="14" t="s">
        <v>139</v>
      </c>
      <c r="J67" s="16" t="s">
        <v>139</v>
      </c>
      <c r="K67" s="14">
        <v>0</v>
      </c>
      <c r="L67" s="16">
        <v>0</v>
      </c>
      <c r="M67" s="14">
        <v>0</v>
      </c>
      <c r="N67" s="16">
        <v>0</v>
      </c>
      <c r="O67" s="14">
        <v>0</v>
      </c>
      <c r="P67" s="16">
        <v>0</v>
      </c>
      <c r="Q67" s="14">
        <v>0</v>
      </c>
      <c r="R67" s="16">
        <v>0</v>
      </c>
    </row>
    <row r="68" spans="1:18" x14ac:dyDescent="0.25">
      <c r="A68" s="11" t="s">
        <v>201</v>
      </c>
      <c r="B68" s="17" t="s">
        <v>154</v>
      </c>
      <c r="C68" s="17" t="s">
        <v>154</v>
      </c>
      <c r="D68" s="18" t="s">
        <v>154</v>
      </c>
      <c r="E68" s="17" t="s">
        <v>154</v>
      </c>
      <c r="F68" s="18" t="s">
        <v>154</v>
      </c>
      <c r="G68" s="17" t="s">
        <v>154</v>
      </c>
      <c r="H68" s="18" t="s">
        <v>154</v>
      </c>
      <c r="I68" s="17" t="s">
        <v>154</v>
      </c>
      <c r="J68" s="18" t="s">
        <v>154</v>
      </c>
      <c r="K68" s="17" t="s">
        <v>154</v>
      </c>
      <c r="L68" s="18" t="s">
        <v>154</v>
      </c>
      <c r="M68" s="17" t="s">
        <v>154</v>
      </c>
      <c r="N68" s="18" t="s">
        <v>154</v>
      </c>
      <c r="O68" s="17" t="s">
        <v>154</v>
      </c>
      <c r="P68" s="18" t="s">
        <v>154</v>
      </c>
      <c r="Q68" s="17" t="s">
        <v>154</v>
      </c>
      <c r="R68" s="18" t="s">
        <v>154</v>
      </c>
    </row>
    <row r="69" spans="1:18" x14ac:dyDescent="0.25">
      <c r="A69" s="11" t="s">
        <v>202</v>
      </c>
      <c r="B69" s="17" t="s">
        <v>154</v>
      </c>
      <c r="C69" s="17" t="s">
        <v>154</v>
      </c>
      <c r="D69" s="18" t="s">
        <v>154</v>
      </c>
      <c r="E69" s="17" t="s">
        <v>154</v>
      </c>
      <c r="F69" s="18" t="s">
        <v>154</v>
      </c>
      <c r="G69" s="17" t="s">
        <v>154</v>
      </c>
      <c r="H69" s="18" t="s">
        <v>154</v>
      </c>
      <c r="I69" s="17" t="s">
        <v>154</v>
      </c>
      <c r="J69" s="18" t="s">
        <v>154</v>
      </c>
      <c r="K69" s="17" t="s">
        <v>154</v>
      </c>
      <c r="L69" s="18" t="s">
        <v>154</v>
      </c>
      <c r="M69" s="17" t="s">
        <v>154</v>
      </c>
      <c r="N69" s="18" t="s">
        <v>154</v>
      </c>
      <c r="O69" s="17" t="s">
        <v>154</v>
      </c>
      <c r="P69" s="18" t="s">
        <v>154</v>
      </c>
      <c r="Q69" s="17" t="s">
        <v>154</v>
      </c>
      <c r="R69" s="18" t="s">
        <v>154</v>
      </c>
    </row>
    <row r="70" spans="1:18" x14ac:dyDescent="0.25">
      <c r="A70" s="11" t="s">
        <v>203</v>
      </c>
      <c r="B70" s="13">
        <v>6036</v>
      </c>
      <c r="C70" s="14">
        <f>(5065/B70*100)</f>
        <v>83.913187541418154</v>
      </c>
      <c r="D70" s="15">
        <v>971</v>
      </c>
      <c r="E70" s="14">
        <v>55.012816800000003</v>
      </c>
      <c r="F70" s="16">
        <v>1.3086990599999999</v>
      </c>
      <c r="G70" s="14">
        <v>44.987183199999997</v>
      </c>
      <c r="H70" s="16">
        <v>1.3086990599999999</v>
      </c>
      <c r="I70" s="14" t="s">
        <v>139</v>
      </c>
      <c r="J70" s="16" t="s">
        <v>139</v>
      </c>
      <c r="K70" s="14">
        <v>0</v>
      </c>
      <c r="L70" s="16">
        <v>0</v>
      </c>
      <c r="M70" s="14">
        <v>0</v>
      </c>
      <c r="N70" s="16">
        <v>0</v>
      </c>
      <c r="O70" s="14">
        <v>0</v>
      </c>
      <c r="P70" s="16">
        <v>0</v>
      </c>
      <c r="Q70" s="14">
        <v>0</v>
      </c>
      <c r="R70" s="16">
        <v>0</v>
      </c>
    </row>
    <row r="71" spans="1:18" x14ac:dyDescent="0.25">
      <c r="A71" s="11" t="s">
        <v>204</v>
      </c>
      <c r="B71" s="17" t="s">
        <v>154</v>
      </c>
      <c r="C71" s="17" t="s">
        <v>154</v>
      </c>
      <c r="D71" s="18" t="s">
        <v>154</v>
      </c>
      <c r="E71" s="17" t="s">
        <v>154</v>
      </c>
      <c r="F71" s="18" t="s">
        <v>154</v>
      </c>
      <c r="G71" s="17" t="s">
        <v>154</v>
      </c>
      <c r="H71" s="18" t="s">
        <v>154</v>
      </c>
      <c r="I71" s="17" t="s">
        <v>154</v>
      </c>
      <c r="J71" s="18" t="s">
        <v>154</v>
      </c>
      <c r="K71" s="17" t="s">
        <v>154</v>
      </c>
      <c r="L71" s="18" t="s">
        <v>154</v>
      </c>
      <c r="M71" s="17" t="s">
        <v>154</v>
      </c>
      <c r="N71" s="18" t="s">
        <v>154</v>
      </c>
      <c r="O71" s="17" t="s">
        <v>154</v>
      </c>
      <c r="P71" s="18" t="s">
        <v>154</v>
      </c>
      <c r="Q71" s="17" t="s">
        <v>154</v>
      </c>
      <c r="R71" s="18" t="s">
        <v>154</v>
      </c>
    </row>
    <row r="72" spans="1:18" x14ac:dyDescent="0.25">
      <c r="A72" s="11" t="s">
        <v>205</v>
      </c>
      <c r="B72" s="13">
        <v>7708</v>
      </c>
      <c r="C72" s="14">
        <f>(6396/B72*100)</f>
        <v>82.978723404255319</v>
      </c>
      <c r="D72" s="15">
        <v>1312</v>
      </c>
      <c r="E72" s="14">
        <v>48.536255189999999</v>
      </c>
      <c r="F72" s="16">
        <v>1.53145953</v>
      </c>
      <c r="G72" s="14">
        <v>51.463744810000001</v>
      </c>
      <c r="H72" s="16">
        <v>1.53145953</v>
      </c>
      <c r="I72" s="14" t="s">
        <v>139</v>
      </c>
      <c r="J72" s="16" t="s">
        <v>139</v>
      </c>
      <c r="K72" s="14">
        <v>0</v>
      </c>
      <c r="L72" s="16">
        <v>0</v>
      </c>
      <c r="M72" s="14">
        <v>0</v>
      </c>
      <c r="N72" s="16">
        <v>0</v>
      </c>
      <c r="O72" s="14">
        <v>0</v>
      </c>
      <c r="P72" s="16">
        <v>0</v>
      </c>
      <c r="Q72" s="14">
        <v>0</v>
      </c>
      <c r="R72" s="16">
        <v>0</v>
      </c>
    </row>
    <row r="73" spans="1:18" x14ac:dyDescent="0.25">
      <c r="A73" s="11" t="s">
        <v>206</v>
      </c>
      <c r="B73" s="13">
        <v>8249</v>
      </c>
      <c r="C73" s="14">
        <f>(7001/B73*100)</f>
        <v>84.870893441629292</v>
      </c>
      <c r="D73" s="15">
        <v>1248</v>
      </c>
      <c r="E73" s="14">
        <v>70.753579610000003</v>
      </c>
      <c r="F73" s="16">
        <v>1.4520033299999999</v>
      </c>
      <c r="G73" s="14">
        <v>29.246420390000001</v>
      </c>
      <c r="H73" s="16">
        <v>1.4520033299999999</v>
      </c>
      <c r="I73" s="14" t="s">
        <v>139</v>
      </c>
      <c r="J73" s="16" t="s">
        <v>139</v>
      </c>
      <c r="K73" s="14">
        <v>0</v>
      </c>
      <c r="L73" s="16">
        <v>0</v>
      </c>
      <c r="M73" s="14">
        <v>0</v>
      </c>
      <c r="N73" s="16">
        <v>0</v>
      </c>
      <c r="O73" s="14">
        <v>0</v>
      </c>
      <c r="P73" s="16">
        <v>0</v>
      </c>
      <c r="Q73" s="14">
        <v>0</v>
      </c>
      <c r="R73" s="16">
        <v>0</v>
      </c>
    </row>
    <row r="74" spans="1:18" x14ac:dyDescent="0.25">
      <c r="A74" s="11" t="s">
        <v>207</v>
      </c>
      <c r="B74" s="17" t="s">
        <v>154</v>
      </c>
      <c r="C74" s="17" t="s">
        <v>154</v>
      </c>
      <c r="D74" s="18" t="s">
        <v>154</v>
      </c>
      <c r="E74" s="17" t="s">
        <v>154</v>
      </c>
      <c r="F74" s="18" t="s">
        <v>154</v>
      </c>
      <c r="G74" s="17" t="s">
        <v>154</v>
      </c>
      <c r="H74" s="18" t="s">
        <v>154</v>
      </c>
      <c r="I74" s="17" t="s">
        <v>154</v>
      </c>
      <c r="J74" s="18" t="s">
        <v>154</v>
      </c>
      <c r="K74" s="17" t="s">
        <v>154</v>
      </c>
      <c r="L74" s="18" t="s">
        <v>154</v>
      </c>
      <c r="M74" s="17" t="s">
        <v>154</v>
      </c>
      <c r="N74" s="18" t="s">
        <v>154</v>
      </c>
      <c r="O74" s="17" t="s">
        <v>154</v>
      </c>
      <c r="P74" s="18" t="s">
        <v>154</v>
      </c>
      <c r="Q74" s="17" t="s">
        <v>154</v>
      </c>
      <c r="R74" s="18" t="s">
        <v>154</v>
      </c>
    </row>
    <row r="75" spans="1:18" x14ac:dyDescent="0.25">
      <c r="A75" s="11" t="s">
        <v>208</v>
      </c>
      <c r="B75" s="13">
        <v>5375</v>
      </c>
      <c r="C75" s="14">
        <f>(4571/B75*100)</f>
        <v>85.041860465116287</v>
      </c>
      <c r="D75" s="15">
        <v>804</v>
      </c>
      <c r="E75" s="14">
        <v>69.927938990000001</v>
      </c>
      <c r="F75" s="16">
        <v>1.8576562999999999</v>
      </c>
      <c r="G75" s="14">
        <v>30.072061009999999</v>
      </c>
      <c r="H75" s="16">
        <v>1.8576562999999999</v>
      </c>
      <c r="I75" s="14" t="s">
        <v>139</v>
      </c>
      <c r="J75" s="16" t="s">
        <v>139</v>
      </c>
      <c r="K75" s="14">
        <v>0</v>
      </c>
      <c r="L75" s="16">
        <v>0</v>
      </c>
      <c r="M75" s="14">
        <v>0</v>
      </c>
      <c r="N75" s="16">
        <v>0</v>
      </c>
      <c r="O75" s="14">
        <v>0</v>
      </c>
      <c r="P75" s="16">
        <v>0</v>
      </c>
      <c r="Q75" s="14">
        <v>0</v>
      </c>
      <c r="R75" s="16">
        <v>0</v>
      </c>
    </row>
    <row r="76" spans="1:18" x14ac:dyDescent="0.25">
      <c r="A76" s="11" t="s">
        <v>209</v>
      </c>
      <c r="B76" s="13">
        <v>14167</v>
      </c>
      <c r="C76" s="14">
        <f>(11809/B76*100)</f>
        <v>83.355685748570622</v>
      </c>
      <c r="D76" s="15">
        <v>2358</v>
      </c>
      <c r="E76" s="14">
        <v>69.035681400000001</v>
      </c>
      <c r="F76" s="16">
        <v>1.01914642</v>
      </c>
      <c r="G76" s="14">
        <v>30.964318599999999</v>
      </c>
      <c r="H76" s="16">
        <v>1.01914642</v>
      </c>
      <c r="I76" s="14" t="s">
        <v>139</v>
      </c>
      <c r="J76" s="16" t="s">
        <v>139</v>
      </c>
      <c r="K76" s="14">
        <v>0</v>
      </c>
      <c r="L76" s="16">
        <v>0</v>
      </c>
      <c r="M76" s="14">
        <v>0</v>
      </c>
      <c r="N76" s="16">
        <v>0</v>
      </c>
      <c r="O76" s="14">
        <v>0</v>
      </c>
      <c r="P76" s="16">
        <v>0</v>
      </c>
      <c r="Q76" s="14">
        <v>0</v>
      </c>
      <c r="R76" s="16">
        <v>0</v>
      </c>
    </row>
    <row r="77" spans="1:18" x14ac:dyDescent="0.25">
      <c r="A77" s="11" t="s">
        <v>210</v>
      </c>
      <c r="B77" s="13">
        <v>6062</v>
      </c>
      <c r="C77" s="14">
        <f>(5111/B77*100)</f>
        <v>84.312108215110527</v>
      </c>
      <c r="D77" s="15">
        <v>951</v>
      </c>
      <c r="E77" s="14">
        <v>69.320013320000001</v>
      </c>
      <c r="F77" s="16">
        <v>1.5309670200000001</v>
      </c>
      <c r="G77" s="14">
        <v>30.679986679999999</v>
      </c>
      <c r="H77" s="16">
        <v>1.5309670200000001</v>
      </c>
      <c r="I77" s="14" t="s">
        <v>139</v>
      </c>
      <c r="J77" s="16" t="s">
        <v>139</v>
      </c>
      <c r="K77" s="14">
        <v>0</v>
      </c>
      <c r="L77" s="16">
        <v>0</v>
      </c>
      <c r="M77" s="14">
        <v>0</v>
      </c>
      <c r="N77" s="16">
        <v>0</v>
      </c>
      <c r="O77" s="14">
        <v>0</v>
      </c>
      <c r="P77" s="16">
        <v>0</v>
      </c>
      <c r="Q77" s="14">
        <v>0</v>
      </c>
      <c r="R77" s="16">
        <v>0</v>
      </c>
    </row>
    <row r="78" spans="1:18" x14ac:dyDescent="0.25">
      <c r="A78" s="11" t="s">
        <v>211</v>
      </c>
      <c r="B78" s="17" t="s">
        <v>154</v>
      </c>
      <c r="C78" s="17" t="s">
        <v>154</v>
      </c>
      <c r="D78" s="18" t="s">
        <v>154</v>
      </c>
      <c r="E78" s="17" t="s">
        <v>154</v>
      </c>
      <c r="F78" s="18" t="s">
        <v>154</v>
      </c>
      <c r="G78" s="17" t="s">
        <v>154</v>
      </c>
      <c r="H78" s="18" t="s">
        <v>154</v>
      </c>
      <c r="I78" s="17" t="s">
        <v>154</v>
      </c>
      <c r="J78" s="18" t="s">
        <v>154</v>
      </c>
      <c r="K78" s="17" t="s">
        <v>154</v>
      </c>
      <c r="L78" s="18" t="s">
        <v>154</v>
      </c>
      <c r="M78" s="17" t="s">
        <v>154</v>
      </c>
      <c r="N78" s="18" t="s">
        <v>154</v>
      </c>
      <c r="O78" s="17" t="s">
        <v>154</v>
      </c>
      <c r="P78" s="18" t="s">
        <v>154</v>
      </c>
      <c r="Q78" s="17" t="s">
        <v>154</v>
      </c>
      <c r="R78" s="18" t="s">
        <v>154</v>
      </c>
    </row>
    <row r="79" spans="1:18" ht="24.95" customHeight="1" x14ac:dyDescent="0.25">
      <c r="A79" s="11" t="s">
        <v>212</v>
      </c>
      <c r="B79" s="17" t="s">
        <v>154</v>
      </c>
      <c r="C79" s="17" t="s">
        <v>154</v>
      </c>
      <c r="D79" s="18" t="s">
        <v>154</v>
      </c>
      <c r="E79" s="17" t="s">
        <v>154</v>
      </c>
      <c r="F79" s="18" t="s">
        <v>154</v>
      </c>
      <c r="G79" s="17" t="s">
        <v>154</v>
      </c>
      <c r="H79" s="18" t="s">
        <v>154</v>
      </c>
      <c r="I79" s="17" t="s">
        <v>154</v>
      </c>
      <c r="J79" s="18" t="s">
        <v>154</v>
      </c>
      <c r="K79" s="17" t="s">
        <v>154</v>
      </c>
      <c r="L79" s="18" t="s">
        <v>154</v>
      </c>
      <c r="M79" s="17" t="s">
        <v>154</v>
      </c>
      <c r="N79" s="18" t="s">
        <v>154</v>
      </c>
      <c r="O79" s="17" t="s">
        <v>154</v>
      </c>
      <c r="P79" s="18" t="s">
        <v>154</v>
      </c>
      <c r="Q79" s="17" t="s">
        <v>154</v>
      </c>
      <c r="R79" s="18" t="s">
        <v>154</v>
      </c>
    </row>
    <row r="80" spans="1:18" x14ac:dyDescent="0.25">
      <c r="A80" s="11" t="s">
        <v>213</v>
      </c>
      <c r="B80" s="17" t="s">
        <v>154</v>
      </c>
      <c r="C80" s="17" t="s">
        <v>154</v>
      </c>
      <c r="D80" s="18" t="s">
        <v>154</v>
      </c>
      <c r="E80" s="17" t="s">
        <v>154</v>
      </c>
      <c r="F80" s="18" t="s">
        <v>154</v>
      </c>
      <c r="G80" s="17" t="s">
        <v>154</v>
      </c>
      <c r="H80" s="18" t="s">
        <v>154</v>
      </c>
      <c r="I80" s="17" t="s">
        <v>154</v>
      </c>
      <c r="J80" s="18" t="s">
        <v>154</v>
      </c>
      <c r="K80" s="17" t="s">
        <v>154</v>
      </c>
      <c r="L80" s="18" t="s">
        <v>154</v>
      </c>
      <c r="M80" s="17" t="s">
        <v>154</v>
      </c>
      <c r="N80" s="18" t="s">
        <v>154</v>
      </c>
      <c r="O80" s="17" t="s">
        <v>154</v>
      </c>
      <c r="P80" s="18" t="s">
        <v>154</v>
      </c>
      <c r="Q80" s="17" t="s">
        <v>154</v>
      </c>
      <c r="R80" s="18" t="s">
        <v>154</v>
      </c>
    </row>
    <row r="81" spans="1:18" x14ac:dyDescent="0.25">
      <c r="A81" s="19" t="s">
        <v>214</v>
      </c>
      <c r="B81" s="13">
        <v>8861</v>
      </c>
      <c r="C81" s="14">
        <f>(7350/B81*100)</f>
        <v>82.947748561110473</v>
      </c>
      <c r="D81" s="15">
        <v>1511</v>
      </c>
      <c r="E81" s="14">
        <v>9.9751425000000005</v>
      </c>
      <c r="F81" s="16">
        <v>1.29990713</v>
      </c>
      <c r="G81" s="14">
        <v>8.6628292800000004</v>
      </c>
      <c r="H81" s="16">
        <v>1.3963782499999999</v>
      </c>
      <c r="I81" s="14" t="s">
        <v>139</v>
      </c>
      <c r="J81" s="16" t="s">
        <v>139</v>
      </c>
      <c r="K81" s="14">
        <v>0</v>
      </c>
      <c r="L81" s="16">
        <v>0</v>
      </c>
      <c r="M81" s="14">
        <v>81.362028219999999</v>
      </c>
      <c r="N81" s="16">
        <v>2.3114332000000002</v>
      </c>
      <c r="O81" s="14">
        <v>0</v>
      </c>
      <c r="P81" s="16">
        <v>0</v>
      </c>
      <c r="Q81" s="14">
        <v>0</v>
      </c>
      <c r="R81" s="16">
        <v>0</v>
      </c>
    </row>
    <row r="82" spans="1:18" x14ac:dyDescent="0.25">
      <c r="A82" s="20"/>
      <c r="B82" s="20" t="s">
        <v>215</v>
      </c>
      <c r="C82" s="20" t="s">
        <v>215</v>
      </c>
      <c r="D82" s="20" t="s">
        <v>215</v>
      </c>
      <c r="E82" s="20" t="s">
        <v>215</v>
      </c>
      <c r="F82" s="20" t="s">
        <v>215</v>
      </c>
      <c r="G82" s="20" t="s">
        <v>215</v>
      </c>
      <c r="H82" s="20" t="s">
        <v>215</v>
      </c>
      <c r="I82" s="20" t="s">
        <v>215</v>
      </c>
      <c r="J82" s="20" t="s">
        <v>215</v>
      </c>
      <c r="K82" s="20" t="s">
        <v>215</v>
      </c>
      <c r="L82" s="20" t="s">
        <v>215</v>
      </c>
      <c r="M82" s="20" t="s">
        <v>215</v>
      </c>
      <c r="N82" s="20" t="s">
        <v>215</v>
      </c>
      <c r="O82" s="20" t="s">
        <v>215</v>
      </c>
      <c r="P82" s="20" t="s">
        <v>215</v>
      </c>
      <c r="Q82" s="20" t="s">
        <v>215</v>
      </c>
      <c r="R82" s="20" t="s">
        <v>215</v>
      </c>
    </row>
    <row r="83" spans="1:18" x14ac:dyDescent="0.25">
      <c r="A83" s="3" t="s">
        <v>216</v>
      </c>
    </row>
    <row r="84" spans="1:18" x14ac:dyDescent="0.25">
      <c r="A84" s="22" t="s">
        <v>217</v>
      </c>
      <c r="B84" s="23"/>
      <c r="C84" s="23"/>
      <c r="D84" s="23"/>
      <c r="E84" s="23"/>
      <c r="F84" s="23"/>
      <c r="G84" s="23"/>
      <c r="H84" s="23"/>
      <c r="I84" s="23"/>
      <c r="J84" s="23"/>
      <c r="K84" s="23"/>
      <c r="L84" s="23"/>
      <c r="M84" s="23"/>
      <c r="N84" s="23"/>
      <c r="O84" s="23"/>
      <c r="P84" s="23"/>
      <c r="Q84" s="23"/>
      <c r="R84" s="23"/>
    </row>
    <row r="85" spans="1:18" x14ac:dyDescent="0.25">
      <c r="A85" s="22" t="s">
        <v>218</v>
      </c>
      <c r="B85" s="23"/>
      <c r="C85" s="23"/>
      <c r="D85" s="23"/>
      <c r="E85" s="23"/>
      <c r="F85" s="23"/>
      <c r="G85" s="23"/>
      <c r="H85" s="23"/>
      <c r="I85" s="23"/>
      <c r="J85" s="23"/>
      <c r="K85" s="23"/>
      <c r="L85" s="23"/>
      <c r="M85" s="23"/>
      <c r="N85" s="23"/>
      <c r="O85" s="23"/>
      <c r="P85" s="23"/>
      <c r="Q85" s="23"/>
      <c r="R85" s="23"/>
    </row>
    <row r="86" spans="1:18" ht="30" customHeight="1" x14ac:dyDescent="0.25">
      <c r="A86" s="22" t="s">
        <v>219</v>
      </c>
      <c r="B86" s="23"/>
      <c r="C86" s="23"/>
      <c r="D86" s="23"/>
      <c r="E86" s="23"/>
      <c r="F86" s="23"/>
      <c r="G86" s="23"/>
      <c r="H86" s="23"/>
      <c r="I86" s="23"/>
      <c r="J86" s="23"/>
      <c r="K86" s="23"/>
      <c r="L86" s="23"/>
      <c r="M86" s="23"/>
      <c r="N86" s="23"/>
      <c r="O86" s="23"/>
      <c r="P86" s="23"/>
      <c r="Q86" s="23"/>
      <c r="R86" s="23"/>
    </row>
    <row r="87" spans="1:18" ht="30" customHeight="1" x14ac:dyDescent="0.25">
      <c r="A87" s="22" t="s">
        <v>215</v>
      </c>
      <c r="B87" s="23"/>
      <c r="C87" s="23"/>
      <c r="D87" s="23"/>
      <c r="E87" s="23"/>
      <c r="F87" s="23"/>
      <c r="G87" s="23"/>
      <c r="H87" s="23"/>
      <c r="I87" s="23"/>
      <c r="J87" s="23"/>
      <c r="K87" s="23"/>
      <c r="L87" s="23"/>
      <c r="M87" s="23"/>
      <c r="N87" s="23"/>
      <c r="O87" s="23"/>
      <c r="P87" s="23"/>
      <c r="Q87" s="23"/>
      <c r="R87" s="23"/>
    </row>
    <row r="88" spans="1:18" ht="30" customHeight="1" x14ac:dyDescent="0.25">
      <c r="A88" s="22" t="s">
        <v>220</v>
      </c>
      <c r="B88" s="23"/>
      <c r="C88" s="23"/>
      <c r="D88" s="23"/>
      <c r="E88" s="23"/>
      <c r="F88" s="23"/>
      <c r="G88" s="23"/>
      <c r="H88" s="23"/>
      <c r="I88" s="23"/>
      <c r="J88" s="23"/>
      <c r="K88" s="23"/>
      <c r="L88" s="23"/>
      <c r="M88" s="23"/>
      <c r="N88" s="23"/>
      <c r="O88" s="23"/>
      <c r="P88" s="23"/>
      <c r="Q88" s="23"/>
      <c r="R88" s="23"/>
    </row>
    <row r="89" spans="1:18" ht="30" customHeight="1" x14ac:dyDescent="0.25">
      <c r="A89" s="22" t="s">
        <v>221</v>
      </c>
      <c r="B89" s="23"/>
      <c r="C89" s="23"/>
      <c r="D89" s="23"/>
      <c r="E89" s="23"/>
      <c r="F89" s="23"/>
      <c r="G89" s="23"/>
      <c r="H89" s="23"/>
      <c r="I89" s="23"/>
      <c r="J89" s="23"/>
      <c r="K89" s="23"/>
      <c r="L89" s="23"/>
      <c r="M89" s="23"/>
      <c r="N89" s="23"/>
      <c r="O89" s="23"/>
      <c r="P89" s="23"/>
      <c r="Q89" s="23"/>
      <c r="R89" s="23"/>
    </row>
    <row r="90" spans="1:18" ht="30" customHeight="1" x14ac:dyDescent="0.25">
      <c r="A90" s="22" t="s">
        <v>222</v>
      </c>
      <c r="B90" s="23"/>
      <c r="C90" s="23"/>
      <c r="D90" s="23"/>
      <c r="E90" s="23"/>
      <c r="F90" s="23"/>
      <c r="G90" s="23"/>
      <c r="H90" s="23"/>
      <c r="I90" s="23"/>
      <c r="J90" s="23"/>
      <c r="K90" s="23"/>
      <c r="L90" s="23"/>
      <c r="M90" s="23"/>
      <c r="N90" s="23"/>
      <c r="O90" s="23"/>
      <c r="P90" s="23"/>
      <c r="Q90" s="23"/>
      <c r="R90" s="23"/>
    </row>
    <row r="91" spans="1:18" ht="30" customHeight="1" x14ac:dyDescent="0.25">
      <c r="A91" s="22" t="s">
        <v>223</v>
      </c>
      <c r="B91" s="23"/>
      <c r="C91" s="23"/>
      <c r="D91" s="23"/>
      <c r="E91" s="23"/>
      <c r="F91" s="23"/>
      <c r="G91" s="23"/>
      <c r="H91" s="23"/>
      <c r="I91" s="23"/>
      <c r="J91" s="23"/>
      <c r="K91" s="23"/>
      <c r="L91" s="23"/>
      <c r="M91" s="23"/>
      <c r="N91" s="23"/>
      <c r="O91" s="23"/>
      <c r="P91" s="23"/>
      <c r="Q91" s="23"/>
      <c r="R91" s="23"/>
    </row>
    <row r="92" spans="1:18" ht="30" customHeight="1" x14ac:dyDescent="0.25">
      <c r="A92" s="22" t="s">
        <v>224</v>
      </c>
      <c r="B92" s="23"/>
      <c r="C92" s="23"/>
      <c r="D92" s="23"/>
      <c r="E92" s="23"/>
      <c r="F92" s="23"/>
      <c r="G92" s="23"/>
      <c r="H92" s="23"/>
      <c r="I92" s="23"/>
      <c r="J92" s="23"/>
      <c r="K92" s="23"/>
      <c r="L92" s="23"/>
      <c r="M92" s="23"/>
      <c r="N92" s="23"/>
      <c r="O92" s="23"/>
      <c r="P92" s="23"/>
      <c r="Q92" s="23"/>
      <c r="R92" s="23"/>
    </row>
    <row r="93" spans="1:18" ht="30" customHeight="1" x14ac:dyDescent="0.25">
      <c r="A93" s="22" t="s">
        <v>225</v>
      </c>
      <c r="B93" s="23"/>
      <c r="C93" s="23"/>
      <c r="D93" s="23"/>
      <c r="E93" s="23"/>
      <c r="F93" s="23"/>
      <c r="G93" s="23"/>
      <c r="H93" s="23"/>
      <c r="I93" s="23"/>
      <c r="J93" s="23"/>
      <c r="K93" s="23"/>
      <c r="L93" s="23"/>
      <c r="M93" s="23"/>
      <c r="N93" s="23"/>
      <c r="O93" s="23"/>
      <c r="P93" s="23"/>
      <c r="Q93" s="23"/>
      <c r="R93" s="23"/>
    </row>
    <row r="94" spans="1:18" ht="30" customHeight="1" x14ac:dyDescent="0.25">
      <c r="A94" s="22" t="s">
        <v>226</v>
      </c>
      <c r="B94" s="23"/>
      <c r="C94" s="23"/>
      <c r="D94" s="23"/>
      <c r="E94" s="23"/>
      <c r="F94" s="23"/>
      <c r="G94" s="23"/>
      <c r="H94" s="23"/>
      <c r="I94" s="23"/>
      <c r="J94" s="23"/>
      <c r="K94" s="23"/>
      <c r="L94" s="23"/>
      <c r="M94" s="23"/>
      <c r="N94" s="23"/>
      <c r="O94" s="23"/>
      <c r="P94" s="23"/>
      <c r="Q94" s="23"/>
      <c r="R94" s="23"/>
    </row>
    <row r="95" spans="1:18" ht="30" customHeight="1" x14ac:dyDescent="0.25">
      <c r="A95" s="22" t="s">
        <v>227</v>
      </c>
      <c r="B95" s="23"/>
      <c r="C95" s="23"/>
      <c r="D95" s="23"/>
      <c r="E95" s="23"/>
      <c r="F95" s="23"/>
      <c r="G95" s="23"/>
      <c r="H95" s="23"/>
      <c r="I95" s="23"/>
      <c r="J95" s="23"/>
      <c r="K95" s="23"/>
      <c r="L95" s="23"/>
      <c r="M95" s="23"/>
      <c r="N95" s="23"/>
      <c r="O95" s="23"/>
      <c r="P95" s="23"/>
      <c r="Q95" s="23"/>
      <c r="R95" s="23"/>
    </row>
    <row r="96" spans="1:18" ht="30" customHeight="1" x14ac:dyDescent="0.25">
      <c r="A96" s="22" t="s">
        <v>228</v>
      </c>
      <c r="B96" s="23"/>
      <c r="C96" s="23"/>
      <c r="D96" s="23"/>
      <c r="E96" s="23"/>
      <c r="F96" s="23"/>
      <c r="G96" s="23"/>
      <c r="H96" s="23"/>
      <c r="I96" s="23"/>
      <c r="J96" s="23"/>
      <c r="K96" s="23"/>
      <c r="L96" s="23"/>
      <c r="M96" s="23"/>
      <c r="N96" s="23"/>
      <c r="O96" s="23"/>
      <c r="P96" s="23"/>
      <c r="Q96" s="23"/>
      <c r="R96" s="23"/>
    </row>
  </sheetData>
  <mergeCells count="22">
    <mergeCell ref="O4:P4"/>
    <mergeCell ref="Q4:R4"/>
    <mergeCell ref="A1:R1"/>
    <mergeCell ref="A2:R2"/>
    <mergeCell ref="A84:R84"/>
    <mergeCell ref="E4:F4"/>
    <mergeCell ref="G4:H4"/>
    <mergeCell ref="I4:J4"/>
    <mergeCell ref="K4:L4"/>
    <mergeCell ref="M4:N4"/>
    <mergeCell ref="A85:R85"/>
    <mergeCell ref="A86:R86"/>
    <mergeCell ref="A87:R87"/>
    <mergeCell ref="A88:R88"/>
    <mergeCell ref="A89:R89"/>
    <mergeCell ref="A95:R95"/>
    <mergeCell ref="A96:R96"/>
    <mergeCell ref="A90:R90"/>
    <mergeCell ref="A91:R91"/>
    <mergeCell ref="A92:R92"/>
    <mergeCell ref="A93:R93"/>
    <mergeCell ref="A94:R94"/>
  </mergeCells>
  <pageMargins left="0.75" right="0.75" top="1" bottom="1" header="0.5" footer="0.5"/>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9"/>
  <dimension ref="A1:R96"/>
  <sheetViews>
    <sheetView zoomScale="80" workbookViewId="0">
      <pane xSplit="4" topLeftCell="E1" activePane="topRight" state="frozen"/>
      <selection sqref="A1:R1"/>
      <selection pane="topRight" sqref="A1:R1"/>
    </sheetView>
  </sheetViews>
  <sheetFormatPr defaultColWidth="11.42578125" defaultRowHeight="15" x14ac:dyDescent="0.25"/>
  <cols>
    <col min="1" max="1" width="50" customWidth="1"/>
  </cols>
  <sheetData>
    <row r="1" spans="1:18" x14ac:dyDescent="0.25">
      <c r="A1" s="26" t="s">
        <v>122</v>
      </c>
      <c r="B1" s="23"/>
      <c r="C1" s="23"/>
      <c r="D1" s="23"/>
      <c r="E1" s="23"/>
      <c r="F1" s="23"/>
      <c r="G1" s="23"/>
      <c r="H1" s="23"/>
      <c r="I1" s="23"/>
      <c r="J1" s="23"/>
      <c r="K1" s="23"/>
      <c r="L1" s="23"/>
      <c r="M1" s="23"/>
      <c r="N1" s="23"/>
      <c r="O1" s="23"/>
      <c r="P1" s="23"/>
      <c r="Q1" s="23"/>
      <c r="R1" s="23"/>
    </row>
    <row r="2" spans="1:18" x14ac:dyDescent="0.25">
      <c r="A2" s="27" t="s">
        <v>265</v>
      </c>
      <c r="B2" s="23"/>
      <c r="C2" s="23"/>
      <c r="D2" s="23"/>
      <c r="E2" s="23"/>
      <c r="F2" s="23"/>
      <c r="G2" s="23"/>
      <c r="H2" s="23"/>
      <c r="I2" s="23"/>
      <c r="J2" s="23"/>
      <c r="K2" s="23"/>
      <c r="L2" s="23"/>
      <c r="M2" s="23"/>
      <c r="N2" s="23"/>
      <c r="O2" s="23"/>
      <c r="P2" s="23"/>
      <c r="Q2" s="23"/>
      <c r="R2" s="23"/>
    </row>
    <row r="4" spans="1:18" ht="30" customHeight="1" x14ac:dyDescent="0.25">
      <c r="A4" s="4"/>
      <c r="B4" s="5" t="s">
        <v>123</v>
      </c>
      <c r="C4" s="5" t="s">
        <v>124</v>
      </c>
      <c r="D4" s="6" t="s">
        <v>123</v>
      </c>
      <c r="E4" s="24" t="s">
        <v>125</v>
      </c>
      <c r="F4" s="25"/>
      <c r="G4" s="24" t="s">
        <v>126</v>
      </c>
      <c r="H4" s="25"/>
      <c r="I4" s="24" t="s">
        <v>127</v>
      </c>
      <c r="J4" s="25"/>
      <c r="K4" s="24" t="s">
        <v>128</v>
      </c>
      <c r="L4" s="25"/>
      <c r="M4" s="24" t="s">
        <v>129</v>
      </c>
      <c r="N4" s="25"/>
      <c r="O4" s="24" t="s">
        <v>130</v>
      </c>
      <c r="P4" s="25"/>
      <c r="Q4" s="24" t="s">
        <v>131</v>
      </c>
      <c r="R4" s="25"/>
    </row>
    <row r="5" spans="1:18" x14ac:dyDescent="0.25">
      <c r="A5" s="7"/>
      <c r="B5" s="8" t="s">
        <v>132</v>
      </c>
      <c r="C5" s="8" t="s">
        <v>133</v>
      </c>
      <c r="D5" s="7" t="s">
        <v>134</v>
      </c>
      <c r="E5" s="8" t="s">
        <v>135</v>
      </c>
      <c r="F5" s="7" t="s">
        <v>136</v>
      </c>
      <c r="G5" s="8" t="s">
        <v>135</v>
      </c>
      <c r="H5" s="7" t="s">
        <v>136</v>
      </c>
      <c r="I5" s="8" t="s">
        <v>135</v>
      </c>
      <c r="J5" s="7" t="s">
        <v>136</v>
      </c>
      <c r="K5" s="8" t="s">
        <v>135</v>
      </c>
      <c r="L5" s="7" t="s">
        <v>136</v>
      </c>
      <c r="M5" s="8" t="s">
        <v>135</v>
      </c>
      <c r="N5" s="7" t="s">
        <v>136</v>
      </c>
      <c r="O5" s="8" t="s">
        <v>135</v>
      </c>
      <c r="P5" s="7" t="s">
        <v>136</v>
      </c>
      <c r="Q5" s="8" t="s">
        <v>135</v>
      </c>
      <c r="R5" s="7" t="s">
        <v>136</v>
      </c>
    </row>
    <row r="6" spans="1:18" x14ac:dyDescent="0.25">
      <c r="A6" s="9" t="s">
        <v>137</v>
      </c>
      <c r="B6" s="10"/>
      <c r="C6" s="10"/>
      <c r="D6" s="11"/>
      <c r="E6" s="10"/>
      <c r="F6" s="11"/>
      <c r="G6" s="10"/>
      <c r="H6" s="11"/>
      <c r="I6" s="10"/>
      <c r="J6" s="11"/>
      <c r="K6" s="10"/>
      <c r="L6" s="11"/>
      <c r="M6" s="10"/>
      <c r="N6" s="11"/>
      <c r="O6" s="10"/>
      <c r="P6" s="11"/>
      <c r="Q6" s="10"/>
      <c r="R6" s="12"/>
    </row>
    <row r="7" spans="1:18" x14ac:dyDescent="0.25">
      <c r="A7" s="11" t="s">
        <v>138</v>
      </c>
      <c r="B7" s="13">
        <v>14530</v>
      </c>
      <c r="C7" s="14">
        <f>(12186/B7*100)</f>
        <v>83.867859600825881</v>
      </c>
      <c r="D7" s="15">
        <v>2344</v>
      </c>
      <c r="E7" s="14">
        <v>55.065597169999997</v>
      </c>
      <c r="F7" s="16">
        <v>1.34573747</v>
      </c>
      <c r="G7" s="14">
        <v>44.934402830000003</v>
      </c>
      <c r="H7" s="16">
        <v>1.34573747</v>
      </c>
      <c r="I7" s="14" t="s">
        <v>139</v>
      </c>
      <c r="J7" s="16" t="s">
        <v>139</v>
      </c>
      <c r="K7" s="14">
        <v>0</v>
      </c>
      <c r="L7" s="16">
        <v>0</v>
      </c>
      <c r="M7" s="14">
        <v>0</v>
      </c>
      <c r="N7" s="16">
        <v>0</v>
      </c>
      <c r="O7" s="14">
        <v>0</v>
      </c>
      <c r="P7" s="16">
        <v>0</v>
      </c>
      <c r="Q7" s="14">
        <v>0</v>
      </c>
      <c r="R7" s="16">
        <v>0</v>
      </c>
    </row>
    <row r="8" spans="1:18" x14ac:dyDescent="0.25">
      <c r="A8" s="11" t="s">
        <v>140</v>
      </c>
      <c r="B8" s="13">
        <v>7007</v>
      </c>
      <c r="C8" s="14">
        <f>(5832/B8*100)</f>
        <v>83.231054659626096</v>
      </c>
      <c r="D8" s="15">
        <v>1175</v>
      </c>
      <c r="E8" s="14">
        <v>67.568702189999996</v>
      </c>
      <c r="F8" s="16">
        <v>1.66263059</v>
      </c>
      <c r="G8" s="14">
        <v>32.431297809999997</v>
      </c>
      <c r="H8" s="16">
        <v>1.66263059</v>
      </c>
      <c r="I8" s="14" t="s">
        <v>139</v>
      </c>
      <c r="J8" s="16" t="s">
        <v>139</v>
      </c>
      <c r="K8" s="14">
        <v>0</v>
      </c>
      <c r="L8" s="16">
        <v>0</v>
      </c>
      <c r="M8" s="14">
        <v>0</v>
      </c>
      <c r="N8" s="16">
        <v>0</v>
      </c>
      <c r="O8" s="14">
        <v>0</v>
      </c>
      <c r="P8" s="16">
        <v>0</v>
      </c>
      <c r="Q8" s="14">
        <v>0</v>
      </c>
      <c r="R8" s="16">
        <v>0</v>
      </c>
    </row>
    <row r="9" spans="1:18" x14ac:dyDescent="0.25">
      <c r="A9" s="11" t="s">
        <v>141</v>
      </c>
      <c r="B9" s="13">
        <v>9651</v>
      </c>
      <c r="C9" s="14">
        <f>(8126/B9*100)</f>
        <v>84.198528649880842</v>
      </c>
      <c r="D9" s="15">
        <v>1525</v>
      </c>
      <c r="E9" s="14">
        <v>60.447933970000001</v>
      </c>
      <c r="F9" s="16">
        <v>1.2800027599999999</v>
      </c>
      <c r="G9" s="14">
        <v>39.552066029999999</v>
      </c>
      <c r="H9" s="16">
        <v>1.2800027599999999</v>
      </c>
      <c r="I9" s="14" t="s">
        <v>139</v>
      </c>
      <c r="J9" s="16" t="s">
        <v>139</v>
      </c>
      <c r="K9" s="14">
        <v>0</v>
      </c>
      <c r="L9" s="16">
        <v>0</v>
      </c>
      <c r="M9" s="14">
        <v>0</v>
      </c>
      <c r="N9" s="16">
        <v>0</v>
      </c>
      <c r="O9" s="14">
        <v>0</v>
      </c>
      <c r="P9" s="16">
        <v>0</v>
      </c>
      <c r="Q9" s="14">
        <v>0</v>
      </c>
      <c r="R9" s="16">
        <v>0</v>
      </c>
    </row>
    <row r="10" spans="1:18" x14ac:dyDescent="0.25">
      <c r="A10" s="11" t="s">
        <v>142</v>
      </c>
      <c r="B10" s="13">
        <v>20058</v>
      </c>
      <c r="C10" s="14">
        <f>(16663/B10*100)</f>
        <v>83.074085153056132</v>
      </c>
      <c r="D10" s="15">
        <v>3395</v>
      </c>
      <c r="E10" s="14">
        <v>50.224648809999998</v>
      </c>
      <c r="F10" s="16">
        <v>1.1313509799999999</v>
      </c>
      <c r="G10" s="14">
        <v>49.775351190000002</v>
      </c>
      <c r="H10" s="16">
        <v>1.1313509799999999</v>
      </c>
      <c r="I10" s="14" t="s">
        <v>139</v>
      </c>
      <c r="J10" s="16" t="s">
        <v>139</v>
      </c>
      <c r="K10" s="14">
        <v>0</v>
      </c>
      <c r="L10" s="16">
        <v>0</v>
      </c>
      <c r="M10" s="14">
        <v>0</v>
      </c>
      <c r="N10" s="16">
        <v>0</v>
      </c>
      <c r="O10" s="14">
        <v>0</v>
      </c>
      <c r="P10" s="16">
        <v>0</v>
      </c>
      <c r="Q10" s="14">
        <v>0</v>
      </c>
      <c r="R10" s="16">
        <v>0</v>
      </c>
    </row>
    <row r="11" spans="1:18" x14ac:dyDescent="0.25">
      <c r="A11" s="11" t="s">
        <v>143</v>
      </c>
      <c r="B11" s="13">
        <v>7053</v>
      </c>
      <c r="C11" s="14">
        <f>(5925/B11*100)</f>
        <v>84.006805614632071</v>
      </c>
      <c r="D11" s="15">
        <v>1128</v>
      </c>
      <c r="E11" s="14">
        <v>72.129277020000004</v>
      </c>
      <c r="F11" s="16">
        <v>1.3835945700000001</v>
      </c>
      <c r="G11" s="14">
        <v>27.87072298</v>
      </c>
      <c r="H11" s="16">
        <v>1.3835945700000001</v>
      </c>
      <c r="I11" s="14" t="s">
        <v>139</v>
      </c>
      <c r="J11" s="16" t="s">
        <v>139</v>
      </c>
      <c r="K11" s="14">
        <v>0</v>
      </c>
      <c r="L11" s="16">
        <v>0</v>
      </c>
      <c r="M11" s="14">
        <v>0</v>
      </c>
      <c r="N11" s="16">
        <v>0</v>
      </c>
      <c r="O11" s="14">
        <v>0</v>
      </c>
      <c r="P11" s="16">
        <v>0</v>
      </c>
      <c r="Q11" s="14">
        <v>0</v>
      </c>
      <c r="R11" s="16">
        <v>0</v>
      </c>
    </row>
    <row r="12" spans="1:18" x14ac:dyDescent="0.25">
      <c r="A12" s="11" t="s">
        <v>144</v>
      </c>
      <c r="B12" s="13">
        <v>6894</v>
      </c>
      <c r="C12" s="14">
        <f>(5770/B12*100)</f>
        <v>83.695967507977954</v>
      </c>
      <c r="D12" s="15">
        <v>1124</v>
      </c>
      <c r="E12" s="14">
        <v>58.542841410000001</v>
      </c>
      <c r="F12" s="16">
        <v>1.76275414</v>
      </c>
      <c r="G12" s="14">
        <v>41.457158589999999</v>
      </c>
      <c r="H12" s="16">
        <v>1.76275414</v>
      </c>
      <c r="I12" s="14" t="s">
        <v>139</v>
      </c>
      <c r="J12" s="16" t="s">
        <v>139</v>
      </c>
      <c r="K12" s="14">
        <v>0</v>
      </c>
      <c r="L12" s="16">
        <v>0</v>
      </c>
      <c r="M12" s="14">
        <v>0</v>
      </c>
      <c r="N12" s="16">
        <v>0</v>
      </c>
      <c r="O12" s="14">
        <v>0</v>
      </c>
      <c r="P12" s="16">
        <v>0</v>
      </c>
      <c r="Q12" s="14">
        <v>0</v>
      </c>
      <c r="R12" s="16">
        <v>0</v>
      </c>
    </row>
    <row r="13" spans="1:18" x14ac:dyDescent="0.25">
      <c r="A13" s="11" t="s">
        <v>145</v>
      </c>
      <c r="B13" s="13">
        <v>7161</v>
      </c>
      <c r="C13" s="14">
        <f>(6035/B13*100)</f>
        <v>84.275939114648793</v>
      </c>
      <c r="D13" s="15">
        <v>1126</v>
      </c>
      <c r="E13" s="14">
        <v>60.437826520000002</v>
      </c>
      <c r="F13" s="16">
        <v>1.81067106</v>
      </c>
      <c r="G13" s="14">
        <v>39.562173479999998</v>
      </c>
      <c r="H13" s="16">
        <v>1.81067106</v>
      </c>
      <c r="I13" s="14" t="s">
        <v>139</v>
      </c>
      <c r="J13" s="16" t="s">
        <v>139</v>
      </c>
      <c r="K13" s="14">
        <v>0</v>
      </c>
      <c r="L13" s="16">
        <v>0</v>
      </c>
      <c r="M13" s="14">
        <v>0</v>
      </c>
      <c r="N13" s="16">
        <v>0</v>
      </c>
      <c r="O13" s="14">
        <v>0</v>
      </c>
      <c r="P13" s="16">
        <v>0</v>
      </c>
      <c r="Q13" s="14">
        <v>0</v>
      </c>
      <c r="R13" s="16">
        <v>0</v>
      </c>
    </row>
    <row r="14" spans="1:18" x14ac:dyDescent="0.25">
      <c r="A14" s="11" t="s">
        <v>146</v>
      </c>
      <c r="B14" s="13">
        <v>5587</v>
      </c>
      <c r="C14" s="14">
        <f>(4647/B14*100)</f>
        <v>83.175228208340783</v>
      </c>
      <c r="D14" s="15">
        <v>940</v>
      </c>
      <c r="E14" s="14">
        <v>56.784408089999999</v>
      </c>
      <c r="F14" s="16">
        <v>1.7811577300000001</v>
      </c>
      <c r="G14" s="14">
        <v>43.215591910000001</v>
      </c>
      <c r="H14" s="16">
        <v>1.7811577300000001</v>
      </c>
      <c r="I14" s="14" t="s">
        <v>139</v>
      </c>
      <c r="J14" s="16" t="s">
        <v>139</v>
      </c>
      <c r="K14" s="14">
        <v>0</v>
      </c>
      <c r="L14" s="16">
        <v>0</v>
      </c>
      <c r="M14" s="14">
        <v>0</v>
      </c>
      <c r="N14" s="16">
        <v>0</v>
      </c>
      <c r="O14" s="14">
        <v>0</v>
      </c>
      <c r="P14" s="16">
        <v>0</v>
      </c>
      <c r="Q14" s="14">
        <v>0</v>
      </c>
      <c r="R14" s="16">
        <v>0</v>
      </c>
    </row>
    <row r="15" spans="1:18" x14ac:dyDescent="0.25">
      <c r="A15" s="11" t="s">
        <v>147</v>
      </c>
      <c r="B15" s="13">
        <v>5882</v>
      </c>
      <c r="C15" s="14">
        <f>(4921/B15*100)</f>
        <v>83.66201972118327</v>
      </c>
      <c r="D15" s="15">
        <v>961</v>
      </c>
      <c r="E15" s="14">
        <v>56.439965639999997</v>
      </c>
      <c r="F15" s="16">
        <v>1.6629131500000001</v>
      </c>
      <c r="G15" s="14">
        <v>43.560034360000003</v>
      </c>
      <c r="H15" s="16">
        <v>1.6629131500000001</v>
      </c>
      <c r="I15" s="14" t="s">
        <v>139</v>
      </c>
      <c r="J15" s="16" t="s">
        <v>139</v>
      </c>
      <c r="K15" s="14">
        <v>0</v>
      </c>
      <c r="L15" s="16">
        <v>0</v>
      </c>
      <c r="M15" s="14">
        <v>0</v>
      </c>
      <c r="N15" s="16">
        <v>0</v>
      </c>
      <c r="O15" s="14">
        <v>0</v>
      </c>
      <c r="P15" s="16">
        <v>0</v>
      </c>
      <c r="Q15" s="14">
        <v>0</v>
      </c>
      <c r="R15" s="16">
        <v>0</v>
      </c>
    </row>
    <row r="16" spans="1:18" x14ac:dyDescent="0.25">
      <c r="A16" s="11" t="s">
        <v>148</v>
      </c>
      <c r="B16" s="13">
        <v>6108</v>
      </c>
      <c r="C16" s="14">
        <f>(5092/B16*100)</f>
        <v>83.366077275704001</v>
      </c>
      <c r="D16" s="15">
        <v>1016</v>
      </c>
      <c r="E16" s="14">
        <v>64.10078661</v>
      </c>
      <c r="F16" s="16">
        <v>1.5222941699999999</v>
      </c>
      <c r="G16" s="14">
        <v>35.89921339</v>
      </c>
      <c r="H16" s="16">
        <v>1.5222941699999999</v>
      </c>
      <c r="I16" s="14" t="s">
        <v>139</v>
      </c>
      <c r="J16" s="16" t="s">
        <v>139</v>
      </c>
      <c r="K16" s="14">
        <v>0</v>
      </c>
      <c r="L16" s="16">
        <v>0</v>
      </c>
      <c r="M16" s="14">
        <v>0</v>
      </c>
      <c r="N16" s="16">
        <v>0</v>
      </c>
      <c r="O16" s="14">
        <v>0</v>
      </c>
      <c r="P16" s="16">
        <v>0</v>
      </c>
      <c r="Q16" s="14">
        <v>0</v>
      </c>
      <c r="R16" s="16">
        <v>0</v>
      </c>
    </row>
    <row r="17" spans="1:18" x14ac:dyDescent="0.25">
      <c r="A17" s="11" t="s">
        <v>149</v>
      </c>
      <c r="B17" s="13">
        <v>6504</v>
      </c>
      <c r="C17" s="14">
        <f>(5459/B17*100)</f>
        <v>83.932964329643298</v>
      </c>
      <c r="D17" s="15">
        <v>1045</v>
      </c>
      <c r="E17" s="14">
        <v>57.580391669999997</v>
      </c>
      <c r="F17" s="16">
        <v>1.5532161200000001</v>
      </c>
      <c r="G17" s="14">
        <v>42.419608330000003</v>
      </c>
      <c r="H17" s="16">
        <v>1.5532161200000001</v>
      </c>
      <c r="I17" s="14" t="s">
        <v>139</v>
      </c>
      <c r="J17" s="16" t="s">
        <v>139</v>
      </c>
      <c r="K17" s="14">
        <v>0</v>
      </c>
      <c r="L17" s="16">
        <v>0</v>
      </c>
      <c r="M17" s="14">
        <v>0</v>
      </c>
      <c r="N17" s="16">
        <v>0</v>
      </c>
      <c r="O17" s="14">
        <v>0</v>
      </c>
      <c r="P17" s="16">
        <v>0</v>
      </c>
      <c r="Q17" s="14">
        <v>0</v>
      </c>
      <c r="R17" s="16">
        <v>0</v>
      </c>
    </row>
    <row r="18" spans="1:18" x14ac:dyDescent="0.25">
      <c r="A18" s="11" t="s">
        <v>150</v>
      </c>
      <c r="B18" s="13">
        <v>5532</v>
      </c>
      <c r="C18" s="14">
        <f>(4583/B18*100)</f>
        <v>82.845263919016631</v>
      </c>
      <c r="D18" s="15">
        <v>949</v>
      </c>
      <c r="E18" s="14">
        <v>68.298233249999996</v>
      </c>
      <c r="F18" s="16">
        <v>1.7272913000000001</v>
      </c>
      <c r="G18" s="14">
        <v>31.701766750000001</v>
      </c>
      <c r="H18" s="16">
        <v>1.7272913000000001</v>
      </c>
      <c r="I18" s="14" t="s">
        <v>139</v>
      </c>
      <c r="J18" s="16" t="s">
        <v>139</v>
      </c>
      <c r="K18" s="14">
        <v>0</v>
      </c>
      <c r="L18" s="16">
        <v>0</v>
      </c>
      <c r="M18" s="14">
        <v>0</v>
      </c>
      <c r="N18" s="16">
        <v>0</v>
      </c>
      <c r="O18" s="14">
        <v>0</v>
      </c>
      <c r="P18" s="16">
        <v>0</v>
      </c>
      <c r="Q18" s="14">
        <v>0</v>
      </c>
      <c r="R18" s="16">
        <v>0</v>
      </c>
    </row>
    <row r="19" spans="1:18" x14ac:dyDescent="0.25">
      <c r="A19" s="11" t="s">
        <v>151</v>
      </c>
      <c r="B19" s="13">
        <v>5658</v>
      </c>
      <c r="C19" s="14">
        <f>(4745/B19*100)</f>
        <v>83.863556026864615</v>
      </c>
      <c r="D19" s="15">
        <v>913</v>
      </c>
      <c r="E19" s="14">
        <v>65.294689790000007</v>
      </c>
      <c r="F19" s="16">
        <v>1.6449753199999999</v>
      </c>
      <c r="G19" s="14">
        <v>34.70531021</v>
      </c>
      <c r="H19" s="16">
        <v>1.6449753199999999</v>
      </c>
      <c r="I19" s="14" t="s">
        <v>139</v>
      </c>
      <c r="J19" s="16" t="s">
        <v>139</v>
      </c>
      <c r="K19" s="14">
        <v>0</v>
      </c>
      <c r="L19" s="16">
        <v>0</v>
      </c>
      <c r="M19" s="14">
        <v>0</v>
      </c>
      <c r="N19" s="16">
        <v>0</v>
      </c>
      <c r="O19" s="14">
        <v>0</v>
      </c>
      <c r="P19" s="16">
        <v>0</v>
      </c>
      <c r="Q19" s="14">
        <v>0</v>
      </c>
      <c r="R19" s="16">
        <v>0</v>
      </c>
    </row>
    <row r="20" spans="1:18" x14ac:dyDescent="0.25">
      <c r="A20" s="11" t="s">
        <v>152</v>
      </c>
      <c r="B20" s="13">
        <v>3371</v>
      </c>
      <c r="C20" s="14">
        <f>(2820/B20*100)</f>
        <v>83.654701868881645</v>
      </c>
      <c r="D20" s="15">
        <v>551</v>
      </c>
      <c r="E20" s="14">
        <v>62.479608919999997</v>
      </c>
      <c r="F20" s="16">
        <v>2.3357601799999999</v>
      </c>
      <c r="G20" s="14">
        <v>37.520391080000003</v>
      </c>
      <c r="H20" s="16">
        <v>2.3357601799999999</v>
      </c>
      <c r="I20" s="14" t="s">
        <v>139</v>
      </c>
      <c r="J20" s="16" t="s">
        <v>139</v>
      </c>
      <c r="K20" s="14">
        <v>0</v>
      </c>
      <c r="L20" s="16">
        <v>0</v>
      </c>
      <c r="M20" s="14">
        <v>0</v>
      </c>
      <c r="N20" s="16">
        <v>0</v>
      </c>
      <c r="O20" s="14">
        <v>0</v>
      </c>
      <c r="P20" s="16">
        <v>0</v>
      </c>
      <c r="Q20" s="14">
        <v>0</v>
      </c>
      <c r="R20" s="16">
        <v>0</v>
      </c>
    </row>
    <row r="21" spans="1:18" x14ac:dyDescent="0.25">
      <c r="A21" s="11" t="s">
        <v>153</v>
      </c>
      <c r="B21" s="17" t="s">
        <v>154</v>
      </c>
      <c r="C21" s="17" t="s">
        <v>154</v>
      </c>
      <c r="D21" s="18" t="s">
        <v>154</v>
      </c>
      <c r="E21" s="17" t="s">
        <v>154</v>
      </c>
      <c r="F21" s="18" t="s">
        <v>154</v>
      </c>
      <c r="G21" s="17" t="s">
        <v>154</v>
      </c>
      <c r="H21" s="18" t="s">
        <v>154</v>
      </c>
      <c r="I21" s="17" t="s">
        <v>154</v>
      </c>
      <c r="J21" s="18" t="s">
        <v>154</v>
      </c>
      <c r="K21" s="17" t="s">
        <v>154</v>
      </c>
      <c r="L21" s="18" t="s">
        <v>154</v>
      </c>
      <c r="M21" s="17" t="s">
        <v>154</v>
      </c>
      <c r="N21" s="18" t="s">
        <v>154</v>
      </c>
      <c r="O21" s="17" t="s">
        <v>154</v>
      </c>
      <c r="P21" s="18" t="s">
        <v>154</v>
      </c>
      <c r="Q21" s="17" t="s">
        <v>154</v>
      </c>
      <c r="R21" s="18" t="s">
        <v>154</v>
      </c>
    </row>
    <row r="22" spans="1:18" x14ac:dyDescent="0.25">
      <c r="A22" s="11" t="s">
        <v>155</v>
      </c>
      <c r="B22" s="13">
        <v>6598</v>
      </c>
      <c r="C22" s="14">
        <f>(5607/B22*100)</f>
        <v>84.980297059715056</v>
      </c>
      <c r="D22" s="15">
        <v>991</v>
      </c>
      <c r="E22" s="14">
        <v>65.656928809999997</v>
      </c>
      <c r="F22" s="16">
        <v>1.5721538799999999</v>
      </c>
      <c r="G22" s="14">
        <v>34.343071190000003</v>
      </c>
      <c r="H22" s="16">
        <v>1.5721538799999999</v>
      </c>
      <c r="I22" s="14" t="s">
        <v>139</v>
      </c>
      <c r="J22" s="16" t="s">
        <v>139</v>
      </c>
      <c r="K22" s="14">
        <v>0</v>
      </c>
      <c r="L22" s="16">
        <v>0</v>
      </c>
      <c r="M22" s="14">
        <v>0</v>
      </c>
      <c r="N22" s="16">
        <v>0</v>
      </c>
      <c r="O22" s="14">
        <v>0</v>
      </c>
      <c r="P22" s="16">
        <v>0</v>
      </c>
      <c r="Q22" s="14">
        <v>0</v>
      </c>
      <c r="R22" s="16">
        <v>0</v>
      </c>
    </row>
    <row r="23" spans="1:18" x14ac:dyDescent="0.25">
      <c r="A23" s="11" t="s">
        <v>156</v>
      </c>
      <c r="B23" s="13">
        <v>11583</v>
      </c>
      <c r="C23" s="14">
        <f>(9661/B23*100)</f>
        <v>83.406716740050072</v>
      </c>
      <c r="D23" s="15">
        <v>1922</v>
      </c>
      <c r="E23" s="14">
        <v>69.004106160000006</v>
      </c>
      <c r="F23" s="16">
        <v>1.5637477900000001</v>
      </c>
      <c r="G23" s="14">
        <v>30.995893840000001</v>
      </c>
      <c r="H23" s="16">
        <v>1.5637477900000001</v>
      </c>
      <c r="I23" s="14" t="s">
        <v>139</v>
      </c>
      <c r="J23" s="16" t="s">
        <v>139</v>
      </c>
      <c r="K23" s="14">
        <v>0</v>
      </c>
      <c r="L23" s="16">
        <v>0</v>
      </c>
      <c r="M23" s="14">
        <v>0</v>
      </c>
      <c r="N23" s="16">
        <v>0</v>
      </c>
      <c r="O23" s="14">
        <v>0</v>
      </c>
      <c r="P23" s="16">
        <v>0</v>
      </c>
      <c r="Q23" s="14">
        <v>0</v>
      </c>
      <c r="R23" s="16">
        <v>0</v>
      </c>
    </row>
    <row r="24" spans="1:18" x14ac:dyDescent="0.25">
      <c r="A24" s="11" t="s">
        <v>157</v>
      </c>
      <c r="B24" s="13">
        <v>6647</v>
      </c>
      <c r="C24" s="14">
        <f>(5508/B24*100)</f>
        <v>82.864450127877248</v>
      </c>
      <c r="D24" s="15">
        <v>1139</v>
      </c>
      <c r="E24" s="14">
        <v>50.654328020000001</v>
      </c>
      <c r="F24" s="16">
        <v>1.59848743</v>
      </c>
      <c r="G24" s="14">
        <v>49.345671979999999</v>
      </c>
      <c r="H24" s="16">
        <v>1.59848743</v>
      </c>
      <c r="I24" s="14" t="s">
        <v>139</v>
      </c>
      <c r="J24" s="16" t="s">
        <v>139</v>
      </c>
      <c r="K24" s="14">
        <v>0</v>
      </c>
      <c r="L24" s="16">
        <v>0</v>
      </c>
      <c r="M24" s="14">
        <v>0</v>
      </c>
      <c r="N24" s="16">
        <v>0</v>
      </c>
      <c r="O24" s="14">
        <v>0</v>
      </c>
      <c r="P24" s="16">
        <v>0</v>
      </c>
      <c r="Q24" s="14">
        <v>0</v>
      </c>
      <c r="R24" s="16">
        <v>0</v>
      </c>
    </row>
    <row r="25" spans="1:18" x14ac:dyDescent="0.25">
      <c r="A25" s="11" t="s">
        <v>158</v>
      </c>
      <c r="B25" s="13">
        <v>5581</v>
      </c>
      <c r="C25" s="14">
        <f>(4617/B25*100)</f>
        <v>82.727109836946795</v>
      </c>
      <c r="D25" s="15">
        <v>964</v>
      </c>
      <c r="E25" s="14">
        <v>66.071151709999995</v>
      </c>
      <c r="F25" s="16">
        <v>1.567707</v>
      </c>
      <c r="G25" s="14">
        <v>33.928848289999998</v>
      </c>
      <c r="H25" s="16">
        <v>1.567707</v>
      </c>
      <c r="I25" s="14" t="s">
        <v>139</v>
      </c>
      <c r="J25" s="16" t="s">
        <v>139</v>
      </c>
      <c r="K25" s="14">
        <v>0</v>
      </c>
      <c r="L25" s="16">
        <v>0</v>
      </c>
      <c r="M25" s="14">
        <v>0</v>
      </c>
      <c r="N25" s="16">
        <v>0</v>
      </c>
      <c r="O25" s="14">
        <v>0</v>
      </c>
      <c r="P25" s="16">
        <v>0</v>
      </c>
      <c r="Q25" s="14">
        <v>0</v>
      </c>
      <c r="R25" s="16">
        <v>0</v>
      </c>
    </row>
    <row r="26" spans="1:18" x14ac:dyDescent="0.25">
      <c r="A26" s="11" t="s">
        <v>159</v>
      </c>
      <c r="B26" s="13">
        <v>4869</v>
      </c>
      <c r="C26" s="14">
        <f>(4025/B26*100)</f>
        <v>82.665845142739784</v>
      </c>
      <c r="D26" s="15">
        <v>844</v>
      </c>
      <c r="E26" s="14">
        <v>59.636684580000001</v>
      </c>
      <c r="F26" s="16">
        <v>1.86856427</v>
      </c>
      <c r="G26" s="14">
        <v>40.363315419999999</v>
      </c>
      <c r="H26" s="16">
        <v>1.86856427</v>
      </c>
      <c r="I26" s="14" t="s">
        <v>139</v>
      </c>
      <c r="J26" s="16" t="s">
        <v>139</v>
      </c>
      <c r="K26" s="14">
        <v>0</v>
      </c>
      <c r="L26" s="16">
        <v>0</v>
      </c>
      <c r="M26" s="14">
        <v>0</v>
      </c>
      <c r="N26" s="16">
        <v>0</v>
      </c>
      <c r="O26" s="14">
        <v>0</v>
      </c>
      <c r="P26" s="16">
        <v>0</v>
      </c>
      <c r="Q26" s="14">
        <v>0</v>
      </c>
      <c r="R26" s="16">
        <v>0</v>
      </c>
    </row>
    <row r="27" spans="1:18" x14ac:dyDescent="0.25">
      <c r="A27" s="11" t="s">
        <v>160</v>
      </c>
      <c r="B27" s="13">
        <v>5299</v>
      </c>
      <c r="C27" s="14">
        <f>(4441/B27*100)</f>
        <v>83.808265710511421</v>
      </c>
      <c r="D27" s="15">
        <v>858</v>
      </c>
      <c r="E27" s="14">
        <v>69.138540469999995</v>
      </c>
      <c r="F27" s="16">
        <v>1.6005157299999999</v>
      </c>
      <c r="G27" s="14">
        <v>30.861459530000001</v>
      </c>
      <c r="H27" s="16">
        <v>1.6005157299999999</v>
      </c>
      <c r="I27" s="14" t="s">
        <v>139</v>
      </c>
      <c r="J27" s="16" t="s">
        <v>139</v>
      </c>
      <c r="K27" s="14">
        <v>0</v>
      </c>
      <c r="L27" s="16">
        <v>0</v>
      </c>
      <c r="M27" s="14">
        <v>0</v>
      </c>
      <c r="N27" s="16">
        <v>0</v>
      </c>
      <c r="O27" s="14">
        <v>0</v>
      </c>
      <c r="P27" s="16">
        <v>0</v>
      </c>
      <c r="Q27" s="14">
        <v>0</v>
      </c>
      <c r="R27" s="16">
        <v>0</v>
      </c>
    </row>
    <row r="28" spans="1:18" x14ac:dyDescent="0.25">
      <c r="A28" s="11" t="s">
        <v>161</v>
      </c>
      <c r="B28" s="13">
        <v>7568</v>
      </c>
      <c r="C28" s="14">
        <f>(6479/B28*100)</f>
        <v>85.610465116279073</v>
      </c>
      <c r="D28" s="15">
        <v>1089</v>
      </c>
      <c r="E28" s="14">
        <v>70.780904390000003</v>
      </c>
      <c r="F28" s="16">
        <v>1.5650719099999999</v>
      </c>
      <c r="G28" s="14">
        <v>29.21909561</v>
      </c>
      <c r="H28" s="16">
        <v>1.5650719099999999</v>
      </c>
      <c r="I28" s="14" t="s">
        <v>139</v>
      </c>
      <c r="J28" s="16" t="s">
        <v>139</v>
      </c>
      <c r="K28" s="14">
        <v>0</v>
      </c>
      <c r="L28" s="16">
        <v>0</v>
      </c>
      <c r="M28" s="14">
        <v>0</v>
      </c>
      <c r="N28" s="16">
        <v>0</v>
      </c>
      <c r="O28" s="14">
        <v>0</v>
      </c>
      <c r="P28" s="16">
        <v>0</v>
      </c>
      <c r="Q28" s="14">
        <v>0</v>
      </c>
      <c r="R28" s="16">
        <v>0</v>
      </c>
    </row>
    <row r="29" spans="1:18" x14ac:dyDescent="0.25">
      <c r="A29" s="11" t="s">
        <v>162</v>
      </c>
      <c r="B29" s="13">
        <v>5385</v>
      </c>
      <c r="C29" s="14">
        <f>(4470/B29*100)</f>
        <v>83.008356545961007</v>
      </c>
      <c r="D29" s="15">
        <v>915</v>
      </c>
      <c r="E29" s="14">
        <v>56.928388159999997</v>
      </c>
      <c r="F29" s="16">
        <v>1.5274293699999999</v>
      </c>
      <c r="G29" s="14">
        <v>43.071611840000003</v>
      </c>
      <c r="H29" s="16">
        <v>1.5274293699999999</v>
      </c>
      <c r="I29" s="14" t="s">
        <v>139</v>
      </c>
      <c r="J29" s="16" t="s">
        <v>139</v>
      </c>
      <c r="K29" s="14">
        <v>0</v>
      </c>
      <c r="L29" s="16">
        <v>0</v>
      </c>
      <c r="M29" s="14">
        <v>0</v>
      </c>
      <c r="N29" s="16">
        <v>0</v>
      </c>
      <c r="O29" s="14">
        <v>0</v>
      </c>
      <c r="P29" s="16">
        <v>0</v>
      </c>
      <c r="Q29" s="14">
        <v>0</v>
      </c>
      <c r="R29" s="16">
        <v>0</v>
      </c>
    </row>
    <row r="30" spans="1:18" x14ac:dyDescent="0.25">
      <c r="A30" s="11" t="s">
        <v>163</v>
      </c>
      <c r="B30" s="13">
        <v>4520</v>
      </c>
      <c r="C30" s="14">
        <f>(3779/B30*100)</f>
        <v>83.606194690265482</v>
      </c>
      <c r="D30" s="15">
        <v>741</v>
      </c>
      <c r="E30" s="14">
        <v>52.714939080000001</v>
      </c>
      <c r="F30" s="16">
        <v>1.9384595499999999</v>
      </c>
      <c r="G30" s="14">
        <v>47.285060919999999</v>
      </c>
      <c r="H30" s="16">
        <v>1.9384595499999999</v>
      </c>
      <c r="I30" s="14" t="s">
        <v>139</v>
      </c>
      <c r="J30" s="16" t="s">
        <v>139</v>
      </c>
      <c r="K30" s="14">
        <v>0</v>
      </c>
      <c r="L30" s="16">
        <v>0</v>
      </c>
      <c r="M30" s="14">
        <v>0</v>
      </c>
      <c r="N30" s="16">
        <v>0</v>
      </c>
      <c r="O30" s="14">
        <v>0</v>
      </c>
      <c r="P30" s="16">
        <v>0</v>
      </c>
      <c r="Q30" s="14">
        <v>0</v>
      </c>
      <c r="R30" s="16">
        <v>0</v>
      </c>
    </row>
    <row r="31" spans="1:18" x14ac:dyDescent="0.25">
      <c r="A31" s="11" t="s">
        <v>164</v>
      </c>
      <c r="B31" s="13">
        <v>5456</v>
      </c>
      <c r="C31" s="14">
        <f>(4579/B31*100)</f>
        <v>83.925953079178882</v>
      </c>
      <c r="D31" s="15">
        <v>877</v>
      </c>
      <c r="E31" s="14">
        <v>64.384718079999999</v>
      </c>
      <c r="F31" s="16">
        <v>1.8771854800000001</v>
      </c>
      <c r="G31" s="14">
        <v>35.615281920000001</v>
      </c>
      <c r="H31" s="16">
        <v>1.8771854800000001</v>
      </c>
      <c r="I31" s="14" t="s">
        <v>139</v>
      </c>
      <c r="J31" s="16" t="s">
        <v>139</v>
      </c>
      <c r="K31" s="14">
        <v>0</v>
      </c>
      <c r="L31" s="16">
        <v>0</v>
      </c>
      <c r="M31" s="14">
        <v>0</v>
      </c>
      <c r="N31" s="16">
        <v>0</v>
      </c>
      <c r="O31" s="14">
        <v>0</v>
      </c>
      <c r="P31" s="16">
        <v>0</v>
      </c>
      <c r="Q31" s="14">
        <v>0</v>
      </c>
      <c r="R31" s="16">
        <v>0</v>
      </c>
    </row>
    <row r="32" spans="1:18" x14ac:dyDescent="0.25">
      <c r="A32" s="11" t="s">
        <v>165</v>
      </c>
      <c r="B32" s="17" t="s">
        <v>154</v>
      </c>
      <c r="C32" s="17" t="s">
        <v>154</v>
      </c>
      <c r="D32" s="18" t="s">
        <v>154</v>
      </c>
      <c r="E32" s="17" t="s">
        <v>154</v>
      </c>
      <c r="F32" s="18" t="s">
        <v>154</v>
      </c>
      <c r="G32" s="17" t="s">
        <v>154</v>
      </c>
      <c r="H32" s="18" t="s">
        <v>154</v>
      </c>
      <c r="I32" s="17" t="s">
        <v>154</v>
      </c>
      <c r="J32" s="18" t="s">
        <v>154</v>
      </c>
      <c r="K32" s="17" t="s">
        <v>154</v>
      </c>
      <c r="L32" s="18" t="s">
        <v>154</v>
      </c>
      <c r="M32" s="17" t="s">
        <v>154</v>
      </c>
      <c r="N32" s="18" t="s">
        <v>154</v>
      </c>
      <c r="O32" s="17" t="s">
        <v>154</v>
      </c>
      <c r="P32" s="18" t="s">
        <v>154</v>
      </c>
      <c r="Q32" s="17" t="s">
        <v>154</v>
      </c>
      <c r="R32" s="18" t="s">
        <v>154</v>
      </c>
    </row>
    <row r="33" spans="1:18" x14ac:dyDescent="0.25">
      <c r="A33" s="11" t="s">
        <v>166</v>
      </c>
      <c r="B33" s="13">
        <v>7325</v>
      </c>
      <c r="C33" s="14">
        <f>(6194/B33*100)</f>
        <v>84.559726962457333</v>
      </c>
      <c r="D33" s="15">
        <v>1131</v>
      </c>
      <c r="E33" s="14">
        <v>63.817112829999999</v>
      </c>
      <c r="F33" s="16">
        <v>1.57327408</v>
      </c>
      <c r="G33" s="14">
        <v>36.182887170000001</v>
      </c>
      <c r="H33" s="16">
        <v>1.57327408</v>
      </c>
      <c r="I33" s="14" t="s">
        <v>139</v>
      </c>
      <c r="J33" s="16" t="s">
        <v>139</v>
      </c>
      <c r="K33" s="14">
        <v>0</v>
      </c>
      <c r="L33" s="16">
        <v>0</v>
      </c>
      <c r="M33" s="14">
        <v>0</v>
      </c>
      <c r="N33" s="16">
        <v>0</v>
      </c>
      <c r="O33" s="14">
        <v>0</v>
      </c>
      <c r="P33" s="16">
        <v>0</v>
      </c>
      <c r="Q33" s="14">
        <v>0</v>
      </c>
      <c r="R33" s="16">
        <v>0</v>
      </c>
    </row>
    <row r="34" spans="1:18" x14ac:dyDescent="0.25">
      <c r="A34" s="11" t="s">
        <v>167</v>
      </c>
      <c r="B34" s="13">
        <v>6350</v>
      </c>
      <c r="C34" s="14">
        <f>(5345/B34*100)</f>
        <v>84.173228346456696</v>
      </c>
      <c r="D34" s="15">
        <v>1005</v>
      </c>
      <c r="E34" s="14">
        <v>72.833466580000007</v>
      </c>
      <c r="F34" s="16">
        <v>1.3970623600000001</v>
      </c>
      <c r="G34" s="14">
        <v>27.16653342</v>
      </c>
      <c r="H34" s="16">
        <v>1.3970623600000001</v>
      </c>
      <c r="I34" s="14" t="s">
        <v>139</v>
      </c>
      <c r="J34" s="16" t="s">
        <v>139</v>
      </c>
      <c r="K34" s="14">
        <v>0</v>
      </c>
      <c r="L34" s="16">
        <v>0</v>
      </c>
      <c r="M34" s="14">
        <v>0</v>
      </c>
      <c r="N34" s="16">
        <v>0</v>
      </c>
      <c r="O34" s="14">
        <v>0</v>
      </c>
      <c r="P34" s="16">
        <v>0</v>
      </c>
      <c r="Q34" s="14">
        <v>0</v>
      </c>
      <c r="R34" s="16">
        <v>0</v>
      </c>
    </row>
    <row r="35" spans="1:18" x14ac:dyDescent="0.25">
      <c r="A35" s="11" t="s">
        <v>168</v>
      </c>
      <c r="B35" s="13">
        <v>6406</v>
      </c>
      <c r="C35" s="14">
        <f>(5316/B35*100)</f>
        <v>82.9847018420231</v>
      </c>
      <c r="D35" s="15">
        <v>1090</v>
      </c>
      <c r="E35" s="14">
        <v>63.282670189999997</v>
      </c>
      <c r="F35" s="16">
        <v>1.89603524</v>
      </c>
      <c r="G35" s="14">
        <v>36.717329810000003</v>
      </c>
      <c r="H35" s="16">
        <v>1.89603524</v>
      </c>
      <c r="I35" s="14" t="s">
        <v>139</v>
      </c>
      <c r="J35" s="16" t="s">
        <v>139</v>
      </c>
      <c r="K35" s="14">
        <v>0</v>
      </c>
      <c r="L35" s="16">
        <v>0</v>
      </c>
      <c r="M35" s="14">
        <v>0</v>
      </c>
      <c r="N35" s="16">
        <v>0</v>
      </c>
      <c r="O35" s="14">
        <v>0</v>
      </c>
      <c r="P35" s="16">
        <v>0</v>
      </c>
      <c r="Q35" s="14">
        <v>0</v>
      </c>
      <c r="R35" s="16">
        <v>0</v>
      </c>
    </row>
    <row r="36" spans="1:18" x14ac:dyDescent="0.25">
      <c r="A36" s="11" t="s">
        <v>169</v>
      </c>
      <c r="B36" s="13">
        <v>6736</v>
      </c>
      <c r="C36" s="14">
        <f>(5652/B36*100)</f>
        <v>83.907363420427544</v>
      </c>
      <c r="D36" s="15">
        <v>1084</v>
      </c>
      <c r="E36" s="14">
        <v>62.507372089999997</v>
      </c>
      <c r="F36" s="16">
        <v>1.7237609300000001</v>
      </c>
      <c r="G36" s="14">
        <v>37.492627910000003</v>
      </c>
      <c r="H36" s="16">
        <v>1.7237609300000001</v>
      </c>
      <c r="I36" s="14" t="s">
        <v>139</v>
      </c>
      <c r="J36" s="16" t="s">
        <v>139</v>
      </c>
      <c r="K36" s="14">
        <v>0</v>
      </c>
      <c r="L36" s="16">
        <v>0</v>
      </c>
      <c r="M36" s="14">
        <v>0</v>
      </c>
      <c r="N36" s="16">
        <v>0</v>
      </c>
      <c r="O36" s="14">
        <v>0</v>
      </c>
      <c r="P36" s="16">
        <v>0</v>
      </c>
      <c r="Q36" s="14">
        <v>0</v>
      </c>
      <c r="R36" s="16">
        <v>0</v>
      </c>
    </row>
    <row r="37" spans="1:18" x14ac:dyDescent="0.25">
      <c r="A37" s="11" t="s">
        <v>170</v>
      </c>
      <c r="B37" s="13">
        <v>5458</v>
      </c>
      <c r="C37" s="14">
        <f>(4608/B37*100)</f>
        <v>84.426529864419194</v>
      </c>
      <c r="D37" s="15">
        <v>850</v>
      </c>
      <c r="E37" s="14">
        <v>65.66116212</v>
      </c>
      <c r="F37" s="16">
        <v>1.73324451</v>
      </c>
      <c r="G37" s="14">
        <v>34.33883788</v>
      </c>
      <c r="H37" s="16">
        <v>1.73324451</v>
      </c>
      <c r="I37" s="14" t="s">
        <v>139</v>
      </c>
      <c r="J37" s="16" t="s">
        <v>139</v>
      </c>
      <c r="K37" s="14">
        <v>0</v>
      </c>
      <c r="L37" s="16">
        <v>0</v>
      </c>
      <c r="M37" s="14">
        <v>0</v>
      </c>
      <c r="N37" s="16">
        <v>0</v>
      </c>
      <c r="O37" s="14">
        <v>0</v>
      </c>
      <c r="P37" s="16">
        <v>0</v>
      </c>
      <c r="Q37" s="14">
        <v>0</v>
      </c>
      <c r="R37" s="16">
        <v>0</v>
      </c>
    </row>
    <row r="38" spans="1:18" x14ac:dyDescent="0.25">
      <c r="A38" s="11" t="s">
        <v>171</v>
      </c>
      <c r="B38" s="17" t="s">
        <v>154</v>
      </c>
      <c r="C38" s="17" t="s">
        <v>154</v>
      </c>
      <c r="D38" s="18" t="s">
        <v>154</v>
      </c>
      <c r="E38" s="17" t="s">
        <v>154</v>
      </c>
      <c r="F38" s="18" t="s">
        <v>154</v>
      </c>
      <c r="G38" s="17" t="s">
        <v>154</v>
      </c>
      <c r="H38" s="18" t="s">
        <v>154</v>
      </c>
      <c r="I38" s="17" t="s">
        <v>154</v>
      </c>
      <c r="J38" s="18" t="s">
        <v>154</v>
      </c>
      <c r="K38" s="17" t="s">
        <v>154</v>
      </c>
      <c r="L38" s="18" t="s">
        <v>154</v>
      </c>
      <c r="M38" s="17" t="s">
        <v>154</v>
      </c>
      <c r="N38" s="18" t="s">
        <v>154</v>
      </c>
      <c r="O38" s="17" t="s">
        <v>154</v>
      </c>
      <c r="P38" s="18" t="s">
        <v>154</v>
      </c>
      <c r="Q38" s="17" t="s">
        <v>154</v>
      </c>
      <c r="R38" s="18" t="s">
        <v>154</v>
      </c>
    </row>
    <row r="39" spans="1:18" x14ac:dyDescent="0.25">
      <c r="A39" s="11" t="s">
        <v>172</v>
      </c>
      <c r="B39" s="13">
        <v>5895</v>
      </c>
      <c r="C39" s="14">
        <f>(4875/B39*100)</f>
        <v>82.697201017811707</v>
      </c>
      <c r="D39" s="15">
        <v>1020</v>
      </c>
      <c r="E39" s="14">
        <v>80.847731449999998</v>
      </c>
      <c r="F39" s="16">
        <v>1.2996512899999999</v>
      </c>
      <c r="G39" s="14">
        <v>19.152268549999999</v>
      </c>
      <c r="H39" s="16">
        <v>1.2996512899999999</v>
      </c>
      <c r="I39" s="14" t="s">
        <v>139</v>
      </c>
      <c r="J39" s="16" t="s">
        <v>139</v>
      </c>
      <c r="K39" s="14">
        <v>0</v>
      </c>
      <c r="L39" s="16">
        <v>0</v>
      </c>
      <c r="M39" s="14">
        <v>0</v>
      </c>
      <c r="N39" s="16">
        <v>0</v>
      </c>
      <c r="O39" s="14">
        <v>0</v>
      </c>
      <c r="P39" s="16">
        <v>0</v>
      </c>
      <c r="Q39" s="14">
        <v>0</v>
      </c>
      <c r="R39" s="16">
        <v>0</v>
      </c>
    </row>
    <row r="40" spans="1:18" x14ac:dyDescent="0.25">
      <c r="A40" s="11" t="s">
        <v>173</v>
      </c>
      <c r="B40" s="13">
        <v>14157</v>
      </c>
      <c r="C40" s="14">
        <f>(11677/B40*100)</f>
        <v>82.482164300346113</v>
      </c>
      <c r="D40" s="15">
        <v>2480</v>
      </c>
      <c r="E40" s="14">
        <v>54.835622729999997</v>
      </c>
      <c r="F40" s="16">
        <v>1.6060881600000001</v>
      </c>
      <c r="G40" s="14">
        <v>45.164377270000003</v>
      </c>
      <c r="H40" s="16">
        <v>1.6060881600000001</v>
      </c>
      <c r="I40" s="14" t="s">
        <v>139</v>
      </c>
      <c r="J40" s="16" t="s">
        <v>139</v>
      </c>
      <c r="K40" s="14">
        <v>0</v>
      </c>
      <c r="L40" s="16">
        <v>0</v>
      </c>
      <c r="M40" s="14">
        <v>0</v>
      </c>
      <c r="N40" s="16">
        <v>0</v>
      </c>
      <c r="O40" s="14">
        <v>0</v>
      </c>
      <c r="P40" s="16">
        <v>0</v>
      </c>
      <c r="Q40" s="14">
        <v>0</v>
      </c>
      <c r="R40" s="16">
        <v>0</v>
      </c>
    </row>
    <row r="41" spans="1:18" x14ac:dyDescent="0.25">
      <c r="A41" s="11" t="s">
        <v>174</v>
      </c>
      <c r="B41" s="13">
        <v>5712</v>
      </c>
      <c r="C41" s="14">
        <f>(4807/B41*100)</f>
        <v>84.156162464985997</v>
      </c>
      <c r="D41" s="15">
        <v>905</v>
      </c>
      <c r="E41" s="14">
        <v>55.960898329999999</v>
      </c>
      <c r="F41" s="16">
        <v>1.63185358</v>
      </c>
      <c r="G41" s="14">
        <v>44.039101670000001</v>
      </c>
      <c r="H41" s="16">
        <v>1.63185358</v>
      </c>
      <c r="I41" s="14" t="s">
        <v>139</v>
      </c>
      <c r="J41" s="16" t="s">
        <v>139</v>
      </c>
      <c r="K41" s="14">
        <v>0</v>
      </c>
      <c r="L41" s="16">
        <v>0</v>
      </c>
      <c r="M41" s="14">
        <v>0</v>
      </c>
      <c r="N41" s="16">
        <v>0</v>
      </c>
      <c r="O41" s="14">
        <v>0</v>
      </c>
      <c r="P41" s="16">
        <v>0</v>
      </c>
      <c r="Q41" s="14">
        <v>0</v>
      </c>
      <c r="R41" s="16">
        <v>0</v>
      </c>
    </row>
    <row r="42" spans="1:18" x14ac:dyDescent="0.25">
      <c r="A42" s="11" t="s">
        <v>175</v>
      </c>
      <c r="B42" s="13">
        <f>IF(COUNT(B7:B41) &gt; 0, AVERAGE(B7:B41), "\u2014")</f>
        <v>7266.90625</v>
      </c>
      <c r="C42" s="14">
        <f>IF(COUNT(C7:C41) &gt; 0, AVERAGE(C7:C41), "—")</f>
        <v>83.651274497460449</v>
      </c>
      <c r="D42" s="15">
        <f>IF(COUNT(D7:D41) &gt; 0, AVERAGE(D7:D41), "—")</f>
        <v>1190.53125</v>
      </c>
      <c r="E42" s="14">
        <f>IF(COUNT(E7:E41) &gt; 0, AVERAGE(E7:E41), "—")</f>
        <v>62.503488651250009</v>
      </c>
      <c r="F42" s="16">
        <f>IF(COUNT(F7:F41) &gt; 0, SQRT(SUMSQ(F7:F41)/(COUNT(F7:F41)*COUNT(F7:F41)) ), "—")</f>
        <v>0.29078075980316831</v>
      </c>
      <c r="G42" s="14">
        <f>IF(COUNT(G7:G41) &gt; 0, AVERAGE(G7:G41), "—")</f>
        <v>37.496511348749998</v>
      </c>
      <c r="H42" s="16">
        <f>IF(COUNT(H7:H41) &gt; 0, SQRT(SUMSQ(H7:H41)/(COUNT(H7:H41)*COUNT(H7:H41)) ), "—")</f>
        <v>0.29078075980316831</v>
      </c>
      <c r="I42" s="14" t="str">
        <f>IF(COUNT(I7:I41) &gt; 0, AVERAGE(I7:I41), "—")</f>
        <v>—</v>
      </c>
      <c r="J42" s="16" t="str">
        <f>IF(COUNT(J7:J41) &gt; 0, SQRT(SUMSQ(J7:J41)/(COUNT(J7:J41)*COUNT(J7:J41)) ), "—")</f>
        <v>—</v>
      </c>
      <c r="K42" s="14">
        <f>IF(COUNT(K7:K41) &gt; 0, AVERAGE(K7:K41), "—")</f>
        <v>0</v>
      </c>
      <c r="L42" s="16">
        <f>IF(COUNT(L7:L41) &gt; 0, SQRT(SUMSQ(L7:L41)/(COUNT(L7:L41)*COUNT(L7:L41)) ), "—")</f>
        <v>0</v>
      </c>
      <c r="M42" s="14">
        <f>IF(COUNT(M7:M41) &gt; 0, AVERAGE(M7:M41), "—")</f>
        <v>0</v>
      </c>
      <c r="N42" s="16">
        <f>IF(COUNT(N7:N41) &gt; 0, SQRT(SUMSQ(N7:N41)/(COUNT(N7:N41)*COUNT(N7:N41)) ), "—")</f>
        <v>0</v>
      </c>
      <c r="O42" s="14">
        <f>IF(COUNT(O7:O41) &gt; 0, AVERAGE(O7:O41), "—")</f>
        <v>0</v>
      </c>
      <c r="P42" s="16">
        <f>IF(COUNT(P7:P41) &gt; 0, SQRT(SUMSQ(P7:P41)/(COUNT(P7:P41)*COUNT(P7:P41)) ), "—")</f>
        <v>0</v>
      </c>
      <c r="Q42" s="14">
        <f>IF(COUNT(Q7:Q41) &gt; 0, AVERAGE(Q7:Q41), "—")</f>
        <v>0</v>
      </c>
      <c r="R42" s="16">
        <f>IF(COUNT(R7:R41) &gt; 0, SQRT(SUMSQ(R7:R41)/(COUNT(R7:R41)*COUNT(R7:R41)) ), "—")</f>
        <v>0</v>
      </c>
    </row>
    <row r="43" spans="1:18" x14ac:dyDescent="0.25">
      <c r="A43" s="9" t="s">
        <v>176</v>
      </c>
      <c r="B43" s="10"/>
      <c r="C43" s="10"/>
      <c r="D43" s="11"/>
      <c r="E43" s="10"/>
      <c r="F43" s="11"/>
      <c r="G43" s="10"/>
      <c r="H43" s="11"/>
      <c r="I43" s="10"/>
      <c r="J43" s="11"/>
      <c r="K43" s="10"/>
      <c r="L43" s="11"/>
      <c r="M43" s="10"/>
      <c r="N43" s="11"/>
      <c r="O43" s="10"/>
      <c r="P43" s="11"/>
      <c r="Q43" s="10"/>
      <c r="R43" s="12"/>
    </row>
    <row r="44" spans="1:18" x14ac:dyDescent="0.25">
      <c r="A44" s="11" t="s">
        <v>177</v>
      </c>
      <c r="B44" s="17" t="s">
        <v>154</v>
      </c>
      <c r="C44" s="17" t="s">
        <v>154</v>
      </c>
      <c r="D44" s="18" t="s">
        <v>154</v>
      </c>
      <c r="E44" s="17" t="s">
        <v>154</v>
      </c>
      <c r="F44" s="18" t="s">
        <v>154</v>
      </c>
      <c r="G44" s="17" t="s">
        <v>154</v>
      </c>
      <c r="H44" s="18" t="s">
        <v>154</v>
      </c>
      <c r="I44" s="17" t="s">
        <v>154</v>
      </c>
      <c r="J44" s="18" t="s">
        <v>154</v>
      </c>
      <c r="K44" s="17" t="s">
        <v>154</v>
      </c>
      <c r="L44" s="18" t="s">
        <v>154</v>
      </c>
      <c r="M44" s="17" t="s">
        <v>154</v>
      </c>
      <c r="N44" s="18" t="s">
        <v>154</v>
      </c>
      <c r="O44" s="17" t="s">
        <v>154</v>
      </c>
      <c r="P44" s="18" t="s">
        <v>154</v>
      </c>
      <c r="Q44" s="17" t="s">
        <v>154</v>
      </c>
      <c r="R44" s="18" t="s">
        <v>154</v>
      </c>
    </row>
    <row r="45" spans="1:18" x14ac:dyDescent="0.25">
      <c r="A45" s="11" t="s">
        <v>178</v>
      </c>
      <c r="B45" s="17" t="s">
        <v>154</v>
      </c>
      <c r="C45" s="17" t="s">
        <v>154</v>
      </c>
      <c r="D45" s="18" t="s">
        <v>154</v>
      </c>
      <c r="E45" s="17" t="s">
        <v>154</v>
      </c>
      <c r="F45" s="18" t="s">
        <v>154</v>
      </c>
      <c r="G45" s="17" t="s">
        <v>154</v>
      </c>
      <c r="H45" s="18" t="s">
        <v>154</v>
      </c>
      <c r="I45" s="17" t="s">
        <v>154</v>
      </c>
      <c r="J45" s="18" t="s">
        <v>154</v>
      </c>
      <c r="K45" s="17" t="s">
        <v>154</v>
      </c>
      <c r="L45" s="18" t="s">
        <v>154</v>
      </c>
      <c r="M45" s="17" t="s">
        <v>154</v>
      </c>
      <c r="N45" s="18" t="s">
        <v>154</v>
      </c>
      <c r="O45" s="17" t="s">
        <v>154</v>
      </c>
      <c r="P45" s="18" t="s">
        <v>154</v>
      </c>
      <c r="Q45" s="17" t="s">
        <v>154</v>
      </c>
      <c r="R45" s="18" t="s">
        <v>154</v>
      </c>
    </row>
    <row r="46" spans="1:18" x14ac:dyDescent="0.25">
      <c r="A46" s="11" t="s">
        <v>179</v>
      </c>
      <c r="B46" s="13">
        <v>23141</v>
      </c>
      <c r="C46" s="14">
        <f>(20519/B46*100)</f>
        <v>88.669461129596812</v>
      </c>
      <c r="D46" s="15">
        <v>2622</v>
      </c>
      <c r="E46" s="14">
        <v>79.13028765</v>
      </c>
      <c r="F46" s="16">
        <v>0.94060843999999999</v>
      </c>
      <c r="G46" s="14">
        <v>20.86971235</v>
      </c>
      <c r="H46" s="16">
        <v>0.94060843999999999</v>
      </c>
      <c r="I46" s="14" t="s">
        <v>139</v>
      </c>
      <c r="J46" s="16" t="s">
        <v>139</v>
      </c>
      <c r="K46" s="14">
        <v>0</v>
      </c>
      <c r="L46" s="16">
        <v>0</v>
      </c>
      <c r="M46" s="14">
        <v>0</v>
      </c>
      <c r="N46" s="16">
        <v>0</v>
      </c>
      <c r="O46" s="14">
        <v>0</v>
      </c>
      <c r="P46" s="16">
        <v>0</v>
      </c>
      <c r="Q46" s="14">
        <v>0</v>
      </c>
      <c r="R46" s="16">
        <v>0</v>
      </c>
    </row>
    <row r="47" spans="1:18" x14ac:dyDescent="0.25">
      <c r="A47" s="11" t="s">
        <v>180</v>
      </c>
      <c r="B47" s="13">
        <v>5928</v>
      </c>
      <c r="C47" s="14">
        <f>(4996/B47*100)</f>
        <v>84.278002699055335</v>
      </c>
      <c r="D47" s="15">
        <v>932</v>
      </c>
      <c r="E47" s="14">
        <v>70.787659880000007</v>
      </c>
      <c r="F47" s="16">
        <v>1.4270234500000001</v>
      </c>
      <c r="G47" s="14">
        <v>29.21234012</v>
      </c>
      <c r="H47" s="16">
        <v>1.4270234500000001</v>
      </c>
      <c r="I47" s="14" t="s">
        <v>139</v>
      </c>
      <c r="J47" s="16" t="s">
        <v>139</v>
      </c>
      <c r="K47" s="14">
        <v>0</v>
      </c>
      <c r="L47" s="16">
        <v>0</v>
      </c>
      <c r="M47" s="14">
        <v>0</v>
      </c>
      <c r="N47" s="16">
        <v>0</v>
      </c>
      <c r="O47" s="14">
        <v>0</v>
      </c>
      <c r="P47" s="16">
        <v>0</v>
      </c>
      <c r="Q47" s="14">
        <v>0</v>
      </c>
      <c r="R47" s="16">
        <v>0</v>
      </c>
    </row>
    <row r="48" spans="1:18" x14ac:dyDescent="0.25">
      <c r="A48" s="11" t="s">
        <v>181</v>
      </c>
      <c r="B48" s="13">
        <v>9841</v>
      </c>
      <c r="C48" s="14">
        <f>(8165/B48*100)</f>
        <v>82.969210446092873</v>
      </c>
      <c r="D48" s="15">
        <v>1676</v>
      </c>
      <c r="E48" s="14">
        <v>61.743575139999997</v>
      </c>
      <c r="F48" s="16">
        <v>1.40183612</v>
      </c>
      <c r="G48" s="14">
        <v>38.256424860000003</v>
      </c>
      <c r="H48" s="16">
        <v>1.40183612</v>
      </c>
      <c r="I48" s="14" t="s">
        <v>139</v>
      </c>
      <c r="J48" s="16" t="s">
        <v>139</v>
      </c>
      <c r="K48" s="14">
        <v>0</v>
      </c>
      <c r="L48" s="16">
        <v>0</v>
      </c>
      <c r="M48" s="14">
        <v>0</v>
      </c>
      <c r="N48" s="16">
        <v>0</v>
      </c>
      <c r="O48" s="14">
        <v>0</v>
      </c>
      <c r="P48" s="16">
        <v>0</v>
      </c>
      <c r="Q48" s="14">
        <v>0</v>
      </c>
      <c r="R48" s="16">
        <v>0</v>
      </c>
    </row>
    <row r="49" spans="1:18" x14ac:dyDescent="0.25">
      <c r="A49" s="11" t="s">
        <v>182</v>
      </c>
      <c r="B49" s="17" t="s">
        <v>154</v>
      </c>
      <c r="C49" s="17" t="s">
        <v>154</v>
      </c>
      <c r="D49" s="18" t="s">
        <v>154</v>
      </c>
      <c r="E49" s="17" t="s">
        <v>154</v>
      </c>
      <c r="F49" s="18" t="s">
        <v>154</v>
      </c>
      <c r="G49" s="17" t="s">
        <v>154</v>
      </c>
      <c r="H49" s="18" t="s">
        <v>154</v>
      </c>
      <c r="I49" s="17" t="s">
        <v>154</v>
      </c>
      <c r="J49" s="18" t="s">
        <v>154</v>
      </c>
      <c r="K49" s="17" t="s">
        <v>154</v>
      </c>
      <c r="L49" s="18" t="s">
        <v>154</v>
      </c>
      <c r="M49" s="17" t="s">
        <v>154</v>
      </c>
      <c r="N49" s="18" t="s">
        <v>154</v>
      </c>
      <c r="O49" s="17" t="s">
        <v>154</v>
      </c>
      <c r="P49" s="18" t="s">
        <v>154</v>
      </c>
      <c r="Q49" s="17" t="s">
        <v>154</v>
      </c>
      <c r="R49" s="18" t="s">
        <v>154</v>
      </c>
    </row>
    <row r="50" spans="1:18" x14ac:dyDescent="0.25">
      <c r="A50" s="11" t="s">
        <v>183</v>
      </c>
      <c r="B50" s="13">
        <v>11795</v>
      </c>
      <c r="C50" s="14">
        <f>(9985/B50*100)</f>
        <v>84.654514624841042</v>
      </c>
      <c r="D50" s="15">
        <v>1810</v>
      </c>
      <c r="E50" s="14">
        <v>79.125439319999998</v>
      </c>
      <c r="F50" s="16">
        <v>1.20329577</v>
      </c>
      <c r="G50" s="14">
        <v>20.874560679999998</v>
      </c>
      <c r="H50" s="16">
        <v>1.20329577</v>
      </c>
      <c r="I50" s="14" t="s">
        <v>139</v>
      </c>
      <c r="J50" s="16" t="s">
        <v>139</v>
      </c>
      <c r="K50" s="14">
        <v>0</v>
      </c>
      <c r="L50" s="16">
        <v>0</v>
      </c>
      <c r="M50" s="14">
        <v>0</v>
      </c>
      <c r="N50" s="16">
        <v>0</v>
      </c>
      <c r="O50" s="14">
        <v>0</v>
      </c>
      <c r="P50" s="16">
        <v>0</v>
      </c>
      <c r="Q50" s="14">
        <v>0</v>
      </c>
      <c r="R50" s="16">
        <v>0</v>
      </c>
    </row>
    <row r="51" spans="1:18" x14ac:dyDescent="0.25">
      <c r="A51" s="11" t="s">
        <v>184</v>
      </c>
      <c r="B51" s="13">
        <v>6866</v>
      </c>
      <c r="C51" s="14">
        <f>(5942/B51*100)</f>
        <v>86.542382755607335</v>
      </c>
      <c r="D51" s="15">
        <v>924</v>
      </c>
      <c r="E51" s="14">
        <v>73.4784808</v>
      </c>
      <c r="F51" s="16">
        <v>1.7456666199999999</v>
      </c>
      <c r="G51" s="14">
        <v>26.5215192</v>
      </c>
      <c r="H51" s="16">
        <v>1.7456666199999999</v>
      </c>
      <c r="I51" s="14" t="s">
        <v>139</v>
      </c>
      <c r="J51" s="16" t="s">
        <v>139</v>
      </c>
      <c r="K51" s="14">
        <v>0</v>
      </c>
      <c r="L51" s="16">
        <v>0</v>
      </c>
      <c r="M51" s="14">
        <v>0</v>
      </c>
      <c r="N51" s="16">
        <v>0</v>
      </c>
      <c r="O51" s="14">
        <v>0</v>
      </c>
      <c r="P51" s="16">
        <v>0</v>
      </c>
      <c r="Q51" s="14">
        <v>0</v>
      </c>
      <c r="R51" s="16">
        <v>0</v>
      </c>
    </row>
    <row r="52" spans="1:18" x14ac:dyDescent="0.25">
      <c r="A52" s="11" t="s">
        <v>185</v>
      </c>
      <c r="B52" s="13">
        <v>5809</v>
      </c>
      <c r="C52" s="14">
        <f>(4824/B52*100)</f>
        <v>83.043553107247376</v>
      </c>
      <c r="D52" s="15">
        <v>985</v>
      </c>
      <c r="E52" s="14">
        <v>71.266789959999997</v>
      </c>
      <c r="F52" s="16">
        <v>1.50427858</v>
      </c>
      <c r="G52" s="14">
        <v>28.733210039999999</v>
      </c>
      <c r="H52" s="16">
        <v>1.50427858</v>
      </c>
      <c r="I52" s="14" t="s">
        <v>139</v>
      </c>
      <c r="J52" s="16" t="s">
        <v>139</v>
      </c>
      <c r="K52" s="14">
        <v>0</v>
      </c>
      <c r="L52" s="16">
        <v>0</v>
      </c>
      <c r="M52" s="14">
        <v>0</v>
      </c>
      <c r="N52" s="16">
        <v>0</v>
      </c>
      <c r="O52" s="14">
        <v>0</v>
      </c>
      <c r="P52" s="16">
        <v>0</v>
      </c>
      <c r="Q52" s="14">
        <v>0</v>
      </c>
      <c r="R52" s="16">
        <v>0</v>
      </c>
    </row>
    <row r="53" spans="1:18" x14ac:dyDescent="0.25">
      <c r="A53" s="11" t="s">
        <v>186</v>
      </c>
      <c r="B53" s="13">
        <v>5571</v>
      </c>
      <c r="C53" s="14">
        <f>(4639/B53*100)</f>
        <v>83.270507987793934</v>
      </c>
      <c r="D53" s="15">
        <v>932</v>
      </c>
      <c r="E53" s="14">
        <v>72.911992519999998</v>
      </c>
      <c r="F53" s="16">
        <v>1.6420427399999999</v>
      </c>
      <c r="G53" s="14">
        <v>27.088007480000002</v>
      </c>
      <c r="H53" s="16">
        <v>1.6420427399999999</v>
      </c>
      <c r="I53" s="14" t="s">
        <v>139</v>
      </c>
      <c r="J53" s="16" t="s">
        <v>139</v>
      </c>
      <c r="K53" s="14">
        <v>0</v>
      </c>
      <c r="L53" s="16">
        <v>0</v>
      </c>
      <c r="M53" s="14">
        <v>0</v>
      </c>
      <c r="N53" s="16">
        <v>0</v>
      </c>
      <c r="O53" s="14">
        <v>0</v>
      </c>
      <c r="P53" s="16">
        <v>0</v>
      </c>
      <c r="Q53" s="14">
        <v>0</v>
      </c>
      <c r="R53" s="16">
        <v>0</v>
      </c>
    </row>
    <row r="54" spans="1:18" x14ac:dyDescent="0.25">
      <c r="A54" s="11" t="s">
        <v>187</v>
      </c>
      <c r="B54" s="17" t="s">
        <v>154</v>
      </c>
      <c r="C54" s="17" t="s">
        <v>154</v>
      </c>
      <c r="D54" s="18" t="s">
        <v>154</v>
      </c>
      <c r="E54" s="17" t="s">
        <v>154</v>
      </c>
      <c r="F54" s="18" t="s">
        <v>154</v>
      </c>
      <c r="G54" s="17" t="s">
        <v>154</v>
      </c>
      <c r="H54" s="18" t="s">
        <v>154</v>
      </c>
      <c r="I54" s="17" t="s">
        <v>154</v>
      </c>
      <c r="J54" s="18" t="s">
        <v>154</v>
      </c>
      <c r="K54" s="17" t="s">
        <v>154</v>
      </c>
      <c r="L54" s="18" t="s">
        <v>154</v>
      </c>
      <c r="M54" s="17" t="s">
        <v>154</v>
      </c>
      <c r="N54" s="18" t="s">
        <v>154</v>
      </c>
      <c r="O54" s="17" t="s">
        <v>154</v>
      </c>
      <c r="P54" s="18" t="s">
        <v>154</v>
      </c>
      <c r="Q54" s="17" t="s">
        <v>154</v>
      </c>
      <c r="R54" s="18" t="s">
        <v>154</v>
      </c>
    </row>
    <row r="55" spans="1:18" x14ac:dyDescent="0.25">
      <c r="A55" s="11" t="s">
        <v>188</v>
      </c>
      <c r="B55" s="17" t="s">
        <v>154</v>
      </c>
      <c r="C55" s="17" t="s">
        <v>154</v>
      </c>
      <c r="D55" s="18" t="s">
        <v>154</v>
      </c>
      <c r="E55" s="17" t="s">
        <v>154</v>
      </c>
      <c r="F55" s="18" t="s">
        <v>154</v>
      </c>
      <c r="G55" s="17" t="s">
        <v>154</v>
      </c>
      <c r="H55" s="18" t="s">
        <v>154</v>
      </c>
      <c r="I55" s="17" t="s">
        <v>154</v>
      </c>
      <c r="J55" s="18" t="s">
        <v>154</v>
      </c>
      <c r="K55" s="17" t="s">
        <v>154</v>
      </c>
      <c r="L55" s="18" t="s">
        <v>154</v>
      </c>
      <c r="M55" s="17" t="s">
        <v>154</v>
      </c>
      <c r="N55" s="18" t="s">
        <v>154</v>
      </c>
      <c r="O55" s="17" t="s">
        <v>154</v>
      </c>
      <c r="P55" s="18" t="s">
        <v>154</v>
      </c>
      <c r="Q55" s="17" t="s">
        <v>154</v>
      </c>
      <c r="R55" s="18" t="s">
        <v>154</v>
      </c>
    </row>
    <row r="56" spans="1:18" x14ac:dyDescent="0.25">
      <c r="A56" s="11" t="s">
        <v>189</v>
      </c>
      <c r="B56" s="13">
        <v>5359</v>
      </c>
      <c r="C56" s="14">
        <f>(4451/B56*100)</f>
        <v>83.056540399328242</v>
      </c>
      <c r="D56" s="15">
        <v>908</v>
      </c>
      <c r="E56" s="14">
        <v>50.224818059999997</v>
      </c>
      <c r="F56" s="16">
        <v>1.63733423</v>
      </c>
      <c r="G56" s="14">
        <v>49.775181940000003</v>
      </c>
      <c r="H56" s="16">
        <v>1.63733423</v>
      </c>
      <c r="I56" s="14" t="s">
        <v>139</v>
      </c>
      <c r="J56" s="16" t="s">
        <v>139</v>
      </c>
      <c r="K56" s="14">
        <v>0</v>
      </c>
      <c r="L56" s="16">
        <v>0</v>
      </c>
      <c r="M56" s="14">
        <v>0</v>
      </c>
      <c r="N56" s="16">
        <v>0</v>
      </c>
      <c r="O56" s="14">
        <v>0</v>
      </c>
      <c r="P56" s="16">
        <v>0</v>
      </c>
      <c r="Q56" s="14">
        <v>0</v>
      </c>
      <c r="R56" s="16">
        <v>0</v>
      </c>
    </row>
    <row r="57" spans="1:18" x14ac:dyDescent="0.25">
      <c r="A57" s="11" t="s">
        <v>190</v>
      </c>
      <c r="B57" s="17" t="s">
        <v>154</v>
      </c>
      <c r="C57" s="17" t="s">
        <v>154</v>
      </c>
      <c r="D57" s="18" t="s">
        <v>154</v>
      </c>
      <c r="E57" s="17" t="s">
        <v>154</v>
      </c>
      <c r="F57" s="18" t="s">
        <v>154</v>
      </c>
      <c r="G57" s="17" t="s">
        <v>154</v>
      </c>
      <c r="H57" s="18" t="s">
        <v>154</v>
      </c>
      <c r="I57" s="17" t="s">
        <v>154</v>
      </c>
      <c r="J57" s="18" t="s">
        <v>154</v>
      </c>
      <c r="K57" s="17" t="s">
        <v>154</v>
      </c>
      <c r="L57" s="18" t="s">
        <v>154</v>
      </c>
      <c r="M57" s="17" t="s">
        <v>154</v>
      </c>
      <c r="N57" s="18" t="s">
        <v>154</v>
      </c>
      <c r="O57" s="17" t="s">
        <v>154</v>
      </c>
      <c r="P57" s="18" t="s">
        <v>154</v>
      </c>
      <c r="Q57" s="17" t="s">
        <v>154</v>
      </c>
      <c r="R57" s="18" t="s">
        <v>154</v>
      </c>
    </row>
    <row r="58" spans="1:18" x14ac:dyDescent="0.25">
      <c r="A58" s="11" t="s">
        <v>191</v>
      </c>
      <c r="B58" s="17" t="s">
        <v>154</v>
      </c>
      <c r="C58" s="17" t="s">
        <v>154</v>
      </c>
      <c r="D58" s="18" t="s">
        <v>154</v>
      </c>
      <c r="E58" s="17" t="s">
        <v>154</v>
      </c>
      <c r="F58" s="18" t="s">
        <v>154</v>
      </c>
      <c r="G58" s="17" t="s">
        <v>154</v>
      </c>
      <c r="H58" s="18" t="s">
        <v>154</v>
      </c>
      <c r="I58" s="17" t="s">
        <v>154</v>
      </c>
      <c r="J58" s="18" t="s">
        <v>154</v>
      </c>
      <c r="K58" s="17" t="s">
        <v>154</v>
      </c>
      <c r="L58" s="18" t="s">
        <v>154</v>
      </c>
      <c r="M58" s="17" t="s">
        <v>154</v>
      </c>
      <c r="N58" s="18" t="s">
        <v>154</v>
      </c>
      <c r="O58" s="17" t="s">
        <v>154</v>
      </c>
      <c r="P58" s="18" t="s">
        <v>154</v>
      </c>
      <c r="Q58" s="17" t="s">
        <v>154</v>
      </c>
      <c r="R58" s="18" t="s">
        <v>154</v>
      </c>
    </row>
    <row r="59" spans="1:18" x14ac:dyDescent="0.25">
      <c r="A59" s="11" t="s">
        <v>192</v>
      </c>
      <c r="B59" s="17" t="s">
        <v>154</v>
      </c>
      <c r="C59" s="17" t="s">
        <v>154</v>
      </c>
      <c r="D59" s="18" t="s">
        <v>154</v>
      </c>
      <c r="E59" s="17" t="s">
        <v>154</v>
      </c>
      <c r="F59" s="18" t="s">
        <v>154</v>
      </c>
      <c r="G59" s="17" t="s">
        <v>154</v>
      </c>
      <c r="H59" s="18" t="s">
        <v>154</v>
      </c>
      <c r="I59" s="17" t="s">
        <v>154</v>
      </c>
      <c r="J59" s="18" t="s">
        <v>154</v>
      </c>
      <c r="K59" s="17" t="s">
        <v>154</v>
      </c>
      <c r="L59" s="18" t="s">
        <v>154</v>
      </c>
      <c r="M59" s="17" t="s">
        <v>154</v>
      </c>
      <c r="N59" s="18" t="s">
        <v>154</v>
      </c>
      <c r="O59" s="17" t="s">
        <v>154</v>
      </c>
      <c r="P59" s="18" t="s">
        <v>154</v>
      </c>
      <c r="Q59" s="17" t="s">
        <v>154</v>
      </c>
      <c r="R59" s="18" t="s">
        <v>154</v>
      </c>
    </row>
    <row r="60" spans="1:18" x14ac:dyDescent="0.25">
      <c r="A60" s="11" t="s">
        <v>193</v>
      </c>
      <c r="B60" s="17" t="s">
        <v>154</v>
      </c>
      <c r="C60" s="17" t="s">
        <v>154</v>
      </c>
      <c r="D60" s="18" t="s">
        <v>154</v>
      </c>
      <c r="E60" s="17" t="s">
        <v>154</v>
      </c>
      <c r="F60" s="18" t="s">
        <v>154</v>
      </c>
      <c r="G60" s="17" t="s">
        <v>154</v>
      </c>
      <c r="H60" s="18" t="s">
        <v>154</v>
      </c>
      <c r="I60" s="17" t="s">
        <v>154</v>
      </c>
      <c r="J60" s="18" t="s">
        <v>154</v>
      </c>
      <c r="K60" s="17" t="s">
        <v>154</v>
      </c>
      <c r="L60" s="18" t="s">
        <v>154</v>
      </c>
      <c r="M60" s="17" t="s">
        <v>154</v>
      </c>
      <c r="N60" s="18" t="s">
        <v>154</v>
      </c>
      <c r="O60" s="17" t="s">
        <v>154</v>
      </c>
      <c r="P60" s="18" t="s">
        <v>154</v>
      </c>
      <c r="Q60" s="17" t="s">
        <v>154</v>
      </c>
      <c r="R60" s="18" t="s">
        <v>154</v>
      </c>
    </row>
    <row r="61" spans="1:18" x14ac:dyDescent="0.25">
      <c r="A61" s="11" t="s">
        <v>194</v>
      </c>
      <c r="B61" s="13">
        <v>6525</v>
      </c>
      <c r="C61" s="14">
        <f>(5436/B61*100)</f>
        <v>83.310344827586206</v>
      </c>
      <c r="D61" s="15">
        <v>1089</v>
      </c>
      <c r="E61" s="14">
        <v>63.14108951</v>
      </c>
      <c r="F61" s="16">
        <v>1.56264957</v>
      </c>
      <c r="G61" s="14">
        <v>36.85891049</v>
      </c>
      <c r="H61" s="16">
        <v>1.56264957</v>
      </c>
      <c r="I61" s="14" t="s">
        <v>139</v>
      </c>
      <c r="J61" s="16" t="s">
        <v>139</v>
      </c>
      <c r="K61" s="14">
        <v>0</v>
      </c>
      <c r="L61" s="16">
        <v>0</v>
      </c>
      <c r="M61" s="14">
        <v>0</v>
      </c>
      <c r="N61" s="16">
        <v>0</v>
      </c>
      <c r="O61" s="14">
        <v>0</v>
      </c>
      <c r="P61" s="16">
        <v>0</v>
      </c>
      <c r="Q61" s="14">
        <v>0</v>
      </c>
      <c r="R61" s="16">
        <v>0</v>
      </c>
    </row>
    <row r="62" spans="1:18" x14ac:dyDescent="0.25">
      <c r="A62" s="11" t="s">
        <v>195</v>
      </c>
      <c r="B62" s="13">
        <v>4476</v>
      </c>
      <c r="C62" s="14">
        <f>(3709/B62*100)</f>
        <v>82.864164432529037</v>
      </c>
      <c r="D62" s="15">
        <v>767</v>
      </c>
      <c r="E62" s="14">
        <v>48.03463318</v>
      </c>
      <c r="F62" s="16">
        <v>1.8275292000000001</v>
      </c>
      <c r="G62" s="14">
        <v>51.96536682</v>
      </c>
      <c r="H62" s="16">
        <v>1.8275292000000001</v>
      </c>
      <c r="I62" s="14" t="s">
        <v>139</v>
      </c>
      <c r="J62" s="16" t="s">
        <v>139</v>
      </c>
      <c r="K62" s="14">
        <v>0</v>
      </c>
      <c r="L62" s="16">
        <v>0</v>
      </c>
      <c r="M62" s="14">
        <v>0</v>
      </c>
      <c r="N62" s="16">
        <v>0</v>
      </c>
      <c r="O62" s="14">
        <v>0</v>
      </c>
      <c r="P62" s="16">
        <v>0</v>
      </c>
      <c r="Q62" s="14">
        <v>0</v>
      </c>
      <c r="R62" s="16">
        <v>0</v>
      </c>
    </row>
    <row r="63" spans="1:18" x14ac:dyDescent="0.25">
      <c r="A63" s="11" t="s">
        <v>196</v>
      </c>
      <c r="B63" s="17" t="s">
        <v>154</v>
      </c>
      <c r="C63" s="17" t="s">
        <v>154</v>
      </c>
      <c r="D63" s="18" t="s">
        <v>154</v>
      </c>
      <c r="E63" s="17" t="s">
        <v>154</v>
      </c>
      <c r="F63" s="18" t="s">
        <v>154</v>
      </c>
      <c r="G63" s="17" t="s">
        <v>154</v>
      </c>
      <c r="H63" s="18" t="s">
        <v>154</v>
      </c>
      <c r="I63" s="17" t="s">
        <v>154</v>
      </c>
      <c r="J63" s="18" t="s">
        <v>154</v>
      </c>
      <c r="K63" s="17" t="s">
        <v>154</v>
      </c>
      <c r="L63" s="18" t="s">
        <v>154</v>
      </c>
      <c r="M63" s="17" t="s">
        <v>154</v>
      </c>
      <c r="N63" s="18" t="s">
        <v>154</v>
      </c>
      <c r="O63" s="17" t="s">
        <v>154</v>
      </c>
      <c r="P63" s="18" t="s">
        <v>154</v>
      </c>
      <c r="Q63" s="17" t="s">
        <v>154</v>
      </c>
      <c r="R63" s="18" t="s">
        <v>154</v>
      </c>
    </row>
    <row r="64" spans="1:18" x14ac:dyDescent="0.25">
      <c r="A64" s="11" t="s">
        <v>197</v>
      </c>
      <c r="B64" s="17" t="s">
        <v>154</v>
      </c>
      <c r="C64" s="17" t="s">
        <v>154</v>
      </c>
      <c r="D64" s="18" t="s">
        <v>154</v>
      </c>
      <c r="E64" s="17" t="s">
        <v>154</v>
      </c>
      <c r="F64" s="18" t="s">
        <v>154</v>
      </c>
      <c r="G64" s="17" t="s">
        <v>154</v>
      </c>
      <c r="H64" s="18" t="s">
        <v>154</v>
      </c>
      <c r="I64" s="17" t="s">
        <v>154</v>
      </c>
      <c r="J64" s="18" t="s">
        <v>154</v>
      </c>
      <c r="K64" s="17" t="s">
        <v>154</v>
      </c>
      <c r="L64" s="18" t="s">
        <v>154</v>
      </c>
      <c r="M64" s="17" t="s">
        <v>154</v>
      </c>
      <c r="N64" s="18" t="s">
        <v>154</v>
      </c>
      <c r="O64" s="17" t="s">
        <v>154</v>
      </c>
      <c r="P64" s="18" t="s">
        <v>154</v>
      </c>
      <c r="Q64" s="17" t="s">
        <v>154</v>
      </c>
      <c r="R64" s="18" t="s">
        <v>154</v>
      </c>
    </row>
    <row r="65" spans="1:18" x14ac:dyDescent="0.25">
      <c r="A65" s="11" t="s">
        <v>198</v>
      </c>
      <c r="B65" s="17" t="s">
        <v>154</v>
      </c>
      <c r="C65" s="17" t="s">
        <v>154</v>
      </c>
      <c r="D65" s="18" t="s">
        <v>154</v>
      </c>
      <c r="E65" s="17" t="s">
        <v>154</v>
      </c>
      <c r="F65" s="18" t="s">
        <v>154</v>
      </c>
      <c r="G65" s="17" t="s">
        <v>154</v>
      </c>
      <c r="H65" s="18" t="s">
        <v>154</v>
      </c>
      <c r="I65" s="17" t="s">
        <v>154</v>
      </c>
      <c r="J65" s="18" t="s">
        <v>154</v>
      </c>
      <c r="K65" s="17" t="s">
        <v>154</v>
      </c>
      <c r="L65" s="18" t="s">
        <v>154</v>
      </c>
      <c r="M65" s="17" t="s">
        <v>154</v>
      </c>
      <c r="N65" s="18" t="s">
        <v>154</v>
      </c>
      <c r="O65" s="17" t="s">
        <v>154</v>
      </c>
      <c r="P65" s="18" t="s">
        <v>154</v>
      </c>
      <c r="Q65" s="17" t="s">
        <v>154</v>
      </c>
      <c r="R65" s="18" t="s">
        <v>154</v>
      </c>
    </row>
    <row r="66" spans="1:18" x14ac:dyDescent="0.25">
      <c r="A66" s="11" t="s">
        <v>199</v>
      </c>
      <c r="B66" s="13">
        <v>5665</v>
      </c>
      <c r="C66" s="14">
        <f>(4753/B66*100)</f>
        <v>83.901147396293027</v>
      </c>
      <c r="D66" s="15">
        <v>912</v>
      </c>
      <c r="E66" s="14">
        <v>77.931149329999997</v>
      </c>
      <c r="F66" s="16">
        <v>1.50770896</v>
      </c>
      <c r="G66" s="14">
        <v>22.06885067</v>
      </c>
      <c r="H66" s="16">
        <v>1.50770896</v>
      </c>
      <c r="I66" s="14" t="s">
        <v>139</v>
      </c>
      <c r="J66" s="16" t="s">
        <v>139</v>
      </c>
      <c r="K66" s="14">
        <v>0</v>
      </c>
      <c r="L66" s="16">
        <v>0</v>
      </c>
      <c r="M66" s="14">
        <v>0</v>
      </c>
      <c r="N66" s="16">
        <v>0</v>
      </c>
      <c r="O66" s="14">
        <v>0</v>
      </c>
      <c r="P66" s="16">
        <v>0</v>
      </c>
      <c r="Q66" s="14">
        <v>0</v>
      </c>
      <c r="R66" s="16">
        <v>0</v>
      </c>
    </row>
    <row r="67" spans="1:18" x14ac:dyDescent="0.25">
      <c r="A67" s="11" t="s">
        <v>200</v>
      </c>
      <c r="B67" s="13">
        <v>6971</v>
      </c>
      <c r="C67" s="14">
        <f>(6054/B67*100)</f>
        <v>86.845502797303112</v>
      </c>
      <c r="D67" s="15">
        <v>917</v>
      </c>
      <c r="E67" s="14">
        <v>76.017910349999994</v>
      </c>
      <c r="F67" s="16">
        <v>1.4274837499999999</v>
      </c>
      <c r="G67" s="14">
        <v>23.982089649999999</v>
      </c>
      <c r="H67" s="16">
        <v>1.4274837499999999</v>
      </c>
      <c r="I67" s="14" t="s">
        <v>139</v>
      </c>
      <c r="J67" s="16" t="s">
        <v>139</v>
      </c>
      <c r="K67" s="14">
        <v>0</v>
      </c>
      <c r="L67" s="16">
        <v>0</v>
      </c>
      <c r="M67" s="14">
        <v>0</v>
      </c>
      <c r="N67" s="16">
        <v>0</v>
      </c>
      <c r="O67" s="14">
        <v>0</v>
      </c>
      <c r="P67" s="16">
        <v>0</v>
      </c>
      <c r="Q67" s="14">
        <v>0</v>
      </c>
      <c r="R67" s="16">
        <v>0</v>
      </c>
    </row>
    <row r="68" spans="1:18" x14ac:dyDescent="0.25">
      <c r="A68" s="11" t="s">
        <v>201</v>
      </c>
      <c r="B68" s="17" t="s">
        <v>154</v>
      </c>
      <c r="C68" s="17" t="s">
        <v>154</v>
      </c>
      <c r="D68" s="18" t="s">
        <v>154</v>
      </c>
      <c r="E68" s="17" t="s">
        <v>154</v>
      </c>
      <c r="F68" s="18" t="s">
        <v>154</v>
      </c>
      <c r="G68" s="17" t="s">
        <v>154</v>
      </c>
      <c r="H68" s="18" t="s">
        <v>154</v>
      </c>
      <c r="I68" s="17" t="s">
        <v>154</v>
      </c>
      <c r="J68" s="18" t="s">
        <v>154</v>
      </c>
      <c r="K68" s="17" t="s">
        <v>154</v>
      </c>
      <c r="L68" s="18" t="s">
        <v>154</v>
      </c>
      <c r="M68" s="17" t="s">
        <v>154</v>
      </c>
      <c r="N68" s="18" t="s">
        <v>154</v>
      </c>
      <c r="O68" s="17" t="s">
        <v>154</v>
      </c>
      <c r="P68" s="18" t="s">
        <v>154</v>
      </c>
      <c r="Q68" s="17" t="s">
        <v>154</v>
      </c>
      <c r="R68" s="18" t="s">
        <v>154</v>
      </c>
    </row>
    <row r="69" spans="1:18" x14ac:dyDescent="0.25">
      <c r="A69" s="11" t="s">
        <v>202</v>
      </c>
      <c r="B69" s="17" t="s">
        <v>154</v>
      </c>
      <c r="C69" s="17" t="s">
        <v>154</v>
      </c>
      <c r="D69" s="18" t="s">
        <v>154</v>
      </c>
      <c r="E69" s="17" t="s">
        <v>154</v>
      </c>
      <c r="F69" s="18" t="s">
        <v>154</v>
      </c>
      <c r="G69" s="17" t="s">
        <v>154</v>
      </c>
      <c r="H69" s="18" t="s">
        <v>154</v>
      </c>
      <c r="I69" s="17" t="s">
        <v>154</v>
      </c>
      <c r="J69" s="18" t="s">
        <v>154</v>
      </c>
      <c r="K69" s="17" t="s">
        <v>154</v>
      </c>
      <c r="L69" s="18" t="s">
        <v>154</v>
      </c>
      <c r="M69" s="17" t="s">
        <v>154</v>
      </c>
      <c r="N69" s="18" t="s">
        <v>154</v>
      </c>
      <c r="O69" s="17" t="s">
        <v>154</v>
      </c>
      <c r="P69" s="18" t="s">
        <v>154</v>
      </c>
      <c r="Q69" s="17" t="s">
        <v>154</v>
      </c>
      <c r="R69" s="18" t="s">
        <v>154</v>
      </c>
    </row>
    <row r="70" spans="1:18" x14ac:dyDescent="0.25">
      <c r="A70" s="11" t="s">
        <v>203</v>
      </c>
      <c r="B70" s="13">
        <v>6036</v>
      </c>
      <c r="C70" s="14">
        <f>(5065/B70*100)</f>
        <v>83.913187541418154</v>
      </c>
      <c r="D70" s="15">
        <v>971</v>
      </c>
      <c r="E70" s="14">
        <v>66.923625389999998</v>
      </c>
      <c r="F70" s="16">
        <v>2.0479989999999999</v>
      </c>
      <c r="G70" s="14">
        <v>33.076374610000002</v>
      </c>
      <c r="H70" s="16">
        <v>2.0479989999999999</v>
      </c>
      <c r="I70" s="14" t="s">
        <v>139</v>
      </c>
      <c r="J70" s="16" t="s">
        <v>139</v>
      </c>
      <c r="K70" s="14">
        <v>0</v>
      </c>
      <c r="L70" s="16">
        <v>0</v>
      </c>
      <c r="M70" s="14">
        <v>0</v>
      </c>
      <c r="N70" s="16">
        <v>0</v>
      </c>
      <c r="O70" s="14">
        <v>0</v>
      </c>
      <c r="P70" s="16">
        <v>0</v>
      </c>
      <c r="Q70" s="14">
        <v>0</v>
      </c>
      <c r="R70" s="16">
        <v>0</v>
      </c>
    </row>
    <row r="71" spans="1:18" x14ac:dyDescent="0.25">
      <c r="A71" s="11" t="s">
        <v>204</v>
      </c>
      <c r="B71" s="17" t="s">
        <v>154</v>
      </c>
      <c r="C71" s="17" t="s">
        <v>154</v>
      </c>
      <c r="D71" s="18" t="s">
        <v>154</v>
      </c>
      <c r="E71" s="17" t="s">
        <v>154</v>
      </c>
      <c r="F71" s="18" t="s">
        <v>154</v>
      </c>
      <c r="G71" s="17" t="s">
        <v>154</v>
      </c>
      <c r="H71" s="18" t="s">
        <v>154</v>
      </c>
      <c r="I71" s="17" t="s">
        <v>154</v>
      </c>
      <c r="J71" s="18" t="s">
        <v>154</v>
      </c>
      <c r="K71" s="17" t="s">
        <v>154</v>
      </c>
      <c r="L71" s="18" t="s">
        <v>154</v>
      </c>
      <c r="M71" s="17" t="s">
        <v>154</v>
      </c>
      <c r="N71" s="18" t="s">
        <v>154</v>
      </c>
      <c r="O71" s="17" t="s">
        <v>154</v>
      </c>
      <c r="P71" s="18" t="s">
        <v>154</v>
      </c>
      <c r="Q71" s="17" t="s">
        <v>154</v>
      </c>
      <c r="R71" s="18" t="s">
        <v>154</v>
      </c>
    </row>
    <row r="72" spans="1:18" x14ac:dyDescent="0.25">
      <c r="A72" s="11" t="s">
        <v>205</v>
      </c>
      <c r="B72" s="13">
        <v>7708</v>
      </c>
      <c r="C72" s="14">
        <f>(6396/B72*100)</f>
        <v>82.978723404255319</v>
      </c>
      <c r="D72" s="15">
        <v>1312</v>
      </c>
      <c r="E72" s="14">
        <v>63.513740769999998</v>
      </c>
      <c r="F72" s="16">
        <v>1.41231989</v>
      </c>
      <c r="G72" s="14">
        <v>36.486259230000002</v>
      </c>
      <c r="H72" s="16">
        <v>1.41231989</v>
      </c>
      <c r="I72" s="14" t="s">
        <v>139</v>
      </c>
      <c r="J72" s="16" t="s">
        <v>139</v>
      </c>
      <c r="K72" s="14">
        <v>0</v>
      </c>
      <c r="L72" s="16">
        <v>0</v>
      </c>
      <c r="M72" s="14">
        <v>0</v>
      </c>
      <c r="N72" s="16">
        <v>0</v>
      </c>
      <c r="O72" s="14">
        <v>0</v>
      </c>
      <c r="P72" s="16">
        <v>0</v>
      </c>
      <c r="Q72" s="14">
        <v>0</v>
      </c>
      <c r="R72" s="16">
        <v>0</v>
      </c>
    </row>
    <row r="73" spans="1:18" x14ac:dyDescent="0.25">
      <c r="A73" s="11" t="s">
        <v>206</v>
      </c>
      <c r="B73" s="13">
        <v>8249</v>
      </c>
      <c r="C73" s="14">
        <f>(7001/B73*100)</f>
        <v>84.870893441629292</v>
      </c>
      <c r="D73" s="15">
        <v>1248</v>
      </c>
      <c r="E73" s="14">
        <v>62.82302825</v>
      </c>
      <c r="F73" s="16">
        <v>1.9291602999999999</v>
      </c>
      <c r="G73" s="14">
        <v>37.17697175</v>
      </c>
      <c r="H73" s="16">
        <v>1.9291602999999999</v>
      </c>
      <c r="I73" s="14" t="s">
        <v>139</v>
      </c>
      <c r="J73" s="16" t="s">
        <v>139</v>
      </c>
      <c r="K73" s="14">
        <v>0</v>
      </c>
      <c r="L73" s="16">
        <v>0</v>
      </c>
      <c r="M73" s="14">
        <v>0</v>
      </c>
      <c r="N73" s="16">
        <v>0</v>
      </c>
      <c r="O73" s="14">
        <v>0</v>
      </c>
      <c r="P73" s="16">
        <v>0</v>
      </c>
      <c r="Q73" s="14">
        <v>0</v>
      </c>
      <c r="R73" s="16">
        <v>0</v>
      </c>
    </row>
    <row r="74" spans="1:18" x14ac:dyDescent="0.25">
      <c r="A74" s="11" t="s">
        <v>207</v>
      </c>
      <c r="B74" s="17" t="s">
        <v>154</v>
      </c>
      <c r="C74" s="17" t="s">
        <v>154</v>
      </c>
      <c r="D74" s="18" t="s">
        <v>154</v>
      </c>
      <c r="E74" s="17" t="s">
        <v>154</v>
      </c>
      <c r="F74" s="18" t="s">
        <v>154</v>
      </c>
      <c r="G74" s="17" t="s">
        <v>154</v>
      </c>
      <c r="H74" s="18" t="s">
        <v>154</v>
      </c>
      <c r="I74" s="17" t="s">
        <v>154</v>
      </c>
      <c r="J74" s="18" t="s">
        <v>154</v>
      </c>
      <c r="K74" s="17" t="s">
        <v>154</v>
      </c>
      <c r="L74" s="18" t="s">
        <v>154</v>
      </c>
      <c r="M74" s="17" t="s">
        <v>154</v>
      </c>
      <c r="N74" s="18" t="s">
        <v>154</v>
      </c>
      <c r="O74" s="17" t="s">
        <v>154</v>
      </c>
      <c r="P74" s="18" t="s">
        <v>154</v>
      </c>
      <c r="Q74" s="17" t="s">
        <v>154</v>
      </c>
      <c r="R74" s="18" t="s">
        <v>154</v>
      </c>
    </row>
    <row r="75" spans="1:18" x14ac:dyDescent="0.25">
      <c r="A75" s="11" t="s">
        <v>208</v>
      </c>
      <c r="B75" s="13">
        <v>5375</v>
      </c>
      <c r="C75" s="14">
        <f>(4571/B75*100)</f>
        <v>85.041860465116287</v>
      </c>
      <c r="D75" s="15">
        <v>804</v>
      </c>
      <c r="E75" s="14">
        <v>76.581679320000006</v>
      </c>
      <c r="F75" s="16">
        <v>1.6390771200000001</v>
      </c>
      <c r="G75" s="14">
        <v>23.418320680000001</v>
      </c>
      <c r="H75" s="16">
        <v>1.6390771200000001</v>
      </c>
      <c r="I75" s="14" t="s">
        <v>139</v>
      </c>
      <c r="J75" s="16" t="s">
        <v>139</v>
      </c>
      <c r="K75" s="14">
        <v>0</v>
      </c>
      <c r="L75" s="16">
        <v>0</v>
      </c>
      <c r="M75" s="14">
        <v>0</v>
      </c>
      <c r="N75" s="16">
        <v>0</v>
      </c>
      <c r="O75" s="14">
        <v>0</v>
      </c>
      <c r="P75" s="16">
        <v>0</v>
      </c>
      <c r="Q75" s="14">
        <v>0</v>
      </c>
      <c r="R75" s="16">
        <v>0</v>
      </c>
    </row>
    <row r="76" spans="1:18" x14ac:dyDescent="0.25">
      <c r="A76" s="11" t="s">
        <v>209</v>
      </c>
      <c r="B76" s="13">
        <v>14167</v>
      </c>
      <c r="C76" s="14">
        <f>(11809/B76*100)</f>
        <v>83.355685748570622</v>
      </c>
      <c r="D76" s="15">
        <v>2358</v>
      </c>
      <c r="E76" s="14">
        <v>72.180585160000007</v>
      </c>
      <c r="F76" s="16">
        <v>1.4052256599999999</v>
      </c>
      <c r="G76" s="14">
        <v>27.81941484</v>
      </c>
      <c r="H76" s="16">
        <v>1.4052256599999999</v>
      </c>
      <c r="I76" s="14" t="s">
        <v>139</v>
      </c>
      <c r="J76" s="16" t="s">
        <v>139</v>
      </c>
      <c r="K76" s="14">
        <v>0</v>
      </c>
      <c r="L76" s="16">
        <v>0</v>
      </c>
      <c r="M76" s="14">
        <v>0</v>
      </c>
      <c r="N76" s="16">
        <v>0</v>
      </c>
      <c r="O76" s="14">
        <v>0</v>
      </c>
      <c r="P76" s="16">
        <v>0</v>
      </c>
      <c r="Q76" s="14">
        <v>0</v>
      </c>
      <c r="R76" s="16">
        <v>0</v>
      </c>
    </row>
    <row r="77" spans="1:18" x14ac:dyDescent="0.25">
      <c r="A77" s="11" t="s">
        <v>210</v>
      </c>
      <c r="B77" s="13">
        <v>6062</v>
      </c>
      <c r="C77" s="14">
        <f>(5111/B77*100)</f>
        <v>84.312108215110527</v>
      </c>
      <c r="D77" s="15">
        <v>951</v>
      </c>
      <c r="E77" s="14">
        <v>78.401307919999994</v>
      </c>
      <c r="F77" s="16">
        <v>1.67115038</v>
      </c>
      <c r="G77" s="14">
        <v>21.598692079999999</v>
      </c>
      <c r="H77" s="16">
        <v>1.67115038</v>
      </c>
      <c r="I77" s="14" t="s">
        <v>139</v>
      </c>
      <c r="J77" s="16" t="s">
        <v>139</v>
      </c>
      <c r="K77" s="14">
        <v>0</v>
      </c>
      <c r="L77" s="16">
        <v>0</v>
      </c>
      <c r="M77" s="14">
        <v>0</v>
      </c>
      <c r="N77" s="16">
        <v>0</v>
      </c>
      <c r="O77" s="14">
        <v>0</v>
      </c>
      <c r="P77" s="16">
        <v>0</v>
      </c>
      <c r="Q77" s="14">
        <v>0</v>
      </c>
      <c r="R77" s="16">
        <v>0</v>
      </c>
    </row>
    <row r="78" spans="1:18" x14ac:dyDescent="0.25">
      <c r="A78" s="11" t="s">
        <v>211</v>
      </c>
      <c r="B78" s="17" t="s">
        <v>154</v>
      </c>
      <c r="C78" s="17" t="s">
        <v>154</v>
      </c>
      <c r="D78" s="18" t="s">
        <v>154</v>
      </c>
      <c r="E78" s="17" t="s">
        <v>154</v>
      </c>
      <c r="F78" s="18" t="s">
        <v>154</v>
      </c>
      <c r="G78" s="17" t="s">
        <v>154</v>
      </c>
      <c r="H78" s="18" t="s">
        <v>154</v>
      </c>
      <c r="I78" s="17" t="s">
        <v>154</v>
      </c>
      <c r="J78" s="18" t="s">
        <v>154</v>
      </c>
      <c r="K78" s="17" t="s">
        <v>154</v>
      </c>
      <c r="L78" s="18" t="s">
        <v>154</v>
      </c>
      <c r="M78" s="17" t="s">
        <v>154</v>
      </c>
      <c r="N78" s="18" t="s">
        <v>154</v>
      </c>
      <c r="O78" s="17" t="s">
        <v>154</v>
      </c>
      <c r="P78" s="18" t="s">
        <v>154</v>
      </c>
      <c r="Q78" s="17" t="s">
        <v>154</v>
      </c>
      <c r="R78" s="18" t="s">
        <v>154</v>
      </c>
    </row>
    <row r="79" spans="1:18" ht="24.95" customHeight="1" x14ac:dyDescent="0.25">
      <c r="A79" s="11" t="s">
        <v>212</v>
      </c>
      <c r="B79" s="17" t="s">
        <v>154</v>
      </c>
      <c r="C79" s="17" t="s">
        <v>154</v>
      </c>
      <c r="D79" s="18" t="s">
        <v>154</v>
      </c>
      <c r="E79" s="17" t="s">
        <v>154</v>
      </c>
      <c r="F79" s="18" t="s">
        <v>154</v>
      </c>
      <c r="G79" s="17" t="s">
        <v>154</v>
      </c>
      <c r="H79" s="18" t="s">
        <v>154</v>
      </c>
      <c r="I79" s="17" t="s">
        <v>154</v>
      </c>
      <c r="J79" s="18" t="s">
        <v>154</v>
      </c>
      <c r="K79" s="17" t="s">
        <v>154</v>
      </c>
      <c r="L79" s="18" t="s">
        <v>154</v>
      </c>
      <c r="M79" s="17" t="s">
        <v>154</v>
      </c>
      <c r="N79" s="18" t="s">
        <v>154</v>
      </c>
      <c r="O79" s="17" t="s">
        <v>154</v>
      </c>
      <c r="P79" s="18" t="s">
        <v>154</v>
      </c>
      <c r="Q79" s="17" t="s">
        <v>154</v>
      </c>
      <c r="R79" s="18" t="s">
        <v>154</v>
      </c>
    </row>
    <row r="80" spans="1:18" x14ac:dyDescent="0.25">
      <c r="A80" s="11" t="s">
        <v>213</v>
      </c>
      <c r="B80" s="17" t="s">
        <v>154</v>
      </c>
      <c r="C80" s="17" t="s">
        <v>154</v>
      </c>
      <c r="D80" s="18" t="s">
        <v>154</v>
      </c>
      <c r="E80" s="17" t="s">
        <v>154</v>
      </c>
      <c r="F80" s="18" t="s">
        <v>154</v>
      </c>
      <c r="G80" s="17" t="s">
        <v>154</v>
      </c>
      <c r="H80" s="18" t="s">
        <v>154</v>
      </c>
      <c r="I80" s="17" t="s">
        <v>154</v>
      </c>
      <c r="J80" s="18" t="s">
        <v>154</v>
      </c>
      <c r="K80" s="17" t="s">
        <v>154</v>
      </c>
      <c r="L80" s="18" t="s">
        <v>154</v>
      </c>
      <c r="M80" s="17" t="s">
        <v>154</v>
      </c>
      <c r="N80" s="18" t="s">
        <v>154</v>
      </c>
      <c r="O80" s="17" t="s">
        <v>154</v>
      </c>
      <c r="P80" s="18" t="s">
        <v>154</v>
      </c>
      <c r="Q80" s="17" t="s">
        <v>154</v>
      </c>
      <c r="R80" s="18" t="s">
        <v>154</v>
      </c>
    </row>
    <row r="81" spans="1:18" x14ac:dyDescent="0.25">
      <c r="A81" s="19" t="s">
        <v>214</v>
      </c>
      <c r="B81" s="13">
        <v>8861</v>
      </c>
      <c r="C81" s="14">
        <f>(7350/B81*100)</f>
        <v>82.947748561110473</v>
      </c>
      <c r="D81" s="15">
        <v>1511</v>
      </c>
      <c r="E81" s="14">
        <v>67.460357869999996</v>
      </c>
      <c r="F81" s="16">
        <v>1.6389066999999999</v>
      </c>
      <c r="G81" s="14">
        <v>32.539642129999997</v>
      </c>
      <c r="H81" s="16">
        <v>1.6389066999999999</v>
      </c>
      <c r="I81" s="14" t="s">
        <v>139</v>
      </c>
      <c r="J81" s="16" t="s">
        <v>139</v>
      </c>
      <c r="K81" s="14">
        <v>0</v>
      </c>
      <c r="L81" s="16">
        <v>0</v>
      </c>
      <c r="M81" s="14">
        <v>0</v>
      </c>
      <c r="N81" s="16">
        <v>0</v>
      </c>
      <c r="O81" s="14">
        <v>0</v>
      </c>
      <c r="P81" s="16">
        <v>0</v>
      </c>
      <c r="Q81" s="14">
        <v>0</v>
      </c>
      <c r="R81" s="16">
        <v>0</v>
      </c>
    </row>
    <row r="82" spans="1:18" x14ac:dyDescent="0.25">
      <c r="A82" s="20"/>
      <c r="B82" s="20" t="s">
        <v>215</v>
      </c>
      <c r="C82" s="20" t="s">
        <v>215</v>
      </c>
      <c r="D82" s="20" t="s">
        <v>215</v>
      </c>
      <c r="E82" s="20" t="s">
        <v>215</v>
      </c>
      <c r="F82" s="20" t="s">
        <v>215</v>
      </c>
      <c r="G82" s="20" t="s">
        <v>215</v>
      </c>
      <c r="H82" s="20" t="s">
        <v>215</v>
      </c>
      <c r="I82" s="20" t="s">
        <v>215</v>
      </c>
      <c r="J82" s="20" t="s">
        <v>215</v>
      </c>
      <c r="K82" s="20" t="s">
        <v>215</v>
      </c>
      <c r="L82" s="20" t="s">
        <v>215</v>
      </c>
      <c r="M82" s="20" t="s">
        <v>215</v>
      </c>
      <c r="N82" s="20" t="s">
        <v>215</v>
      </c>
      <c r="O82" s="20" t="s">
        <v>215</v>
      </c>
      <c r="P82" s="20" t="s">
        <v>215</v>
      </c>
      <c r="Q82" s="20" t="s">
        <v>215</v>
      </c>
      <c r="R82" s="20" t="s">
        <v>215</v>
      </c>
    </row>
    <row r="83" spans="1:18" x14ac:dyDescent="0.25">
      <c r="A83" s="3" t="s">
        <v>216</v>
      </c>
    </row>
    <row r="84" spans="1:18" x14ac:dyDescent="0.25">
      <c r="A84" s="22" t="s">
        <v>217</v>
      </c>
      <c r="B84" s="23"/>
      <c r="C84" s="23"/>
      <c r="D84" s="23"/>
      <c r="E84" s="23"/>
      <c r="F84" s="23"/>
      <c r="G84" s="23"/>
      <c r="H84" s="23"/>
      <c r="I84" s="23"/>
      <c r="J84" s="23"/>
      <c r="K84" s="23"/>
      <c r="L84" s="23"/>
      <c r="M84" s="23"/>
      <c r="N84" s="23"/>
      <c r="O84" s="23"/>
      <c r="P84" s="23"/>
      <c r="Q84" s="23"/>
      <c r="R84" s="23"/>
    </row>
    <row r="85" spans="1:18" x14ac:dyDescent="0.25">
      <c r="A85" s="22" t="s">
        <v>218</v>
      </c>
      <c r="B85" s="23"/>
      <c r="C85" s="23"/>
      <c r="D85" s="23"/>
      <c r="E85" s="23"/>
      <c r="F85" s="23"/>
      <c r="G85" s="23"/>
      <c r="H85" s="23"/>
      <c r="I85" s="23"/>
      <c r="J85" s="23"/>
      <c r="K85" s="23"/>
      <c r="L85" s="23"/>
      <c r="M85" s="23"/>
      <c r="N85" s="23"/>
      <c r="O85" s="23"/>
      <c r="P85" s="23"/>
      <c r="Q85" s="23"/>
      <c r="R85" s="23"/>
    </row>
    <row r="86" spans="1:18" ht="30" customHeight="1" x14ac:dyDescent="0.25">
      <c r="A86" s="22" t="s">
        <v>219</v>
      </c>
      <c r="B86" s="23"/>
      <c r="C86" s="23"/>
      <c r="D86" s="23"/>
      <c r="E86" s="23"/>
      <c r="F86" s="23"/>
      <c r="G86" s="23"/>
      <c r="H86" s="23"/>
      <c r="I86" s="23"/>
      <c r="J86" s="23"/>
      <c r="K86" s="23"/>
      <c r="L86" s="23"/>
      <c r="M86" s="23"/>
      <c r="N86" s="23"/>
      <c r="O86" s="23"/>
      <c r="P86" s="23"/>
      <c r="Q86" s="23"/>
      <c r="R86" s="23"/>
    </row>
    <row r="87" spans="1:18" ht="30" customHeight="1" x14ac:dyDescent="0.25">
      <c r="A87" s="22" t="s">
        <v>215</v>
      </c>
      <c r="B87" s="23"/>
      <c r="C87" s="23"/>
      <c r="D87" s="23"/>
      <c r="E87" s="23"/>
      <c r="F87" s="23"/>
      <c r="G87" s="23"/>
      <c r="H87" s="23"/>
      <c r="I87" s="23"/>
      <c r="J87" s="23"/>
      <c r="K87" s="23"/>
      <c r="L87" s="23"/>
      <c r="M87" s="23"/>
      <c r="N87" s="23"/>
      <c r="O87" s="23"/>
      <c r="P87" s="23"/>
      <c r="Q87" s="23"/>
      <c r="R87" s="23"/>
    </row>
    <row r="88" spans="1:18" ht="30" customHeight="1" x14ac:dyDescent="0.25">
      <c r="A88" s="22" t="s">
        <v>220</v>
      </c>
      <c r="B88" s="23"/>
      <c r="C88" s="23"/>
      <c r="D88" s="23"/>
      <c r="E88" s="23"/>
      <c r="F88" s="23"/>
      <c r="G88" s="23"/>
      <c r="H88" s="23"/>
      <c r="I88" s="23"/>
      <c r="J88" s="23"/>
      <c r="K88" s="23"/>
      <c r="L88" s="23"/>
      <c r="M88" s="23"/>
      <c r="N88" s="23"/>
      <c r="O88" s="23"/>
      <c r="P88" s="23"/>
      <c r="Q88" s="23"/>
      <c r="R88" s="23"/>
    </row>
    <row r="89" spans="1:18" ht="30" customHeight="1" x14ac:dyDescent="0.25">
      <c r="A89" s="22" t="s">
        <v>221</v>
      </c>
      <c r="B89" s="23"/>
      <c r="C89" s="23"/>
      <c r="D89" s="23"/>
      <c r="E89" s="23"/>
      <c r="F89" s="23"/>
      <c r="G89" s="23"/>
      <c r="H89" s="23"/>
      <c r="I89" s="23"/>
      <c r="J89" s="23"/>
      <c r="K89" s="23"/>
      <c r="L89" s="23"/>
      <c r="M89" s="23"/>
      <c r="N89" s="23"/>
      <c r="O89" s="23"/>
      <c r="P89" s="23"/>
      <c r="Q89" s="23"/>
      <c r="R89" s="23"/>
    </row>
    <row r="90" spans="1:18" ht="30" customHeight="1" x14ac:dyDescent="0.25">
      <c r="A90" s="22" t="s">
        <v>222</v>
      </c>
      <c r="B90" s="23"/>
      <c r="C90" s="23"/>
      <c r="D90" s="23"/>
      <c r="E90" s="23"/>
      <c r="F90" s="23"/>
      <c r="G90" s="23"/>
      <c r="H90" s="23"/>
      <c r="I90" s="23"/>
      <c r="J90" s="23"/>
      <c r="K90" s="23"/>
      <c r="L90" s="23"/>
      <c r="M90" s="23"/>
      <c r="N90" s="23"/>
      <c r="O90" s="23"/>
      <c r="P90" s="23"/>
      <c r="Q90" s="23"/>
      <c r="R90" s="23"/>
    </row>
    <row r="91" spans="1:18" ht="30" customHeight="1" x14ac:dyDescent="0.25">
      <c r="A91" s="22" t="s">
        <v>223</v>
      </c>
      <c r="B91" s="23"/>
      <c r="C91" s="23"/>
      <c r="D91" s="23"/>
      <c r="E91" s="23"/>
      <c r="F91" s="23"/>
      <c r="G91" s="23"/>
      <c r="H91" s="23"/>
      <c r="I91" s="23"/>
      <c r="J91" s="23"/>
      <c r="K91" s="23"/>
      <c r="L91" s="23"/>
      <c r="M91" s="23"/>
      <c r="N91" s="23"/>
      <c r="O91" s="23"/>
      <c r="P91" s="23"/>
      <c r="Q91" s="23"/>
      <c r="R91" s="23"/>
    </row>
    <row r="92" spans="1:18" ht="30" customHeight="1" x14ac:dyDescent="0.25">
      <c r="A92" s="22" t="s">
        <v>224</v>
      </c>
      <c r="B92" s="23"/>
      <c r="C92" s="23"/>
      <c r="D92" s="23"/>
      <c r="E92" s="23"/>
      <c r="F92" s="23"/>
      <c r="G92" s="23"/>
      <c r="H92" s="23"/>
      <c r="I92" s="23"/>
      <c r="J92" s="23"/>
      <c r="K92" s="23"/>
      <c r="L92" s="23"/>
      <c r="M92" s="23"/>
      <c r="N92" s="23"/>
      <c r="O92" s="23"/>
      <c r="P92" s="23"/>
      <c r="Q92" s="23"/>
      <c r="R92" s="23"/>
    </row>
    <row r="93" spans="1:18" ht="30" customHeight="1" x14ac:dyDescent="0.25">
      <c r="A93" s="22" t="s">
        <v>225</v>
      </c>
      <c r="B93" s="23"/>
      <c r="C93" s="23"/>
      <c r="D93" s="23"/>
      <c r="E93" s="23"/>
      <c r="F93" s="23"/>
      <c r="G93" s="23"/>
      <c r="H93" s="23"/>
      <c r="I93" s="23"/>
      <c r="J93" s="23"/>
      <c r="K93" s="23"/>
      <c r="L93" s="23"/>
      <c r="M93" s="23"/>
      <c r="N93" s="23"/>
      <c r="O93" s="23"/>
      <c r="P93" s="23"/>
      <c r="Q93" s="23"/>
      <c r="R93" s="23"/>
    </row>
    <row r="94" spans="1:18" ht="30" customHeight="1" x14ac:dyDescent="0.25">
      <c r="A94" s="22" t="s">
        <v>226</v>
      </c>
      <c r="B94" s="23"/>
      <c r="C94" s="23"/>
      <c r="D94" s="23"/>
      <c r="E94" s="23"/>
      <c r="F94" s="23"/>
      <c r="G94" s="23"/>
      <c r="H94" s="23"/>
      <c r="I94" s="23"/>
      <c r="J94" s="23"/>
      <c r="K94" s="23"/>
      <c r="L94" s="23"/>
      <c r="M94" s="23"/>
      <c r="N94" s="23"/>
      <c r="O94" s="23"/>
      <c r="P94" s="23"/>
      <c r="Q94" s="23"/>
      <c r="R94" s="23"/>
    </row>
    <row r="95" spans="1:18" ht="30" customHeight="1" x14ac:dyDescent="0.25">
      <c r="A95" s="22" t="s">
        <v>227</v>
      </c>
      <c r="B95" s="23"/>
      <c r="C95" s="23"/>
      <c r="D95" s="23"/>
      <c r="E95" s="23"/>
      <c r="F95" s="23"/>
      <c r="G95" s="23"/>
      <c r="H95" s="23"/>
      <c r="I95" s="23"/>
      <c r="J95" s="23"/>
      <c r="K95" s="23"/>
      <c r="L95" s="23"/>
      <c r="M95" s="23"/>
      <c r="N95" s="23"/>
      <c r="O95" s="23"/>
      <c r="P95" s="23"/>
      <c r="Q95" s="23"/>
      <c r="R95" s="23"/>
    </row>
    <row r="96" spans="1:18" ht="30" customHeight="1" x14ac:dyDescent="0.25">
      <c r="A96" s="22" t="s">
        <v>228</v>
      </c>
      <c r="B96" s="23"/>
      <c r="C96" s="23"/>
      <c r="D96" s="23"/>
      <c r="E96" s="23"/>
      <c r="F96" s="23"/>
      <c r="G96" s="23"/>
      <c r="H96" s="23"/>
      <c r="I96" s="23"/>
      <c r="J96" s="23"/>
      <c r="K96" s="23"/>
      <c r="L96" s="23"/>
      <c r="M96" s="23"/>
      <c r="N96" s="23"/>
      <c r="O96" s="23"/>
      <c r="P96" s="23"/>
      <c r="Q96" s="23"/>
      <c r="R96" s="23"/>
    </row>
  </sheetData>
  <mergeCells count="22">
    <mergeCell ref="O4:P4"/>
    <mergeCell ref="Q4:R4"/>
    <mergeCell ref="A1:R1"/>
    <mergeCell ref="A2:R2"/>
    <mergeCell ref="A84:R84"/>
    <mergeCell ref="E4:F4"/>
    <mergeCell ref="G4:H4"/>
    <mergeCell ref="I4:J4"/>
    <mergeCell ref="K4:L4"/>
    <mergeCell ref="M4:N4"/>
    <mergeCell ref="A85:R85"/>
    <mergeCell ref="A86:R86"/>
    <mergeCell ref="A87:R87"/>
    <mergeCell ref="A88:R88"/>
    <mergeCell ref="A89:R89"/>
    <mergeCell ref="A95:R95"/>
    <mergeCell ref="A96:R96"/>
    <mergeCell ref="A90:R90"/>
    <mergeCell ref="A91:R91"/>
    <mergeCell ref="A92:R92"/>
    <mergeCell ref="A93:R93"/>
    <mergeCell ref="A94:R94"/>
  </mergeCells>
  <pageMargins left="0.75" right="0.75" top="1" bottom="1" header="0.5" footer="0.5"/>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0"/>
  <dimension ref="A1:R96"/>
  <sheetViews>
    <sheetView zoomScale="80" workbookViewId="0">
      <pane xSplit="4" topLeftCell="E1" activePane="topRight" state="frozen"/>
      <selection sqref="A1:R1"/>
      <selection pane="topRight" sqref="A1:R1"/>
    </sheetView>
  </sheetViews>
  <sheetFormatPr defaultColWidth="11.42578125" defaultRowHeight="15" x14ac:dyDescent="0.25"/>
  <cols>
    <col min="1" max="1" width="50" customWidth="1"/>
  </cols>
  <sheetData>
    <row r="1" spans="1:18" x14ac:dyDescent="0.25">
      <c r="A1" s="26" t="s">
        <v>122</v>
      </c>
      <c r="B1" s="23"/>
      <c r="C1" s="23"/>
      <c r="D1" s="23"/>
      <c r="E1" s="23"/>
      <c r="F1" s="23"/>
      <c r="G1" s="23"/>
      <c r="H1" s="23"/>
      <c r="I1" s="23"/>
      <c r="J1" s="23"/>
      <c r="K1" s="23"/>
      <c r="L1" s="23"/>
      <c r="M1" s="23"/>
      <c r="N1" s="23"/>
      <c r="O1" s="23"/>
      <c r="P1" s="23"/>
      <c r="Q1" s="23"/>
      <c r="R1" s="23"/>
    </row>
    <row r="2" spans="1:18" x14ac:dyDescent="0.25">
      <c r="A2" s="27" t="s">
        <v>266</v>
      </c>
      <c r="B2" s="23"/>
      <c r="C2" s="23"/>
      <c r="D2" s="23"/>
      <c r="E2" s="23"/>
      <c r="F2" s="23"/>
      <c r="G2" s="23"/>
      <c r="H2" s="23"/>
      <c r="I2" s="23"/>
      <c r="J2" s="23"/>
      <c r="K2" s="23"/>
      <c r="L2" s="23"/>
      <c r="M2" s="23"/>
      <c r="N2" s="23"/>
      <c r="O2" s="23"/>
      <c r="P2" s="23"/>
      <c r="Q2" s="23"/>
      <c r="R2" s="23"/>
    </row>
    <row r="4" spans="1:18" ht="30" customHeight="1" x14ac:dyDescent="0.25">
      <c r="A4" s="4"/>
      <c r="B4" s="5" t="s">
        <v>123</v>
      </c>
      <c r="C4" s="5" t="s">
        <v>124</v>
      </c>
      <c r="D4" s="6" t="s">
        <v>123</v>
      </c>
      <c r="E4" s="24" t="s">
        <v>125</v>
      </c>
      <c r="F4" s="25"/>
      <c r="G4" s="24" t="s">
        <v>126</v>
      </c>
      <c r="H4" s="25"/>
      <c r="I4" s="24" t="s">
        <v>127</v>
      </c>
      <c r="J4" s="25"/>
      <c r="K4" s="24" t="s">
        <v>128</v>
      </c>
      <c r="L4" s="25"/>
      <c r="M4" s="24" t="s">
        <v>129</v>
      </c>
      <c r="N4" s="25"/>
      <c r="O4" s="24" t="s">
        <v>130</v>
      </c>
      <c r="P4" s="25"/>
      <c r="Q4" s="24" t="s">
        <v>131</v>
      </c>
      <c r="R4" s="25"/>
    </row>
    <row r="5" spans="1:18" x14ac:dyDescent="0.25">
      <c r="A5" s="7"/>
      <c r="B5" s="8" t="s">
        <v>132</v>
      </c>
      <c r="C5" s="8" t="s">
        <v>133</v>
      </c>
      <c r="D5" s="7" t="s">
        <v>134</v>
      </c>
      <c r="E5" s="8" t="s">
        <v>135</v>
      </c>
      <c r="F5" s="7" t="s">
        <v>136</v>
      </c>
      <c r="G5" s="8" t="s">
        <v>135</v>
      </c>
      <c r="H5" s="7" t="s">
        <v>136</v>
      </c>
      <c r="I5" s="8" t="s">
        <v>135</v>
      </c>
      <c r="J5" s="7" t="s">
        <v>136</v>
      </c>
      <c r="K5" s="8" t="s">
        <v>135</v>
      </c>
      <c r="L5" s="7" t="s">
        <v>136</v>
      </c>
      <c r="M5" s="8" t="s">
        <v>135</v>
      </c>
      <c r="N5" s="7" t="s">
        <v>136</v>
      </c>
      <c r="O5" s="8" t="s">
        <v>135</v>
      </c>
      <c r="P5" s="7" t="s">
        <v>136</v>
      </c>
      <c r="Q5" s="8" t="s">
        <v>135</v>
      </c>
      <c r="R5" s="7" t="s">
        <v>136</v>
      </c>
    </row>
    <row r="6" spans="1:18" x14ac:dyDescent="0.25">
      <c r="A6" s="9" t="s">
        <v>137</v>
      </c>
      <c r="B6" s="10"/>
      <c r="C6" s="10"/>
      <c r="D6" s="11"/>
      <c r="E6" s="10"/>
      <c r="F6" s="11"/>
      <c r="G6" s="10"/>
      <c r="H6" s="11"/>
      <c r="I6" s="10"/>
      <c r="J6" s="11"/>
      <c r="K6" s="10"/>
      <c r="L6" s="11"/>
      <c r="M6" s="10"/>
      <c r="N6" s="11"/>
      <c r="O6" s="10"/>
      <c r="P6" s="11"/>
      <c r="Q6" s="10"/>
      <c r="R6" s="12"/>
    </row>
    <row r="7" spans="1:18" x14ac:dyDescent="0.25">
      <c r="A7" s="11" t="s">
        <v>138</v>
      </c>
      <c r="B7" s="13">
        <v>14530</v>
      </c>
      <c r="C7" s="14">
        <f>(12186/B7*100)</f>
        <v>83.867859600825881</v>
      </c>
      <c r="D7" s="15">
        <v>2344</v>
      </c>
      <c r="E7" s="14">
        <v>34.702472479999997</v>
      </c>
      <c r="F7" s="16">
        <v>1.26081522</v>
      </c>
      <c r="G7" s="14">
        <v>65.297527520000003</v>
      </c>
      <c r="H7" s="16">
        <v>1.26081522</v>
      </c>
      <c r="I7" s="14" t="s">
        <v>139</v>
      </c>
      <c r="J7" s="16" t="s">
        <v>139</v>
      </c>
      <c r="K7" s="14">
        <v>0</v>
      </c>
      <c r="L7" s="16">
        <v>0</v>
      </c>
      <c r="M7" s="14">
        <v>0</v>
      </c>
      <c r="N7" s="16">
        <v>0</v>
      </c>
      <c r="O7" s="14">
        <v>0</v>
      </c>
      <c r="P7" s="16">
        <v>0</v>
      </c>
      <c r="Q7" s="14">
        <v>0</v>
      </c>
      <c r="R7" s="16">
        <v>0</v>
      </c>
    </row>
    <row r="8" spans="1:18" x14ac:dyDescent="0.25">
      <c r="A8" s="11" t="s">
        <v>140</v>
      </c>
      <c r="B8" s="13">
        <v>7007</v>
      </c>
      <c r="C8" s="14">
        <f>(5832/B8*100)</f>
        <v>83.231054659626096</v>
      </c>
      <c r="D8" s="15">
        <v>1175</v>
      </c>
      <c r="E8" s="14">
        <v>40.352931640000001</v>
      </c>
      <c r="F8" s="16">
        <v>1.61630991</v>
      </c>
      <c r="G8" s="14">
        <v>59.647068359999999</v>
      </c>
      <c r="H8" s="16">
        <v>1.61630991</v>
      </c>
      <c r="I8" s="14" t="s">
        <v>139</v>
      </c>
      <c r="J8" s="16" t="s">
        <v>139</v>
      </c>
      <c r="K8" s="14">
        <v>0</v>
      </c>
      <c r="L8" s="16">
        <v>0</v>
      </c>
      <c r="M8" s="14">
        <v>0</v>
      </c>
      <c r="N8" s="16">
        <v>0</v>
      </c>
      <c r="O8" s="14">
        <v>0</v>
      </c>
      <c r="P8" s="16">
        <v>0</v>
      </c>
      <c r="Q8" s="14">
        <v>0</v>
      </c>
      <c r="R8" s="16">
        <v>0</v>
      </c>
    </row>
    <row r="9" spans="1:18" x14ac:dyDescent="0.25">
      <c r="A9" s="11" t="s">
        <v>141</v>
      </c>
      <c r="B9" s="13">
        <v>9651</v>
      </c>
      <c r="C9" s="14">
        <f>(8126/B9*100)</f>
        <v>84.198528649880842</v>
      </c>
      <c r="D9" s="15">
        <v>1525</v>
      </c>
      <c r="E9" s="14">
        <v>38.567794550000002</v>
      </c>
      <c r="F9" s="16">
        <v>1.4455097100000001</v>
      </c>
      <c r="G9" s="14">
        <v>61.432205449999998</v>
      </c>
      <c r="H9" s="16">
        <v>1.4455097100000001</v>
      </c>
      <c r="I9" s="14" t="s">
        <v>139</v>
      </c>
      <c r="J9" s="16" t="s">
        <v>139</v>
      </c>
      <c r="K9" s="14">
        <v>0</v>
      </c>
      <c r="L9" s="16">
        <v>0</v>
      </c>
      <c r="M9" s="14">
        <v>0</v>
      </c>
      <c r="N9" s="16">
        <v>0</v>
      </c>
      <c r="O9" s="14">
        <v>0</v>
      </c>
      <c r="P9" s="16">
        <v>0</v>
      </c>
      <c r="Q9" s="14">
        <v>0</v>
      </c>
      <c r="R9" s="16">
        <v>0</v>
      </c>
    </row>
    <row r="10" spans="1:18" x14ac:dyDescent="0.25">
      <c r="A10" s="11" t="s">
        <v>142</v>
      </c>
      <c r="B10" s="13">
        <v>20058</v>
      </c>
      <c r="C10" s="14">
        <f>(16663/B10*100)</f>
        <v>83.074085153056132</v>
      </c>
      <c r="D10" s="15">
        <v>3395</v>
      </c>
      <c r="E10" s="14">
        <v>32.882927850000002</v>
      </c>
      <c r="F10" s="16">
        <v>1.0151490299999999</v>
      </c>
      <c r="G10" s="14">
        <v>67.117072149999998</v>
      </c>
      <c r="H10" s="16">
        <v>1.0151490299999999</v>
      </c>
      <c r="I10" s="14" t="s">
        <v>139</v>
      </c>
      <c r="J10" s="16" t="s">
        <v>139</v>
      </c>
      <c r="K10" s="14">
        <v>0</v>
      </c>
      <c r="L10" s="16">
        <v>0</v>
      </c>
      <c r="M10" s="14">
        <v>0</v>
      </c>
      <c r="N10" s="16">
        <v>0</v>
      </c>
      <c r="O10" s="14">
        <v>0</v>
      </c>
      <c r="P10" s="16">
        <v>0</v>
      </c>
      <c r="Q10" s="14">
        <v>0</v>
      </c>
      <c r="R10" s="16">
        <v>0</v>
      </c>
    </row>
    <row r="11" spans="1:18" x14ac:dyDescent="0.25">
      <c r="A11" s="11" t="s">
        <v>143</v>
      </c>
      <c r="B11" s="13">
        <v>7053</v>
      </c>
      <c r="C11" s="14">
        <f>(5925/B11*100)</f>
        <v>84.006805614632071</v>
      </c>
      <c r="D11" s="15">
        <v>1128</v>
      </c>
      <c r="E11" s="14">
        <v>41.20951633</v>
      </c>
      <c r="F11" s="16">
        <v>1.81787984</v>
      </c>
      <c r="G11" s="14">
        <v>58.79048367</v>
      </c>
      <c r="H11" s="16">
        <v>1.81787984</v>
      </c>
      <c r="I11" s="14" t="s">
        <v>139</v>
      </c>
      <c r="J11" s="16" t="s">
        <v>139</v>
      </c>
      <c r="K11" s="14">
        <v>0</v>
      </c>
      <c r="L11" s="16">
        <v>0</v>
      </c>
      <c r="M11" s="14">
        <v>0</v>
      </c>
      <c r="N11" s="16">
        <v>0</v>
      </c>
      <c r="O11" s="14">
        <v>0</v>
      </c>
      <c r="P11" s="16">
        <v>0</v>
      </c>
      <c r="Q11" s="14">
        <v>0</v>
      </c>
      <c r="R11" s="16">
        <v>0</v>
      </c>
    </row>
    <row r="12" spans="1:18" x14ac:dyDescent="0.25">
      <c r="A12" s="11" t="s">
        <v>144</v>
      </c>
      <c r="B12" s="13">
        <v>6894</v>
      </c>
      <c r="C12" s="14">
        <f>(5770/B12*100)</f>
        <v>83.695967507977954</v>
      </c>
      <c r="D12" s="15">
        <v>1124</v>
      </c>
      <c r="E12" s="14">
        <v>37.925081259999999</v>
      </c>
      <c r="F12" s="16">
        <v>1.7347473899999999</v>
      </c>
      <c r="G12" s="14">
        <v>62.074918740000001</v>
      </c>
      <c r="H12" s="16">
        <v>1.7347473899999999</v>
      </c>
      <c r="I12" s="14" t="s">
        <v>139</v>
      </c>
      <c r="J12" s="16" t="s">
        <v>139</v>
      </c>
      <c r="K12" s="14">
        <v>0</v>
      </c>
      <c r="L12" s="16">
        <v>0</v>
      </c>
      <c r="M12" s="14">
        <v>0</v>
      </c>
      <c r="N12" s="16">
        <v>0</v>
      </c>
      <c r="O12" s="14">
        <v>0</v>
      </c>
      <c r="P12" s="16">
        <v>0</v>
      </c>
      <c r="Q12" s="14">
        <v>0</v>
      </c>
      <c r="R12" s="16">
        <v>0</v>
      </c>
    </row>
    <row r="13" spans="1:18" x14ac:dyDescent="0.25">
      <c r="A13" s="11" t="s">
        <v>145</v>
      </c>
      <c r="B13" s="13">
        <v>7161</v>
      </c>
      <c r="C13" s="14">
        <f>(6035/B13*100)</f>
        <v>84.275939114648793</v>
      </c>
      <c r="D13" s="15">
        <v>1126</v>
      </c>
      <c r="E13" s="14">
        <v>31.547213150000001</v>
      </c>
      <c r="F13" s="16">
        <v>1.74320472</v>
      </c>
      <c r="G13" s="14">
        <v>68.452786849999995</v>
      </c>
      <c r="H13" s="16">
        <v>1.74320472</v>
      </c>
      <c r="I13" s="14" t="s">
        <v>139</v>
      </c>
      <c r="J13" s="16" t="s">
        <v>139</v>
      </c>
      <c r="K13" s="14">
        <v>0</v>
      </c>
      <c r="L13" s="16">
        <v>0</v>
      </c>
      <c r="M13" s="14">
        <v>0</v>
      </c>
      <c r="N13" s="16">
        <v>0</v>
      </c>
      <c r="O13" s="14">
        <v>0</v>
      </c>
      <c r="P13" s="16">
        <v>0</v>
      </c>
      <c r="Q13" s="14">
        <v>0</v>
      </c>
      <c r="R13" s="16">
        <v>0</v>
      </c>
    </row>
    <row r="14" spans="1:18" x14ac:dyDescent="0.25">
      <c r="A14" s="11" t="s">
        <v>146</v>
      </c>
      <c r="B14" s="13">
        <v>5587</v>
      </c>
      <c r="C14" s="14">
        <f>(4647/B14*100)</f>
        <v>83.175228208340783</v>
      </c>
      <c r="D14" s="15">
        <v>940</v>
      </c>
      <c r="E14" s="14">
        <v>40.487525079999998</v>
      </c>
      <c r="F14" s="16">
        <v>1.8634348000000001</v>
      </c>
      <c r="G14" s="14">
        <v>59.512474920000002</v>
      </c>
      <c r="H14" s="16">
        <v>1.8634348000000001</v>
      </c>
      <c r="I14" s="14" t="s">
        <v>139</v>
      </c>
      <c r="J14" s="16" t="s">
        <v>139</v>
      </c>
      <c r="K14" s="14">
        <v>0</v>
      </c>
      <c r="L14" s="16">
        <v>0</v>
      </c>
      <c r="M14" s="14">
        <v>0</v>
      </c>
      <c r="N14" s="16">
        <v>0</v>
      </c>
      <c r="O14" s="14">
        <v>0</v>
      </c>
      <c r="P14" s="16">
        <v>0</v>
      </c>
      <c r="Q14" s="14">
        <v>0</v>
      </c>
      <c r="R14" s="16">
        <v>0</v>
      </c>
    </row>
    <row r="15" spans="1:18" x14ac:dyDescent="0.25">
      <c r="A15" s="11" t="s">
        <v>147</v>
      </c>
      <c r="B15" s="13">
        <v>5882</v>
      </c>
      <c r="C15" s="14">
        <f>(4921/B15*100)</f>
        <v>83.66201972118327</v>
      </c>
      <c r="D15" s="15">
        <v>961</v>
      </c>
      <c r="E15" s="14">
        <v>33.128123240000001</v>
      </c>
      <c r="F15" s="16">
        <v>1.4619904800000001</v>
      </c>
      <c r="G15" s="14">
        <v>66.871876760000006</v>
      </c>
      <c r="H15" s="16">
        <v>1.4619904800000001</v>
      </c>
      <c r="I15" s="14" t="s">
        <v>139</v>
      </c>
      <c r="J15" s="16" t="s">
        <v>139</v>
      </c>
      <c r="K15" s="14">
        <v>0</v>
      </c>
      <c r="L15" s="16">
        <v>0</v>
      </c>
      <c r="M15" s="14">
        <v>0</v>
      </c>
      <c r="N15" s="16">
        <v>0</v>
      </c>
      <c r="O15" s="14">
        <v>0</v>
      </c>
      <c r="P15" s="16">
        <v>0</v>
      </c>
      <c r="Q15" s="14">
        <v>0</v>
      </c>
      <c r="R15" s="16">
        <v>0</v>
      </c>
    </row>
    <row r="16" spans="1:18" x14ac:dyDescent="0.25">
      <c r="A16" s="11" t="s">
        <v>148</v>
      </c>
      <c r="B16" s="13">
        <v>6108</v>
      </c>
      <c r="C16" s="14">
        <f>(5092/B16*100)</f>
        <v>83.366077275704001</v>
      </c>
      <c r="D16" s="15">
        <v>1016</v>
      </c>
      <c r="E16" s="14">
        <v>41.692941359999999</v>
      </c>
      <c r="F16" s="16">
        <v>1.5163152</v>
      </c>
      <c r="G16" s="14">
        <v>58.307058640000001</v>
      </c>
      <c r="H16" s="16">
        <v>1.5163152</v>
      </c>
      <c r="I16" s="14" t="s">
        <v>139</v>
      </c>
      <c r="J16" s="16" t="s">
        <v>139</v>
      </c>
      <c r="K16" s="14">
        <v>0</v>
      </c>
      <c r="L16" s="16">
        <v>0</v>
      </c>
      <c r="M16" s="14">
        <v>0</v>
      </c>
      <c r="N16" s="16">
        <v>0</v>
      </c>
      <c r="O16" s="14">
        <v>0</v>
      </c>
      <c r="P16" s="16">
        <v>0</v>
      </c>
      <c r="Q16" s="14">
        <v>0</v>
      </c>
      <c r="R16" s="16">
        <v>0</v>
      </c>
    </row>
    <row r="17" spans="1:18" x14ac:dyDescent="0.25">
      <c r="A17" s="11" t="s">
        <v>149</v>
      </c>
      <c r="B17" s="13">
        <v>6504</v>
      </c>
      <c r="C17" s="14">
        <f>(5459/B17*100)</f>
        <v>83.932964329643298</v>
      </c>
      <c r="D17" s="15">
        <v>1045</v>
      </c>
      <c r="E17" s="14">
        <v>33.513072309999998</v>
      </c>
      <c r="F17" s="16">
        <v>1.4459282200000001</v>
      </c>
      <c r="G17" s="14">
        <v>66.486927690000002</v>
      </c>
      <c r="H17" s="16">
        <v>1.4459282200000001</v>
      </c>
      <c r="I17" s="14" t="s">
        <v>139</v>
      </c>
      <c r="J17" s="16" t="s">
        <v>139</v>
      </c>
      <c r="K17" s="14">
        <v>0</v>
      </c>
      <c r="L17" s="16">
        <v>0</v>
      </c>
      <c r="M17" s="14">
        <v>0</v>
      </c>
      <c r="N17" s="16">
        <v>0</v>
      </c>
      <c r="O17" s="14">
        <v>0</v>
      </c>
      <c r="P17" s="16">
        <v>0</v>
      </c>
      <c r="Q17" s="14">
        <v>0</v>
      </c>
      <c r="R17" s="16">
        <v>0</v>
      </c>
    </row>
    <row r="18" spans="1:18" x14ac:dyDescent="0.25">
      <c r="A18" s="11" t="s">
        <v>150</v>
      </c>
      <c r="B18" s="13">
        <v>5532</v>
      </c>
      <c r="C18" s="14">
        <f>(4583/B18*100)</f>
        <v>82.845263919016631</v>
      </c>
      <c r="D18" s="15">
        <v>949</v>
      </c>
      <c r="E18" s="14">
        <v>56.626470449999999</v>
      </c>
      <c r="F18" s="16">
        <v>1.8837127</v>
      </c>
      <c r="G18" s="14">
        <v>43.373529550000001</v>
      </c>
      <c r="H18" s="16">
        <v>1.8837127</v>
      </c>
      <c r="I18" s="14" t="s">
        <v>139</v>
      </c>
      <c r="J18" s="16" t="s">
        <v>139</v>
      </c>
      <c r="K18" s="14">
        <v>0</v>
      </c>
      <c r="L18" s="16">
        <v>0</v>
      </c>
      <c r="M18" s="14">
        <v>0</v>
      </c>
      <c r="N18" s="16">
        <v>0</v>
      </c>
      <c r="O18" s="14">
        <v>0</v>
      </c>
      <c r="P18" s="16">
        <v>0</v>
      </c>
      <c r="Q18" s="14">
        <v>0</v>
      </c>
      <c r="R18" s="16">
        <v>0</v>
      </c>
    </row>
    <row r="19" spans="1:18" x14ac:dyDescent="0.25">
      <c r="A19" s="11" t="s">
        <v>151</v>
      </c>
      <c r="B19" s="13">
        <v>5658</v>
      </c>
      <c r="C19" s="14">
        <f>(4745/B19*100)</f>
        <v>83.863556026864615</v>
      </c>
      <c r="D19" s="15">
        <v>913</v>
      </c>
      <c r="E19" s="14">
        <v>54.523624060000003</v>
      </c>
      <c r="F19" s="16">
        <v>1.6132856099999999</v>
      </c>
      <c r="G19" s="14">
        <v>45.476375939999997</v>
      </c>
      <c r="H19" s="16">
        <v>1.6132856099999999</v>
      </c>
      <c r="I19" s="14" t="s">
        <v>139</v>
      </c>
      <c r="J19" s="16" t="s">
        <v>139</v>
      </c>
      <c r="K19" s="14">
        <v>0</v>
      </c>
      <c r="L19" s="16">
        <v>0</v>
      </c>
      <c r="M19" s="14">
        <v>0</v>
      </c>
      <c r="N19" s="16">
        <v>0</v>
      </c>
      <c r="O19" s="14">
        <v>0</v>
      </c>
      <c r="P19" s="16">
        <v>0</v>
      </c>
      <c r="Q19" s="14">
        <v>0</v>
      </c>
      <c r="R19" s="16">
        <v>0</v>
      </c>
    </row>
    <row r="20" spans="1:18" x14ac:dyDescent="0.25">
      <c r="A20" s="11" t="s">
        <v>152</v>
      </c>
      <c r="B20" s="13">
        <v>3371</v>
      </c>
      <c r="C20" s="14">
        <f>(2820/B20*100)</f>
        <v>83.654701868881645</v>
      </c>
      <c r="D20" s="15">
        <v>551</v>
      </c>
      <c r="E20" s="14">
        <v>38.159232129999999</v>
      </c>
      <c r="F20" s="16">
        <v>1.72140062</v>
      </c>
      <c r="G20" s="14">
        <v>61.840767870000001</v>
      </c>
      <c r="H20" s="16">
        <v>1.72140062</v>
      </c>
      <c r="I20" s="14" t="s">
        <v>139</v>
      </c>
      <c r="J20" s="16" t="s">
        <v>139</v>
      </c>
      <c r="K20" s="14">
        <v>0</v>
      </c>
      <c r="L20" s="16">
        <v>0</v>
      </c>
      <c r="M20" s="14">
        <v>0</v>
      </c>
      <c r="N20" s="16">
        <v>0</v>
      </c>
      <c r="O20" s="14">
        <v>0</v>
      </c>
      <c r="P20" s="16">
        <v>0</v>
      </c>
      <c r="Q20" s="14">
        <v>0</v>
      </c>
      <c r="R20" s="16">
        <v>0</v>
      </c>
    </row>
    <row r="21" spans="1:18" x14ac:dyDescent="0.25">
      <c r="A21" s="11" t="s">
        <v>153</v>
      </c>
      <c r="B21" s="17" t="s">
        <v>154</v>
      </c>
      <c r="C21" s="17" t="s">
        <v>154</v>
      </c>
      <c r="D21" s="18" t="s">
        <v>154</v>
      </c>
      <c r="E21" s="17" t="s">
        <v>154</v>
      </c>
      <c r="F21" s="18" t="s">
        <v>154</v>
      </c>
      <c r="G21" s="17" t="s">
        <v>154</v>
      </c>
      <c r="H21" s="18" t="s">
        <v>154</v>
      </c>
      <c r="I21" s="17" t="s">
        <v>154</v>
      </c>
      <c r="J21" s="18" t="s">
        <v>154</v>
      </c>
      <c r="K21" s="17" t="s">
        <v>154</v>
      </c>
      <c r="L21" s="18" t="s">
        <v>154</v>
      </c>
      <c r="M21" s="17" t="s">
        <v>154</v>
      </c>
      <c r="N21" s="18" t="s">
        <v>154</v>
      </c>
      <c r="O21" s="17" t="s">
        <v>154</v>
      </c>
      <c r="P21" s="18" t="s">
        <v>154</v>
      </c>
      <c r="Q21" s="17" t="s">
        <v>154</v>
      </c>
      <c r="R21" s="18" t="s">
        <v>154</v>
      </c>
    </row>
    <row r="22" spans="1:18" x14ac:dyDescent="0.25">
      <c r="A22" s="11" t="s">
        <v>155</v>
      </c>
      <c r="B22" s="13">
        <v>6598</v>
      </c>
      <c r="C22" s="14">
        <f>(5607/B22*100)</f>
        <v>84.980297059715056</v>
      </c>
      <c r="D22" s="15">
        <v>991</v>
      </c>
      <c r="E22" s="14">
        <v>44.882353250000001</v>
      </c>
      <c r="F22" s="16">
        <v>1.8714462199999999</v>
      </c>
      <c r="G22" s="14">
        <v>55.117646749999999</v>
      </c>
      <c r="H22" s="16">
        <v>1.8714462199999999</v>
      </c>
      <c r="I22" s="14" t="s">
        <v>139</v>
      </c>
      <c r="J22" s="16" t="s">
        <v>139</v>
      </c>
      <c r="K22" s="14">
        <v>0</v>
      </c>
      <c r="L22" s="16">
        <v>0</v>
      </c>
      <c r="M22" s="14">
        <v>0</v>
      </c>
      <c r="N22" s="16">
        <v>0</v>
      </c>
      <c r="O22" s="14">
        <v>0</v>
      </c>
      <c r="P22" s="16">
        <v>0</v>
      </c>
      <c r="Q22" s="14">
        <v>0</v>
      </c>
      <c r="R22" s="16">
        <v>0</v>
      </c>
    </row>
    <row r="23" spans="1:18" x14ac:dyDescent="0.25">
      <c r="A23" s="11" t="s">
        <v>156</v>
      </c>
      <c r="B23" s="13">
        <v>11583</v>
      </c>
      <c r="C23" s="14">
        <f>(9661/B23*100)</f>
        <v>83.406716740050072</v>
      </c>
      <c r="D23" s="15">
        <v>1922</v>
      </c>
      <c r="E23" s="14">
        <v>47.085915399999998</v>
      </c>
      <c r="F23" s="16">
        <v>1.8385991100000001</v>
      </c>
      <c r="G23" s="14">
        <v>52.914084600000002</v>
      </c>
      <c r="H23" s="16">
        <v>1.8385991100000001</v>
      </c>
      <c r="I23" s="14" t="s">
        <v>139</v>
      </c>
      <c r="J23" s="16" t="s">
        <v>139</v>
      </c>
      <c r="K23" s="14">
        <v>0</v>
      </c>
      <c r="L23" s="16">
        <v>0</v>
      </c>
      <c r="M23" s="14">
        <v>0</v>
      </c>
      <c r="N23" s="16">
        <v>0</v>
      </c>
      <c r="O23" s="14">
        <v>0</v>
      </c>
      <c r="P23" s="16">
        <v>0</v>
      </c>
      <c r="Q23" s="14">
        <v>0</v>
      </c>
      <c r="R23" s="16">
        <v>0</v>
      </c>
    </row>
    <row r="24" spans="1:18" x14ac:dyDescent="0.25">
      <c r="A24" s="11" t="s">
        <v>157</v>
      </c>
      <c r="B24" s="13">
        <v>6647</v>
      </c>
      <c r="C24" s="14">
        <f>(5508/B24*100)</f>
        <v>82.864450127877248</v>
      </c>
      <c r="D24" s="15">
        <v>1139</v>
      </c>
      <c r="E24" s="14">
        <v>24.10729662</v>
      </c>
      <c r="F24" s="16">
        <v>1.4400572599999999</v>
      </c>
      <c r="G24" s="14">
        <v>75.89270338</v>
      </c>
      <c r="H24" s="16">
        <v>1.4400572599999999</v>
      </c>
      <c r="I24" s="14" t="s">
        <v>139</v>
      </c>
      <c r="J24" s="16" t="s">
        <v>139</v>
      </c>
      <c r="K24" s="14">
        <v>0</v>
      </c>
      <c r="L24" s="16">
        <v>0</v>
      </c>
      <c r="M24" s="14">
        <v>0</v>
      </c>
      <c r="N24" s="16">
        <v>0</v>
      </c>
      <c r="O24" s="14">
        <v>0</v>
      </c>
      <c r="P24" s="16">
        <v>0</v>
      </c>
      <c r="Q24" s="14">
        <v>0</v>
      </c>
      <c r="R24" s="16">
        <v>0</v>
      </c>
    </row>
    <row r="25" spans="1:18" x14ac:dyDescent="0.25">
      <c r="A25" s="11" t="s">
        <v>158</v>
      </c>
      <c r="B25" s="13">
        <v>5581</v>
      </c>
      <c r="C25" s="14">
        <f>(4617/B25*100)</f>
        <v>82.727109836946795</v>
      </c>
      <c r="D25" s="15">
        <v>964</v>
      </c>
      <c r="E25" s="14">
        <v>31.195843270000001</v>
      </c>
      <c r="F25" s="16">
        <v>1.6414525099999999</v>
      </c>
      <c r="G25" s="14">
        <v>68.804156730000003</v>
      </c>
      <c r="H25" s="16">
        <v>1.6414525099999999</v>
      </c>
      <c r="I25" s="14" t="s">
        <v>139</v>
      </c>
      <c r="J25" s="16" t="s">
        <v>139</v>
      </c>
      <c r="K25" s="14">
        <v>0</v>
      </c>
      <c r="L25" s="16">
        <v>0</v>
      </c>
      <c r="M25" s="14">
        <v>0</v>
      </c>
      <c r="N25" s="16">
        <v>0</v>
      </c>
      <c r="O25" s="14">
        <v>0</v>
      </c>
      <c r="P25" s="16">
        <v>0</v>
      </c>
      <c r="Q25" s="14">
        <v>0</v>
      </c>
      <c r="R25" s="16">
        <v>0</v>
      </c>
    </row>
    <row r="26" spans="1:18" x14ac:dyDescent="0.25">
      <c r="A26" s="11" t="s">
        <v>159</v>
      </c>
      <c r="B26" s="13">
        <v>4869</v>
      </c>
      <c r="C26" s="14">
        <f>(4025/B26*100)</f>
        <v>82.665845142739784</v>
      </c>
      <c r="D26" s="15">
        <v>844</v>
      </c>
      <c r="E26" s="14">
        <v>49.126980250000003</v>
      </c>
      <c r="F26" s="16">
        <v>1.7850257700000001</v>
      </c>
      <c r="G26" s="14">
        <v>50.873019749999997</v>
      </c>
      <c r="H26" s="16">
        <v>1.7850257700000001</v>
      </c>
      <c r="I26" s="14" t="s">
        <v>139</v>
      </c>
      <c r="J26" s="16" t="s">
        <v>139</v>
      </c>
      <c r="K26" s="14">
        <v>0</v>
      </c>
      <c r="L26" s="16">
        <v>0</v>
      </c>
      <c r="M26" s="14">
        <v>0</v>
      </c>
      <c r="N26" s="16">
        <v>0</v>
      </c>
      <c r="O26" s="14">
        <v>0</v>
      </c>
      <c r="P26" s="16">
        <v>0</v>
      </c>
      <c r="Q26" s="14">
        <v>0</v>
      </c>
      <c r="R26" s="16">
        <v>0</v>
      </c>
    </row>
    <row r="27" spans="1:18" x14ac:dyDescent="0.25">
      <c r="A27" s="11" t="s">
        <v>160</v>
      </c>
      <c r="B27" s="13">
        <v>5299</v>
      </c>
      <c r="C27" s="14">
        <f>(4441/B27*100)</f>
        <v>83.808265710511421</v>
      </c>
      <c r="D27" s="15">
        <v>858</v>
      </c>
      <c r="E27" s="14">
        <v>45.696515140000002</v>
      </c>
      <c r="F27" s="16">
        <v>1.53673218</v>
      </c>
      <c r="G27" s="14">
        <v>54.303484859999998</v>
      </c>
      <c r="H27" s="16">
        <v>1.53673218</v>
      </c>
      <c r="I27" s="14" t="s">
        <v>139</v>
      </c>
      <c r="J27" s="16" t="s">
        <v>139</v>
      </c>
      <c r="K27" s="14">
        <v>0</v>
      </c>
      <c r="L27" s="16">
        <v>0</v>
      </c>
      <c r="M27" s="14">
        <v>0</v>
      </c>
      <c r="N27" s="16">
        <v>0</v>
      </c>
      <c r="O27" s="14">
        <v>0</v>
      </c>
      <c r="P27" s="16">
        <v>0</v>
      </c>
      <c r="Q27" s="14">
        <v>0</v>
      </c>
      <c r="R27" s="16">
        <v>0</v>
      </c>
    </row>
    <row r="28" spans="1:18" x14ac:dyDescent="0.25">
      <c r="A28" s="11" t="s">
        <v>161</v>
      </c>
      <c r="B28" s="13">
        <v>7568</v>
      </c>
      <c r="C28" s="14">
        <f>(6479/B28*100)</f>
        <v>85.610465116279073</v>
      </c>
      <c r="D28" s="15">
        <v>1089</v>
      </c>
      <c r="E28" s="14">
        <v>56.267962859999997</v>
      </c>
      <c r="F28" s="16">
        <v>1.4975006099999999</v>
      </c>
      <c r="G28" s="14">
        <v>43.732037140000003</v>
      </c>
      <c r="H28" s="16">
        <v>1.4975006099999999</v>
      </c>
      <c r="I28" s="14" t="s">
        <v>139</v>
      </c>
      <c r="J28" s="16" t="s">
        <v>139</v>
      </c>
      <c r="K28" s="14">
        <v>0</v>
      </c>
      <c r="L28" s="16">
        <v>0</v>
      </c>
      <c r="M28" s="14">
        <v>0</v>
      </c>
      <c r="N28" s="16">
        <v>0</v>
      </c>
      <c r="O28" s="14">
        <v>0</v>
      </c>
      <c r="P28" s="16">
        <v>0</v>
      </c>
      <c r="Q28" s="14">
        <v>0</v>
      </c>
      <c r="R28" s="16">
        <v>0</v>
      </c>
    </row>
    <row r="29" spans="1:18" x14ac:dyDescent="0.25">
      <c r="A29" s="11" t="s">
        <v>162</v>
      </c>
      <c r="B29" s="13">
        <v>5385</v>
      </c>
      <c r="C29" s="14">
        <f>(4470/B29*100)</f>
        <v>83.008356545961007</v>
      </c>
      <c r="D29" s="15">
        <v>915</v>
      </c>
      <c r="E29" s="14">
        <v>35.429123560000001</v>
      </c>
      <c r="F29" s="16">
        <v>1.3453861499999999</v>
      </c>
      <c r="G29" s="14">
        <v>64.570876440000006</v>
      </c>
      <c r="H29" s="16">
        <v>1.3453861499999999</v>
      </c>
      <c r="I29" s="14" t="s">
        <v>139</v>
      </c>
      <c r="J29" s="16" t="s">
        <v>139</v>
      </c>
      <c r="K29" s="14">
        <v>0</v>
      </c>
      <c r="L29" s="16">
        <v>0</v>
      </c>
      <c r="M29" s="14">
        <v>0</v>
      </c>
      <c r="N29" s="16">
        <v>0</v>
      </c>
      <c r="O29" s="14">
        <v>0</v>
      </c>
      <c r="P29" s="16">
        <v>0</v>
      </c>
      <c r="Q29" s="14">
        <v>0</v>
      </c>
      <c r="R29" s="16">
        <v>0</v>
      </c>
    </row>
    <row r="30" spans="1:18" x14ac:dyDescent="0.25">
      <c r="A30" s="11" t="s">
        <v>163</v>
      </c>
      <c r="B30" s="13">
        <v>4520</v>
      </c>
      <c r="C30" s="14">
        <f>(3779/B30*100)</f>
        <v>83.606194690265482</v>
      </c>
      <c r="D30" s="15">
        <v>741</v>
      </c>
      <c r="E30" s="14">
        <v>32.901932129999999</v>
      </c>
      <c r="F30" s="16">
        <v>1.4814339599999999</v>
      </c>
      <c r="G30" s="14">
        <v>67.098067869999994</v>
      </c>
      <c r="H30" s="16">
        <v>1.4814339599999999</v>
      </c>
      <c r="I30" s="14" t="s">
        <v>139</v>
      </c>
      <c r="J30" s="16" t="s">
        <v>139</v>
      </c>
      <c r="K30" s="14">
        <v>0</v>
      </c>
      <c r="L30" s="16">
        <v>0</v>
      </c>
      <c r="M30" s="14">
        <v>0</v>
      </c>
      <c r="N30" s="16">
        <v>0</v>
      </c>
      <c r="O30" s="14">
        <v>0</v>
      </c>
      <c r="P30" s="16">
        <v>0</v>
      </c>
      <c r="Q30" s="14">
        <v>0</v>
      </c>
      <c r="R30" s="16">
        <v>0</v>
      </c>
    </row>
    <row r="31" spans="1:18" x14ac:dyDescent="0.25">
      <c r="A31" s="11" t="s">
        <v>164</v>
      </c>
      <c r="B31" s="13">
        <v>5456</v>
      </c>
      <c r="C31" s="14">
        <f>(4579/B31*100)</f>
        <v>83.925953079178882</v>
      </c>
      <c r="D31" s="15">
        <v>877</v>
      </c>
      <c r="E31" s="14">
        <v>37.527903500000001</v>
      </c>
      <c r="F31" s="16">
        <v>1.51973961</v>
      </c>
      <c r="G31" s="14">
        <v>62.472096499999999</v>
      </c>
      <c r="H31" s="16">
        <v>1.51973961</v>
      </c>
      <c r="I31" s="14" t="s">
        <v>139</v>
      </c>
      <c r="J31" s="16" t="s">
        <v>139</v>
      </c>
      <c r="K31" s="14">
        <v>0</v>
      </c>
      <c r="L31" s="16">
        <v>0</v>
      </c>
      <c r="M31" s="14">
        <v>0</v>
      </c>
      <c r="N31" s="16">
        <v>0</v>
      </c>
      <c r="O31" s="14">
        <v>0</v>
      </c>
      <c r="P31" s="16">
        <v>0</v>
      </c>
      <c r="Q31" s="14">
        <v>0</v>
      </c>
      <c r="R31" s="16">
        <v>0</v>
      </c>
    </row>
    <row r="32" spans="1:18" x14ac:dyDescent="0.25">
      <c r="A32" s="11" t="s">
        <v>165</v>
      </c>
      <c r="B32" s="17" t="s">
        <v>154</v>
      </c>
      <c r="C32" s="17" t="s">
        <v>154</v>
      </c>
      <c r="D32" s="18" t="s">
        <v>154</v>
      </c>
      <c r="E32" s="17" t="s">
        <v>154</v>
      </c>
      <c r="F32" s="18" t="s">
        <v>154</v>
      </c>
      <c r="G32" s="17" t="s">
        <v>154</v>
      </c>
      <c r="H32" s="18" t="s">
        <v>154</v>
      </c>
      <c r="I32" s="17" t="s">
        <v>154</v>
      </c>
      <c r="J32" s="18" t="s">
        <v>154</v>
      </c>
      <c r="K32" s="17" t="s">
        <v>154</v>
      </c>
      <c r="L32" s="18" t="s">
        <v>154</v>
      </c>
      <c r="M32" s="17" t="s">
        <v>154</v>
      </c>
      <c r="N32" s="18" t="s">
        <v>154</v>
      </c>
      <c r="O32" s="17" t="s">
        <v>154</v>
      </c>
      <c r="P32" s="18" t="s">
        <v>154</v>
      </c>
      <c r="Q32" s="17" t="s">
        <v>154</v>
      </c>
      <c r="R32" s="18" t="s">
        <v>154</v>
      </c>
    </row>
    <row r="33" spans="1:18" x14ac:dyDescent="0.25">
      <c r="A33" s="11" t="s">
        <v>166</v>
      </c>
      <c r="B33" s="13">
        <v>7325</v>
      </c>
      <c r="C33" s="14">
        <f>(6194/B33*100)</f>
        <v>84.559726962457333</v>
      </c>
      <c r="D33" s="15">
        <v>1131</v>
      </c>
      <c r="E33" s="14">
        <v>37.677646889999998</v>
      </c>
      <c r="F33" s="16">
        <v>1.9332473699999999</v>
      </c>
      <c r="G33" s="14">
        <v>62.322353110000002</v>
      </c>
      <c r="H33" s="16">
        <v>1.9332473699999999</v>
      </c>
      <c r="I33" s="14" t="s">
        <v>139</v>
      </c>
      <c r="J33" s="16" t="s">
        <v>139</v>
      </c>
      <c r="K33" s="14">
        <v>0</v>
      </c>
      <c r="L33" s="16">
        <v>0</v>
      </c>
      <c r="M33" s="14">
        <v>0</v>
      </c>
      <c r="N33" s="16">
        <v>0</v>
      </c>
      <c r="O33" s="14">
        <v>0</v>
      </c>
      <c r="P33" s="16">
        <v>0</v>
      </c>
      <c r="Q33" s="14">
        <v>0</v>
      </c>
      <c r="R33" s="16">
        <v>0</v>
      </c>
    </row>
    <row r="34" spans="1:18" x14ac:dyDescent="0.25">
      <c r="A34" s="11" t="s">
        <v>167</v>
      </c>
      <c r="B34" s="13">
        <v>6350</v>
      </c>
      <c r="C34" s="14">
        <f>(5345/B34*100)</f>
        <v>84.173228346456696</v>
      </c>
      <c r="D34" s="15">
        <v>1005</v>
      </c>
      <c r="E34" s="14">
        <v>48.452313369999999</v>
      </c>
      <c r="F34" s="16">
        <v>1.8138422599999999</v>
      </c>
      <c r="G34" s="14">
        <v>51.547686630000001</v>
      </c>
      <c r="H34" s="16">
        <v>1.8138422599999999</v>
      </c>
      <c r="I34" s="14" t="s">
        <v>139</v>
      </c>
      <c r="J34" s="16" t="s">
        <v>139</v>
      </c>
      <c r="K34" s="14">
        <v>0</v>
      </c>
      <c r="L34" s="16">
        <v>0</v>
      </c>
      <c r="M34" s="14">
        <v>0</v>
      </c>
      <c r="N34" s="16">
        <v>0</v>
      </c>
      <c r="O34" s="14">
        <v>0</v>
      </c>
      <c r="P34" s="16">
        <v>0</v>
      </c>
      <c r="Q34" s="14">
        <v>0</v>
      </c>
      <c r="R34" s="16">
        <v>0</v>
      </c>
    </row>
    <row r="35" spans="1:18" x14ac:dyDescent="0.25">
      <c r="A35" s="11" t="s">
        <v>168</v>
      </c>
      <c r="B35" s="13">
        <v>6406</v>
      </c>
      <c r="C35" s="14">
        <f>(5316/B35*100)</f>
        <v>82.9847018420231</v>
      </c>
      <c r="D35" s="15">
        <v>1090</v>
      </c>
      <c r="E35" s="14">
        <v>41.806309280000001</v>
      </c>
      <c r="F35" s="16">
        <v>1.9269086099999999</v>
      </c>
      <c r="G35" s="14">
        <v>58.193690719999999</v>
      </c>
      <c r="H35" s="16">
        <v>1.9269086099999999</v>
      </c>
      <c r="I35" s="14" t="s">
        <v>139</v>
      </c>
      <c r="J35" s="16" t="s">
        <v>139</v>
      </c>
      <c r="K35" s="14">
        <v>0</v>
      </c>
      <c r="L35" s="16">
        <v>0</v>
      </c>
      <c r="M35" s="14">
        <v>0</v>
      </c>
      <c r="N35" s="16">
        <v>0</v>
      </c>
      <c r="O35" s="14">
        <v>0</v>
      </c>
      <c r="P35" s="16">
        <v>0</v>
      </c>
      <c r="Q35" s="14">
        <v>0</v>
      </c>
      <c r="R35" s="16">
        <v>0</v>
      </c>
    </row>
    <row r="36" spans="1:18" x14ac:dyDescent="0.25">
      <c r="A36" s="11" t="s">
        <v>169</v>
      </c>
      <c r="B36" s="13">
        <v>6736</v>
      </c>
      <c r="C36" s="14">
        <f>(5652/B36*100)</f>
        <v>83.907363420427544</v>
      </c>
      <c r="D36" s="15">
        <v>1084</v>
      </c>
      <c r="E36" s="14">
        <v>35.959549819999999</v>
      </c>
      <c r="F36" s="16">
        <v>1.6205986299999999</v>
      </c>
      <c r="G36" s="14">
        <v>64.040450179999993</v>
      </c>
      <c r="H36" s="16">
        <v>1.6205986299999999</v>
      </c>
      <c r="I36" s="14" t="s">
        <v>139</v>
      </c>
      <c r="J36" s="16" t="s">
        <v>139</v>
      </c>
      <c r="K36" s="14">
        <v>0</v>
      </c>
      <c r="L36" s="16">
        <v>0</v>
      </c>
      <c r="M36" s="14">
        <v>0</v>
      </c>
      <c r="N36" s="16">
        <v>0</v>
      </c>
      <c r="O36" s="14">
        <v>0</v>
      </c>
      <c r="P36" s="16">
        <v>0</v>
      </c>
      <c r="Q36" s="14">
        <v>0</v>
      </c>
      <c r="R36" s="16">
        <v>0</v>
      </c>
    </row>
    <row r="37" spans="1:18" x14ac:dyDescent="0.25">
      <c r="A37" s="11" t="s">
        <v>170</v>
      </c>
      <c r="B37" s="13">
        <v>5458</v>
      </c>
      <c r="C37" s="14">
        <f>(4608/B37*100)</f>
        <v>84.426529864419194</v>
      </c>
      <c r="D37" s="15">
        <v>850</v>
      </c>
      <c r="E37" s="14">
        <v>41.551511759999997</v>
      </c>
      <c r="F37" s="16">
        <v>1.7643931900000001</v>
      </c>
      <c r="G37" s="14">
        <v>58.448488240000003</v>
      </c>
      <c r="H37" s="16">
        <v>1.7643931900000001</v>
      </c>
      <c r="I37" s="14" t="s">
        <v>139</v>
      </c>
      <c r="J37" s="16" t="s">
        <v>139</v>
      </c>
      <c r="K37" s="14">
        <v>0</v>
      </c>
      <c r="L37" s="16">
        <v>0</v>
      </c>
      <c r="M37" s="14">
        <v>0</v>
      </c>
      <c r="N37" s="16">
        <v>0</v>
      </c>
      <c r="O37" s="14">
        <v>0</v>
      </c>
      <c r="P37" s="16">
        <v>0</v>
      </c>
      <c r="Q37" s="14">
        <v>0</v>
      </c>
      <c r="R37" s="16">
        <v>0</v>
      </c>
    </row>
    <row r="38" spans="1:18" x14ac:dyDescent="0.25">
      <c r="A38" s="11" t="s">
        <v>171</v>
      </c>
      <c r="B38" s="17" t="s">
        <v>154</v>
      </c>
      <c r="C38" s="17" t="s">
        <v>154</v>
      </c>
      <c r="D38" s="18" t="s">
        <v>154</v>
      </c>
      <c r="E38" s="17" t="s">
        <v>154</v>
      </c>
      <c r="F38" s="18" t="s">
        <v>154</v>
      </c>
      <c r="G38" s="17" t="s">
        <v>154</v>
      </c>
      <c r="H38" s="18" t="s">
        <v>154</v>
      </c>
      <c r="I38" s="17" t="s">
        <v>154</v>
      </c>
      <c r="J38" s="18" t="s">
        <v>154</v>
      </c>
      <c r="K38" s="17" t="s">
        <v>154</v>
      </c>
      <c r="L38" s="18" t="s">
        <v>154</v>
      </c>
      <c r="M38" s="17" t="s">
        <v>154</v>
      </c>
      <c r="N38" s="18" t="s">
        <v>154</v>
      </c>
      <c r="O38" s="17" t="s">
        <v>154</v>
      </c>
      <c r="P38" s="18" t="s">
        <v>154</v>
      </c>
      <c r="Q38" s="17" t="s">
        <v>154</v>
      </c>
      <c r="R38" s="18" t="s">
        <v>154</v>
      </c>
    </row>
    <row r="39" spans="1:18" x14ac:dyDescent="0.25">
      <c r="A39" s="11" t="s">
        <v>172</v>
      </c>
      <c r="B39" s="13">
        <v>5895</v>
      </c>
      <c r="C39" s="14">
        <f>(4875/B39*100)</f>
        <v>82.697201017811707</v>
      </c>
      <c r="D39" s="15">
        <v>1020</v>
      </c>
      <c r="E39" s="14">
        <v>56.289355059999998</v>
      </c>
      <c r="F39" s="16">
        <v>1.95533592</v>
      </c>
      <c r="G39" s="14">
        <v>43.710644940000002</v>
      </c>
      <c r="H39" s="16">
        <v>1.95533592</v>
      </c>
      <c r="I39" s="14" t="s">
        <v>139</v>
      </c>
      <c r="J39" s="16" t="s">
        <v>139</v>
      </c>
      <c r="K39" s="14">
        <v>0</v>
      </c>
      <c r="L39" s="16">
        <v>0</v>
      </c>
      <c r="M39" s="14">
        <v>0</v>
      </c>
      <c r="N39" s="16">
        <v>0</v>
      </c>
      <c r="O39" s="14">
        <v>0</v>
      </c>
      <c r="P39" s="16">
        <v>0</v>
      </c>
      <c r="Q39" s="14">
        <v>0</v>
      </c>
      <c r="R39" s="16">
        <v>0</v>
      </c>
    </row>
    <row r="40" spans="1:18" x14ac:dyDescent="0.25">
      <c r="A40" s="11" t="s">
        <v>173</v>
      </c>
      <c r="B40" s="13">
        <v>14157</v>
      </c>
      <c r="C40" s="14">
        <f>(11677/B40*100)</f>
        <v>82.482164300346113</v>
      </c>
      <c r="D40" s="15">
        <v>2480</v>
      </c>
      <c r="E40" s="14">
        <v>39.088582090000003</v>
      </c>
      <c r="F40" s="16">
        <v>1.48847116</v>
      </c>
      <c r="G40" s="14">
        <v>60.911417909999997</v>
      </c>
      <c r="H40" s="16">
        <v>1.48847116</v>
      </c>
      <c r="I40" s="14" t="s">
        <v>139</v>
      </c>
      <c r="J40" s="16" t="s">
        <v>139</v>
      </c>
      <c r="K40" s="14">
        <v>0</v>
      </c>
      <c r="L40" s="16">
        <v>0</v>
      </c>
      <c r="M40" s="14">
        <v>0</v>
      </c>
      <c r="N40" s="16">
        <v>0</v>
      </c>
      <c r="O40" s="14">
        <v>0</v>
      </c>
      <c r="P40" s="16">
        <v>0</v>
      </c>
      <c r="Q40" s="14">
        <v>0</v>
      </c>
      <c r="R40" s="16">
        <v>0</v>
      </c>
    </row>
    <row r="41" spans="1:18" x14ac:dyDescent="0.25">
      <c r="A41" s="11" t="s">
        <v>174</v>
      </c>
      <c r="B41" s="13">
        <v>5712</v>
      </c>
      <c r="C41" s="14">
        <f>(4807/B41*100)</f>
        <v>84.156162464985997</v>
      </c>
      <c r="D41" s="15">
        <v>905</v>
      </c>
      <c r="E41" s="14">
        <v>34.910043020000003</v>
      </c>
      <c r="F41" s="16">
        <v>1.75704843</v>
      </c>
      <c r="G41" s="14">
        <v>65.089956979999997</v>
      </c>
      <c r="H41" s="16">
        <v>1.75704843</v>
      </c>
      <c r="I41" s="14" t="s">
        <v>139</v>
      </c>
      <c r="J41" s="16" t="s">
        <v>139</v>
      </c>
      <c r="K41" s="14">
        <v>0</v>
      </c>
      <c r="L41" s="16">
        <v>0</v>
      </c>
      <c r="M41" s="14">
        <v>0</v>
      </c>
      <c r="N41" s="16">
        <v>0</v>
      </c>
      <c r="O41" s="14">
        <v>0</v>
      </c>
      <c r="P41" s="16">
        <v>0</v>
      </c>
      <c r="Q41" s="14">
        <v>0</v>
      </c>
      <c r="R41" s="16">
        <v>0</v>
      </c>
    </row>
    <row r="42" spans="1:18" x14ac:dyDescent="0.25">
      <c r="A42" s="11" t="s">
        <v>175</v>
      </c>
      <c r="B42" s="13">
        <f>IF(COUNT(B7:B41) &gt; 0, AVERAGE(B7:B41), "\u2014")</f>
        <v>7266.90625</v>
      </c>
      <c r="C42" s="14">
        <f>IF(COUNT(C7:C41) &gt; 0, AVERAGE(C7:C41), "—")</f>
        <v>83.651274497460449</v>
      </c>
      <c r="D42" s="15">
        <f>IF(COUNT(D7:D41) &gt; 0, AVERAGE(D7:D41), "—")</f>
        <v>1190.53125</v>
      </c>
      <c r="E42" s="14">
        <f>IF(COUNT(E7:E41) &gt; 0, AVERAGE(E7:E41), "—")</f>
        <v>40.477376973749998</v>
      </c>
      <c r="F42" s="16">
        <f>IF(COUNT(F7:F41) &gt; 0, SQRT(SUMSQ(F7:F41)/(COUNT(F7:F41)*COUNT(F7:F41)) ), "—")</f>
        <v>0.29173259822668607</v>
      </c>
      <c r="G42" s="14">
        <f>IF(COUNT(G7:G41) &gt; 0, AVERAGE(G7:G41), "—")</f>
        <v>59.522623026249995</v>
      </c>
      <c r="H42" s="16">
        <f>IF(COUNT(H7:H41) &gt; 0, SQRT(SUMSQ(H7:H41)/(COUNT(H7:H41)*COUNT(H7:H41)) ), "—")</f>
        <v>0.29173259822668607</v>
      </c>
      <c r="I42" s="14" t="str">
        <f>IF(COUNT(I7:I41) &gt; 0, AVERAGE(I7:I41), "—")</f>
        <v>—</v>
      </c>
      <c r="J42" s="16" t="str">
        <f>IF(COUNT(J7:J41) &gt; 0, SQRT(SUMSQ(J7:J41)/(COUNT(J7:J41)*COUNT(J7:J41)) ), "—")</f>
        <v>—</v>
      </c>
      <c r="K42" s="14">
        <f>IF(COUNT(K7:K41) &gt; 0, AVERAGE(K7:K41), "—")</f>
        <v>0</v>
      </c>
      <c r="L42" s="16">
        <f>IF(COUNT(L7:L41) &gt; 0, SQRT(SUMSQ(L7:L41)/(COUNT(L7:L41)*COUNT(L7:L41)) ), "—")</f>
        <v>0</v>
      </c>
      <c r="M42" s="14">
        <f>IF(COUNT(M7:M41) &gt; 0, AVERAGE(M7:M41), "—")</f>
        <v>0</v>
      </c>
      <c r="N42" s="16">
        <f>IF(COUNT(N7:N41) &gt; 0, SQRT(SUMSQ(N7:N41)/(COUNT(N7:N41)*COUNT(N7:N41)) ), "—")</f>
        <v>0</v>
      </c>
      <c r="O42" s="14">
        <f>IF(COUNT(O7:O41) &gt; 0, AVERAGE(O7:O41), "—")</f>
        <v>0</v>
      </c>
      <c r="P42" s="16">
        <f>IF(COUNT(P7:P41) &gt; 0, SQRT(SUMSQ(P7:P41)/(COUNT(P7:P41)*COUNT(P7:P41)) ), "—")</f>
        <v>0</v>
      </c>
      <c r="Q42" s="14">
        <f>IF(COUNT(Q7:Q41) &gt; 0, AVERAGE(Q7:Q41), "—")</f>
        <v>0</v>
      </c>
      <c r="R42" s="16">
        <f>IF(COUNT(R7:R41) &gt; 0, SQRT(SUMSQ(R7:R41)/(COUNT(R7:R41)*COUNT(R7:R41)) ), "—")</f>
        <v>0</v>
      </c>
    </row>
    <row r="43" spans="1:18" x14ac:dyDescent="0.25">
      <c r="A43" s="9" t="s">
        <v>176</v>
      </c>
      <c r="B43" s="10"/>
      <c r="C43" s="10"/>
      <c r="D43" s="11"/>
      <c r="E43" s="10"/>
      <c r="F43" s="11"/>
      <c r="G43" s="10"/>
      <c r="H43" s="11"/>
      <c r="I43" s="10"/>
      <c r="J43" s="11"/>
      <c r="K43" s="10"/>
      <c r="L43" s="11"/>
      <c r="M43" s="10"/>
      <c r="N43" s="11"/>
      <c r="O43" s="10"/>
      <c r="P43" s="11"/>
      <c r="Q43" s="10"/>
      <c r="R43" s="12"/>
    </row>
    <row r="44" spans="1:18" x14ac:dyDescent="0.25">
      <c r="A44" s="11" t="s">
        <v>177</v>
      </c>
      <c r="B44" s="17" t="s">
        <v>154</v>
      </c>
      <c r="C44" s="17" t="s">
        <v>154</v>
      </c>
      <c r="D44" s="18" t="s">
        <v>154</v>
      </c>
      <c r="E44" s="17" t="s">
        <v>154</v>
      </c>
      <c r="F44" s="18" t="s">
        <v>154</v>
      </c>
      <c r="G44" s="17" t="s">
        <v>154</v>
      </c>
      <c r="H44" s="18" t="s">
        <v>154</v>
      </c>
      <c r="I44" s="17" t="s">
        <v>154</v>
      </c>
      <c r="J44" s="18" t="s">
        <v>154</v>
      </c>
      <c r="K44" s="17" t="s">
        <v>154</v>
      </c>
      <c r="L44" s="18" t="s">
        <v>154</v>
      </c>
      <c r="M44" s="17" t="s">
        <v>154</v>
      </c>
      <c r="N44" s="18" t="s">
        <v>154</v>
      </c>
      <c r="O44" s="17" t="s">
        <v>154</v>
      </c>
      <c r="P44" s="18" t="s">
        <v>154</v>
      </c>
      <c r="Q44" s="17" t="s">
        <v>154</v>
      </c>
      <c r="R44" s="18" t="s">
        <v>154</v>
      </c>
    </row>
    <row r="45" spans="1:18" x14ac:dyDescent="0.25">
      <c r="A45" s="11" t="s">
        <v>178</v>
      </c>
      <c r="B45" s="17" t="s">
        <v>154</v>
      </c>
      <c r="C45" s="17" t="s">
        <v>154</v>
      </c>
      <c r="D45" s="18" t="s">
        <v>154</v>
      </c>
      <c r="E45" s="17" t="s">
        <v>154</v>
      </c>
      <c r="F45" s="18" t="s">
        <v>154</v>
      </c>
      <c r="G45" s="17" t="s">
        <v>154</v>
      </c>
      <c r="H45" s="18" t="s">
        <v>154</v>
      </c>
      <c r="I45" s="17" t="s">
        <v>154</v>
      </c>
      <c r="J45" s="18" t="s">
        <v>154</v>
      </c>
      <c r="K45" s="17" t="s">
        <v>154</v>
      </c>
      <c r="L45" s="18" t="s">
        <v>154</v>
      </c>
      <c r="M45" s="17" t="s">
        <v>154</v>
      </c>
      <c r="N45" s="18" t="s">
        <v>154</v>
      </c>
      <c r="O45" s="17" t="s">
        <v>154</v>
      </c>
      <c r="P45" s="18" t="s">
        <v>154</v>
      </c>
      <c r="Q45" s="17" t="s">
        <v>154</v>
      </c>
      <c r="R45" s="18" t="s">
        <v>154</v>
      </c>
    </row>
    <row r="46" spans="1:18" x14ac:dyDescent="0.25">
      <c r="A46" s="11" t="s">
        <v>179</v>
      </c>
      <c r="B46" s="13">
        <v>23141</v>
      </c>
      <c r="C46" s="14">
        <f>(20519/B46*100)</f>
        <v>88.669461129596812</v>
      </c>
      <c r="D46" s="15">
        <v>2622</v>
      </c>
      <c r="E46" s="14">
        <v>56.069837130000003</v>
      </c>
      <c r="F46" s="16">
        <v>1.4872428900000001</v>
      </c>
      <c r="G46" s="14">
        <v>43.930162869999997</v>
      </c>
      <c r="H46" s="16">
        <v>1.4872428900000001</v>
      </c>
      <c r="I46" s="14" t="s">
        <v>139</v>
      </c>
      <c r="J46" s="16" t="s">
        <v>139</v>
      </c>
      <c r="K46" s="14">
        <v>0</v>
      </c>
      <c r="L46" s="16">
        <v>0</v>
      </c>
      <c r="M46" s="14">
        <v>0</v>
      </c>
      <c r="N46" s="16">
        <v>0</v>
      </c>
      <c r="O46" s="14">
        <v>0</v>
      </c>
      <c r="P46" s="16">
        <v>0</v>
      </c>
      <c r="Q46" s="14">
        <v>0</v>
      </c>
      <c r="R46" s="16">
        <v>0</v>
      </c>
    </row>
    <row r="47" spans="1:18" x14ac:dyDescent="0.25">
      <c r="A47" s="11" t="s">
        <v>180</v>
      </c>
      <c r="B47" s="13">
        <v>5928</v>
      </c>
      <c r="C47" s="14">
        <f>(4996/B47*100)</f>
        <v>84.278002699055335</v>
      </c>
      <c r="D47" s="15">
        <v>932</v>
      </c>
      <c r="E47" s="14">
        <v>49.142653920000001</v>
      </c>
      <c r="F47" s="16">
        <v>1.62730222</v>
      </c>
      <c r="G47" s="14">
        <v>50.857346079999999</v>
      </c>
      <c r="H47" s="16">
        <v>1.62730222</v>
      </c>
      <c r="I47" s="14" t="s">
        <v>139</v>
      </c>
      <c r="J47" s="16" t="s">
        <v>139</v>
      </c>
      <c r="K47" s="14">
        <v>0</v>
      </c>
      <c r="L47" s="16">
        <v>0</v>
      </c>
      <c r="M47" s="14">
        <v>0</v>
      </c>
      <c r="N47" s="16">
        <v>0</v>
      </c>
      <c r="O47" s="14">
        <v>0</v>
      </c>
      <c r="P47" s="16">
        <v>0</v>
      </c>
      <c r="Q47" s="14">
        <v>0</v>
      </c>
      <c r="R47" s="16">
        <v>0</v>
      </c>
    </row>
    <row r="48" spans="1:18" x14ac:dyDescent="0.25">
      <c r="A48" s="11" t="s">
        <v>181</v>
      </c>
      <c r="B48" s="13">
        <v>9841</v>
      </c>
      <c r="C48" s="14">
        <f>(8165/B48*100)</f>
        <v>82.969210446092873</v>
      </c>
      <c r="D48" s="15">
        <v>1676</v>
      </c>
      <c r="E48" s="14">
        <v>40.623281169999998</v>
      </c>
      <c r="F48" s="16">
        <v>2.0273292700000001</v>
      </c>
      <c r="G48" s="14">
        <v>59.376718830000002</v>
      </c>
      <c r="H48" s="16">
        <v>2.0273292700000001</v>
      </c>
      <c r="I48" s="14" t="s">
        <v>139</v>
      </c>
      <c r="J48" s="16" t="s">
        <v>139</v>
      </c>
      <c r="K48" s="14">
        <v>0</v>
      </c>
      <c r="L48" s="16">
        <v>0</v>
      </c>
      <c r="M48" s="14">
        <v>0</v>
      </c>
      <c r="N48" s="16">
        <v>0</v>
      </c>
      <c r="O48" s="14">
        <v>0</v>
      </c>
      <c r="P48" s="16">
        <v>0</v>
      </c>
      <c r="Q48" s="14">
        <v>0</v>
      </c>
      <c r="R48" s="16">
        <v>0</v>
      </c>
    </row>
    <row r="49" spans="1:18" x14ac:dyDescent="0.25">
      <c r="A49" s="11" t="s">
        <v>182</v>
      </c>
      <c r="B49" s="17" t="s">
        <v>154</v>
      </c>
      <c r="C49" s="17" t="s">
        <v>154</v>
      </c>
      <c r="D49" s="18" t="s">
        <v>154</v>
      </c>
      <c r="E49" s="17" t="s">
        <v>154</v>
      </c>
      <c r="F49" s="18" t="s">
        <v>154</v>
      </c>
      <c r="G49" s="17" t="s">
        <v>154</v>
      </c>
      <c r="H49" s="18" t="s">
        <v>154</v>
      </c>
      <c r="I49" s="17" t="s">
        <v>154</v>
      </c>
      <c r="J49" s="18" t="s">
        <v>154</v>
      </c>
      <c r="K49" s="17" t="s">
        <v>154</v>
      </c>
      <c r="L49" s="18" t="s">
        <v>154</v>
      </c>
      <c r="M49" s="17" t="s">
        <v>154</v>
      </c>
      <c r="N49" s="18" t="s">
        <v>154</v>
      </c>
      <c r="O49" s="17" t="s">
        <v>154</v>
      </c>
      <c r="P49" s="18" t="s">
        <v>154</v>
      </c>
      <c r="Q49" s="17" t="s">
        <v>154</v>
      </c>
      <c r="R49" s="18" t="s">
        <v>154</v>
      </c>
    </row>
    <row r="50" spans="1:18" x14ac:dyDescent="0.25">
      <c r="A50" s="11" t="s">
        <v>183</v>
      </c>
      <c r="B50" s="13">
        <v>11795</v>
      </c>
      <c r="C50" s="14">
        <f>(9985/B50*100)</f>
        <v>84.654514624841042</v>
      </c>
      <c r="D50" s="15">
        <v>1810</v>
      </c>
      <c r="E50" s="14">
        <v>52.621443210000002</v>
      </c>
      <c r="F50" s="16">
        <v>1.4354039199999999</v>
      </c>
      <c r="G50" s="14">
        <v>47.378556789999998</v>
      </c>
      <c r="H50" s="16">
        <v>1.4354039199999999</v>
      </c>
      <c r="I50" s="14" t="s">
        <v>139</v>
      </c>
      <c r="J50" s="16" t="s">
        <v>139</v>
      </c>
      <c r="K50" s="14">
        <v>0</v>
      </c>
      <c r="L50" s="16">
        <v>0</v>
      </c>
      <c r="M50" s="14">
        <v>0</v>
      </c>
      <c r="N50" s="16">
        <v>0</v>
      </c>
      <c r="O50" s="14">
        <v>0</v>
      </c>
      <c r="P50" s="16">
        <v>0</v>
      </c>
      <c r="Q50" s="14">
        <v>0</v>
      </c>
      <c r="R50" s="16">
        <v>0</v>
      </c>
    </row>
    <row r="51" spans="1:18" x14ac:dyDescent="0.25">
      <c r="A51" s="11" t="s">
        <v>184</v>
      </c>
      <c r="B51" s="13">
        <v>6866</v>
      </c>
      <c r="C51" s="14">
        <f>(5942/B51*100)</f>
        <v>86.542382755607335</v>
      </c>
      <c r="D51" s="15">
        <v>924</v>
      </c>
      <c r="E51" s="14">
        <v>47.702749470000001</v>
      </c>
      <c r="F51" s="16">
        <v>1.82322798</v>
      </c>
      <c r="G51" s="14">
        <v>52.297250529999999</v>
      </c>
      <c r="H51" s="16">
        <v>1.82322798</v>
      </c>
      <c r="I51" s="14" t="s">
        <v>139</v>
      </c>
      <c r="J51" s="16" t="s">
        <v>139</v>
      </c>
      <c r="K51" s="14">
        <v>0</v>
      </c>
      <c r="L51" s="16">
        <v>0</v>
      </c>
      <c r="M51" s="14">
        <v>0</v>
      </c>
      <c r="N51" s="16">
        <v>0</v>
      </c>
      <c r="O51" s="14">
        <v>0</v>
      </c>
      <c r="P51" s="16">
        <v>0</v>
      </c>
      <c r="Q51" s="14">
        <v>0</v>
      </c>
      <c r="R51" s="16">
        <v>0</v>
      </c>
    </row>
    <row r="52" spans="1:18" x14ac:dyDescent="0.25">
      <c r="A52" s="11" t="s">
        <v>185</v>
      </c>
      <c r="B52" s="13">
        <v>5809</v>
      </c>
      <c r="C52" s="14">
        <f>(4824/B52*100)</f>
        <v>83.043553107247376</v>
      </c>
      <c r="D52" s="15">
        <v>985</v>
      </c>
      <c r="E52" s="14">
        <v>50.895243569999998</v>
      </c>
      <c r="F52" s="16">
        <v>1.6802942000000001</v>
      </c>
      <c r="G52" s="14">
        <v>49.104756430000002</v>
      </c>
      <c r="H52" s="16">
        <v>1.6802942000000001</v>
      </c>
      <c r="I52" s="14" t="s">
        <v>139</v>
      </c>
      <c r="J52" s="16" t="s">
        <v>139</v>
      </c>
      <c r="K52" s="14">
        <v>0</v>
      </c>
      <c r="L52" s="16">
        <v>0</v>
      </c>
      <c r="M52" s="14">
        <v>0</v>
      </c>
      <c r="N52" s="16">
        <v>0</v>
      </c>
      <c r="O52" s="14">
        <v>0</v>
      </c>
      <c r="P52" s="16">
        <v>0</v>
      </c>
      <c r="Q52" s="14">
        <v>0</v>
      </c>
      <c r="R52" s="16">
        <v>0</v>
      </c>
    </row>
    <row r="53" spans="1:18" x14ac:dyDescent="0.25">
      <c r="A53" s="11" t="s">
        <v>186</v>
      </c>
      <c r="B53" s="13">
        <v>5571</v>
      </c>
      <c r="C53" s="14">
        <f>(4639/B53*100)</f>
        <v>83.270507987793934</v>
      </c>
      <c r="D53" s="15">
        <v>932</v>
      </c>
      <c r="E53" s="14">
        <v>53.978805680000001</v>
      </c>
      <c r="F53" s="16">
        <v>1.7850378200000001</v>
      </c>
      <c r="G53" s="14">
        <v>46.021194319999999</v>
      </c>
      <c r="H53" s="16">
        <v>1.7850378200000001</v>
      </c>
      <c r="I53" s="14" t="s">
        <v>139</v>
      </c>
      <c r="J53" s="16" t="s">
        <v>139</v>
      </c>
      <c r="K53" s="14">
        <v>0</v>
      </c>
      <c r="L53" s="16">
        <v>0</v>
      </c>
      <c r="M53" s="14">
        <v>0</v>
      </c>
      <c r="N53" s="16">
        <v>0</v>
      </c>
      <c r="O53" s="14">
        <v>0</v>
      </c>
      <c r="P53" s="16">
        <v>0</v>
      </c>
      <c r="Q53" s="14">
        <v>0</v>
      </c>
      <c r="R53" s="16">
        <v>0</v>
      </c>
    </row>
    <row r="54" spans="1:18" x14ac:dyDescent="0.25">
      <c r="A54" s="11" t="s">
        <v>187</v>
      </c>
      <c r="B54" s="17" t="s">
        <v>154</v>
      </c>
      <c r="C54" s="17" t="s">
        <v>154</v>
      </c>
      <c r="D54" s="18" t="s">
        <v>154</v>
      </c>
      <c r="E54" s="17" t="s">
        <v>154</v>
      </c>
      <c r="F54" s="18" t="s">
        <v>154</v>
      </c>
      <c r="G54" s="17" t="s">
        <v>154</v>
      </c>
      <c r="H54" s="18" t="s">
        <v>154</v>
      </c>
      <c r="I54" s="17" t="s">
        <v>154</v>
      </c>
      <c r="J54" s="18" t="s">
        <v>154</v>
      </c>
      <c r="K54" s="17" t="s">
        <v>154</v>
      </c>
      <c r="L54" s="18" t="s">
        <v>154</v>
      </c>
      <c r="M54" s="17" t="s">
        <v>154</v>
      </c>
      <c r="N54" s="18" t="s">
        <v>154</v>
      </c>
      <c r="O54" s="17" t="s">
        <v>154</v>
      </c>
      <c r="P54" s="18" t="s">
        <v>154</v>
      </c>
      <c r="Q54" s="17" t="s">
        <v>154</v>
      </c>
      <c r="R54" s="18" t="s">
        <v>154</v>
      </c>
    </row>
    <row r="55" spans="1:18" x14ac:dyDescent="0.25">
      <c r="A55" s="11" t="s">
        <v>188</v>
      </c>
      <c r="B55" s="17" t="s">
        <v>154</v>
      </c>
      <c r="C55" s="17" t="s">
        <v>154</v>
      </c>
      <c r="D55" s="18" t="s">
        <v>154</v>
      </c>
      <c r="E55" s="17" t="s">
        <v>154</v>
      </c>
      <c r="F55" s="18" t="s">
        <v>154</v>
      </c>
      <c r="G55" s="17" t="s">
        <v>154</v>
      </c>
      <c r="H55" s="18" t="s">
        <v>154</v>
      </c>
      <c r="I55" s="17" t="s">
        <v>154</v>
      </c>
      <c r="J55" s="18" t="s">
        <v>154</v>
      </c>
      <c r="K55" s="17" t="s">
        <v>154</v>
      </c>
      <c r="L55" s="18" t="s">
        <v>154</v>
      </c>
      <c r="M55" s="17" t="s">
        <v>154</v>
      </c>
      <c r="N55" s="18" t="s">
        <v>154</v>
      </c>
      <c r="O55" s="17" t="s">
        <v>154</v>
      </c>
      <c r="P55" s="18" t="s">
        <v>154</v>
      </c>
      <c r="Q55" s="17" t="s">
        <v>154</v>
      </c>
      <c r="R55" s="18" t="s">
        <v>154</v>
      </c>
    </row>
    <row r="56" spans="1:18" x14ac:dyDescent="0.25">
      <c r="A56" s="11" t="s">
        <v>189</v>
      </c>
      <c r="B56" s="13">
        <v>5359</v>
      </c>
      <c r="C56" s="14">
        <f>(4451/B56*100)</f>
        <v>83.056540399328242</v>
      </c>
      <c r="D56" s="15">
        <v>908</v>
      </c>
      <c r="E56" s="14">
        <v>35.012224379999999</v>
      </c>
      <c r="F56" s="16">
        <v>1.90993082</v>
      </c>
      <c r="G56" s="14">
        <v>64.987775619999994</v>
      </c>
      <c r="H56" s="16">
        <v>1.90993082</v>
      </c>
      <c r="I56" s="14" t="s">
        <v>139</v>
      </c>
      <c r="J56" s="16" t="s">
        <v>139</v>
      </c>
      <c r="K56" s="14">
        <v>0</v>
      </c>
      <c r="L56" s="16">
        <v>0</v>
      </c>
      <c r="M56" s="14">
        <v>0</v>
      </c>
      <c r="N56" s="16">
        <v>0</v>
      </c>
      <c r="O56" s="14">
        <v>0</v>
      </c>
      <c r="P56" s="16">
        <v>0</v>
      </c>
      <c r="Q56" s="14">
        <v>0</v>
      </c>
      <c r="R56" s="16">
        <v>0</v>
      </c>
    </row>
    <row r="57" spans="1:18" x14ac:dyDescent="0.25">
      <c r="A57" s="11" t="s">
        <v>190</v>
      </c>
      <c r="B57" s="17" t="s">
        <v>154</v>
      </c>
      <c r="C57" s="17" t="s">
        <v>154</v>
      </c>
      <c r="D57" s="18" t="s">
        <v>154</v>
      </c>
      <c r="E57" s="17" t="s">
        <v>154</v>
      </c>
      <c r="F57" s="18" t="s">
        <v>154</v>
      </c>
      <c r="G57" s="17" t="s">
        <v>154</v>
      </c>
      <c r="H57" s="18" t="s">
        <v>154</v>
      </c>
      <c r="I57" s="17" t="s">
        <v>154</v>
      </c>
      <c r="J57" s="18" t="s">
        <v>154</v>
      </c>
      <c r="K57" s="17" t="s">
        <v>154</v>
      </c>
      <c r="L57" s="18" t="s">
        <v>154</v>
      </c>
      <c r="M57" s="17" t="s">
        <v>154</v>
      </c>
      <c r="N57" s="18" t="s">
        <v>154</v>
      </c>
      <c r="O57" s="17" t="s">
        <v>154</v>
      </c>
      <c r="P57" s="18" t="s">
        <v>154</v>
      </c>
      <c r="Q57" s="17" t="s">
        <v>154</v>
      </c>
      <c r="R57" s="18" t="s">
        <v>154</v>
      </c>
    </row>
    <row r="58" spans="1:18" x14ac:dyDescent="0.25">
      <c r="A58" s="11" t="s">
        <v>191</v>
      </c>
      <c r="B58" s="17" t="s">
        <v>154</v>
      </c>
      <c r="C58" s="17" t="s">
        <v>154</v>
      </c>
      <c r="D58" s="18" t="s">
        <v>154</v>
      </c>
      <c r="E58" s="17" t="s">
        <v>154</v>
      </c>
      <c r="F58" s="18" t="s">
        <v>154</v>
      </c>
      <c r="G58" s="17" t="s">
        <v>154</v>
      </c>
      <c r="H58" s="18" t="s">
        <v>154</v>
      </c>
      <c r="I58" s="17" t="s">
        <v>154</v>
      </c>
      <c r="J58" s="18" t="s">
        <v>154</v>
      </c>
      <c r="K58" s="17" t="s">
        <v>154</v>
      </c>
      <c r="L58" s="18" t="s">
        <v>154</v>
      </c>
      <c r="M58" s="17" t="s">
        <v>154</v>
      </c>
      <c r="N58" s="18" t="s">
        <v>154</v>
      </c>
      <c r="O58" s="17" t="s">
        <v>154</v>
      </c>
      <c r="P58" s="18" t="s">
        <v>154</v>
      </c>
      <c r="Q58" s="17" t="s">
        <v>154</v>
      </c>
      <c r="R58" s="18" t="s">
        <v>154</v>
      </c>
    </row>
    <row r="59" spans="1:18" x14ac:dyDescent="0.25">
      <c r="A59" s="11" t="s">
        <v>192</v>
      </c>
      <c r="B59" s="17" t="s">
        <v>154</v>
      </c>
      <c r="C59" s="17" t="s">
        <v>154</v>
      </c>
      <c r="D59" s="18" t="s">
        <v>154</v>
      </c>
      <c r="E59" s="17" t="s">
        <v>154</v>
      </c>
      <c r="F59" s="18" t="s">
        <v>154</v>
      </c>
      <c r="G59" s="17" t="s">
        <v>154</v>
      </c>
      <c r="H59" s="18" t="s">
        <v>154</v>
      </c>
      <c r="I59" s="17" t="s">
        <v>154</v>
      </c>
      <c r="J59" s="18" t="s">
        <v>154</v>
      </c>
      <c r="K59" s="17" t="s">
        <v>154</v>
      </c>
      <c r="L59" s="18" t="s">
        <v>154</v>
      </c>
      <c r="M59" s="17" t="s">
        <v>154</v>
      </c>
      <c r="N59" s="18" t="s">
        <v>154</v>
      </c>
      <c r="O59" s="17" t="s">
        <v>154</v>
      </c>
      <c r="P59" s="18" t="s">
        <v>154</v>
      </c>
      <c r="Q59" s="17" t="s">
        <v>154</v>
      </c>
      <c r="R59" s="18" t="s">
        <v>154</v>
      </c>
    </row>
    <row r="60" spans="1:18" x14ac:dyDescent="0.25">
      <c r="A60" s="11" t="s">
        <v>193</v>
      </c>
      <c r="B60" s="17" t="s">
        <v>154</v>
      </c>
      <c r="C60" s="17" t="s">
        <v>154</v>
      </c>
      <c r="D60" s="18" t="s">
        <v>154</v>
      </c>
      <c r="E60" s="17" t="s">
        <v>154</v>
      </c>
      <c r="F60" s="18" t="s">
        <v>154</v>
      </c>
      <c r="G60" s="17" t="s">
        <v>154</v>
      </c>
      <c r="H60" s="18" t="s">
        <v>154</v>
      </c>
      <c r="I60" s="17" t="s">
        <v>154</v>
      </c>
      <c r="J60" s="18" t="s">
        <v>154</v>
      </c>
      <c r="K60" s="17" t="s">
        <v>154</v>
      </c>
      <c r="L60" s="18" t="s">
        <v>154</v>
      </c>
      <c r="M60" s="17" t="s">
        <v>154</v>
      </c>
      <c r="N60" s="18" t="s">
        <v>154</v>
      </c>
      <c r="O60" s="17" t="s">
        <v>154</v>
      </c>
      <c r="P60" s="18" t="s">
        <v>154</v>
      </c>
      <c r="Q60" s="17" t="s">
        <v>154</v>
      </c>
      <c r="R60" s="18" t="s">
        <v>154</v>
      </c>
    </row>
    <row r="61" spans="1:18" x14ac:dyDescent="0.25">
      <c r="A61" s="11" t="s">
        <v>194</v>
      </c>
      <c r="B61" s="13">
        <v>6525</v>
      </c>
      <c r="C61" s="14">
        <f>(5436/B61*100)</f>
        <v>83.310344827586206</v>
      </c>
      <c r="D61" s="15">
        <v>1089</v>
      </c>
      <c r="E61" s="14">
        <v>46.719849910000001</v>
      </c>
      <c r="F61" s="16">
        <v>1.79989482</v>
      </c>
      <c r="G61" s="14">
        <v>53.280150089999999</v>
      </c>
      <c r="H61" s="16">
        <v>1.79989482</v>
      </c>
      <c r="I61" s="14" t="s">
        <v>139</v>
      </c>
      <c r="J61" s="16" t="s">
        <v>139</v>
      </c>
      <c r="K61" s="14">
        <v>0</v>
      </c>
      <c r="L61" s="16">
        <v>0</v>
      </c>
      <c r="M61" s="14">
        <v>0</v>
      </c>
      <c r="N61" s="16">
        <v>0</v>
      </c>
      <c r="O61" s="14">
        <v>0</v>
      </c>
      <c r="P61" s="16">
        <v>0</v>
      </c>
      <c r="Q61" s="14">
        <v>0</v>
      </c>
      <c r="R61" s="16">
        <v>0</v>
      </c>
    </row>
    <row r="62" spans="1:18" x14ac:dyDescent="0.25">
      <c r="A62" s="11" t="s">
        <v>195</v>
      </c>
      <c r="B62" s="13">
        <v>4476</v>
      </c>
      <c r="C62" s="14">
        <f>(3709/B62*100)</f>
        <v>82.864164432529037</v>
      </c>
      <c r="D62" s="15">
        <v>767</v>
      </c>
      <c r="E62" s="14">
        <v>38.616246850000003</v>
      </c>
      <c r="F62" s="16">
        <v>1.8991655599999999</v>
      </c>
      <c r="G62" s="14">
        <v>61.383753149999997</v>
      </c>
      <c r="H62" s="16">
        <v>1.8991655599999999</v>
      </c>
      <c r="I62" s="14" t="s">
        <v>139</v>
      </c>
      <c r="J62" s="16" t="s">
        <v>139</v>
      </c>
      <c r="K62" s="14">
        <v>0</v>
      </c>
      <c r="L62" s="16">
        <v>0</v>
      </c>
      <c r="M62" s="14">
        <v>0</v>
      </c>
      <c r="N62" s="16">
        <v>0</v>
      </c>
      <c r="O62" s="14">
        <v>0</v>
      </c>
      <c r="P62" s="16">
        <v>0</v>
      </c>
      <c r="Q62" s="14">
        <v>0</v>
      </c>
      <c r="R62" s="16">
        <v>0</v>
      </c>
    </row>
    <row r="63" spans="1:18" x14ac:dyDescent="0.25">
      <c r="A63" s="11" t="s">
        <v>196</v>
      </c>
      <c r="B63" s="17" t="s">
        <v>154</v>
      </c>
      <c r="C63" s="17" t="s">
        <v>154</v>
      </c>
      <c r="D63" s="18" t="s">
        <v>154</v>
      </c>
      <c r="E63" s="17" t="s">
        <v>154</v>
      </c>
      <c r="F63" s="18" t="s">
        <v>154</v>
      </c>
      <c r="G63" s="17" t="s">
        <v>154</v>
      </c>
      <c r="H63" s="18" t="s">
        <v>154</v>
      </c>
      <c r="I63" s="17" t="s">
        <v>154</v>
      </c>
      <c r="J63" s="18" t="s">
        <v>154</v>
      </c>
      <c r="K63" s="17" t="s">
        <v>154</v>
      </c>
      <c r="L63" s="18" t="s">
        <v>154</v>
      </c>
      <c r="M63" s="17" t="s">
        <v>154</v>
      </c>
      <c r="N63" s="18" t="s">
        <v>154</v>
      </c>
      <c r="O63" s="17" t="s">
        <v>154</v>
      </c>
      <c r="P63" s="18" t="s">
        <v>154</v>
      </c>
      <c r="Q63" s="17" t="s">
        <v>154</v>
      </c>
      <c r="R63" s="18" t="s">
        <v>154</v>
      </c>
    </row>
    <row r="64" spans="1:18" x14ac:dyDescent="0.25">
      <c r="A64" s="11" t="s">
        <v>197</v>
      </c>
      <c r="B64" s="17" t="s">
        <v>154</v>
      </c>
      <c r="C64" s="17" t="s">
        <v>154</v>
      </c>
      <c r="D64" s="18" t="s">
        <v>154</v>
      </c>
      <c r="E64" s="17" t="s">
        <v>154</v>
      </c>
      <c r="F64" s="18" t="s">
        <v>154</v>
      </c>
      <c r="G64" s="17" t="s">
        <v>154</v>
      </c>
      <c r="H64" s="18" t="s">
        <v>154</v>
      </c>
      <c r="I64" s="17" t="s">
        <v>154</v>
      </c>
      <c r="J64" s="18" t="s">
        <v>154</v>
      </c>
      <c r="K64" s="17" t="s">
        <v>154</v>
      </c>
      <c r="L64" s="18" t="s">
        <v>154</v>
      </c>
      <c r="M64" s="17" t="s">
        <v>154</v>
      </c>
      <c r="N64" s="18" t="s">
        <v>154</v>
      </c>
      <c r="O64" s="17" t="s">
        <v>154</v>
      </c>
      <c r="P64" s="18" t="s">
        <v>154</v>
      </c>
      <c r="Q64" s="17" t="s">
        <v>154</v>
      </c>
      <c r="R64" s="18" t="s">
        <v>154</v>
      </c>
    </row>
    <row r="65" spans="1:18" x14ac:dyDescent="0.25">
      <c r="A65" s="11" t="s">
        <v>198</v>
      </c>
      <c r="B65" s="17" t="s">
        <v>154</v>
      </c>
      <c r="C65" s="17" t="s">
        <v>154</v>
      </c>
      <c r="D65" s="18" t="s">
        <v>154</v>
      </c>
      <c r="E65" s="17" t="s">
        <v>154</v>
      </c>
      <c r="F65" s="18" t="s">
        <v>154</v>
      </c>
      <c r="G65" s="17" t="s">
        <v>154</v>
      </c>
      <c r="H65" s="18" t="s">
        <v>154</v>
      </c>
      <c r="I65" s="17" t="s">
        <v>154</v>
      </c>
      <c r="J65" s="18" t="s">
        <v>154</v>
      </c>
      <c r="K65" s="17" t="s">
        <v>154</v>
      </c>
      <c r="L65" s="18" t="s">
        <v>154</v>
      </c>
      <c r="M65" s="17" t="s">
        <v>154</v>
      </c>
      <c r="N65" s="18" t="s">
        <v>154</v>
      </c>
      <c r="O65" s="17" t="s">
        <v>154</v>
      </c>
      <c r="P65" s="18" t="s">
        <v>154</v>
      </c>
      <c r="Q65" s="17" t="s">
        <v>154</v>
      </c>
      <c r="R65" s="18" t="s">
        <v>154</v>
      </c>
    </row>
    <row r="66" spans="1:18" x14ac:dyDescent="0.25">
      <c r="A66" s="11" t="s">
        <v>199</v>
      </c>
      <c r="B66" s="13">
        <v>5665</v>
      </c>
      <c r="C66" s="14">
        <f>(4753/B66*100)</f>
        <v>83.901147396293027</v>
      </c>
      <c r="D66" s="15">
        <v>912</v>
      </c>
      <c r="E66" s="14">
        <v>65.842908280000003</v>
      </c>
      <c r="F66" s="16">
        <v>1.44571519</v>
      </c>
      <c r="G66" s="14">
        <v>34.157091719999997</v>
      </c>
      <c r="H66" s="16">
        <v>1.44571519</v>
      </c>
      <c r="I66" s="14" t="s">
        <v>139</v>
      </c>
      <c r="J66" s="16" t="s">
        <v>139</v>
      </c>
      <c r="K66" s="14">
        <v>0</v>
      </c>
      <c r="L66" s="16">
        <v>0</v>
      </c>
      <c r="M66" s="14">
        <v>0</v>
      </c>
      <c r="N66" s="16">
        <v>0</v>
      </c>
      <c r="O66" s="14">
        <v>0</v>
      </c>
      <c r="P66" s="16">
        <v>0</v>
      </c>
      <c r="Q66" s="14">
        <v>0</v>
      </c>
      <c r="R66" s="16">
        <v>0</v>
      </c>
    </row>
    <row r="67" spans="1:18" x14ac:dyDescent="0.25">
      <c r="A67" s="11" t="s">
        <v>200</v>
      </c>
      <c r="B67" s="13">
        <v>6971</v>
      </c>
      <c r="C67" s="14">
        <f>(6054/B67*100)</f>
        <v>86.845502797303112</v>
      </c>
      <c r="D67" s="15">
        <v>917</v>
      </c>
      <c r="E67" s="14">
        <v>53.535917900000001</v>
      </c>
      <c r="F67" s="16">
        <v>1.72374242</v>
      </c>
      <c r="G67" s="14">
        <v>46.464082099999999</v>
      </c>
      <c r="H67" s="16">
        <v>1.72374242</v>
      </c>
      <c r="I67" s="14" t="s">
        <v>139</v>
      </c>
      <c r="J67" s="16" t="s">
        <v>139</v>
      </c>
      <c r="K67" s="14">
        <v>0</v>
      </c>
      <c r="L67" s="16">
        <v>0</v>
      </c>
      <c r="M67" s="14">
        <v>0</v>
      </c>
      <c r="N67" s="16">
        <v>0</v>
      </c>
      <c r="O67" s="14">
        <v>0</v>
      </c>
      <c r="P67" s="16">
        <v>0</v>
      </c>
      <c r="Q67" s="14">
        <v>0</v>
      </c>
      <c r="R67" s="16">
        <v>0</v>
      </c>
    </row>
    <row r="68" spans="1:18" x14ac:dyDescent="0.25">
      <c r="A68" s="11" t="s">
        <v>201</v>
      </c>
      <c r="B68" s="17" t="s">
        <v>154</v>
      </c>
      <c r="C68" s="17" t="s">
        <v>154</v>
      </c>
      <c r="D68" s="18" t="s">
        <v>154</v>
      </c>
      <c r="E68" s="17" t="s">
        <v>154</v>
      </c>
      <c r="F68" s="18" t="s">
        <v>154</v>
      </c>
      <c r="G68" s="17" t="s">
        <v>154</v>
      </c>
      <c r="H68" s="18" t="s">
        <v>154</v>
      </c>
      <c r="I68" s="17" t="s">
        <v>154</v>
      </c>
      <c r="J68" s="18" t="s">
        <v>154</v>
      </c>
      <c r="K68" s="17" t="s">
        <v>154</v>
      </c>
      <c r="L68" s="18" t="s">
        <v>154</v>
      </c>
      <c r="M68" s="17" t="s">
        <v>154</v>
      </c>
      <c r="N68" s="18" t="s">
        <v>154</v>
      </c>
      <c r="O68" s="17" t="s">
        <v>154</v>
      </c>
      <c r="P68" s="18" t="s">
        <v>154</v>
      </c>
      <c r="Q68" s="17" t="s">
        <v>154</v>
      </c>
      <c r="R68" s="18" t="s">
        <v>154</v>
      </c>
    </row>
    <row r="69" spans="1:18" x14ac:dyDescent="0.25">
      <c r="A69" s="11" t="s">
        <v>202</v>
      </c>
      <c r="B69" s="17" t="s">
        <v>154</v>
      </c>
      <c r="C69" s="17" t="s">
        <v>154</v>
      </c>
      <c r="D69" s="18" t="s">
        <v>154</v>
      </c>
      <c r="E69" s="17" t="s">
        <v>154</v>
      </c>
      <c r="F69" s="18" t="s">
        <v>154</v>
      </c>
      <c r="G69" s="17" t="s">
        <v>154</v>
      </c>
      <c r="H69" s="18" t="s">
        <v>154</v>
      </c>
      <c r="I69" s="17" t="s">
        <v>154</v>
      </c>
      <c r="J69" s="18" t="s">
        <v>154</v>
      </c>
      <c r="K69" s="17" t="s">
        <v>154</v>
      </c>
      <c r="L69" s="18" t="s">
        <v>154</v>
      </c>
      <c r="M69" s="17" t="s">
        <v>154</v>
      </c>
      <c r="N69" s="18" t="s">
        <v>154</v>
      </c>
      <c r="O69" s="17" t="s">
        <v>154</v>
      </c>
      <c r="P69" s="18" t="s">
        <v>154</v>
      </c>
      <c r="Q69" s="17" t="s">
        <v>154</v>
      </c>
      <c r="R69" s="18" t="s">
        <v>154</v>
      </c>
    </row>
    <row r="70" spans="1:18" x14ac:dyDescent="0.25">
      <c r="A70" s="11" t="s">
        <v>203</v>
      </c>
      <c r="B70" s="13">
        <v>6036</v>
      </c>
      <c r="C70" s="14">
        <f>(5065/B70*100)</f>
        <v>83.913187541418154</v>
      </c>
      <c r="D70" s="15">
        <v>971</v>
      </c>
      <c r="E70" s="14">
        <v>52.424292749999999</v>
      </c>
      <c r="F70" s="16">
        <v>1.679559</v>
      </c>
      <c r="G70" s="14">
        <v>47.575707250000001</v>
      </c>
      <c r="H70" s="16">
        <v>1.679559</v>
      </c>
      <c r="I70" s="14" t="s">
        <v>139</v>
      </c>
      <c r="J70" s="16" t="s">
        <v>139</v>
      </c>
      <c r="K70" s="14">
        <v>0</v>
      </c>
      <c r="L70" s="16">
        <v>0</v>
      </c>
      <c r="M70" s="14">
        <v>0</v>
      </c>
      <c r="N70" s="16">
        <v>0</v>
      </c>
      <c r="O70" s="14">
        <v>0</v>
      </c>
      <c r="P70" s="16">
        <v>0</v>
      </c>
      <c r="Q70" s="14">
        <v>0</v>
      </c>
      <c r="R70" s="16">
        <v>0</v>
      </c>
    </row>
    <row r="71" spans="1:18" x14ac:dyDescent="0.25">
      <c r="A71" s="11" t="s">
        <v>204</v>
      </c>
      <c r="B71" s="17" t="s">
        <v>154</v>
      </c>
      <c r="C71" s="17" t="s">
        <v>154</v>
      </c>
      <c r="D71" s="18" t="s">
        <v>154</v>
      </c>
      <c r="E71" s="17" t="s">
        <v>154</v>
      </c>
      <c r="F71" s="18" t="s">
        <v>154</v>
      </c>
      <c r="G71" s="17" t="s">
        <v>154</v>
      </c>
      <c r="H71" s="18" t="s">
        <v>154</v>
      </c>
      <c r="I71" s="17" t="s">
        <v>154</v>
      </c>
      <c r="J71" s="18" t="s">
        <v>154</v>
      </c>
      <c r="K71" s="17" t="s">
        <v>154</v>
      </c>
      <c r="L71" s="18" t="s">
        <v>154</v>
      </c>
      <c r="M71" s="17" t="s">
        <v>154</v>
      </c>
      <c r="N71" s="18" t="s">
        <v>154</v>
      </c>
      <c r="O71" s="17" t="s">
        <v>154</v>
      </c>
      <c r="P71" s="18" t="s">
        <v>154</v>
      </c>
      <c r="Q71" s="17" t="s">
        <v>154</v>
      </c>
      <c r="R71" s="18" t="s">
        <v>154</v>
      </c>
    </row>
    <row r="72" spans="1:18" x14ac:dyDescent="0.25">
      <c r="A72" s="11" t="s">
        <v>205</v>
      </c>
      <c r="B72" s="13">
        <v>7708</v>
      </c>
      <c r="C72" s="14">
        <f>(6396/B72*100)</f>
        <v>82.978723404255319</v>
      </c>
      <c r="D72" s="15">
        <v>1312</v>
      </c>
      <c r="E72" s="14">
        <v>35.33463527</v>
      </c>
      <c r="F72" s="16">
        <v>1.4271671699999999</v>
      </c>
      <c r="G72" s="14">
        <v>64.665364729999993</v>
      </c>
      <c r="H72" s="16">
        <v>1.4271671699999999</v>
      </c>
      <c r="I72" s="14" t="s">
        <v>139</v>
      </c>
      <c r="J72" s="16" t="s">
        <v>139</v>
      </c>
      <c r="K72" s="14">
        <v>0</v>
      </c>
      <c r="L72" s="16">
        <v>0</v>
      </c>
      <c r="M72" s="14">
        <v>0</v>
      </c>
      <c r="N72" s="16">
        <v>0</v>
      </c>
      <c r="O72" s="14">
        <v>0</v>
      </c>
      <c r="P72" s="16">
        <v>0</v>
      </c>
      <c r="Q72" s="14">
        <v>0</v>
      </c>
      <c r="R72" s="16">
        <v>0</v>
      </c>
    </row>
    <row r="73" spans="1:18" x14ac:dyDescent="0.25">
      <c r="A73" s="11" t="s">
        <v>206</v>
      </c>
      <c r="B73" s="13">
        <v>8249</v>
      </c>
      <c r="C73" s="14">
        <f>(7001/B73*100)</f>
        <v>84.870893441629292</v>
      </c>
      <c r="D73" s="15">
        <v>1248</v>
      </c>
      <c r="E73" s="14">
        <v>51.44860663</v>
      </c>
      <c r="F73" s="16">
        <v>1.81141598</v>
      </c>
      <c r="G73" s="14">
        <v>48.55139337</v>
      </c>
      <c r="H73" s="16">
        <v>1.81141598</v>
      </c>
      <c r="I73" s="14" t="s">
        <v>139</v>
      </c>
      <c r="J73" s="16" t="s">
        <v>139</v>
      </c>
      <c r="K73" s="14">
        <v>0</v>
      </c>
      <c r="L73" s="16">
        <v>0</v>
      </c>
      <c r="M73" s="14">
        <v>0</v>
      </c>
      <c r="N73" s="16">
        <v>0</v>
      </c>
      <c r="O73" s="14">
        <v>0</v>
      </c>
      <c r="P73" s="16">
        <v>0</v>
      </c>
      <c r="Q73" s="14">
        <v>0</v>
      </c>
      <c r="R73" s="16">
        <v>0</v>
      </c>
    </row>
    <row r="74" spans="1:18" x14ac:dyDescent="0.25">
      <c r="A74" s="11" t="s">
        <v>207</v>
      </c>
      <c r="B74" s="17" t="s">
        <v>154</v>
      </c>
      <c r="C74" s="17" t="s">
        <v>154</v>
      </c>
      <c r="D74" s="18" t="s">
        <v>154</v>
      </c>
      <c r="E74" s="17" t="s">
        <v>154</v>
      </c>
      <c r="F74" s="18" t="s">
        <v>154</v>
      </c>
      <c r="G74" s="17" t="s">
        <v>154</v>
      </c>
      <c r="H74" s="18" t="s">
        <v>154</v>
      </c>
      <c r="I74" s="17" t="s">
        <v>154</v>
      </c>
      <c r="J74" s="18" t="s">
        <v>154</v>
      </c>
      <c r="K74" s="17" t="s">
        <v>154</v>
      </c>
      <c r="L74" s="18" t="s">
        <v>154</v>
      </c>
      <c r="M74" s="17" t="s">
        <v>154</v>
      </c>
      <c r="N74" s="18" t="s">
        <v>154</v>
      </c>
      <c r="O74" s="17" t="s">
        <v>154</v>
      </c>
      <c r="P74" s="18" t="s">
        <v>154</v>
      </c>
      <c r="Q74" s="17" t="s">
        <v>154</v>
      </c>
      <c r="R74" s="18" t="s">
        <v>154</v>
      </c>
    </row>
    <row r="75" spans="1:18" x14ac:dyDescent="0.25">
      <c r="A75" s="11" t="s">
        <v>208</v>
      </c>
      <c r="B75" s="13">
        <v>5375</v>
      </c>
      <c r="C75" s="14">
        <f>(4571/B75*100)</f>
        <v>85.041860465116287</v>
      </c>
      <c r="D75" s="15">
        <v>804</v>
      </c>
      <c r="E75" s="14">
        <v>61.841333659999997</v>
      </c>
      <c r="F75" s="16">
        <v>1.79681552</v>
      </c>
      <c r="G75" s="14">
        <v>38.158666340000003</v>
      </c>
      <c r="H75" s="16">
        <v>1.79681552</v>
      </c>
      <c r="I75" s="14" t="s">
        <v>139</v>
      </c>
      <c r="J75" s="16" t="s">
        <v>139</v>
      </c>
      <c r="K75" s="14">
        <v>0</v>
      </c>
      <c r="L75" s="16">
        <v>0</v>
      </c>
      <c r="M75" s="14">
        <v>0</v>
      </c>
      <c r="N75" s="16">
        <v>0</v>
      </c>
      <c r="O75" s="14">
        <v>0</v>
      </c>
      <c r="P75" s="16">
        <v>0</v>
      </c>
      <c r="Q75" s="14">
        <v>0</v>
      </c>
      <c r="R75" s="16">
        <v>0</v>
      </c>
    </row>
    <row r="76" spans="1:18" x14ac:dyDescent="0.25">
      <c r="A76" s="11" t="s">
        <v>209</v>
      </c>
      <c r="B76" s="13">
        <v>14167</v>
      </c>
      <c r="C76" s="14">
        <f>(11809/B76*100)</f>
        <v>83.355685748570622</v>
      </c>
      <c r="D76" s="15">
        <v>2358</v>
      </c>
      <c r="E76" s="14">
        <v>54.986720679999998</v>
      </c>
      <c r="F76" s="16">
        <v>1.2251531200000001</v>
      </c>
      <c r="G76" s="14">
        <v>45.013279320000002</v>
      </c>
      <c r="H76" s="16">
        <v>1.2251531200000001</v>
      </c>
      <c r="I76" s="14" t="s">
        <v>139</v>
      </c>
      <c r="J76" s="16" t="s">
        <v>139</v>
      </c>
      <c r="K76" s="14">
        <v>0</v>
      </c>
      <c r="L76" s="16">
        <v>0</v>
      </c>
      <c r="M76" s="14">
        <v>0</v>
      </c>
      <c r="N76" s="16">
        <v>0</v>
      </c>
      <c r="O76" s="14">
        <v>0</v>
      </c>
      <c r="P76" s="16">
        <v>0</v>
      </c>
      <c r="Q76" s="14">
        <v>0</v>
      </c>
      <c r="R76" s="16">
        <v>0</v>
      </c>
    </row>
    <row r="77" spans="1:18" x14ac:dyDescent="0.25">
      <c r="A77" s="11" t="s">
        <v>210</v>
      </c>
      <c r="B77" s="13">
        <v>6062</v>
      </c>
      <c r="C77" s="14">
        <f>(5111/B77*100)</f>
        <v>84.312108215110527</v>
      </c>
      <c r="D77" s="15">
        <v>951</v>
      </c>
      <c r="E77" s="14">
        <v>50.870463749999999</v>
      </c>
      <c r="F77" s="16">
        <v>2.0047149200000001</v>
      </c>
      <c r="G77" s="14">
        <v>49.129536250000001</v>
      </c>
      <c r="H77" s="16">
        <v>2.0047149200000001</v>
      </c>
      <c r="I77" s="14" t="s">
        <v>139</v>
      </c>
      <c r="J77" s="16" t="s">
        <v>139</v>
      </c>
      <c r="K77" s="14">
        <v>0</v>
      </c>
      <c r="L77" s="16">
        <v>0</v>
      </c>
      <c r="M77" s="14">
        <v>0</v>
      </c>
      <c r="N77" s="16">
        <v>0</v>
      </c>
      <c r="O77" s="14">
        <v>0</v>
      </c>
      <c r="P77" s="16">
        <v>0</v>
      </c>
      <c r="Q77" s="14">
        <v>0</v>
      </c>
      <c r="R77" s="16">
        <v>0</v>
      </c>
    </row>
    <row r="78" spans="1:18" x14ac:dyDescent="0.25">
      <c r="A78" s="11" t="s">
        <v>211</v>
      </c>
      <c r="B78" s="17" t="s">
        <v>154</v>
      </c>
      <c r="C78" s="17" t="s">
        <v>154</v>
      </c>
      <c r="D78" s="18" t="s">
        <v>154</v>
      </c>
      <c r="E78" s="17" t="s">
        <v>154</v>
      </c>
      <c r="F78" s="18" t="s">
        <v>154</v>
      </c>
      <c r="G78" s="17" t="s">
        <v>154</v>
      </c>
      <c r="H78" s="18" t="s">
        <v>154</v>
      </c>
      <c r="I78" s="17" t="s">
        <v>154</v>
      </c>
      <c r="J78" s="18" t="s">
        <v>154</v>
      </c>
      <c r="K78" s="17" t="s">
        <v>154</v>
      </c>
      <c r="L78" s="18" t="s">
        <v>154</v>
      </c>
      <c r="M78" s="17" t="s">
        <v>154</v>
      </c>
      <c r="N78" s="18" t="s">
        <v>154</v>
      </c>
      <c r="O78" s="17" t="s">
        <v>154</v>
      </c>
      <c r="P78" s="18" t="s">
        <v>154</v>
      </c>
      <c r="Q78" s="17" t="s">
        <v>154</v>
      </c>
      <c r="R78" s="18" t="s">
        <v>154</v>
      </c>
    </row>
    <row r="79" spans="1:18" ht="24.95" customHeight="1" x14ac:dyDescent="0.25">
      <c r="A79" s="11" t="s">
        <v>212</v>
      </c>
      <c r="B79" s="17" t="s">
        <v>154</v>
      </c>
      <c r="C79" s="17" t="s">
        <v>154</v>
      </c>
      <c r="D79" s="18" t="s">
        <v>154</v>
      </c>
      <c r="E79" s="17" t="s">
        <v>154</v>
      </c>
      <c r="F79" s="18" t="s">
        <v>154</v>
      </c>
      <c r="G79" s="17" t="s">
        <v>154</v>
      </c>
      <c r="H79" s="18" t="s">
        <v>154</v>
      </c>
      <c r="I79" s="17" t="s">
        <v>154</v>
      </c>
      <c r="J79" s="18" t="s">
        <v>154</v>
      </c>
      <c r="K79" s="17" t="s">
        <v>154</v>
      </c>
      <c r="L79" s="18" t="s">
        <v>154</v>
      </c>
      <c r="M79" s="17" t="s">
        <v>154</v>
      </c>
      <c r="N79" s="18" t="s">
        <v>154</v>
      </c>
      <c r="O79" s="17" t="s">
        <v>154</v>
      </c>
      <c r="P79" s="18" t="s">
        <v>154</v>
      </c>
      <c r="Q79" s="17" t="s">
        <v>154</v>
      </c>
      <c r="R79" s="18" t="s">
        <v>154</v>
      </c>
    </row>
    <row r="80" spans="1:18" x14ac:dyDescent="0.25">
      <c r="A80" s="11" t="s">
        <v>213</v>
      </c>
      <c r="B80" s="17" t="s">
        <v>154</v>
      </c>
      <c r="C80" s="17" t="s">
        <v>154</v>
      </c>
      <c r="D80" s="18" t="s">
        <v>154</v>
      </c>
      <c r="E80" s="17" t="s">
        <v>154</v>
      </c>
      <c r="F80" s="18" t="s">
        <v>154</v>
      </c>
      <c r="G80" s="17" t="s">
        <v>154</v>
      </c>
      <c r="H80" s="18" t="s">
        <v>154</v>
      </c>
      <c r="I80" s="17" t="s">
        <v>154</v>
      </c>
      <c r="J80" s="18" t="s">
        <v>154</v>
      </c>
      <c r="K80" s="17" t="s">
        <v>154</v>
      </c>
      <c r="L80" s="18" t="s">
        <v>154</v>
      </c>
      <c r="M80" s="17" t="s">
        <v>154</v>
      </c>
      <c r="N80" s="18" t="s">
        <v>154</v>
      </c>
      <c r="O80" s="17" t="s">
        <v>154</v>
      </c>
      <c r="P80" s="18" t="s">
        <v>154</v>
      </c>
      <c r="Q80" s="17" t="s">
        <v>154</v>
      </c>
      <c r="R80" s="18" t="s">
        <v>154</v>
      </c>
    </row>
    <row r="81" spans="1:18" x14ac:dyDescent="0.25">
      <c r="A81" s="19" t="s">
        <v>214</v>
      </c>
      <c r="B81" s="13">
        <v>8861</v>
      </c>
      <c r="C81" s="14">
        <f>(7350/B81*100)</f>
        <v>82.947748561110473</v>
      </c>
      <c r="D81" s="15">
        <v>1511</v>
      </c>
      <c r="E81" s="14">
        <v>51.908337600000003</v>
      </c>
      <c r="F81" s="16">
        <v>1.58201579</v>
      </c>
      <c r="G81" s="14">
        <v>48.091662399999997</v>
      </c>
      <c r="H81" s="16">
        <v>1.58201579</v>
      </c>
      <c r="I81" s="14" t="s">
        <v>139</v>
      </c>
      <c r="J81" s="16" t="s">
        <v>139</v>
      </c>
      <c r="K81" s="14">
        <v>0</v>
      </c>
      <c r="L81" s="16">
        <v>0</v>
      </c>
      <c r="M81" s="14">
        <v>0</v>
      </c>
      <c r="N81" s="16">
        <v>0</v>
      </c>
      <c r="O81" s="14">
        <v>0</v>
      </c>
      <c r="P81" s="16">
        <v>0</v>
      </c>
      <c r="Q81" s="14">
        <v>0</v>
      </c>
      <c r="R81" s="16">
        <v>0</v>
      </c>
    </row>
    <row r="82" spans="1:18" x14ac:dyDescent="0.25">
      <c r="A82" s="20"/>
      <c r="B82" s="20" t="s">
        <v>215</v>
      </c>
      <c r="C82" s="20" t="s">
        <v>215</v>
      </c>
      <c r="D82" s="20" t="s">
        <v>215</v>
      </c>
      <c r="E82" s="20" t="s">
        <v>215</v>
      </c>
      <c r="F82" s="20" t="s">
        <v>215</v>
      </c>
      <c r="G82" s="20" t="s">
        <v>215</v>
      </c>
      <c r="H82" s="20" t="s">
        <v>215</v>
      </c>
      <c r="I82" s="20" t="s">
        <v>215</v>
      </c>
      <c r="J82" s="20" t="s">
        <v>215</v>
      </c>
      <c r="K82" s="20" t="s">
        <v>215</v>
      </c>
      <c r="L82" s="20" t="s">
        <v>215</v>
      </c>
      <c r="M82" s="20" t="s">
        <v>215</v>
      </c>
      <c r="N82" s="20" t="s">
        <v>215</v>
      </c>
      <c r="O82" s="20" t="s">
        <v>215</v>
      </c>
      <c r="P82" s="20" t="s">
        <v>215</v>
      </c>
      <c r="Q82" s="20" t="s">
        <v>215</v>
      </c>
      <c r="R82" s="20" t="s">
        <v>215</v>
      </c>
    </row>
    <row r="83" spans="1:18" x14ac:dyDescent="0.25">
      <c r="A83" s="3" t="s">
        <v>216</v>
      </c>
    </row>
    <row r="84" spans="1:18" x14ac:dyDescent="0.25">
      <c r="A84" s="22" t="s">
        <v>217</v>
      </c>
      <c r="B84" s="23"/>
      <c r="C84" s="23"/>
      <c r="D84" s="23"/>
      <c r="E84" s="23"/>
      <c r="F84" s="23"/>
      <c r="G84" s="23"/>
      <c r="H84" s="23"/>
      <c r="I84" s="23"/>
      <c r="J84" s="23"/>
      <c r="K84" s="23"/>
      <c r="L84" s="23"/>
      <c r="M84" s="23"/>
      <c r="N84" s="23"/>
      <c r="O84" s="23"/>
      <c r="P84" s="23"/>
      <c r="Q84" s="23"/>
      <c r="R84" s="23"/>
    </row>
    <row r="85" spans="1:18" x14ac:dyDescent="0.25">
      <c r="A85" s="22" t="s">
        <v>218</v>
      </c>
      <c r="B85" s="23"/>
      <c r="C85" s="23"/>
      <c r="D85" s="23"/>
      <c r="E85" s="23"/>
      <c r="F85" s="23"/>
      <c r="G85" s="23"/>
      <c r="H85" s="23"/>
      <c r="I85" s="23"/>
      <c r="J85" s="23"/>
      <c r="K85" s="23"/>
      <c r="L85" s="23"/>
      <c r="M85" s="23"/>
      <c r="N85" s="23"/>
      <c r="O85" s="23"/>
      <c r="P85" s="23"/>
      <c r="Q85" s="23"/>
      <c r="R85" s="23"/>
    </row>
    <row r="86" spans="1:18" ht="30" customHeight="1" x14ac:dyDescent="0.25">
      <c r="A86" s="22" t="s">
        <v>219</v>
      </c>
      <c r="B86" s="23"/>
      <c r="C86" s="23"/>
      <c r="D86" s="23"/>
      <c r="E86" s="23"/>
      <c r="F86" s="23"/>
      <c r="G86" s="23"/>
      <c r="H86" s="23"/>
      <c r="I86" s="23"/>
      <c r="J86" s="23"/>
      <c r="K86" s="23"/>
      <c r="L86" s="23"/>
      <c r="M86" s="23"/>
      <c r="N86" s="23"/>
      <c r="O86" s="23"/>
      <c r="P86" s="23"/>
      <c r="Q86" s="23"/>
      <c r="R86" s="23"/>
    </row>
    <row r="87" spans="1:18" ht="30" customHeight="1" x14ac:dyDescent="0.25">
      <c r="A87" s="22" t="s">
        <v>215</v>
      </c>
      <c r="B87" s="23"/>
      <c r="C87" s="23"/>
      <c r="D87" s="23"/>
      <c r="E87" s="23"/>
      <c r="F87" s="23"/>
      <c r="G87" s="23"/>
      <c r="H87" s="23"/>
      <c r="I87" s="23"/>
      <c r="J87" s="23"/>
      <c r="K87" s="23"/>
      <c r="L87" s="23"/>
      <c r="M87" s="23"/>
      <c r="N87" s="23"/>
      <c r="O87" s="23"/>
      <c r="P87" s="23"/>
      <c r="Q87" s="23"/>
      <c r="R87" s="23"/>
    </row>
    <row r="88" spans="1:18" ht="30" customHeight="1" x14ac:dyDescent="0.25">
      <c r="A88" s="22" t="s">
        <v>220</v>
      </c>
      <c r="B88" s="23"/>
      <c r="C88" s="23"/>
      <c r="D88" s="23"/>
      <c r="E88" s="23"/>
      <c r="F88" s="23"/>
      <c r="G88" s="23"/>
      <c r="H88" s="23"/>
      <c r="I88" s="23"/>
      <c r="J88" s="23"/>
      <c r="K88" s="23"/>
      <c r="L88" s="23"/>
      <c r="M88" s="23"/>
      <c r="N88" s="23"/>
      <c r="O88" s="23"/>
      <c r="P88" s="23"/>
      <c r="Q88" s="23"/>
      <c r="R88" s="23"/>
    </row>
    <row r="89" spans="1:18" ht="30" customHeight="1" x14ac:dyDescent="0.25">
      <c r="A89" s="22" t="s">
        <v>221</v>
      </c>
      <c r="B89" s="23"/>
      <c r="C89" s="23"/>
      <c r="D89" s="23"/>
      <c r="E89" s="23"/>
      <c r="F89" s="23"/>
      <c r="G89" s="23"/>
      <c r="H89" s="23"/>
      <c r="I89" s="23"/>
      <c r="J89" s="23"/>
      <c r="K89" s="23"/>
      <c r="L89" s="23"/>
      <c r="M89" s="23"/>
      <c r="N89" s="23"/>
      <c r="O89" s="23"/>
      <c r="P89" s="23"/>
      <c r="Q89" s="23"/>
      <c r="R89" s="23"/>
    </row>
    <row r="90" spans="1:18" ht="30" customHeight="1" x14ac:dyDescent="0.25">
      <c r="A90" s="22" t="s">
        <v>222</v>
      </c>
      <c r="B90" s="23"/>
      <c r="C90" s="23"/>
      <c r="D90" s="23"/>
      <c r="E90" s="23"/>
      <c r="F90" s="23"/>
      <c r="G90" s="23"/>
      <c r="H90" s="23"/>
      <c r="I90" s="23"/>
      <c r="J90" s="23"/>
      <c r="K90" s="23"/>
      <c r="L90" s="23"/>
      <c r="M90" s="23"/>
      <c r="N90" s="23"/>
      <c r="O90" s="23"/>
      <c r="P90" s="23"/>
      <c r="Q90" s="23"/>
      <c r="R90" s="23"/>
    </row>
    <row r="91" spans="1:18" ht="30" customHeight="1" x14ac:dyDescent="0.25">
      <c r="A91" s="22" t="s">
        <v>223</v>
      </c>
      <c r="B91" s="23"/>
      <c r="C91" s="23"/>
      <c r="D91" s="23"/>
      <c r="E91" s="23"/>
      <c r="F91" s="23"/>
      <c r="G91" s="23"/>
      <c r="H91" s="23"/>
      <c r="I91" s="23"/>
      <c r="J91" s="23"/>
      <c r="K91" s="23"/>
      <c r="L91" s="23"/>
      <c r="M91" s="23"/>
      <c r="N91" s="23"/>
      <c r="O91" s="23"/>
      <c r="P91" s="23"/>
      <c r="Q91" s="23"/>
      <c r="R91" s="23"/>
    </row>
    <row r="92" spans="1:18" ht="30" customHeight="1" x14ac:dyDescent="0.25">
      <c r="A92" s="22" t="s">
        <v>224</v>
      </c>
      <c r="B92" s="23"/>
      <c r="C92" s="23"/>
      <c r="D92" s="23"/>
      <c r="E92" s="23"/>
      <c r="F92" s="23"/>
      <c r="G92" s="23"/>
      <c r="H92" s="23"/>
      <c r="I92" s="23"/>
      <c r="J92" s="23"/>
      <c r="K92" s="23"/>
      <c r="L92" s="23"/>
      <c r="M92" s="23"/>
      <c r="N92" s="23"/>
      <c r="O92" s="23"/>
      <c r="P92" s="23"/>
      <c r="Q92" s="23"/>
      <c r="R92" s="23"/>
    </row>
    <row r="93" spans="1:18" ht="30" customHeight="1" x14ac:dyDescent="0.25">
      <c r="A93" s="22" t="s">
        <v>225</v>
      </c>
      <c r="B93" s="23"/>
      <c r="C93" s="23"/>
      <c r="D93" s="23"/>
      <c r="E93" s="23"/>
      <c r="F93" s="23"/>
      <c r="G93" s="23"/>
      <c r="H93" s="23"/>
      <c r="I93" s="23"/>
      <c r="J93" s="23"/>
      <c r="K93" s="23"/>
      <c r="L93" s="23"/>
      <c r="M93" s="23"/>
      <c r="N93" s="23"/>
      <c r="O93" s="23"/>
      <c r="P93" s="23"/>
      <c r="Q93" s="23"/>
      <c r="R93" s="23"/>
    </row>
    <row r="94" spans="1:18" ht="30" customHeight="1" x14ac:dyDescent="0.25">
      <c r="A94" s="22" t="s">
        <v>226</v>
      </c>
      <c r="B94" s="23"/>
      <c r="C94" s="23"/>
      <c r="D94" s="23"/>
      <c r="E94" s="23"/>
      <c r="F94" s="23"/>
      <c r="G94" s="23"/>
      <c r="H94" s="23"/>
      <c r="I94" s="23"/>
      <c r="J94" s="23"/>
      <c r="K94" s="23"/>
      <c r="L94" s="23"/>
      <c r="M94" s="23"/>
      <c r="N94" s="23"/>
      <c r="O94" s="23"/>
      <c r="P94" s="23"/>
      <c r="Q94" s="23"/>
      <c r="R94" s="23"/>
    </row>
    <row r="95" spans="1:18" ht="30" customHeight="1" x14ac:dyDescent="0.25">
      <c r="A95" s="22" t="s">
        <v>227</v>
      </c>
      <c r="B95" s="23"/>
      <c r="C95" s="23"/>
      <c r="D95" s="23"/>
      <c r="E95" s="23"/>
      <c r="F95" s="23"/>
      <c r="G95" s="23"/>
      <c r="H95" s="23"/>
      <c r="I95" s="23"/>
      <c r="J95" s="23"/>
      <c r="K95" s="23"/>
      <c r="L95" s="23"/>
      <c r="M95" s="23"/>
      <c r="N95" s="23"/>
      <c r="O95" s="23"/>
      <c r="P95" s="23"/>
      <c r="Q95" s="23"/>
      <c r="R95" s="23"/>
    </row>
    <row r="96" spans="1:18" ht="30" customHeight="1" x14ac:dyDescent="0.25">
      <c r="A96" s="22" t="s">
        <v>228</v>
      </c>
      <c r="B96" s="23"/>
      <c r="C96" s="23"/>
      <c r="D96" s="23"/>
      <c r="E96" s="23"/>
      <c r="F96" s="23"/>
      <c r="G96" s="23"/>
      <c r="H96" s="23"/>
      <c r="I96" s="23"/>
      <c r="J96" s="23"/>
      <c r="K96" s="23"/>
      <c r="L96" s="23"/>
      <c r="M96" s="23"/>
      <c r="N96" s="23"/>
      <c r="O96" s="23"/>
      <c r="P96" s="23"/>
      <c r="Q96" s="23"/>
      <c r="R96" s="23"/>
    </row>
  </sheetData>
  <mergeCells count="22">
    <mergeCell ref="O4:P4"/>
    <mergeCell ref="Q4:R4"/>
    <mergeCell ref="A1:R1"/>
    <mergeCell ref="A2:R2"/>
    <mergeCell ref="A84:R84"/>
    <mergeCell ref="E4:F4"/>
    <mergeCell ref="G4:H4"/>
    <mergeCell ref="I4:J4"/>
    <mergeCell ref="K4:L4"/>
    <mergeCell ref="M4:N4"/>
    <mergeCell ref="A85:R85"/>
    <mergeCell ref="A86:R86"/>
    <mergeCell ref="A87:R87"/>
    <mergeCell ref="A88:R88"/>
    <mergeCell ref="A89:R89"/>
    <mergeCell ref="A95:R95"/>
    <mergeCell ref="A96:R96"/>
    <mergeCell ref="A90:R90"/>
    <mergeCell ref="A91:R91"/>
    <mergeCell ref="A92:R92"/>
    <mergeCell ref="A93:R93"/>
    <mergeCell ref="A94:R94"/>
  </mergeCells>
  <pageMargins left="0.75" right="0.75" top="1" bottom="1" header="0.5" footer="0.5"/>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1"/>
  <dimension ref="A1:R96"/>
  <sheetViews>
    <sheetView zoomScale="80" workbookViewId="0">
      <pane xSplit="4" topLeftCell="E1" activePane="topRight" state="frozen"/>
      <selection sqref="A1:R1"/>
      <selection pane="topRight" sqref="A1:R1"/>
    </sheetView>
  </sheetViews>
  <sheetFormatPr defaultColWidth="11.42578125" defaultRowHeight="15" x14ac:dyDescent="0.25"/>
  <cols>
    <col min="1" max="1" width="50" customWidth="1"/>
  </cols>
  <sheetData>
    <row r="1" spans="1:18" x14ac:dyDescent="0.25">
      <c r="A1" s="26" t="s">
        <v>122</v>
      </c>
      <c r="B1" s="23"/>
      <c r="C1" s="23"/>
      <c r="D1" s="23"/>
      <c r="E1" s="23"/>
      <c r="F1" s="23"/>
      <c r="G1" s="23"/>
      <c r="H1" s="23"/>
      <c r="I1" s="23"/>
      <c r="J1" s="23"/>
      <c r="K1" s="23"/>
      <c r="L1" s="23"/>
      <c r="M1" s="23"/>
      <c r="N1" s="23"/>
      <c r="O1" s="23"/>
      <c r="P1" s="23"/>
      <c r="Q1" s="23"/>
      <c r="R1" s="23"/>
    </row>
    <row r="2" spans="1:18" x14ac:dyDescent="0.25">
      <c r="A2" s="27" t="s">
        <v>267</v>
      </c>
      <c r="B2" s="23"/>
      <c r="C2" s="23"/>
      <c r="D2" s="23"/>
      <c r="E2" s="23"/>
      <c r="F2" s="23"/>
      <c r="G2" s="23"/>
      <c r="H2" s="23"/>
      <c r="I2" s="23"/>
      <c r="J2" s="23"/>
      <c r="K2" s="23"/>
      <c r="L2" s="23"/>
      <c r="M2" s="23"/>
      <c r="N2" s="23"/>
      <c r="O2" s="23"/>
      <c r="P2" s="23"/>
      <c r="Q2" s="23"/>
      <c r="R2" s="23"/>
    </row>
    <row r="4" spans="1:18" ht="30" customHeight="1" x14ac:dyDescent="0.25">
      <c r="A4" s="4"/>
      <c r="B4" s="5" t="s">
        <v>123</v>
      </c>
      <c r="C4" s="5" t="s">
        <v>124</v>
      </c>
      <c r="D4" s="6" t="s">
        <v>123</v>
      </c>
      <c r="E4" s="24" t="s">
        <v>125</v>
      </c>
      <c r="F4" s="25"/>
      <c r="G4" s="24" t="s">
        <v>126</v>
      </c>
      <c r="H4" s="25"/>
      <c r="I4" s="24" t="s">
        <v>127</v>
      </c>
      <c r="J4" s="25"/>
      <c r="K4" s="24" t="s">
        <v>128</v>
      </c>
      <c r="L4" s="25"/>
      <c r="M4" s="24" t="s">
        <v>129</v>
      </c>
      <c r="N4" s="25"/>
      <c r="O4" s="24" t="s">
        <v>130</v>
      </c>
      <c r="P4" s="25"/>
      <c r="Q4" s="24" t="s">
        <v>131</v>
      </c>
      <c r="R4" s="25"/>
    </row>
    <row r="5" spans="1:18" x14ac:dyDescent="0.25">
      <c r="A5" s="7"/>
      <c r="B5" s="8" t="s">
        <v>132</v>
      </c>
      <c r="C5" s="8" t="s">
        <v>133</v>
      </c>
      <c r="D5" s="7" t="s">
        <v>134</v>
      </c>
      <c r="E5" s="8" t="s">
        <v>135</v>
      </c>
      <c r="F5" s="7" t="s">
        <v>136</v>
      </c>
      <c r="G5" s="8" t="s">
        <v>135</v>
      </c>
      <c r="H5" s="7" t="s">
        <v>136</v>
      </c>
      <c r="I5" s="8" t="s">
        <v>135</v>
      </c>
      <c r="J5" s="7" t="s">
        <v>136</v>
      </c>
      <c r="K5" s="8" t="s">
        <v>135</v>
      </c>
      <c r="L5" s="7" t="s">
        <v>136</v>
      </c>
      <c r="M5" s="8" t="s">
        <v>135</v>
      </c>
      <c r="N5" s="7" t="s">
        <v>136</v>
      </c>
      <c r="O5" s="8" t="s">
        <v>135</v>
      </c>
      <c r="P5" s="7" t="s">
        <v>136</v>
      </c>
      <c r="Q5" s="8" t="s">
        <v>135</v>
      </c>
      <c r="R5" s="7" t="s">
        <v>136</v>
      </c>
    </row>
    <row r="6" spans="1:18" x14ac:dyDescent="0.25">
      <c r="A6" s="9" t="s">
        <v>137</v>
      </c>
      <c r="B6" s="10"/>
      <c r="C6" s="10"/>
      <c r="D6" s="11"/>
      <c r="E6" s="10"/>
      <c r="F6" s="11"/>
      <c r="G6" s="10"/>
      <c r="H6" s="11"/>
      <c r="I6" s="10"/>
      <c r="J6" s="11"/>
      <c r="K6" s="10"/>
      <c r="L6" s="11"/>
      <c r="M6" s="10"/>
      <c r="N6" s="11"/>
      <c r="O6" s="10"/>
      <c r="P6" s="11"/>
      <c r="Q6" s="10"/>
      <c r="R6" s="12"/>
    </row>
    <row r="7" spans="1:18" x14ac:dyDescent="0.25">
      <c r="A7" s="11" t="s">
        <v>138</v>
      </c>
      <c r="B7" s="13">
        <v>14530</v>
      </c>
      <c r="C7" s="14">
        <f>(12186/B7*100)</f>
        <v>83.867859600825881</v>
      </c>
      <c r="D7" s="15">
        <v>2344</v>
      </c>
      <c r="E7" s="14">
        <v>19.59579931</v>
      </c>
      <c r="F7" s="16">
        <v>0.91319804999999998</v>
      </c>
      <c r="G7" s="14">
        <v>80.404200689999996</v>
      </c>
      <c r="H7" s="16">
        <v>0.91319804999999998</v>
      </c>
      <c r="I7" s="14" t="s">
        <v>139</v>
      </c>
      <c r="J7" s="16" t="s">
        <v>139</v>
      </c>
      <c r="K7" s="14">
        <v>0</v>
      </c>
      <c r="L7" s="16">
        <v>0</v>
      </c>
      <c r="M7" s="14">
        <v>0</v>
      </c>
      <c r="N7" s="16">
        <v>0</v>
      </c>
      <c r="O7" s="14">
        <v>0</v>
      </c>
      <c r="P7" s="16">
        <v>0</v>
      </c>
      <c r="Q7" s="14">
        <v>0</v>
      </c>
      <c r="R7" s="16">
        <v>0</v>
      </c>
    </row>
    <row r="8" spans="1:18" x14ac:dyDescent="0.25">
      <c r="A8" s="11" t="s">
        <v>140</v>
      </c>
      <c r="B8" s="13">
        <v>7007</v>
      </c>
      <c r="C8" s="14">
        <f>(5832/B8*100)</f>
        <v>83.231054659626096</v>
      </c>
      <c r="D8" s="15">
        <v>1175</v>
      </c>
      <c r="E8" s="14">
        <v>30.833084169999999</v>
      </c>
      <c r="F8" s="16">
        <v>1.05237555</v>
      </c>
      <c r="G8" s="14">
        <v>69.166915829999994</v>
      </c>
      <c r="H8" s="16">
        <v>1.05237555</v>
      </c>
      <c r="I8" s="14" t="s">
        <v>139</v>
      </c>
      <c r="J8" s="16" t="s">
        <v>139</v>
      </c>
      <c r="K8" s="14">
        <v>0</v>
      </c>
      <c r="L8" s="16">
        <v>0</v>
      </c>
      <c r="M8" s="14">
        <v>0</v>
      </c>
      <c r="N8" s="16">
        <v>0</v>
      </c>
      <c r="O8" s="14">
        <v>0</v>
      </c>
      <c r="P8" s="16">
        <v>0</v>
      </c>
      <c r="Q8" s="14">
        <v>0</v>
      </c>
      <c r="R8" s="16">
        <v>0</v>
      </c>
    </row>
    <row r="9" spans="1:18" x14ac:dyDescent="0.25">
      <c r="A9" s="11" t="s">
        <v>141</v>
      </c>
      <c r="B9" s="13">
        <v>9651</v>
      </c>
      <c r="C9" s="14">
        <f>(8126/B9*100)</f>
        <v>84.198528649880842</v>
      </c>
      <c r="D9" s="15">
        <v>1525</v>
      </c>
      <c r="E9" s="14">
        <v>32.4539136</v>
      </c>
      <c r="F9" s="16">
        <v>1.2210764999999999</v>
      </c>
      <c r="G9" s="14">
        <v>67.546086399999993</v>
      </c>
      <c r="H9" s="16">
        <v>1.2210764999999999</v>
      </c>
      <c r="I9" s="14" t="s">
        <v>139</v>
      </c>
      <c r="J9" s="16" t="s">
        <v>139</v>
      </c>
      <c r="K9" s="14">
        <v>0</v>
      </c>
      <c r="L9" s="16">
        <v>0</v>
      </c>
      <c r="M9" s="14">
        <v>0</v>
      </c>
      <c r="N9" s="16">
        <v>0</v>
      </c>
      <c r="O9" s="14">
        <v>0</v>
      </c>
      <c r="P9" s="16">
        <v>0</v>
      </c>
      <c r="Q9" s="14">
        <v>0</v>
      </c>
      <c r="R9" s="16">
        <v>0</v>
      </c>
    </row>
    <row r="10" spans="1:18" x14ac:dyDescent="0.25">
      <c r="A10" s="11" t="s">
        <v>142</v>
      </c>
      <c r="B10" s="13">
        <v>20058</v>
      </c>
      <c r="C10" s="14">
        <f>(16663/B10*100)</f>
        <v>83.074085153056132</v>
      </c>
      <c r="D10" s="15">
        <v>3395</v>
      </c>
      <c r="E10" s="14">
        <v>20.32376309</v>
      </c>
      <c r="F10" s="16">
        <v>1.0182300900000001</v>
      </c>
      <c r="G10" s="14">
        <v>79.67623691</v>
      </c>
      <c r="H10" s="16">
        <v>1.0182300900000001</v>
      </c>
      <c r="I10" s="14" t="s">
        <v>139</v>
      </c>
      <c r="J10" s="16" t="s">
        <v>139</v>
      </c>
      <c r="K10" s="14">
        <v>0</v>
      </c>
      <c r="L10" s="16">
        <v>0</v>
      </c>
      <c r="M10" s="14">
        <v>0</v>
      </c>
      <c r="N10" s="16">
        <v>0</v>
      </c>
      <c r="O10" s="14">
        <v>0</v>
      </c>
      <c r="P10" s="16">
        <v>0</v>
      </c>
      <c r="Q10" s="14">
        <v>0</v>
      </c>
      <c r="R10" s="16">
        <v>0</v>
      </c>
    </row>
    <row r="11" spans="1:18" x14ac:dyDescent="0.25">
      <c r="A11" s="11" t="s">
        <v>143</v>
      </c>
      <c r="B11" s="13">
        <v>7053</v>
      </c>
      <c r="C11" s="14">
        <f>(5925/B11*100)</f>
        <v>84.006805614632071</v>
      </c>
      <c r="D11" s="15">
        <v>1128</v>
      </c>
      <c r="E11" s="14">
        <v>34.75485973</v>
      </c>
      <c r="F11" s="16">
        <v>1.9373527699999999</v>
      </c>
      <c r="G11" s="14">
        <v>65.245140269999993</v>
      </c>
      <c r="H11" s="16">
        <v>1.9373527699999999</v>
      </c>
      <c r="I11" s="14" t="s">
        <v>139</v>
      </c>
      <c r="J11" s="16" t="s">
        <v>139</v>
      </c>
      <c r="K11" s="14">
        <v>0</v>
      </c>
      <c r="L11" s="16">
        <v>0</v>
      </c>
      <c r="M11" s="14">
        <v>0</v>
      </c>
      <c r="N11" s="16">
        <v>0</v>
      </c>
      <c r="O11" s="14">
        <v>0</v>
      </c>
      <c r="P11" s="16">
        <v>0</v>
      </c>
      <c r="Q11" s="14">
        <v>0</v>
      </c>
      <c r="R11" s="16">
        <v>0</v>
      </c>
    </row>
    <row r="12" spans="1:18" x14ac:dyDescent="0.25">
      <c r="A12" s="11" t="s">
        <v>144</v>
      </c>
      <c r="B12" s="13">
        <v>6894</v>
      </c>
      <c r="C12" s="14">
        <f>(5770/B12*100)</f>
        <v>83.695967507977954</v>
      </c>
      <c r="D12" s="15">
        <v>1124</v>
      </c>
      <c r="E12" s="14">
        <v>34.466377010000002</v>
      </c>
      <c r="F12" s="16">
        <v>1.2409985400000001</v>
      </c>
      <c r="G12" s="14">
        <v>65.533622989999998</v>
      </c>
      <c r="H12" s="16">
        <v>1.2409985400000001</v>
      </c>
      <c r="I12" s="14" t="s">
        <v>139</v>
      </c>
      <c r="J12" s="16" t="s">
        <v>139</v>
      </c>
      <c r="K12" s="14">
        <v>0</v>
      </c>
      <c r="L12" s="16">
        <v>0</v>
      </c>
      <c r="M12" s="14">
        <v>0</v>
      </c>
      <c r="N12" s="16">
        <v>0</v>
      </c>
      <c r="O12" s="14">
        <v>0</v>
      </c>
      <c r="P12" s="16">
        <v>0</v>
      </c>
      <c r="Q12" s="14">
        <v>0</v>
      </c>
      <c r="R12" s="16">
        <v>0</v>
      </c>
    </row>
    <row r="13" spans="1:18" x14ac:dyDescent="0.25">
      <c r="A13" s="11" t="s">
        <v>145</v>
      </c>
      <c r="B13" s="13">
        <v>7161</v>
      </c>
      <c r="C13" s="14">
        <f>(6035/B13*100)</f>
        <v>84.275939114648793</v>
      </c>
      <c r="D13" s="15">
        <v>1126</v>
      </c>
      <c r="E13" s="14">
        <v>27.97974675</v>
      </c>
      <c r="F13" s="16">
        <v>1.5620209</v>
      </c>
      <c r="G13" s="14">
        <v>72.020253249999996</v>
      </c>
      <c r="H13" s="16">
        <v>1.5620209</v>
      </c>
      <c r="I13" s="14" t="s">
        <v>139</v>
      </c>
      <c r="J13" s="16" t="s">
        <v>139</v>
      </c>
      <c r="K13" s="14">
        <v>0</v>
      </c>
      <c r="L13" s="16">
        <v>0</v>
      </c>
      <c r="M13" s="14">
        <v>0</v>
      </c>
      <c r="N13" s="16">
        <v>0</v>
      </c>
      <c r="O13" s="14">
        <v>0</v>
      </c>
      <c r="P13" s="16">
        <v>0</v>
      </c>
      <c r="Q13" s="14">
        <v>0</v>
      </c>
      <c r="R13" s="16">
        <v>0</v>
      </c>
    </row>
    <row r="14" spans="1:18" x14ac:dyDescent="0.25">
      <c r="A14" s="11" t="s">
        <v>146</v>
      </c>
      <c r="B14" s="13">
        <v>5587</v>
      </c>
      <c r="C14" s="14">
        <f>(4647/B14*100)</f>
        <v>83.175228208340783</v>
      </c>
      <c r="D14" s="15">
        <v>940</v>
      </c>
      <c r="E14" s="14">
        <v>31.445499250000001</v>
      </c>
      <c r="F14" s="16">
        <v>1.9040947100000001</v>
      </c>
      <c r="G14" s="14">
        <v>68.554500750000003</v>
      </c>
      <c r="H14" s="16">
        <v>1.9040947100000001</v>
      </c>
      <c r="I14" s="14" t="s">
        <v>139</v>
      </c>
      <c r="J14" s="16" t="s">
        <v>139</v>
      </c>
      <c r="K14" s="14">
        <v>0</v>
      </c>
      <c r="L14" s="16">
        <v>0</v>
      </c>
      <c r="M14" s="14">
        <v>0</v>
      </c>
      <c r="N14" s="16">
        <v>0</v>
      </c>
      <c r="O14" s="14">
        <v>0</v>
      </c>
      <c r="P14" s="16">
        <v>0</v>
      </c>
      <c r="Q14" s="14">
        <v>0</v>
      </c>
      <c r="R14" s="16">
        <v>0</v>
      </c>
    </row>
    <row r="15" spans="1:18" x14ac:dyDescent="0.25">
      <c r="A15" s="11" t="s">
        <v>147</v>
      </c>
      <c r="B15" s="13">
        <v>5882</v>
      </c>
      <c r="C15" s="14">
        <f>(4921/B15*100)</f>
        <v>83.66201972118327</v>
      </c>
      <c r="D15" s="15">
        <v>961</v>
      </c>
      <c r="E15" s="14">
        <v>28.13988642</v>
      </c>
      <c r="F15" s="16">
        <v>1.4063238600000001</v>
      </c>
      <c r="G15" s="14">
        <v>71.860113580000004</v>
      </c>
      <c r="H15" s="16">
        <v>1.4063238600000001</v>
      </c>
      <c r="I15" s="14" t="s">
        <v>139</v>
      </c>
      <c r="J15" s="16" t="s">
        <v>139</v>
      </c>
      <c r="K15" s="14">
        <v>0</v>
      </c>
      <c r="L15" s="16">
        <v>0</v>
      </c>
      <c r="M15" s="14">
        <v>0</v>
      </c>
      <c r="N15" s="16">
        <v>0</v>
      </c>
      <c r="O15" s="14">
        <v>0</v>
      </c>
      <c r="P15" s="16">
        <v>0</v>
      </c>
      <c r="Q15" s="14">
        <v>0</v>
      </c>
      <c r="R15" s="16">
        <v>0</v>
      </c>
    </row>
    <row r="16" spans="1:18" x14ac:dyDescent="0.25">
      <c r="A16" s="11" t="s">
        <v>148</v>
      </c>
      <c r="B16" s="13">
        <v>6108</v>
      </c>
      <c r="C16" s="14">
        <f>(5092/B16*100)</f>
        <v>83.366077275704001</v>
      </c>
      <c r="D16" s="15">
        <v>1016</v>
      </c>
      <c r="E16" s="14">
        <v>31.615064780000001</v>
      </c>
      <c r="F16" s="16">
        <v>1.70628563</v>
      </c>
      <c r="G16" s="14">
        <v>68.384935220000003</v>
      </c>
      <c r="H16" s="16">
        <v>1.70628563</v>
      </c>
      <c r="I16" s="14" t="s">
        <v>139</v>
      </c>
      <c r="J16" s="16" t="s">
        <v>139</v>
      </c>
      <c r="K16" s="14">
        <v>0</v>
      </c>
      <c r="L16" s="16">
        <v>0</v>
      </c>
      <c r="M16" s="14">
        <v>0</v>
      </c>
      <c r="N16" s="16">
        <v>0</v>
      </c>
      <c r="O16" s="14">
        <v>0</v>
      </c>
      <c r="P16" s="16">
        <v>0</v>
      </c>
      <c r="Q16" s="14">
        <v>0</v>
      </c>
      <c r="R16" s="16">
        <v>0</v>
      </c>
    </row>
    <row r="17" spans="1:18" x14ac:dyDescent="0.25">
      <c r="A17" s="11" t="s">
        <v>149</v>
      </c>
      <c r="B17" s="13">
        <v>6504</v>
      </c>
      <c r="C17" s="14">
        <f>(5459/B17*100)</f>
        <v>83.932964329643298</v>
      </c>
      <c r="D17" s="15">
        <v>1045</v>
      </c>
      <c r="E17" s="14">
        <v>25.118386109999999</v>
      </c>
      <c r="F17" s="16">
        <v>1.47353869</v>
      </c>
      <c r="G17" s="14">
        <v>74.881613889999997</v>
      </c>
      <c r="H17" s="16">
        <v>1.47353869</v>
      </c>
      <c r="I17" s="14" t="s">
        <v>139</v>
      </c>
      <c r="J17" s="16" t="s">
        <v>139</v>
      </c>
      <c r="K17" s="14">
        <v>0</v>
      </c>
      <c r="L17" s="16">
        <v>0</v>
      </c>
      <c r="M17" s="14">
        <v>0</v>
      </c>
      <c r="N17" s="16">
        <v>0</v>
      </c>
      <c r="O17" s="14">
        <v>0</v>
      </c>
      <c r="P17" s="16">
        <v>0</v>
      </c>
      <c r="Q17" s="14">
        <v>0</v>
      </c>
      <c r="R17" s="16">
        <v>0</v>
      </c>
    </row>
    <row r="18" spans="1:18" x14ac:dyDescent="0.25">
      <c r="A18" s="11" t="s">
        <v>150</v>
      </c>
      <c r="B18" s="13">
        <v>5532</v>
      </c>
      <c r="C18" s="14">
        <f>(4583/B18*100)</f>
        <v>82.845263919016631</v>
      </c>
      <c r="D18" s="15">
        <v>949</v>
      </c>
      <c r="E18" s="14">
        <v>43.308544859999998</v>
      </c>
      <c r="F18" s="16">
        <v>1.7486484</v>
      </c>
      <c r="G18" s="14">
        <v>56.691455140000002</v>
      </c>
      <c r="H18" s="16">
        <v>1.7486484</v>
      </c>
      <c r="I18" s="14" t="s">
        <v>139</v>
      </c>
      <c r="J18" s="16" t="s">
        <v>139</v>
      </c>
      <c r="K18" s="14">
        <v>0</v>
      </c>
      <c r="L18" s="16">
        <v>0</v>
      </c>
      <c r="M18" s="14">
        <v>0</v>
      </c>
      <c r="N18" s="16">
        <v>0</v>
      </c>
      <c r="O18" s="14">
        <v>0</v>
      </c>
      <c r="P18" s="16">
        <v>0</v>
      </c>
      <c r="Q18" s="14">
        <v>0</v>
      </c>
      <c r="R18" s="16">
        <v>0</v>
      </c>
    </row>
    <row r="19" spans="1:18" x14ac:dyDescent="0.25">
      <c r="A19" s="11" t="s">
        <v>151</v>
      </c>
      <c r="B19" s="13">
        <v>5658</v>
      </c>
      <c r="C19" s="14">
        <f>(4745/B19*100)</f>
        <v>83.863556026864615</v>
      </c>
      <c r="D19" s="15">
        <v>913</v>
      </c>
      <c r="E19" s="14">
        <v>34.855387</v>
      </c>
      <c r="F19" s="16">
        <v>1.6004700599999999</v>
      </c>
      <c r="G19" s="14">
        <v>65.144613000000007</v>
      </c>
      <c r="H19" s="16">
        <v>1.6004700599999999</v>
      </c>
      <c r="I19" s="14" t="s">
        <v>139</v>
      </c>
      <c r="J19" s="16" t="s">
        <v>139</v>
      </c>
      <c r="K19" s="14">
        <v>0</v>
      </c>
      <c r="L19" s="16">
        <v>0</v>
      </c>
      <c r="M19" s="14">
        <v>0</v>
      </c>
      <c r="N19" s="16">
        <v>0</v>
      </c>
      <c r="O19" s="14">
        <v>0</v>
      </c>
      <c r="P19" s="16">
        <v>0</v>
      </c>
      <c r="Q19" s="14">
        <v>0</v>
      </c>
      <c r="R19" s="16">
        <v>0</v>
      </c>
    </row>
    <row r="20" spans="1:18" x14ac:dyDescent="0.25">
      <c r="A20" s="11" t="s">
        <v>152</v>
      </c>
      <c r="B20" s="13">
        <v>3371</v>
      </c>
      <c r="C20" s="14">
        <f>(2820/B20*100)</f>
        <v>83.654701868881645</v>
      </c>
      <c r="D20" s="15">
        <v>551</v>
      </c>
      <c r="E20" s="14">
        <v>28.535996650000001</v>
      </c>
      <c r="F20" s="16">
        <v>1.9960564999999999</v>
      </c>
      <c r="G20" s="14">
        <v>71.464003349999999</v>
      </c>
      <c r="H20" s="16">
        <v>1.9960564999999999</v>
      </c>
      <c r="I20" s="14" t="s">
        <v>139</v>
      </c>
      <c r="J20" s="16" t="s">
        <v>139</v>
      </c>
      <c r="K20" s="14">
        <v>0</v>
      </c>
      <c r="L20" s="16">
        <v>0</v>
      </c>
      <c r="M20" s="14">
        <v>0</v>
      </c>
      <c r="N20" s="16">
        <v>0</v>
      </c>
      <c r="O20" s="14">
        <v>0</v>
      </c>
      <c r="P20" s="16">
        <v>0</v>
      </c>
      <c r="Q20" s="14">
        <v>0</v>
      </c>
      <c r="R20" s="16">
        <v>0</v>
      </c>
    </row>
    <row r="21" spans="1:18" x14ac:dyDescent="0.25">
      <c r="A21" s="11" t="s">
        <v>153</v>
      </c>
      <c r="B21" s="17" t="s">
        <v>154</v>
      </c>
      <c r="C21" s="17" t="s">
        <v>154</v>
      </c>
      <c r="D21" s="18" t="s">
        <v>154</v>
      </c>
      <c r="E21" s="17" t="s">
        <v>154</v>
      </c>
      <c r="F21" s="18" t="s">
        <v>154</v>
      </c>
      <c r="G21" s="17" t="s">
        <v>154</v>
      </c>
      <c r="H21" s="18" t="s">
        <v>154</v>
      </c>
      <c r="I21" s="17" t="s">
        <v>154</v>
      </c>
      <c r="J21" s="18" t="s">
        <v>154</v>
      </c>
      <c r="K21" s="17" t="s">
        <v>154</v>
      </c>
      <c r="L21" s="18" t="s">
        <v>154</v>
      </c>
      <c r="M21" s="17" t="s">
        <v>154</v>
      </c>
      <c r="N21" s="18" t="s">
        <v>154</v>
      </c>
      <c r="O21" s="17" t="s">
        <v>154</v>
      </c>
      <c r="P21" s="18" t="s">
        <v>154</v>
      </c>
      <c r="Q21" s="17" t="s">
        <v>154</v>
      </c>
      <c r="R21" s="18" t="s">
        <v>154</v>
      </c>
    </row>
    <row r="22" spans="1:18" x14ac:dyDescent="0.25">
      <c r="A22" s="11" t="s">
        <v>155</v>
      </c>
      <c r="B22" s="13">
        <v>6598</v>
      </c>
      <c r="C22" s="14">
        <f>(5607/B22*100)</f>
        <v>84.980297059715056</v>
      </c>
      <c r="D22" s="15">
        <v>991</v>
      </c>
      <c r="E22" s="14">
        <v>35.938714760000003</v>
      </c>
      <c r="F22" s="16">
        <v>1.6184915200000001</v>
      </c>
      <c r="G22" s="14">
        <v>64.061285240000004</v>
      </c>
      <c r="H22" s="16">
        <v>1.6184915200000001</v>
      </c>
      <c r="I22" s="14" t="s">
        <v>139</v>
      </c>
      <c r="J22" s="16" t="s">
        <v>139</v>
      </c>
      <c r="K22" s="14">
        <v>0</v>
      </c>
      <c r="L22" s="16">
        <v>0</v>
      </c>
      <c r="M22" s="14">
        <v>0</v>
      </c>
      <c r="N22" s="16">
        <v>0</v>
      </c>
      <c r="O22" s="14">
        <v>0</v>
      </c>
      <c r="P22" s="16">
        <v>0</v>
      </c>
      <c r="Q22" s="14">
        <v>0</v>
      </c>
      <c r="R22" s="16">
        <v>0</v>
      </c>
    </row>
    <row r="23" spans="1:18" x14ac:dyDescent="0.25">
      <c r="A23" s="11" t="s">
        <v>156</v>
      </c>
      <c r="B23" s="13">
        <v>11583</v>
      </c>
      <c r="C23" s="14">
        <f>(9661/B23*100)</f>
        <v>83.406716740050072</v>
      </c>
      <c r="D23" s="15">
        <v>1922</v>
      </c>
      <c r="E23" s="14">
        <v>39.714470259999999</v>
      </c>
      <c r="F23" s="16">
        <v>1.44128838</v>
      </c>
      <c r="G23" s="14">
        <v>60.285529740000001</v>
      </c>
      <c r="H23" s="16">
        <v>1.44128838</v>
      </c>
      <c r="I23" s="14" t="s">
        <v>139</v>
      </c>
      <c r="J23" s="16" t="s">
        <v>139</v>
      </c>
      <c r="K23" s="14">
        <v>0</v>
      </c>
      <c r="L23" s="16">
        <v>0</v>
      </c>
      <c r="M23" s="14">
        <v>0</v>
      </c>
      <c r="N23" s="16">
        <v>0</v>
      </c>
      <c r="O23" s="14">
        <v>0</v>
      </c>
      <c r="P23" s="16">
        <v>0</v>
      </c>
      <c r="Q23" s="14">
        <v>0</v>
      </c>
      <c r="R23" s="16">
        <v>0</v>
      </c>
    </row>
    <row r="24" spans="1:18" x14ac:dyDescent="0.25">
      <c r="A24" s="11" t="s">
        <v>157</v>
      </c>
      <c r="B24" s="13">
        <v>6647</v>
      </c>
      <c r="C24" s="14">
        <f>(5508/B24*100)</f>
        <v>82.864450127877248</v>
      </c>
      <c r="D24" s="15">
        <v>1139</v>
      </c>
      <c r="E24" s="14">
        <v>23.912738130000001</v>
      </c>
      <c r="F24" s="16">
        <v>1.4865308100000001</v>
      </c>
      <c r="G24" s="14">
        <v>76.087261870000006</v>
      </c>
      <c r="H24" s="16">
        <v>1.4865308100000001</v>
      </c>
      <c r="I24" s="14" t="s">
        <v>139</v>
      </c>
      <c r="J24" s="16" t="s">
        <v>139</v>
      </c>
      <c r="K24" s="14">
        <v>0</v>
      </c>
      <c r="L24" s="16">
        <v>0</v>
      </c>
      <c r="M24" s="14">
        <v>0</v>
      </c>
      <c r="N24" s="16">
        <v>0</v>
      </c>
      <c r="O24" s="14">
        <v>0</v>
      </c>
      <c r="P24" s="16">
        <v>0</v>
      </c>
      <c r="Q24" s="14">
        <v>0</v>
      </c>
      <c r="R24" s="16">
        <v>0</v>
      </c>
    </row>
    <row r="25" spans="1:18" x14ac:dyDescent="0.25">
      <c r="A25" s="11" t="s">
        <v>158</v>
      </c>
      <c r="B25" s="13">
        <v>5581</v>
      </c>
      <c r="C25" s="14">
        <f>(4617/B25*100)</f>
        <v>82.727109836946795</v>
      </c>
      <c r="D25" s="15">
        <v>964</v>
      </c>
      <c r="E25" s="14">
        <v>25.098414210000001</v>
      </c>
      <c r="F25" s="16">
        <v>1.4837286199999999</v>
      </c>
      <c r="G25" s="14">
        <v>74.901585789999999</v>
      </c>
      <c r="H25" s="16">
        <v>1.4837286199999999</v>
      </c>
      <c r="I25" s="14" t="s">
        <v>139</v>
      </c>
      <c r="J25" s="16" t="s">
        <v>139</v>
      </c>
      <c r="K25" s="14">
        <v>0</v>
      </c>
      <c r="L25" s="16">
        <v>0</v>
      </c>
      <c r="M25" s="14">
        <v>0</v>
      </c>
      <c r="N25" s="16">
        <v>0</v>
      </c>
      <c r="O25" s="14">
        <v>0</v>
      </c>
      <c r="P25" s="16">
        <v>0</v>
      </c>
      <c r="Q25" s="14">
        <v>0</v>
      </c>
      <c r="R25" s="16">
        <v>0</v>
      </c>
    </row>
    <row r="26" spans="1:18" x14ac:dyDescent="0.25">
      <c r="A26" s="11" t="s">
        <v>159</v>
      </c>
      <c r="B26" s="13">
        <v>4869</v>
      </c>
      <c r="C26" s="14">
        <f>(4025/B26*100)</f>
        <v>82.665845142739784</v>
      </c>
      <c r="D26" s="15">
        <v>844</v>
      </c>
      <c r="E26" s="14">
        <v>39.317086410000002</v>
      </c>
      <c r="F26" s="16">
        <v>2.1054342899999998</v>
      </c>
      <c r="G26" s="14">
        <v>60.682913589999998</v>
      </c>
      <c r="H26" s="16">
        <v>2.1054342899999998</v>
      </c>
      <c r="I26" s="14" t="s">
        <v>139</v>
      </c>
      <c r="J26" s="16" t="s">
        <v>139</v>
      </c>
      <c r="K26" s="14">
        <v>0</v>
      </c>
      <c r="L26" s="16">
        <v>0</v>
      </c>
      <c r="M26" s="14">
        <v>0</v>
      </c>
      <c r="N26" s="16">
        <v>0</v>
      </c>
      <c r="O26" s="14">
        <v>0</v>
      </c>
      <c r="P26" s="16">
        <v>0</v>
      </c>
      <c r="Q26" s="14">
        <v>0</v>
      </c>
      <c r="R26" s="16">
        <v>0</v>
      </c>
    </row>
    <row r="27" spans="1:18" x14ac:dyDescent="0.25">
      <c r="A27" s="11" t="s">
        <v>160</v>
      </c>
      <c r="B27" s="13">
        <v>5299</v>
      </c>
      <c r="C27" s="14">
        <f>(4441/B27*100)</f>
        <v>83.808265710511421</v>
      </c>
      <c r="D27" s="15">
        <v>858</v>
      </c>
      <c r="E27" s="14">
        <v>31.486260739999999</v>
      </c>
      <c r="F27" s="16">
        <v>1.5354337199999999</v>
      </c>
      <c r="G27" s="14">
        <v>68.513739259999994</v>
      </c>
      <c r="H27" s="16">
        <v>1.5354337199999999</v>
      </c>
      <c r="I27" s="14" t="s">
        <v>139</v>
      </c>
      <c r="J27" s="16" t="s">
        <v>139</v>
      </c>
      <c r="K27" s="14">
        <v>0</v>
      </c>
      <c r="L27" s="16">
        <v>0</v>
      </c>
      <c r="M27" s="14">
        <v>0</v>
      </c>
      <c r="N27" s="16">
        <v>0</v>
      </c>
      <c r="O27" s="14">
        <v>0</v>
      </c>
      <c r="P27" s="16">
        <v>0</v>
      </c>
      <c r="Q27" s="14">
        <v>0</v>
      </c>
      <c r="R27" s="16">
        <v>0</v>
      </c>
    </row>
    <row r="28" spans="1:18" x14ac:dyDescent="0.25">
      <c r="A28" s="11" t="s">
        <v>161</v>
      </c>
      <c r="B28" s="13">
        <v>7568</v>
      </c>
      <c r="C28" s="14">
        <f>(6479/B28*100)</f>
        <v>85.610465116279073</v>
      </c>
      <c r="D28" s="15">
        <v>1089</v>
      </c>
      <c r="E28" s="14">
        <v>38.62966737</v>
      </c>
      <c r="F28" s="16">
        <v>1.97001369</v>
      </c>
      <c r="G28" s="14">
        <v>61.37033263</v>
      </c>
      <c r="H28" s="16">
        <v>1.97001369</v>
      </c>
      <c r="I28" s="14" t="s">
        <v>139</v>
      </c>
      <c r="J28" s="16" t="s">
        <v>139</v>
      </c>
      <c r="K28" s="14">
        <v>0</v>
      </c>
      <c r="L28" s="16">
        <v>0</v>
      </c>
      <c r="M28" s="14">
        <v>0</v>
      </c>
      <c r="N28" s="16">
        <v>0</v>
      </c>
      <c r="O28" s="14">
        <v>0</v>
      </c>
      <c r="P28" s="16">
        <v>0</v>
      </c>
      <c r="Q28" s="14">
        <v>0</v>
      </c>
      <c r="R28" s="16">
        <v>0</v>
      </c>
    </row>
    <row r="29" spans="1:18" x14ac:dyDescent="0.25">
      <c r="A29" s="11" t="s">
        <v>162</v>
      </c>
      <c r="B29" s="13">
        <v>5385</v>
      </c>
      <c r="C29" s="14">
        <f>(4470/B29*100)</f>
        <v>83.008356545961007</v>
      </c>
      <c r="D29" s="15">
        <v>915</v>
      </c>
      <c r="E29" s="14">
        <v>36.21450093</v>
      </c>
      <c r="F29" s="16">
        <v>1.4876555499999999</v>
      </c>
      <c r="G29" s="14">
        <v>63.78549907</v>
      </c>
      <c r="H29" s="16">
        <v>1.4876555499999999</v>
      </c>
      <c r="I29" s="14" t="s">
        <v>139</v>
      </c>
      <c r="J29" s="16" t="s">
        <v>139</v>
      </c>
      <c r="K29" s="14">
        <v>0</v>
      </c>
      <c r="L29" s="16">
        <v>0</v>
      </c>
      <c r="M29" s="14">
        <v>0</v>
      </c>
      <c r="N29" s="16">
        <v>0</v>
      </c>
      <c r="O29" s="14">
        <v>0</v>
      </c>
      <c r="P29" s="16">
        <v>0</v>
      </c>
      <c r="Q29" s="14">
        <v>0</v>
      </c>
      <c r="R29" s="16">
        <v>0</v>
      </c>
    </row>
    <row r="30" spans="1:18" x14ac:dyDescent="0.25">
      <c r="A30" s="11" t="s">
        <v>163</v>
      </c>
      <c r="B30" s="13">
        <v>4520</v>
      </c>
      <c r="C30" s="14">
        <f>(3779/B30*100)</f>
        <v>83.606194690265482</v>
      </c>
      <c r="D30" s="15">
        <v>741</v>
      </c>
      <c r="E30" s="14">
        <v>18.529658829999999</v>
      </c>
      <c r="F30" s="16">
        <v>1.53878004</v>
      </c>
      <c r="G30" s="14">
        <v>81.470341169999998</v>
      </c>
      <c r="H30" s="16">
        <v>1.53878004</v>
      </c>
      <c r="I30" s="14" t="s">
        <v>139</v>
      </c>
      <c r="J30" s="16" t="s">
        <v>139</v>
      </c>
      <c r="K30" s="14">
        <v>0</v>
      </c>
      <c r="L30" s="16">
        <v>0</v>
      </c>
      <c r="M30" s="14">
        <v>0</v>
      </c>
      <c r="N30" s="16">
        <v>0</v>
      </c>
      <c r="O30" s="14">
        <v>0</v>
      </c>
      <c r="P30" s="16">
        <v>0</v>
      </c>
      <c r="Q30" s="14">
        <v>0</v>
      </c>
      <c r="R30" s="16">
        <v>0</v>
      </c>
    </row>
    <row r="31" spans="1:18" x14ac:dyDescent="0.25">
      <c r="A31" s="11" t="s">
        <v>164</v>
      </c>
      <c r="B31" s="13">
        <v>5456</v>
      </c>
      <c r="C31" s="14">
        <f>(4579/B31*100)</f>
        <v>83.925953079178882</v>
      </c>
      <c r="D31" s="15">
        <v>877</v>
      </c>
      <c r="E31" s="14">
        <v>36.9383002</v>
      </c>
      <c r="F31" s="16">
        <v>1.7176863200000001</v>
      </c>
      <c r="G31" s="14">
        <v>63.0616998</v>
      </c>
      <c r="H31" s="16">
        <v>1.7176863200000001</v>
      </c>
      <c r="I31" s="14" t="s">
        <v>139</v>
      </c>
      <c r="J31" s="16" t="s">
        <v>139</v>
      </c>
      <c r="K31" s="14">
        <v>0</v>
      </c>
      <c r="L31" s="16">
        <v>0</v>
      </c>
      <c r="M31" s="14">
        <v>0</v>
      </c>
      <c r="N31" s="16">
        <v>0</v>
      </c>
      <c r="O31" s="14">
        <v>0</v>
      </c>
      <c r="P31" s="16">
        <v>0</v>
      </c>
      <c r="Q31" s="14">
        <v>0</v>
      </c>
      <c r="R31" s="16">
        <v>0</v>
      </c>
    </row>
    <row r="32" spans="1:18" x14ac:dyDescent="0.25">
      <c r="A32" s="11" t="s">
        <v>165</v>
      </c>
      <c r="B32" s="17" t="s">
        <v>154</v>
      </c>
      <c r="C32" s="17" t="s">
        <v>154</v>
      </c>
      <c r="D32" s="18" t="s">
        <v>154</v>
      </c>
      <c r="E32" s="17" t="s">
        <v>154</v>
      </c>
      <c r="F32" s="18" t="s">
        <v>154</v>
      </c>
      <c r="G32" s="17" t="s">
        <v>154</v>
      </c>
      <c r="H32" s="18" t="s">
        <v>154</v>
      </c>
      <c r="I32" s="17" t="s">
        <v>154</v>
      </c>
      <c r="J32" s="18" t="s">
        <v>154</v>
      </c>
      <c r="K32" s="17" t="s">
        <v>154</v>
      </c>
      <c r="L32" s="18" t="s">
        <v>154</v>
      </c>
      <c r="M32" s="17" t="s">
        <v>154</v>
      </c>
      <c r="N32" s="18" t="s">
        <v>154</v>
      </c>
      <c r="O32" s="17" t="s">
        <v>154</v>
      </c>
      <c r="P32" s="18" t="s">
        <v>154</v>
      </c>
      <c r="Q32" s="17" t="s">
        <v>154</v>
      </c>
      <c r="R32" s="18" t="s">
        <v>154</v>
      </c>
    </row>
    <row r="33" spans="1:18" x14ac:dyDescent="0.25">
      <c r="A33" s="11" t="s">
        <v>166</v>
      </c>
      <c r="B33" s="13">
        <v>7325</v>
      </c>
      <c r="C33" s="14">
        <f>(6194/B33*100)</f>
        <v>84.559726962457333</v>
      </c>
      <c r="D33" s="15">
        <v>1131</v>
      </c>
      <c r="E33" s="14">
        <v>31.103700499999999</v>
      </c>
      <c r="F33" s="16">
        <v>1.6533356100000001</v>
      </c>
      <c r="G33" s="14">
        <v>68.896299499999998</v>
      </c>
      <c r="H33" s="16">
        <v>1.6533356100000001</v>
      </c>
      <c r="I33" s="14" t="s">
        <v>139</v>
      </c>
      <c r="J33" s="16" t="s">
        <v>139</v>
      </c>
      <c r="K33" s="14">
        <v>0</v>
      </c>
      <c r="L33" s="16">
        <v>0</v>
      </c>
      <c r="M33" s="14">
        <v>0</v>
      </c>
      <c r="N33" s="16">
        <v>0</v>
      </c>
      <c r="O33" s="14">
        <v>0</v>
      </c>
      <c r="P33" s="16">
        <v>0</v>
      </c>
      <c r="Q33" s="14">
        <v>0</v>
      </c>
      <c r="R33" s="16">
        <v>0</v>
      </c>
    </row>
    <row r="34" spans="1:18" x14ac:dyDescent="0.25">
      <c r="A34" s="11" t="s">
        <v>167</v>
      </c>
      <c r="B34" s="13">
        <v>6350</v>
      </c>
      <c r="C34" s="14">
        <f>(5345/B34*100)</f>
        <v>84.173228346456696</v>
      </c>
      <c r="D34" s="15">
        <v>1005</v>
      </c>
      <c r="E34" s="14">
        <v>44.481504800000003</v>
      </c>
      <c r="F34" s="16">
        <v>1.5619171700000001</v>
      </c>
      <c r="G34" s="14">
        <v>55.518495199999997</v>
      </c>
      <c r="H34" s="16">
        <v>1.5619171700000001</v>
      </c>
      <c r="I34" s="14" t="s">
        <v>139</v>
      </c>
      <c r="J34" s="16" t="s">
        <v>139</v>
      </c>
      <c r="K34" s="14">
        <v>0</v>
      </c>
      <c r="L34" s="16">
        <v>0</v>
      </c>
      <c r="M34" s="14">
        <v>0</v>
      </c>
      <c r="N34" s="16">
        <v>0</v>
      </c>
      <c r="O34" s="14">
        <v>0</v>
      </c>
      <c r="P34" s="16">
        <v>0</v>
      </c>
      <c r="Q34" s="14">
        <v>0</v>
      </c>
      <c r="R34" s="16">
        <v>0</v>
      </c>
    </row>
    <row r="35" spans="1:18" x14ac:dyDescent="0.25">
      <c r="A35" s="11" t="s">
        <v>168</v>
      </c>
      <c r="B35" s="13">
        <v>6406</v>
      </c>
      <c r="C35" s="14">
        <f>(5316/B35*100)</f>
        <v>82.9847018420231</v>
      </c>
      <c r="D35" s="15">
        <v>1090</v>
      </c>
      <c r="E35" s="14">
        <v>37.945931729999998</v>
      </c>
      <c r="F35" s="16">
        <v>1.6859099200000001</v>
      </c>
      <c r="G35" s="14">
        <v>62.054068270000002</v>
      </c>
      <c r="H35" s="16">
        <v>1.6859099200000001</v>
      </c>
      <c r="I35" s="14" t="s">
        <v>139</v>
      </c>
      <c r="J35" s="16" t="s">
        <v>139</v>
      </c>
      <c r="K35" s="14">
        <v>0</v>
      </c>
      <c r="L35" s="16">
        <v>0</v>
      </c>
      <c r="M35" s="14">
        <v>0</v>
      </c>
      <c r="N35" s="16">
        <v>0</v>
      </c>
      <c r="O35" s="14">
        <v>0</v>
      </c>
      <c r="P35" s="16">
        <v>0</v>
      </c>
      <c r="Q35" s="14">
        <v>0</v>
      </c>
      <c r="R35" s="16">
        <v>0</v>
      </c>
    </row>
    <row r="36" spans="1:18" x14ac:dyDescent="0.25">
      <c r="A36" s="11" t="s">
        <v>169</v>
      </c>
      <c r="B36" s="13">
        <v>6736</v>
      </c>
      <c r="C36" s="14">
        <f>(5652/B36*100)</f>
        <v>83.907363420427544</v>
      </c>
      <c r="D36" s="15">
        <v>1084</v>
      </c>
      <c r="E36" s="14">
        <v>29.346469460000002</v>
      </c>
      <c r="F36" s="16">
        <v>1.3024886899999999</v>
      </c>
      <c r="G36" s="14">
        <v>70.653530540000006</v>
      </c>
      <c r="H36" s="16">
        <v>1.3024886899999999</v>
      </c>
      <c r="I36" s="14" t="s">
        <v>139</v>
      </c>
      <c r="J36" s="16" t="s">
        <v>139</v>
      </c>
      <c r="K36" s="14">
        <v>0</v>
      </c>
      <c r="L36" s="16">
        <v>0</v>
      </c>
      <c r="M36" s="14">
        <v>0</v>
      </c>
      <c r="N36" s="16">
        <v>0</v>
      </c>
      <c r="O36" s="14">
        <v>0</v>
      </c>
      <c r="P36" s="16">
        <v>0</v>
      </c>
      <c r="Q36" s="14">
        <v>0</v>
      </c>
      <c r="R36" s="16">
        <v>0</v>
      </c>
    </row>
    <row r="37" spans="1:18" x14ac:dyDescent="0.25">
      <c r="A37" s="11" t="s">
        <v>170</v>
      </c>
      <c r="B37" s="13">
        <v>5458</v>
      </c>
      <c r="C37" s="14">
        <f>(4608/B37*100)</f>
        <v>84.426529864419194</v>
      </c>
      <c r="D37" s="15">
        <v>850</v>
      </c>
      <c r="E37" s="14">
        <v>38.01594506</v>
      </c>
      <c r="F37" s="16">
        <v>1.72539088</v>
      </c>
      <c r="G37" s="14">
        <v>61.98405494</v>
      </c>
      <c r="H37" s="16">
        <v>1.72539088</v>
      </c>
      <c r="I37" s="14" t="s">
        <v>139</v>
      </c>
      <c r="J37" s="16" t="s">
        <v>139</v>
      </c>
      <c r="K37" s="14">
        <v>0</v>
      </c>
      <c r="L37" s="16">
        <v>0</v>
      </c>
      <c r="M37" s="14">
        <v>0</v>
      </c>
      <c r="N37" s="16">
        <v>0</v>
      </c>
      <c r="O37" s="14">
        <v>0</v>
      </c>
      <c r="P37" s="16">
        <v>0</v>
      </c>
      <c r="Q37" s="14">
        <v>0</v>
      </c>
      <c r="R37" s="16">
        <v>0</v>
      </c>
    </row>
    <row r="38" spans="1:18" x14ac:dyDescent="0.25">
      <c r="A38" s="11" t="s">
        <v>171</v>
      </c>
      <c r="B38" s="17" t="s">
        <v>154</v>
      </c>
      <c r="C38" s="17" t="s">
        <v>154</v>
      </c>
      <c r="D38" s="18" t="s">
        <v>154</v>
      </c>
      <c r="E38" s="17" t="s">
        <v>154</v>
      </c>
      <c r="F38" s="18" t="s">
        <v>154</v>
      </c>
      <c r="G38" s="17" t="s">
        <v>154</v>
      </c>
      <c r="H38" s="18" t="s">
        <v>154</v>
      </c>
      <c r="I38" s="17" t="s">
        <v>154</v>
      </c>
      <c r="J38" s="18" t="s">
        <v>154</v>
      </c>
      <c r="K38" s="17" t="s">
        <v>154</v>
      </c>
      <c r="L38" s="18" t="s">
        <v>154</v>
      </c>
      <c r="M38" s="17" t="s">
        <v>154</v>
      </c>
      <c r="N38" s="18" t="s">
        <v>154</v>
      </c>
      <c r="O38" s="17" t="s">
        <v>154</v>
      </c>
      <c r="P38" s="18" t="s">
        <v>154</v>
      </c>
      <c r="Q38" s="17" t="s">
        <v>154</v>
      </c>
      <c r="R38" s="18" t="s">
        <v>154</v>
      </c>
    </row>
    <row r="39" spans="1:18" x14ac:dyDescent="0.25">
      <c r="A39" s="11" t="s">
        <v>172</v>
      </c>
      <c r="B39" s="13">
        <v>5895</v>
      </c>
      <c r="C39" s="14">
        <f>(4875/B39*100)</f>
        <v>82.697201017811707</v>
      </c>
      <c r="D39" s="15">
        <v>1020</v>
      </c>
      <c r="E39" s="14">
        <v>49.286698309999998</v>
      </c>
      <c r="F39" s="16">
        <v>1.37930211</v>
      </c>
      <c r="G39" s="14">
        <v>50.713301690000002</v>
      </c>
      <c r="H39" s="16">
        <v>1.37930211</v>
      </c>
      <c r="I39" s="14" t="s">
        <v>139</v>
      </c>
      <c r="J39" s="16" t="s">
        <v>139</v>
      </c>
      <c r="K39" s="14">
        <v>0</v>
      </c>
      <c r="L39" s="16">
        <v>0</v>
      </c>
      <c r="M39" s="14">
        <v>0</v>
      </c>
      <c r="N39" s="16">
        <v>0</v>
      </c>
      <c r="O39" s="14">
        <v>0</v>
      </c>
      <c r="P39" s="16">
        <v>0</v>
      </c>
      <c r="Q39" s="14">
        <v>0</v>
      </c>
      <c r="R39" s="16">
        <v>0</v>
      </c>
    </row>
    <row r="40" spans="1:18" x14ac:dyDescent="0.25">
      <c r="A40" s="11" t="s">
        <v>173</v>
      </c>
      <c r="B40" s="13">
        <v>14157</v>
      </c>
      <c r="C40" s="14">
        <f>(11677/B40*100)</f>
        <v>82.482164300346113</v>
      </c>
      <c r="D40" s="15">
        <v>2480</v>
      </c>
      <c r="E40" s="14">
        <v>25.062549480000001</v>
      </c>
      <c r="F40" s="16">
        <v>1.30721434</v>
      </c>
      <c r="G40" s="14">
        <v>74.937450519999999</v>
      </c>
      <c r="H40" s="16">
        <v>1.30721434</v>
      </c>
      <c r="I40" s="14" t="s">
        <v>139</v>
      </c>
      <c r="J40" s="16" t="s">
        <v>139</v>
      </c>
      <c r="K40" s="14">
        <v>0</v>
      </c>
      <c r="L40" s="16">
        <v>0</v>
      </c>
      <c r="M40" s="14">
        <v>0</v>
      </c>
      <c r="N40" s="16">
        <v>0</v>
      </c>
      <c r="O40" s="14">
        <v>0</v>
      </c>
      <c r="P40" s="16">
        <v>0</v>
      </c>
      <c r="Q40" s="14">
        <v>0</v>
      </c>
      <c r="R40" s="16">
        <v>0</v>
      </c>
    </row>
    <row r="41" spans="1:18" x14ac:dyDescent="0.25">
      <c r="A41" s="11" t="s">
        <v>174</v>
      </c>
      <c r="B41" s="13">
        <v>5712</v>
      </c>
      <c r="C41" s="14">
        <f>(4807/B41*100)</f>
        <v>84.156162464985997</v>
      </c>
      <c r="D41" s="15">
        <v>905</v>
      </c>
      <c r="E41" s="14">
        <v>27.273475430000001</v>
      </c>
      <c r="F41" s="16">
        <v>1.62692701</v>
      </c>
      <c r="G41" s="14">
        <v>72.726524569999995</v>
      </c>
      <c r="H41" s="16">
        <v>1.62692701</v>
      </c>
      <c r="I41" s="14" t="s">
        <v>139</v>
      </c>
      <c r="J41" s="16" t="s">
        <v>139</v>
      </c>
      <c r="K41" s="14">
        <v>0</v>
      </c>
      <c r="L41" s="16">
        <v>0</v>
      </c>
      <c r="M41" s="14">
        <v>0</v>
      </c>
      <c r="N41" s="16">
        <v>0</v>
      </c>
      <c r="O41" s="14">
        <v>0</v>
      </c>
      <c r="P41" s="16">
        <v>0</v>
      </c>
      <c r="Q41" s="14">
        <v>0</v>
      </c>
      <c r="R41" s="16">
        <v>0</v>
      </c>
    </row>
    <row r="42" spans="1:18" x14ac:dyDescent="0.25">
      <c r="A42" s="11" t="s">
        <v>175</v>
      </c>
      <c r="B42" s="13">
        <f>IF(COUNT(B7:B41) &gt; 0, AVERAGE(B7:B41), "\u2014")</f>
        <v>7266.90625</v>
      </c>
      <c r="C42" s="14">
        <f>IF(COUNT(C7:C41) &gt; 0, AVERAGE(C7:C41), "—")</f>
        <v>83.651274497460449</v>
      </c>
      <c r="D42" s="15">
        <f>IF(COUNT(D7:D41) &gt; 0, AVERAGE(D7:D41), "—")</f>
        <v>1190.53125</v>
      </c>
      <c r="E42" s="14">
        <f>IF(COUNT(E7:E41) &gt; 0, AVERAGE(E7:E41), "—")</f>
        <v>32.241324854375002</v>
      </c>
      <c r="F42" s="16">
        <f>IF(COUNT(F7:F41) &gt; 0, SQRT(SUMSQ(F7:F41)/(COUNT(F7:F41)*COUNT(F7:F41)) ), "—")</f>
        <v>0.27731620826065695</v>
      </c>
      <c r="G42" s="14">
        <f>IF(COUNT(G7:G41) &gt; 0, AVERAGE(G7:G41), "—")</f>
        <v>67.758675145624991</v>
      </c>
      <c r="H42" s="16">
        <f>IF(COUNT(H7:H41) &gt; 0, SQRT(SUMSQ(H7:H41)/(COUNT(H7:H41)*COUNT(H7:H41)) ), "—")</f>
        <v>0.27731620826065695</v>
      </c>
      <c r="I42" s="14" t="str">
        <f>IF(COUNT(I7:I41) &gt; 0, AVERAGE(I7:I41), "—")</f>
        <v>—</v>
      </c>
      <c r="J42" s="16" t="str">
        <f>IF(COUNT(J7:J41) &gt; 0, SQRT(SUMSQ(J7:J41)/(COUNT(J7:J41)*COUNT(J7:J41)) ), "—")</f>
        <v>—</v>
      </c>
      <c r="K42" s="14">
        <f>IF(COUNT(K7:K41) &gt; 0, AVERAGE(K7:K41), "—")</f>
        <v>0</v>
      </c>
      <c r="L42" s="16">
        <f>IF(COUNT(L7:L41) &gt; 0, SQRT(SUMSQ(L7:L41)/(COUNT(L7:L41)*COUNT(L7:L41)) ), "—")</f>
        <v>0</v>
      </c>
      <c r="M42" s="14">
        <f>IF(COUNT(M7:M41) &gt; 0, AVERAGE(M7:M41), "—")</f>
        <v>0</v>
      </c>
      <c r="N42" s="16">
        <f>IF(COUNT(N7:N41) &gt; 0, SQRT(SUMSQ(N7:N41)/(COUNT(N7:N41)*COUNT(N7:N41)) ), "—")</f>
        <v>0</v>
      </c>
      <c r="O42" s="14">
        <f>IF(COUNT(O7:O41) &gt; 0, AVERAGE(O7:O41), "—")</f>
        <v>0</v>
      </c>
      <c r="P42" s="16">
        <f>IF(COUNT(P7:P41) &gt; 0, SQRT(SUMSQ(P7:P41)/(COUNT(P7:P41)*COUNT(P7:P41)) ), "—")</f>
        <v>0</v>
      </c>
      <c r="Q42" s="14">
        <f>IF(COUNT(Q7:Q41) &gt; 0, AVERAGE(Q7:Q41), "—")</f>
        <v>0</v>
      </c>
      <c r="R42" s="16">
        <f>IF(COUNT(R7:R41) &gt; 0, SQRT(SUMSQ(R7:R41)/(COUNT(R7:R41)*COUNT(R7:R41)) ), "—")</f>
        <v>0</v>
      </c>
    </row>
    <row r="43" spans="1:18" x14ac:dyDescent="0.25">
      <c r="A43" s="9" t="s">
        <v>176</v>
      </c>
      <c r="B43" s="10"/>
      <c r="C43" s="10"/>
      <c r="D43" s="11"/>
      <c r="E43" s="10"/>
      <c r="F43" s="11"/>
      <c r="G43" s="10"/>
      <c r="H43" s="11"/>
      <c r="I43" s="10"/>
      <c r="J43" s="11"/>
      <c r="K43" s="10"/>
      <c r="L43" s="11"/>
      <c r="M43" s="10"/>
      <c r="N43" s="11"/>
      <c r="O43" s="10"/>
      <c r="P43" s="11"/>
      <c r="Q43" s="10"/>
      <c r="R43" s="12"/>
    </row>
    <row r="44" spans="1:18" x14ac:dyDescent="0.25">
      <c r="A44" s="11" t="s">
        <v>177</v>
      </c>
      <c r="B44" s="17" t="s">
        <v>154</v>
      </c>
      <c r="C44" s="17" t="s">
        <v>154</v>
      </c>
      <c r="D44" s="18" t="s">
        <v>154</v>
      </c>
      <c r="E44" s="17" t="s">
        <v>154</v>
      </c>
      <c r="F44" s="18" t="s">
        <v>154</v>
      </c>
      <c r="G44" s="17" t="s">
        <v>154</v>
      </c>
      <c r="H44" s="18" t="s">
        <v>154</v>
      </c>
      <c r="I44" s="17" t="s">
        <v>154</v>
      </c>
      <c r="J44" s="18" t="s">
        <v>154</v>
      </c>
      <c r="K44" s="17" t="s">
        <v>154</v>
      </c>
      <c r="L44" s="18" t="s">
        <v>154</v>
      </c>
      <c r="M44" s="17" t="s">
        <v>154</v>
      </c>
      <c r="N44" s="18" t="s">
        <v>154</v>
      </c>
      <c r="O44" s="17" t="s">
        <v>154</v>
      </c>
      <c r="P44" s="18" t="s">
        <v>154</v>
      </c>
      <c r="Q44" s="17" t="s">
        <v>154</v>
      </c>
      <c r="R44" s="18" t="s">
        <v>154</v>
      </c>
    </row>
    <row r="45" spans="1:18" x14ac:dyDescent="0.25">
      <c r="A45" s="11" t="s">
        <v>178</v>
      </c>
      <c r="B45" s="17" t="s">
        <v>154</v>
      </c>
      <c r="C45" s="17" t="s">
        <v>154</v>
      </c>
      <c r="D45" s="18" t="s">
        <v>154</v>
      </c>
      <c r="E45" s="17" t="s">
        <v>154</v>
      </c>
      <c r="F45" s="18" t="s">
        <v>154</v>
      </c>
      <c r="G45" s="17" t="s">
        <v>154</v>
      </c>
      <c r="H45" s="18" t="s">
        <v>154</v>
      </c>
      <c r="I45" s="17" t="s">
        <v>154</v>
      </c>
      <c r="J45" s="18" t="s">
        <v>154</v>
      </c>
      <c r="K45" s="17" t="s">
        <v>154</v>
      </c>
      <c r="L45" s="18" t="s">
        <v>154</v>
      </c>
      <c r="M45" s="17" t="s">
        <v>154</v>
      </c>
      <c r="N45" s="18" t="s">
        <v>154</v>
      </c>
      <c r="O45" s="17" t="s">
        <v>154</v>
      </c>
      <c r="P45" s="18" t="s">
        <v>154</v>
      </c>
      <c r="Q45" s="17" t="s">
        <v>154</v>
      </c>
      <c r="R45" s="18" t="s">
        <v>154</v>
      </c>
    </row>
    <row r="46" spans="1:18" x14ac:dyDescent="0.25">
      <c r="A46" s="11" t="s">
        <v>179</v>
      </c>
      <c r="B46" s="13">
        <v>23141</v>
      </c>
      <c r="C46" s="14">
        <f>(20519/B46*100)</f>
        <v>88.669461129596812</v>
      </c>
      <c r="D46" s="15">
        <v>2622</v>
      </c>
      <c r="E46" s="14">
        <v>42.543733539999998</v>
      </c>
      <c r="F46" s="16">
        <v>1.17104758</v>
      </c>
      <c r="G46" s="14">
        <v>57.456266460000002</v>
      </c>
      <c r="H46" s="16">
        <v>1.17104758</v>
      </c>
      <c r="I46" s="14" t="s">
        <v>139</v>
      </c>
      <c r="J46" s="16" t="s">
        <v>139</v>
      </c>
      <c r="K46" s="14">
        <v>0</v>
      </c>
      <c r="L46" s="16">
        <v>0</v>
      </c>
      <c r="M46" s="14">
        <v>0</v>
      </c>
      <c r="N46" s="16">
        <v>0</v>
      </c>
      <c r="O46" s="14">
        <v>0</v>
      </c>
      <c r="P46" s="16">
        <v>0</v>
      </c>
      <c r="Q46" s="14">
        <v>0</v>
      </c>
      <c r="R46" s="16">
        <v>0</v>
      </c>
    </row>
    <row r="47" spans="1:18" x14ac:dyDescent="0.25">
      <c r="A47" s="11" t="s">
        <v>180</v>
      </c>
      <c r="B47" s="13">
        <v>5928</v>
      </c>
      <c r="C47" s="14">
        <f>(4996/B47*100)</f>
        <v>84.278002699055335</v>
      </c>
      <c r="D47" s="15">
        <v>932</v>
      </c>
      <c r="E47" s="14">
        <v>44.517703419999997</v>
      </c>
      <c r="F47" s="16">
        <v>1.8358716100000001</v>
      </c>
      <c r="G47" s="14">
        <v>55.482296580000003</v>
      </c>
      <c r="H47" s="16">
        <v>1.8358716100000001</v>
      </c>
      <c r="I47" s="14" t="s">
        <v>139</v>
      </c>
      <c r="J47" s="16" t="s">
        <v>139</v>
      </c>
      <c r="K47" s="14">
        <v>0</v>
      </c>
      <c r="L47" s="16">
        <v>0</v>
      </c>
      <c r="M47" s="14">
        <v>0</v>
      </c>
      <c r="N47" s="16">
        <v>0</v>
      </c>
      <c r="O47" s="14">
        <v>0</v>
      </c>
      <c r="P47" s="16">
        <v>0</v>
      </c>
      <c r="Q47" s="14">
        <v>0</v>
      </c>
      <c r="R47" s="16">
        <v>0</v>
      </c>
    </row>
    <row r="48" spans="1:18" x14ac:dyDescent="0.25">
      <c r="A48" s="11" t="s">
        <v>181</v>
      </c>
      <c r="B48" s="13">
        <v>9841</v>
      </c>
      <c r="C48" s="14">
        <f>(8165/B48*100)</f>
        <v>82.969210446092873</v>
      </c>
      <c r="D48" s="15">
        <v>1676</v>
      </c>
      <c r="E48" s="14">
        <v>32.128772920000003</v>
      </c>
      <c r="F48" s="16">
        <v>1.4625210799999999</v>
      </c>
      <c r="G48" s="14">
        <v>67.871227079999997</v>
      </c>
      <c r="H48" s="16">
        <v>1.4625210799999999</v>
      </c>
      <c r="I48" s="14" t="s">
        <v>139</v>
      </c>
      <c r="J48" s="16" t="s">
        <v>139</v>
      </c>
      <c r="K48" s="14">
        <v>0</v>
      </c>
      <c r="L48" s="16">
        <v>0</v>
      </c>
      <c r="M48" s="14">
        <v>0</v>
      </c>
      <c r="N48" s="16">
        <v>0</v>
      </c>
      <c r="O48" s="14">
        <v>0</v>
      </c>
      <c r="P48" s="16">
        <v>0</v>
      </c>
      <c r="Q48" s="14">
        <v>0</v>
      </c>
      <c r="R48" s="16">
        <v>0</v>
      </c>
    </row>
    <row r="49" spans="1:18" x14ac:dyDescent="0.25">
      <c r="A49" s="11" t="s">
        <v>182</v>
      </c>
      <c r="B49" s="17" t="s">
        <v>154</v>
      </c>
      <c r="C49" s="17" t="s">
        <v>154</v>
      </c>
      <c r="D49" s="18" t="s">
        <v>154</v>
      </c>
      <c r="E49" s="17" t="s">
        <v>154</v>
      </c>
      <c r="F49" s="18" t="s">
        <v>154</v>
      </c>
      <c r="G49" s="17" t="s">
        <v>154</v>
      </c>
      <c r="H49" s="18" t="s">
        <v>154</v>
      </c>
      <c r="I49" s="17" t="s">
        <v>154</v>
      </c>
      <c r="J49" s="18" t="s">
        <v>154</v>
      </c>
      <c r="K49" s="17" t="s">
        <v>154</v>
      </c>
      <c r="L49" s="18" t="s">
        <v>154</v>
      </c>
      <c r="M49" s="17" t="s">
        <v>154</v>
      </c>
      <c r="N49" s="18" t="s">
        <v>154</v>
      </c>
      <c r="O49" s="17" t="s">
        <v>154</v>
      </c>
      <c r="P49" s="18" t="s">
        <v>154</v>
      </c>
      <c r="Q49" s="17" t="s">
        <v>154</v>
      </c>
      <c r="R49" s="18" t="s">
        <v>154</v>
      </c>
    </row>
    <row r="50" spans="1:18" x14ac:dyDescent="0.25">
      <c r="A50" s="11" t="s">
        <v>183</v>
      </c>
      <c r="B50" s="13">
        <v>11795</v>
      </c>
      <c r="C50" s="14">
        <f>(9985/B50*100)</f>
        <v>84.654514624841042</v>
      </c>
      <c r="D50" s="15">
        <v>1810</v>
      </c>
      <c r="E50" s="14">
        <v>42.497224279999998</v>
      </c>
      <c r="F50" s="16">
        <v>1.9310842699999999</v>
      </c>
      <c r="G50" s="14">
        <v>57.502775720000002</v>
      </c>
      <c r="H50" s="16">
        <v>1.9310842699999999</v>
      </c>
      <c r="I50" s="14" t="s">
        <v>139</v>
      </c>
      <c r="J50" s="16" t="s">
        <v>139</v>
      </c>
      <c r="K50" s="14">
        <v>0</v>
      </c>
      <c r="L50" s="16">
        <v>0</v>
      </c>
      <c r="M50" s="14">
        <v>0</v>
      </c>
      <c r="N50" s="16">
        <v>0</v>
      </c>
      <c r="O50" s="14">
        <v>0</v>
      </c>
      <c r="P50" s="16">
        <v>0</v>
      </c>
      <c r="Q50" s="14">
        <v>0</v>
      </c>
      <c r="R50" s="16">
        <v>0</v>
      </c>
    </row>
    <row r="51" spans="1:18" x14ac:dyDescent="0.25">
      <c r="A51" s="11" t="s">
        <v>184</v>
      </c>
      <c r="B51" s="13">
        <v>6866</v>
      </c>
      <c r="C51" s="14">
        <f>(5942/B51*100)</f>
        <v>86.542382755607335</v>
      </c>
      <c r="D51" s="15">
        <v>924</v>
      </c>
      <c r="E51" s="14">
        <v>44.015721429999999</v>
      </c>
      <c r="F51" s="16">
        <v>1.7991217500000001</v>
      </c>
      <c r="G51" s="14">
        <v>55.984278570000001</v>
      </c>
      <c r="H51" s="16">
        <v>1.7991217500000001</v>
      </c>
      <c r="I51" s="14" t="s">
        <v>139</v>
      </c>
      <c r="J51" s="16" t="s">
        <v>139</v>
      </c>
      <c r="K51" s="14">
        <v>0</v>
      </c>
      <c r="L51" s="16">
        <v>0</v>
      </c>
      <c r="M51" s="14">
        <v>0</v>
      </c>
      <c r="N51" s="16">
        <v>0</v>
      </c>
      <c r="O51" s="14">
        <v>0</v>
      </c>
      <c r="P51" s="16">
        <v>0</v>
      </c>
      <c r="Q51" s="14">
        <v>0</v>
      </c>
      <c r="R51" s="16">
        <v>0</v>
      </c>
    </row>
    <row r="52" spans="1:18" x14ac:dyDescent="0.25">
      <c r="A52" s="11" t="s">
        <v>185</v>
      </c>
      <c r="B52" s="13">
        <v>5809</v>
      </c>
      <c r="C52" s="14">
        <f>(4824/B52*100)</f>
        <v>83.043553107247376</v>
      </c>
      <c r="D52" s="15">
        <v>985</v>
      </c>
      <c r="E52" s="14">
        <v>48.684445859999997</v>
      </c>
      <c r="F52" s="16">
        <v>1.78011739</v>
      </c>
      <c r="G52" s="14">
        <v>51.315554140000003</v>
      </c>
      <c r="H52" s="16">
        <v>1.78011739</v>
      </c>
      <c r="I52" s="14" t="s">
        <v>139</v>
      </c>
      <c r="J52" s="16" t="s">
        <v>139</v>
      </c>
      <c r="K52" s="14">
        <v>0</v>
      </c>
      <c r="L52" s="16">
        <v>0</v>
      </c>
      <c r="M52" s="14">
        <v>0</v>
      </c>
      <c r="N52" s="16">
        <v>0</v>
      </c>
      <c r="O52" s="14">
        <v>0</v>
      </c>
      <c r="P52" s="16">
        <v>0</v>
      </c>
      <c r="Q52" s="14">
        <v>0</v>
      </c>
      <c r="R52" s="16">
        <v>0</v>
      </c>
    </row>
    <row r="53" spans="1:18" x14ac:dyDescent="0.25">
      <c r="A53" s="11" t="s">
        <v>186</v>
      </c>
      <c r="B53" s="13">
        <v>5571</v>
      </c>
      <c r="C53" s="14">
        <f>(4639/B53*100)</f>
        <v>83.270507987793934</v>
      </c>
      <c r="D53" s="15">
        <v>932</v>
      </c>
      <c r="E53" s="14">
        <v>45.858034250000003</v>
      </c>
      <c r="F53" s="16">
        <v>1.8962173099999999</v>
      </c>
      <c r="G53" s="14">
        <v>54.141965749999997</v>
      </c>
      <c r="H53" s="16">
        <v>1.8962173099999999</v>
      </c>
      <c r="I53" s="14" t="s">
        <v>139</v>
      </c>
      <c r="J53" s="16" t="s">
        <v>139</v>
      </c>
      <c r="K53" s="14">
        <v>0</v>
      </c>
      <c r="L53" s="16">
        <v>0</v>
      </c>
      <c r="M53" s="14">
        <v>0</v>
      </c>
      <c r="N53" s="16">
        <v>0</v>
      </c>
      <c r="O53" s="14">
        <v>0</v>
      </c>
      <c r="P53" s="16">
        <v>0</v>
      </c>
      <c r="Q53" s="14">
        <v>0</v>
      </c>
      <c r="R53" s="16">
        <v>0</v>
      </c>
    </row>
    <row r="54" spans="1:18" x14ac:dyDescent="0.25">
      <c r="A54" s="11" t="s">
        <v>187</v>
      </c>
      <c r="B54" s="17" t="s">
        <v>154</v>
      </c>
      <c r="C54" s="17" t="s">
        <v>154</v>
      </c>
      <c r="D54" s="18" t="s">
        <v>154</v>
      </c>
      <c r="E54" s="17" t="s">
        <v>154</v>
      </c>
      <c r="F54" s="18" t="s">
        <v>154</v>
      </c>
      <c r="G54" s="17" t="s">
        <v>154</v>
      </c>
      <c r="H54" s="18" t="s">
        <v>154</v>
      </c>
      <c r="I54" s="17" t="s">
        <v>154</v>
      </c>
      <c r="J54" s="18" t="s">
        <v>154</v>
      </c>
      <c r="K54" s="17" t="s">
        <v>154</v>
      </c>
      <c r="L54" s="18" t="s">
        <v>154</v>
      </c>
      <c r="M54" s="17" t="s">
        <v>154</v>
      </c>
      <c r="N54" s="18" t="s">
        <v>154</v>
      </c>
      <c r="O54" s="17" t="s">
        <v>154</v>
      </c>
      <c r="P54" s="18" t="s">
        <v>154</v>
      </c>
      <c r="Q54" s="17" t="s">
        <v>154</v>
      </c>
      <c r="R54" s="18" t="s">
        <v>154</v>
      </c>
    </row>
    <row r="55" spans="1:18" x14ac:dyDescent="0.25">
      <c r="A55" s="11" t="s">
        <v>188</v>
      </c>
      <c r="B55" s="17" t="s">
        <v>154</v>
      </c>
      <c r="C55" s="17" t="s">
        <v>154</v>
      </c>
      <c r="D55" s="18" t="s">
        <v>154</v>
      </c>
      <c r="E55" s="17" t="s">
        <v>154</v>
      </c>
      <c r="F55" s="18" t="s">
        <v>154</v>
      </c>
      <c r="G55" s="17" t="s">
        <v>154</v>
      </c>
      <c r="H55" s="18" t="s">
        <v>154</v>
      </c>
      <c r="I55" s="17" t="s">
        <v>154</v>
      </c>
      <c r="J55" s="18" t="s">
        <v>154</v>
      </c>
      <c r="K55" s="17" t="s">
        <v>154</v>
      </c>
      <c r="L55" s="18" t="s">
        <v>154</v>
      </c>
      <c r="M55" s="17" t="s">
        <v>154</v>
      </c>
      <c r="N55" s="18" t="s">
        <v>154</v>
      </c>
      <c r="O55" s="17" t="s">
        <v>154</v>
      </c>
      <c r="P55" s="18" t="s">
        <v>154</v>
      </c>
      <c r="Q55" s="17" t="s">
        <v>154</v>
      </c>
      <c r="R55" s="18" t="s">
        <v>154</v>
      </c>
    </row>
    <row r="56" spans="1:18" x14ac:dyDescent="0.25">
      <c r="A56" s="11" t="s">
        <v>189</v>
      </c>
      <c r="B56" s="13">
        <v>5359</v>
      </c>
      <c r="C56" s="14">
        <f>(4451/B56*100)</f>
        <v>83.056540399328242</v>
      </c>
      <c r="D56" s="15">
        <v>908</v>
      </c>
      <c r="E56" s="14">
        <v>21.69102191</v>
      </c>
      <c r="F56" s="16">
        <v>1.28132694</v>
      </c>
      <c r="G56" s="14">
        <v>78.308978089999997</v>
      </c>
      <c r="H56" s="16">
        <v>1.28132694</v>
      </c>
      <c r="I56" s="14" t="s">
        <v>139</v>
      </c>
      <c r="J56" s="16" t="s">
        <v>139</v>
      </c>
      <c r="K56" s="14">
        <v>0</v>
      </c>
      <c r="L56" s="16">
        <v>0</v>
      </c>
      <c r="M56" s="14">
        <v>0</v>
      </c>
      <c r="N56" s="16">
        <v>0</v>
      </c>
      <c r="O56" s="14">
        <v>0</v>
      </c>
      <c r="P56" s="16">
        <v>0</v>
      </c>
      <c r="Q56" s="14">
        <v>0</v>
      </c>
      <c r="R56" s="16">
        <v>0</v>
      </c>
    </row>
    <row r="57" spans="1:18" x14ac:dyDescent="0.25">
      <c r="A57" s="11" t="s">
        <v>190</v>
      </c>
      <c r="B57" s="17" t="s">
        <v>154</v>
      </c>
      <c r="C57" s="17" t="s">
        <v>154</v>
      </c>
      <c r="D57" s="18" t="s">
        <v>154</v>
      </c>
      <c r="E57" s="17" t="s">
        <v>154</v>
      </c>
      <c r="F57" s="18" t="s">
        <v>154</v>
      </c>
      <c r="G57" s="17" t="s">
        <v>154</v>
      </c>
      <c r="H57" s="18" t="s">
        <v>154</v>
      </c>
      <c r="I57" s="17" t="s">
        <v>154</v>
      </c>
      <c r="J57" s="18" t="s">
        <v>154</v>
      </c>
      <c r="K57" s="17" t="s">
        <v>154</v>
      </c>
      <c r="L57" s="18" t="s">
        <v>154</v>
      </c>
      <c r="M57" s="17" t="s">
        <v>154</v>
      </c>
      <c r="N57" s="18" t="s">
        <v>154</v>
      </c>
      <c r="O57" s="17" t="s">
        <v>154</v>
      </c>
      <c r="P57" s="18" t="s">
        <v>154</v>
      </c>
      <c r="Q57" s="17" t="s">
        <v>154</v>
      </c>
      <c r="R57" s="18" t="s">
        <v>154</v>
      </c>
    </row>
    <row r="58" spans="1:18" x14ac:dyDescent="0.25">
      <c r="A58" s="11" t="s">
        <v>191</v>
      </c>
      <c r="B58" s="17" t="s">
        <v>154</v>
      </c>
      <c r="C58" s="17" t="s">
        <v>154</v>
      </c>
      <c r="D58" s="18" t="s">
        <v>154</v>
      </c>
      <c r="E58" s="17" t="s">
        <v>154</v>
      </c>
      <c r="F58" s="18" t="s">
        <v>154</v>
      </c>
      <c r="G58" s="17" t="s">
        <v>154</v>
      </c>
      <c r="H58" s="18" t="s">
        <v>154</v>
      </c>
      <c r="I58" s="17" t="s">
        <v>154</v>
      </c>
      <c r="J58" s="18" t="s">
        <v>154</v>
      </c>
      <c r="K58" s="17" t="s">
        <v>154</v>
      </c>
      <c r="L58" s="18" t="s">
        <v>154</v>
      </c>
      <c r="M58" s="17" t="s">
        <v>154</v>
      </c>
      <c r="N58" s="18" t="s">
        <v>154</v>
      </c>
      <c r="O58" s="17" t="s">
        <v>154</v>
      </c>
      <c r="P58" s="18" t="s">
        <v>154</v>
      </c>
      <c r="Q58" s="17" t="s">
        <v>154</v>
      </c>
      <c r="R58" s="18" t="s">
        <v>154</v>
      </c>
    </row>
    <row r="59" spans="1:18" x14ac:dyDescent="0.25">
      <c r="A59" s="11" t="s">
        <v>192</v>
      </c>
      <c r="B59" s="17" t="s">
        <v>154</v>
      </c>
      <c r="C59" s="17" t="s">
        <v>154</v>
      </c>
      <c r="D59" s="18" t="s">
        <v>154</v>
      </c>
      <c r="E59" s="17" t="s">
        <v>154</v>
      </c>
      <c r="F59" s="18" t="s">
        <v>154</v>
      </c>
      <c r="G59" s="17" t="s">
        <v>154</v>
      </c>
      <c r="H59" s="18" t="s">
        <v>154</v>
      </c>
      <c r="I59" s="17" t="s">
        <v>154</v>
      </c>
      <c r="J59" s="18" t="s">
        <v>154</v>
      </c>
      <c r="K59" s="17" t="s">
        <v>154</v>
      </c>
      <c r="L59" s="18" t="s">
        <v>154</v>
      </c>
      <c r="M59" s="17" t="s">
        <v>154</v>
      </c>
      <c r="N59" s="18" t="s">
        <v>154</v>
      </c>
      <c r="O59" s="17" t="s">
        <v>154</v>
      </c>
      <c r="P59" s="18" t="s">
        <v>154</v>
      </c>
      <c r="Q59" s="17" t="s">
        <v>154</v>
      </c>
      <c r="R59" s="18" t="s">
        <v>154</v>
      </c>
    </row>
    <row r="60" spans="1:18" x14ac:dyDescent="0.25">
      <c r="A60" s="11" t="s">
        <v>193</v>
      </c>
      <c r="B60" s="17" t="s">
        <v>154</v>
      </c>
      <c r="C60" s="17" t="s">
        <v>154</v>
      </c>
      <c r="D60" s="18" t="s">
        <v>154</v>
      </c>
      <c r="E60" s="17" t="s">
        <v>154</v>
      </c>
      <c r="F60" s="18" t="s">
        <v>154</v>
      </c>
      <c r="G60" s="17" t="s">
        <v>154</v>
      </c>
      <c r="H60" s="18" t="s">
        <v>154</v>
      </c>
      <c r="I60" s="17" t="s">
        <v>154</v>
      </c>
      <c r="J60" s="18" t="s">
        <v>154</v>
      </c>
      <c r="K60" s="17" t="s">
        <v>154</v>
      </c>
      <c r="L60" s="18" t="s">
        <v>154</v>
      </c>
      <c r="M60" s="17" t="s">
        <v>154</v>
      </c>
      <c r="N60" s="18" t="s">
        <v>154</v>
      </c>
      <c r="O60" s="17" t="s">
        <v>154</v>
      </c>
      <c r="P60" s="18" t="s">
        <v>154</v>
      </c>
      <c r="Q60" s="17" t="s">
        <v>154</v>
      </c>
      <c r="R60" s="18" t="s">
        <v>154</v>
      </c>
    </row>
    <row r="61" spans="1:18" x14ac:dyDescent="0.25">
      <c r="A61" s="11" t="s">
        <v>194</v>
      </c>
      <c r="B61" s="13">
        <v>6525</v>
      </c>
      <c r="C61" s="14">
        <f>(5436/B61*100)</f>
        <v>83.310344827586206</v>
      </c>
      <c r="D61" s="15">
        <v>1089</v>
      </c>
      <c r="E61" s="14">
        <v>45.727804040000002</v>
      </c>
      <c r="F61" s="16">
        <v>1.68291258</v>
      </c>
      <c r="G61" s="14">
        <v>54.272195959999998</v>
      </c>
      <c r="H61" s="16">
        <v>1.68291258</v>
      </c>
      <c r="I61" s="14" t="s">
        <v>139</v>
      </c>
      <c r="J61" s="16" t="s">
        <v>139</v>
      </c>
      <c r="K61" s="14">
        <v>0</v>
      </c>
      <c r="L61" s="16">
        <v>0</v>
      </c>
      <c r="M61" s="14">
        <v>0</v>
      </c>
      <c r="N61" s="16">
        <v>0</v>
      </c>
      <c r="O61" s="14">
        <v>0</v>
      </c>
      <c r="P61" s="16">
        <v>0</v>
      </c>
      <c r="Q61" s="14">
        <v>0</v>
      </c>
      <c r="R61" s="16">
        <v>0</v>
      </c>
    </row>
    <row r="62" spans="1:18" x14ac:dyDescent="0.25">
      <c r="A62" s="11" t="s">
        <v>195</v>
      </c>
      <c r="B62" s="13">
        <v>4476</v>
      </c>
      <c r="C62" s="14">
        <f>(3709/B62*100)</f>
        <v>82.864164432529037</v>
      </c>
      <c r="D62" s="15">
        <v>767</v>
      </c>
      <c r="E62" s="14">
        <v>22.201277640000001</v>
      </c>
      <c r="F62" s="16">
        <v>1.4164837299999999</v>
      </c>
      <c r="G62" s="14">
        <v>77.798722359999999</v>
      </c>
      <c r="H62" s="16">
        <v>1.4164837299999999</v>
      </c>
      <c r="I62" s="14" t="s">
        <v>139</v>
      </c>
      <c r="J62" s="16" t="s">
        <v>139</v>
      </c>
      <c r="K62" s="14">
        <v>0</v>
      </c>
      <c r="L62" s="16">
        <v>0</v>
      </c>
      <c r="M62" s="14">
        <v>0</v>
      </c>
      <c r="N62" s="16">
        <v>0</v>
      </c>
      <c r="O62" s="14">
        <v>0</v>
      </c>
      <c r="P62" s="16">
        <v>0</v>
      </c>
      <c r="Q62" s="14">
        <v>0</v>
      </c>
      <c r="R62" s="16">
        <v>0</v>
      </c>
    </row>
    <row r="63" spans="1:18" x14ac:dyDescent="0.25">
      <c r="A63" s="11" t="s">
        <v>196</v>
      </c>
      <c r="B63" s="17" t="s">
        <v>154</v>
      </c>
      <c r="C63" s="17" t="s">
        <v>154</v>
      </c>
      <c r="D63" s="18" t="s">
        <v>154</v>
      </c>
      <c r="E63" s="17" t="s">
        <v>154</v>
      </c>
      <c r="F63" s="18" t="s">
        <v>154</v>
      </c>
      <c r="G63" s="17" t="s">
        <v>154</v>
      </c>
      <c r="H63" s="18" t="s">
        <v>154</v>
      </c>
      <c r="I63" s="17" t="s">
        <v>154</v>
      </c>
      <c r="J63" s="18" t="s">
        <v>154</v>
      </c>
      <c r="K63" s="17" t="s">
        <v>154</v>
      </c>
      <c r="L63" s="18" t="s">
        <v>154</v>
      </c>
      <c r="M63" s="17" t="s">
        <v>154</v>
      </c>
      <c r="N63" s="18" t="s">
        <v>154</v>
      </c>
      <c r="O63" s="17" t="s">
        <v>154</v>
      </c>
      <c r="P63" s="18" t="s">
        <v>154</v>
      </c>
      <c r="Q63" s="17" t="s">
        <v>154</v>
      </c>
      <c r="R63" s="18" t="s">
        <v>154</v>
      </c>
    </row>
    <row r="64" spans="1:18" x14ac:dyDescent="0.25">
      <c r="A64" s="11" t="s">
        <v>197</v>
      </c>
      <c r="B64" s="17" t="s">
        <v>154</v>
      </c>
      <c r="C64" s="17" t="s">
        <v>154</v>
      </c>
      <c r="D64" s="18" t="s">
        <v>154</v>
      </c>
      <c r="E64" s="17" t="s">
        <v>154</v>
      </c>
      <c r="F64" s="18" t="s">
        <v>154</v>
      </c>
      <c r="G64" s="17" t="s">
        <v>154</v>
      </c>
      <c r="H64" s="18" t="s">
        <v>154</v>
      </c>
      <c r="I64" s="17" t="s">
        <v>154</v>
      </c>
      <c r="J64" s="18" t="s">
        <v>154</v>
      </c>
      <c r="K64" s="17" t="s">
        <v>154</v>
      </c>
      <c r="L64" s="18" t="s">
        <v>154</v>
      </c>
      <c r="M64" s="17" t="s">
        <v>154</v>
      </c>
      <c r="N64" s="18" t="s">
        <v>154</v>
      </c>
      <c r="O64" s="17" t="s">
        <v>154</v>
      </c>
      <c r="P64" s="18" t="s">
        <v>154</v>
      </c>
      <c r="Q64" s="17" t="s">
        <v>154</v>
      </c>
      <c r="R64" s="18" t="s">
        <v>154</v>
      </c>
    </row>
    <row r="65" spans="1:18" x14ac:dyDescent="0.25">
      <c r="A65" s="11" t="s">
        <v>198</v>
      </c>
      <c r="B65" s="17" t="s">
        <v>154</v>
      </c>
      <c r="C65" s="17" t="s">
        <v>154</v>
      </c>
      <c r="D65" s="18" t="s">
        <v>154</v>
      </c>
      <c r="E65" s="17" t="s">
        <v>154</v>
      </c>
      <c r="F65" s="18" t="s">
        <v>154</v>
      </c>
      <c r="G65" s="17" t="s">
        <v>154</v>
      </c>
      <c r="H65" s="18" t="s">
        <v>154</v>
      </c>
      <c r="I65" s="17" t="s">
        <v>154</v>
      </c>
      <c r="J65" s="18" t="s">
        <v>154</v>
      </c>
      <c r="K65" s="17" t="s">
        <v>154</v>
      </c>
      <c r="L65" s="18" t="s">
        <v>154</v>
      </c>
      <c r="M65" s="17" t="s">
        <v>154</v>
      </c>
      <c r="N65" s="18" t="s">
        <v>154</v>
      </c>
      <c r="O65" s="17" t="s">
        <v>154</v>
      </c>
      <c r="P65" s="18" t="s">
        <v>154</v>
      </c>
      <c r="Q65" s="17" t="s">
        <v>154</v>
      </c>
      <c r="R65" s="18" t="s">
        <v>154</v>
      </c>
    </row>
    <row r="66" spans="1:18" x14ac:dyDescent="0.25">
      <c r="A66" s="11" t="s">
        <v>199</v>
      </c>
      <c r="B66" s="13">
        <v>5665</v>
      </c>
      <c r="C66" s="14">
        <f>(4753/B66*100)</f>
        <v>83.901147396293027</v>
      </c>
      <c r="D66" s="15">
        <v>912</v>
      </c>
      <c r="E66" s="14">
        <v>56.549608689999999</v>
      </c>
      <c r="F66" s="16">
        <v>1.62171847</v>
      </c>
      <c r="G66" s="14">
        <v>43.450391310000001</v>
      </c>
      <c r="H66" s="16">
        <v>1.62171847</v>
      </c>
      <c r="I66" s="14" t="s">
        <v>139</v>
      </c>
      <c r="J66" s="16" t="s">
        <v>139</v>
      </c>
      <c r="K66" s="14">
        <v>0</v>
      </c>
      <c r="L66" s="16">
        <v>0</v>
      </c>
      <c r="M66" s="14">
        <v>0</v>
      </c>
      <c r="N66" s="16">
        <v>0</v>
      </c>
      <c r="O66" s="14">
        <v>0</v>
      </c>
      <c r="P66" s="16">
        <v>0</v>
      </c>
      <c r="Q66" s="14">
        <v>0</v>
      </c>
      <c r="R66" s="16">
        <v>0</v>
      </c>
    </row>
    <row r="67" spans="1:18" x14ac:dyDescent="0.25">
      <c r="A67" s="11" t="s">
        <v>200</v>
      </c>
      <c r="B67" s="13">
        <v>6971</v>
      </c>
      <c r="C67" s="14">
        <f>(6054/B67*100)</f>
        <v>86.845502797303112</v>
      </c>
      <c r="D67" s="15">
        <v>917</v>
      </c>
      <c r="E67" s="14">
        <v>39.856468900000003</v>
      </c>
      <c r="F67" s="16">
        <v>1.54653083</v>
      </c>
      <c r="G67" s="14">
        <v>60.143531099999997</v>
      </c>
      <c r="H67" s="16">
        <v>1.54653083</v>
      </c>
      <c r="I67" s="14" t="s">
        <v>139</v>
      </c>
      <c r="J67" s="16" t="s">
        <v>139</v>
      </c>
      <c r="K67" s="14">
        <v>0</v>
      </c>
      <c r="L67" s="16">
        <v>0</v>
      </c>
      <c r="M67" s="14">
        <v>0</v>
      </c>
      <c r="N67" s="16">
        <v>0</v>
      </c>
      <c r="O67" s="14">
        <v>0</v>
      </c>
      <c r="P67" s="16">
        <v>0</v>
      </c>
      <c r="Q67" s="14">
        <v>0</v>
      </c>
      <c r="R67" s="16">
        <v>0</v>
      </c>
    </row>
    <row r="68" spans="1:18" x14ac:dyDescent="0.25">
      <c r="A68" s="11" t="s">
        <v>201</v>
      </c>
      <c r="B68" s="17" t="s">
        <v>154</v>
      </c>
      <c r="C68" s="17" t="s">
        <v>154</v>
      </c>
      <c r="D68" s="18" t="s">
        <v>154</v>
      </c>
      <c r="E68" s="17" t="s">
        <v>154</v>
      </c>
      <c r="F68" s="18" t="s">
        <v>154</v>
      </c>
      <c r="G68" s="17" t="s">
        <v>154</v>
      </c>
      <c r="H68" s="18" t="s">
        <v>154</v>
      </c>
      <c r="I68" s="17" t="s">
        <v>154</v>
      </c>
      <c r="J68" s="18" t="s">
        <v>154</v>
      </c>
      <c r="K68" s="17" t="s">
        <v>154</v>
      </c>
      <c r="L68" s="18" t="s">
        <v>154</v>
      </c>
      <c r="M68" s="17" t="s">
        <v>154</v>
      </c>
      <c r="N68" s="18" t="s">
        <v>154</v>
      </c>
      <c r="O68" s="17" t="s">
        <v>154</v>
      </c>
      <c r="P68" s="18" t="s">
        <v>154</v>
      </c>
      <c r="Q68" s="17" t="s">
        <v>154</v>
      </c>
      <c r="R68" s="18" t="s">
        <v>154</v>
      </c>
    </row>
    <row r="69" spans="1:18" x14ac:dyDescent="0.25">
      <c r="A69" s="11" t="s">
        <v>202</v>
      </c>
      <c r="B69" s="17" t="s">
        <v>154</v>
      </c>
      <c r="C69" s="17" t="s">
        <v>154</v>
      </c>
      <c r="D69" s="18" t="s">
        <v>154</v>
      </c>
      <c r="E69" s="17" t="s">
        <v>154</v>
      </c>
      <c r="F69" s="18" t="s">
        <v>154</v>
      </c>
      <c r="G69" s="17" t="s">
        <v>154</v>
      </c>
      <c r="H69" s="18" t="s">
        <v>154</v>
      </c>
      <c r="I69" s="17" t="s">
        <v>154</v>
      </c>
      <c r="J69" s="18" t="s">
        <v>154</v>
      </c>
      <c r="K69" s="17" t="s">
        <v>154</v>
      </c>
      <c r="L69" s="18" t="s">
        <v>154</v>
      </c>
      <c r="M69" s="17" t="s">
        <v>154</v>
      </c>
      <c r="N69" s="18" t="s">
        <v>154</v>
      </c>
      <c r="O69" s="17" t="s">
        <v>154</v>
      </c>
      <c r="P69" s="18" t="s">
        <v>154</v>
      </c>
      <c r="Q69" s="17" t="s">
        <v>154</v>
      </c>
      <c r="R69" s="18" t="s">
        <v>154</v>
      </c>
    </row>
    <row r="70" spans="1:18" x14ac:dyDescent="0.25">
      <c r="A70" s="11" t="s">
        <v>203</v>
      </c>
      <c r="B70" s="13">
        <v>6036</v>
      </c>
      <c r="C70" s="14">
        <f>(5065/B70*100)</f>
        <v>83.913187541418154</v>
      </c>
      <c r="D70" s="15">
        <v>971</v>
      </c>
      <c r="E70" s="14">
        <v>35.043140110000003</v>
      </c>
      <c r="F70" s="16">
        <v>1.4606780800000001</v>
      </c>
      <c r="G70" s="14">
        <v>64.956859890000004</v>
      </c>
      <c r="H70" s="16">
        <v>1.4606780800000001</v>
      </c>
      <c r="I70" s="14" t="s">
        <v>139</v>
      </c>
      <c r="J70" s="16" t="s">
        <v>139</v>
      </c>
      <c r="K70" s="14">
        <v>0</v>
      </c>
      <c r="L70" s="16">
        <v>0</v>
      </c>
      <c r="M70" s="14">
        <v>0</v>
      </c>
      <c r="N70" s="16">
        <v>0</v>
      </c>
      <c r="O70" s="14">
        <v>0</v>
      </c>
      <c r="P70" s="16">
        <v>0</v>
      </c>
      <c r="Q70" s="14">
        <v>0</v>
      </c>
      <c r="R70" s="16">
        <v>0</v>
      </c>
    </row>
    <row r="71" spans="1:18" x14ac:dyDescent="0.25">
      <c r="A71" s="11" t="s">
        <v>204</v>
      </c>
      <c r="B71" s="17" t="s">
        <v>154</v>
      </c>
      <c r="C71" s="17" t="s">
        <v>154</v>
      </c>
      <c r="D71" s="18" t="s">
        <v>154</v>
      </c>
      <c r="E71" s="17" t="s">
        <v>154</v>
      </c>
      <c r="F71" s="18" t="s">
        <v>154</v>
      </c>
      <c r="G71" s="17" t="s">
        <v>154</v>
      </c>
      <c r="H71" s="18" t="s">
        <v>154</v>
      </c>
      <c r="I71" s="17" t="s">
        <v>154</v>
      </c>
      <c r="J71" s="18" t="s">
        <v>154</v>
      </c>
      <c r="K71" s="17" t="s">
        <v>154</v>
      </c>
      <c r="L71" s="18" t="s">
        <v>154</v>
      </c>
      <c r="M71" s="17" t="s">
        <v>154</v>
      </c>
      <c r="N71" s="18" t="s">
        <v>154</v>
      </c>
      <c r="O71" s="17" t="s">
        <v>154</v>
      </c>
      <c r="P71" s="18" t="s">
        <v>154</v>
      </c>
      <c r="Q71" s="17" t="s">
        <v>154</v>
      </c>
      <c r="R71" s="18" t="s">
        <v>154</v>
      </c>
    </row>
    <row r="72" spans="1:18" x14ac:dyDescent="0.25">
      <c r="A72" s="11" t="s">
        <v>205</v>
      </c>
      <c r="B72" s="13">
        <v>7708</v>
      </c>
      <c r="C72" s="14">
        <f>(6396/B72*100)</f>
        <v>82.978723404255319</v>
      </c>
      <c r="D72" s="15">
        <v>1312</v>
      </c>
      <c r="E72" s="14">
        <v>24.389704500000001</v>
      </c>
      <c r="F72" s="16">
        <v>1.2124137100000001</v>
      </c>
      <c r="G72" s="14">
        <v>75.610295500000007</v>
      </c>
      <c r="H72" s="16">
        <v>1.2124137100000001</v>
      </c>
      <c r="I72" s="14" t="s">
        <v>139</v>
      </c>
      <c r="J72" s="16" t="s">
        <v>139</v>
      </c>
      <c r="K72" s="14">
        <v>0</v>
      </c>
      <c r="L72" s="16">
        <v>0</v>
      </c>
      <c r="M72" s="14">
        <v>0</v>
      </c>
      <c r="N72" s="16">
        <v>0</v>
      </c>
      <c r="O72" s="14">
        <v>0</v>
      </c>
      <c r="P72" s="16">
        <v>0</v>
      </c>
      <c r="Q72" s="14">
        <v>0</v>
      </c>
      <c r="R72" s="16">
        <v>0</v>
      </c>
    </row>
    <row r="73" spans="1:18" x14ac:dyDescent="0.25">
      <c r="A73" s="11" t="s">
        <v>206</v>
      </c>
      <c r="B73" s="13">
        <v>8249</v>
      </c>
      <c r="C73" s="14">
        <f>(7001/B73*100)</f>
        <v>84.870893441629292</v>
      </c>
      <c r="D73" s="15">
        <v>1248</v>
      </c>
      <c r="E73" s="14">
        <v>43.920896249999998</v>
      </c>
      <c r="F73" s="16">
        <v>1.72848695</v>
      </c>
      <c r="G73" s="14">
        <v>56.079103750000002</v>
      </c>
      <c r="H73" s="16">
        <v>1.72848695</v>
      </c>
      <c r="I73" s="14" t="s">
        <v>139</v>
      </c>
      <c r="J73" s="16" t="s">
        <v>139</v>
      </c>
      <c r="K73" s="14">
        <v>0</v>
      </c>
      <c r="L73" s="16">
        <v>0</v>
      </c>
      <c r="M73" s="14">
        <v>0</v>
      </c>
      <c r="N73" s="16">
        <v>0</v>
      </c>
      <c r="O73" s="14">
        <v>0</v>
      </c>
      <c r="P73" s="16">
        <v>0</v>
      </c>
      <c r="Q73" s="14">
        <v>0</v>
      </c>
      <c r="R73" s="16">
        <v>0</v>
      </c>
    </row>
    <row r="74" spans="1:18" x14ac:dyDescent="0.25">
      <c r="A74" s="11" t="s">
        <v>207</v>
      </c>
      <c r="B74" s="17" t="s">
        <v>154</v>
      </c>
      <c r="C74" s="17" t="s">
        <v>154</v>
      </c>
      <c r="D74" s="18" t="s">
        <v>154</v>
      </c>
      <c r="E74" s="17" t="s">
        <v>154</v>
      </c>
      <c r="F74" s="18" t="s">
        <v>154</v>
      </c>
      <c r="G74" s="17" t="s">
        <v>154</v>
      </c>
      <c r="H74" s="18" t="s">
        <v>154</v>
      </c>
      <c r="I74" s="17" t="s">
        <v>154</v>
      </c>
      <c r="J74" s="18" t="s">
        <v>154</v>
      </c>
      <c r="K74" s="17" t="s">
        <v>154</v>
      </c>
      <c r="L74" s="18" t="s">
        <v>154</v>
      </c>
      <c r="M74" s="17" t="s">
        <v>154</v>
      </c>
      <c r="N74" s="18" t="s">
        <v>154</v>
      </c>
      <c r="O74" s="17" t="s">
        <v>154</v>
      </c>
      <c r="P74" s="18" t="s">
        <v>154</v>
      </c>
      <c r="Q74" s="17" t="s">
        <v>154</v>
      </c>
      <c r="R74" s="18" t="s">
        <v>154</v>
      </c>
    </row>
    <row r="75" spans="1:18" x14ac:dyDescent="0.25">
      <c r="A75" s="11" t="s">
        <v>208</v>
      </c>
      <c r="B75" s="13">
        <v>5375</v>
      </c>
      <c r="C75" s="14">
        <f>(4571/B75*100)</f>
        <v>85.041860465116287</v>
      </c>
      <c r="D75" s="15">
        <v>804</v>
      </c>
      <c r="E75" s="14">
        <v>0</v>
      </c>
      <c r="F75" s="16">
        <v>0</v>
      </c>
      <c r="G75" s="14">
        <v>0</v>
      </c>
      <c r="H75" s="16">
        <v>0</v>
      </c>
      <c r="I75" s="14" t="s">
        <v>139</v>
      </c>
      <c r="J75" s="16" t="s">
        <v>139</v>
      </c>
      <c r="K75" s="14">
        <v>0</v>
      </c>
      <c r="L75" s="16">
        <v>0</v>
      </c>
      <c r="M75" s="14">
        <v>100</v>
      </c>
      <c r="N75" s="16">
        <v>0</v>
      </c>
      <c r="O75" s="14">
        <v>0</v>
      </c>
      <c r="P75" s="16">
        <v>0</v>
      </c>
      <c r="Q75" s="14">
        <v>0</v>
      </c>
      <c r="R75" s="16">
        <v>0</v>
      </c>
    </row>
    <row r="76" spans="1:18" x14ac:dyDescent="0.25">
      <c r="A76" s="11" t="s">
        <v>209</v>
      </c>
      <c r="B76" s="13">
        <v>14167</v>
      </c>
      <c r="C76" s="14">
        <f>(11809/B76*100)</f>
        <v>83.355685748570622</v>
      </c>
      <c r="D76" s="15">
        <v>2358</v>
      </c>
      <c r="E76" s="14">
        <v>40.03513719</v>
      </c>
      <c r="F76" s="16">
        <v>1.27847702</v>
      </c>
      <c r="G76" s="14">
        <v>59.96486281</v>
      </c>
      <c r="H76" s="16">
        <v>1.27847702</v>
      </c>
      <c r="I76" s="14" t="s">
        <v>139</v>
      </c>
      <c r="J76" s="16" t="s">
        <v>139</v>
      </c>
      <c r="K76" s="14">
        <v>0</v>
      </c>
      <c r="L76" s="16">
        <v>0</v>
      </c>
      <c r="M76" s="14">
        <v>0</v>
      </c>
      <c r="N76" s="16">
        <v>0</v>
      </c>
      <c r="O76" s="14">
        <v>0</v>
      </c>
      <c r="P76" s="16">
        <v>0</v>
      </c>
      <c r="Q76" s="14">
        <v>0</v>
      </c>
      <c r="R76" s="16">
        <v>0</v>
      </c>
    </row>
    <row r="77" spans="1:18" x14ac:dyDescent="0.25">
      <c r="A77" s="11" t="s">
        <v>210</v>
      </c>
      <c r="B77" s="13">
        <v>6062</v>
      </c>
      <c r="C77" s="14">
        <f>(5111/B77*100)</f>
        <v>84.312108215110527</v>
      </c>
      <c r="D77" s="15">
        <v>951</v>
      </c>
      <c r="E77" s="14">
        <v>40.158814919999998</v>
      </c>
      <c r="F77" s="16">
        <v>1.6636285500000001</v>
      </c>
      <c r="G77" s="14">
        <v>59.841185080000002</v>
      </c>
      <c r="H77" s="16">
        <v>1.6636285500000001</v>
      </c>
      <c r="I77" s="14" t="s">
        <v>139</v>
      </c>
      <c r="J77" s="16" t="s">
        <v>139</v>
      </c>
      <c r="K77" s="14">
        <v>0</v>
      </c>
      <c r="L77" s="16">
        <v>0</v>
      </c>
      <c r="M77" s="14">
        <v>0</v>
      </c>
      <c r="N77" s="16">
        <v>0</v>
      </c>
      <c r="O77" s="14">
        <v>0</v>
      </c>
      <c r="P77" s="16">
        <v>0</v>
      </c>
      <c r="Q77" s="14">
        <v>0</v>
      </c>
      <c r="R77" s="16">
        <v>0</v>
      </c>
    </row>
    <row r="78" spans="1:18" x14ac:dyDescent="0.25">
      <c r="A78" s="11" t="s">
        <v>211</v>
      </c>
      <c r="B78" s="17" t="s">
        <v>154</v>
      </c>
      <c r="C78" s="17" t="s">
        <v>154</v>
      </c>
      <c r="D78" s="18" t="s">
        <v>154</v>
      </c>
      <c r="E78" s="17" t="s">
        <v>154</v>
      </c>
      <c r="F78" s="18" t="s">
        <v>154</v>
      </c>
      <c r="G78" s="17" t="s">
        <v>154</v>
      </c>
      <c r="H78" s="18" t="s">
        <v>154</v>
      </c>
      <c r="I78" s="17" t="s">
        <v>154</v>
      </c>
      <c r="J78" s="18" t="s">
        <v>154</v>
      </c>
      <c r="K78" s="17" t="s">
        <v>154</v>
      </c>
      <c r="L78" s="18" t="s">
        <v>154</v>
      </c>
      <c r="M78" s="17" t="s">
        <v>154</v>
      </c>
      <c r="N78" s="18" t="s">
        <v>154</v>
      </c>
      <c r="O78" s="17" t="s">
        <v>154</v>
      </c>
      <c r="P78" s="18" t="s">
        <v>154</v>
      </c>
      <c r="Q78" s="17" t="s">
        <v>154</v>
      </c>
      <c r="R78" s="18" t="s">
        <v>154</v>
      </c>
    </row>
    <row r="79" spans="1:18" ht="24.95" customHeight="1" x14ac:dyDescent="0.25">
      <c r="A79" s="11" t="s">
        <v>212</v>
      </c>
      <c r="B79" s="17" t="s">
        <v>154</v>
      </c>
      <c r="C79" s="17" t="s">
        <v>154</v>
      </c>
      <c r="D79" s="18" t="s">
        <v>154</v>
      </c>
      <c r="E79" s="17" t="s">
        <v>154</v>
      </c>
      <c r="F79" s="18" t="s">
        <v>154</v>
      </c>
      <c r="G79" s="17" t="s">
        <v>154</v>
      </c>
      <c r="H79" s="18" t="s">
        <v>154</v>
      </c>
      <c r="I79" s="17" t="s">
        <v>154</v>
      </c>
      <c r="J79" s="18" t="s">
        <v>154</v>
      </c>
      <c r="K79" s="17" t="s">
        <v>154</v>
      </c>
      <c r="L79" s="18" t="s">
        <v>154</v>
      </c>
      <c r="M79" s="17" t="s">
        <v>154</v>
      </c>
      <c r="N79" s="18" t="s">
        <v>154</v>
      </c>
      <c r="O79" s="17" t="s">
        <v>154</v>
      </c>
      <c r="P79" s="18" t="s">
        <v>154</v>
      </c>
      <c r="Q79" s="17" t="s">
        <v>154</v>
      </c>
      <c r="R79" s="18" t="s">
        <v>154</v>
      </c>
    </row>
    <row r="80" spans="1:18" x14ac:dyDescent="0.25">
      <c r="A80" s="11" t="s">
        <v>213</v>
      </c>
      <c r="B80" s="17" t="s">
        <v>154</v>
      </c>
      <c r="C80" s="17" t="s">
        <v>154</v>
      </c>
      <c r="D80" s="18" t="s">
        <v>154</v>
      </c>
      <c r="E80" s="17" t="s">
        <v>154</v>
      </c>
      <c r="F80" s="18" t="s">
        <v>154</v>
      </c>
      <c r="G80" s="17" t="s">
        <v>154</v>
      </c>
      <c r="H80" s="18" t="s">
        <v>154</v>
      </c>
      <c r="I80" s="17" t="s">
        <v>154</v>
      </c>
      <c r="J80" s="18" t="s">
        <v>154</v>
      </c>
      <c r="K80" s="17" t="s">
        <v>154</v>
      </c>
      <c r="L80" s="18" t="s">
        <v>154</v>
      </c>
      <c r="M80" s="17" t="s">
        <v>154</v>
      </c>
      <c r="N80" s="18" t="s">
        <v>154</v>
      </c>
      <c r="O80" s="17" t="s">
        <v>154</v>
      </c>
      <c r="P80" s="18" t="s">
        <v>154</v>
      </c>
      <c r="Q80" s="17" t="s">
        <v>154</v>
      </c>
      <c r="R80" s="18" t="s">
        <v>154</v>
      </c>
    </row>
    <row r="81" spans="1:18" x14ac:dyDescent="0.25">
      <c r="A81" s="19" t="s">
        <v>214</v>
      </c>
      <c r="B81" s="13">
        <v>8861</v>
      </c>
      <c r="C81" s="14">
        <f>(7350/B81*100)</f>
        <v>82.947748561110473</v>
      </c>
      <c r="D81" s="15">
        <v>1511</v>
      </c>
      <c r="E81" s="14">
        <v>47.444625850000001</v>
      </c>
      <c r="F81" s="16">
        <v>1.65763916</v>
      </c>
      <c r="G81" s="14">
        <v>52.555374149999999</v>
      </c>
      <c r="H81" s="16">
        <v>1.65763916</v>
      </c>
      <c r="I81" s="14" t="s">
        <v>139</v>
      </c>
      <c r="J81" s="16" t="s">
        <v>139</v>
      </c>
      <c r="K81" s="14">
        <v>0</v>
      </c>
      <c r="L81" s="16">
        <v>0</v>
      </c>
      <c r="M81" s="14">
        <v>0</v>
      </c>
      <c r="N81" s="16">
        <v>0</v>
      </c>
      <c r="O81" s="14">
        <v>0</v>
      </c>
      <c r="P81" s="16">
        <v>0</v>
      </c>
      <c r="Q81" s="14">
        <v>0</v>
      </c>
      <c r="R81" s="16">
        <v>0</v>
      </c>
    </row>
    <row r="82" spans="1:18" x14ac:dyDescent="0.25">
      <c r="A82" s="20"/>
      <c r="B82" s="20" t="s">
        <v>215</v>
      </c>
      <c r="C82" s="20" t="s">
        <v>215</v>
      </c>
      <c r="D82" s="20" t="s">
        <v>215</v>
      </c>
      <c r="E82" s="20" t="s">
        <v>215</v>
      </c>
      <c r="F82" s="20" t="s">
        <v>215</v>
      </c>
      <c r="G82" s="20" t="s">
        <v>215</v>
      </c>
      <c r="H82" s="20" t="s">
        <v>215</v>
      </c>
      <c r="I82" s="20" t="s">
        <v>215</v>
      </c>
      <c r="J82" s="20" t="s">
        <v>215</v>
      </c>
      <c r="K82" s="20" t="s">
        <v>215</v>
      </c>
      <c r="L82" s="20" t="s">
        <v>215</v>
      </c>
      <c r="M82" s="20" t="s">
        <v>215</v>
      </c>
      <c r="N82" s="20" t="s">
        <v>215</v>
      </c>
      <c r="O82" s="20" t="s">
        <v>215</v>
      </c>
      <c r="P82" s="20" t="s">
        <v>215</v>
      </c>
      <c r="Q82" s="20" t="s">
        <v>215</v>
      </c>
      <c r="R82" s="20" t="s">
        <v>215</v>
      </c>
    </row>
    <row r="83" spans="1:18" x14ac:dyDescent="0.25">
      <c r="A83" s="3" t="s">
        <v>216</v>
      </c>
    </row>
    <row r="84" spans="1:18" x14ac:dyDescent="0.25">
      <c r="A84" s="22" t="s">
        <v>217</v>
      </c>
      <c r="B84" s="23"/>
      <c r="C84" s="23"/>
      <c r="D84" s="23"/>
      <c r="E84" s="23"/>
      <c r="F84" s="23"/>
      <c r="G84" s="23"/>
      <c r="H84" s="23"/>
      <c r="I84" s="23"/>
      <c r="J84" s="23"/>
      <c r="K84" s="23"/>
      <c r="L84" s="23"/>
      <c r="M84" s="23"/>
      <c r="N84" s="23"/>
      <c r="O84" s="23"/>
      <c r="P84" s="23"/>
      <c r="Q84" s="23"/>
      <c r="R84" s="23"/>
    </row>
    <row r="85" spans="1:18" x14ac:dyDescent="0.25">
      <c r="A85" s="22" t="s">
        <v>218</v>
      </c>
      <c r="B85" s="23"/>
      <c r="C85" s="23"/>
      <c r="D85" s="23"/>
      <c r="E85" s="23"/>
      <c r="F85" s="23"/>
      <c r="G85" s="23"/>
      <c r="H85" s="23"/>
      <c r="I85" s="23"/>
      <c r="J85" s="23"/>
      <c r="K85" s="23"/>
      <c r="L85" s="23"/>
      <c r="M85" s="23"/>
      <c r="N85" s="23"/>
      <c r="O85" s="23"/>
      <c r="P85" s="23"/>
      <c r="Q85" s="23"/>
      <c r="R85" s="23"/>
    </row>
    <row r="86" spans="1:18" ht="30" customHeight="1" x14ac:dyDescent="0.25">
      <c r="A86" s="22" t="s">
        <v>219</v>
      </c>
      <c r="B86" s="23"/>
      <c r="C86" s="23"/>
      <c r="D86" s="23"/>
      <c r="E86" s="23"/>
      <c r="F86" s="23"/>
      <c r="G86" s="23"/>
      <c r="H86" s="23"/>
      <c r="I86" s="23"/>
      <c r="J86" s="23"/>
      <c r="K86" s="23"/>
      <c r="L86" s="23"/>
      <c r="M86" s="23"/>
      <c r="N86" s="23"/>
      <c r="O86" s="23"/>
      <c r="P86" s="23"/>
      <c r="Q86" s="23"/>
      <c r="R86" s="23"/>
    </row>
    <row r="87" spans="1:18" ht="30" customHeight="1" x14ac:dyDescent="0.25">
      <c r="A87" s="22" t="s">
        <v>215</v>
      </c>
      <c r="B87" s="23"/>
      <c r="C87" s="23"/>
      <c r="D87" s="23"/>
      <c r="E87" s="23"/>
      <c r="F87" s="23"/>
      <c r="G87" s="23"/>
      <c r="H87" s="23"/>
      <c r="I87" s="23"/>
      <c r="J87" s="23"/>
      <c r="K87" s="23"/>
      <c r="L87" s="23"/>
      <c r="M87" s="23"/>
      <c r="N87" s="23"/>
      <c r="O87" s="23"/>
      <c r="P87" s="23"/>
      <c r="Q87" s="23"/>
      <c r="R87" s="23"/>
    </row>
    <row r="88" spans="1:18" ht="30" customHeight="1" x14ac:dyDescent="0.25">
      <c r="A88" s="22" t="s">
        <v>220</v>
      </c>
      <c r="B88" s="23"/>
      <c r="C88" s="23"/>
      <c r="D88" s="23"/>
      <c r="E88" s="23"/>
      <c r="F88" s="23"/>
      <c r="G88" s="23"/>
      <c r="H88" s="23"/>
      <c r="I88" s="23"/>
      <c r="J88" s="23"/>
      <c r="K88" s="23"/>
      <c r="L88" s="23"/>
      <c r="M88" s="23"/>
      <c r="N88" s="23"/>
      <c r="O88" s="23"/>
      <c r="P88" s="23"/>
      <c r="Q88" s="23"/>
      <c r="R88" s="23"/>
    </row>
    <row r="89" spans="1:18" ht="30" customHeight="1" x14ac:dyDescent="0.25">
      <c r="A89" s="22" t="s">
        <v>221</v>
      </c>
      <c r="B89" s="23"/>
      <c r="C89" s="23"/>
      <c r="D89" s="23"/>
      <c r="E89" s="23"/>
      <c r="F89" s="23"/>
      <c r="G89" s="23"/>
      <c r="H89" s="23"/>
      <c r="I89" s="23"/>
      <c r="J89" s="23"/>
      <c r="K89" s="23"/>
      <c r="L89" s="23"/>
      <c r="M89" s="23"/>
      <c r="N89" s="23"/>
      <c r="O89" s="23"/>
      <c r="P89" s="23"/>
      <c r="Q89" s="23"/>
      <c r="R89" s="23"/>
    </row>
    <row r="90" spans="1:18" ht="30" customHeight="1" x14ac:dyDescent="0.25">
      <c r="A90" s="22" t="s">
        <v>222</v>
      </c>
      <c r="B90" s="23"/>
      <c r="C90" s="23"/>
      <c r="D90" s="23"/>
      <c r="E90" s="23"/>
      <c r="F90" s="23"/>
      <c r="G90" s="23"/>
      <c r="H90" s="23"/>
      <c r="I90" s="23"/>
      <c r="J90" s="23"/>
      <c r="K90" s="23"/>
      <c r="L90" s="23"/>
      <c r="M90" s="23"/>
      <c r="N90" s="23"/>
      <c r="O90" s="23"/>
      <c r="P90" s="23"/>
      <c r="Q90" s="23"/>
      <c r="R90" s="23"/>
    </row>
    <row r="91" spans="1:18" ht="30" customHeight="1" x14ac:dyDescent="0.25">
      <c r="A91" s="22" t="s">
        <v>223</v>
      </c>
      <c r="B91" s="23"/>
      <c r="C91" s="23"/>
      <c r="D91" s="23"/>
      <c r="E91" s="23"/>
      <c r="F91" s="23"/>
      <c r="G91" s="23"/>
      <c r="H91" s="23"/>
      <c r="I91" s="23"/>
      <c r="J91" s="23"/>
      <c r="K91" s="23"/>
      <c r="L91" s="23"/>
      <c r="M91" s="23"/>
      <c r="N91" s="23"/>
      <c r="O91" s="23"/>
      <c r="P91" s="23"/>
      <c r="Q91" s="23"/>
      <c r="R91" s="23"/>
    </row>
    <row r="92" spans="1:18" ht="30" customHeight="1" x14ac:dyDescent="0.25">
      <c r="A92" s="22" t="s">
        <v>224</v>
      </c>
      <c r="B92" s="23"/>
      <c r="C92" s="23"/>
      <c r="D92" s="23"/>
      <c r="E92" s="23"/>
      <c r="F92" s="23"/>
      <c r="G92" s="23"/>
      <c r="H92" s="23"/>
      <c r="I92" s="23"/>
      <c r="J92" s="23"/>
      <c r="K92" s="23"/>
      <c r="L92" s="23"/>
      <c r="M92" s="23"/>
      <c r="N92" s="23"/>
      <c r="O92" s="23"/>
      <c r="P92" s="23"/>
      <c r="Q92" s="23"/>
      <c r="R92" s="23"/>
    </row>
    <row r="93" spans="1:18" ht="30" customHeight="1" x14ac:dyDescent="0.25">
      <c r="A93" s="22" t="s">
        <v>225</v>
      </c>
      <c r="B93" s="23"/>
      <c r="C93" s="23"/>
      <c r="D93" s="23"/>
      <c r="E93" s="23"/>
      <c r="F93" s="23"/>
      <c r="G93" s="23"/>
      <c r="H93" s="23"/>
      <c r="I93" s="23"/>
      <c r="J93" s="23"/>
      <c r="K93" s="23"/>
      <c r="L93" s="23"/>
      <c r="M93" s="23"/>
      <c r="N93" s="23"/>
      <c r="O93" s="23"/>
      <c r="P93" s="23"/>
      <c r="Q93" s="23"/>
      <c r="R93" s="23"/>
    </row>
    <row r="94" spans="1:18" ht="30" customHeight="1" x14ac:dyDescent="0.25">
      <c r="A94" s="22" t="s">
        <v>226</v>
      </c>
      <c r="B94" s="23"/>
      <c r="C94" s="23"/>
      <c r="D94" s="23"/>
      <c r="E94" s="23"/>
      <c r="F94" s="23"/>
      <c r="G94" s="23"/>
      <c r="H94" s="23"/>
      <c r="I94" s="23"/>
      <c r="J94" s="23"/>
      <c r="K94" s="23"/>
      <c r="L94" s="23"/>
      <c r="M94" s="23"/>
      <c r="N94" s="23"/>
      <c r="O94" s="23"/>
      <c r="P94" s="23"/>
      <c r="Q94" s="23"/>
      <c r="R94" s="23"/>
    </row>
    <row r="95" spans="1:18" ht="30" customHeight="1" x14ac:dyDescent="0.25">
      <c r="A95" s="22" t="s">
        <v>227</v>
      </c>
      <c r="B95" s="23"/>
      <c r="C95" s="23"/>
      <c r="D95" s="23"/>
      <c r="E95" s="23"/>
      <c r="F95" s="23"/>
      <c r="G95" s="23"/>
      <c r="H95" s="23"/>
      <c r="I95" s="23"/>
      <c r="J95" s="23"/>
      <c r="K95" s="23"/>
      <c r="L95" s="23"/>
      <c r="M95" s="23"/>
      <c r="N95" s="23"/>
      <c r="O95" s="23"/>
      <c r="P95" s="23"/>
      <c r="Q95" s="23"/>
      <c r="R95" s="23"/>
    </row>
    <row r="96" spans="1:18" ht="30" customHeight="1" x14ac:dyDescent="0.25">
      <c r="A96" s="22" t="s">
        <v>228</v>
      </c>
      <c r="B96" s="23"/>
      <c r="C96" s="23"/>
      <c r="D96" s="23"/>
      <c r="E96" s="23"/>
      <c r="F96" s="23"/>
      <c r="G96" s="23"/>
      <c r="H96" s="23"/>
      <c r="I96" s="23"/>
      <c r="J96" s="23"/>
      <c r="K96" s="23"/>
      <c r="L96" s="23"/>
      <c r="M96" s="23"/>
      <c r="N96" s="23"/>
      <c r="O96" s="23"/>
      <c r="P96" s="23"/>
      <c r="Q96" s="23"/>
      <c r="R96" s="23"/>
    </row>
  </sheetData>
  <mergeCells count="22">
    <mergeCell ref="O4:P4"/>
    <mergeCell ref="Q4:R4"/>
    <mergeCell ref="A1:R1"/>
    <mergeCell ref="A2:R2"/>
    <mergeCell ref="A84:R84"/>
    <mergeCell ref="E4:F4"/>
    <mergeCell ref="G4:H4"/>
    <mergeCell ref="I4:J4"/>
    <mergeCell ref="K4:L4"/>
    <mergeCell ref="M4:N4"/>
    <mergeCell ref="A85:R85"/>
    <mergeCell ref="A86:R86"/>
    <mergeCell ref="A87:R87"/>
    <mergeCell ref="A88:R88"/>
    <mergeCell ref="A89:R89"/>
    <mergeCell ref="A95:R95"/>
    <mergeCell ref="A96:R96"/>
    <mergeCell ref="A90:R90"/>
    <mergeCell ref="A91:R91"/>
    <mergeCell ref="A92:R92"/>
    <mergeCell ref="A93:R93"/>
    <mergeCell ref="A94:R94"/>
  </mergeCells>
  <pageMargins left="0.75" right="0.75" top="1" bottom="1" header="0.5" footer="0.5"/>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2"/>
  <dimension ref="A1:R96"/>
  <sheetViews>
    <sheetView zoomScale="80" workbookViewId="0">
      <pane xSplit="4" topLeftCell="E1" activePane="topRight" state="frozen"/>
      <selection sqref="A1:R1"/>
      <selection pane="topRight" sqref="A1:R1"/>
    </sheetView>
  </sheetViews>
  <sheetFormatPr defaultColWidth="11.42578125" defaultRowHeight="15" x14ac:dyDescent="0.25"/>
  <cols>
    <col min="1" max="1" width="50" customWidth="1"/>
  </cols>
  <sheetData>
    <row r="1" spans="1:18" x14ac:dyDescent="0.25">
      <c r="A1" s="26" t="s">
        <v>122</v>
      </c>
      <c r="B1" s="23"/>
      <c r="C1" s="23"/>
      <c r="D1" s="23"/>
      <c r="E1" s="23"/>
      <c r="F1" s="23"/>
      <c r="G1" s="23"/>
      <c r="H1" s="23"/>
      <c r="I1" s="23"/>
      <c r="J1" s="23"/>
      <c r="K1" s="23"/>
      <c r="L1" s="23"/>
      <c r="M1" s="23"/>
      <c r="N1" s="23"/>
      <c r="O1" s="23"/>
      <c r="P1" s="23"/>
      <c r="Q1" s="23"/>
      <c r="R1" s="23"/>
    </row>
    <row r="2" spans="1:18" x14ac:dyDescent="0.25">
      <c r="A2" s="27" t="s">
        <v>268</v>
      </c>
      <c r="B2" s="23"/>
      <c r="C2" s="23"/>
      <c r="D2" s="23"/>
      <c r="E2" s="23"/>
      <c r="F2" s="23"/>
      <c r="G2" s="23"/>
      <c r="H2" s="23"/>
      <c r="I2" s="23"/>
      <c r="J2" s="23"/>
      <c r="K2" s="23"/>
      <c r="L2" s="23"/>
      <c r="M2" s="23"/>
      <c r="N2" s="23"/>
      <c r="O2" s="23"/>
      <c r="P2" s="23"/>
      <c r="Q2" s="23"/>
      <c r="R2" s="23"/>
    </row>
    <row r="4" spans="1:18" ht="30" customHeight="1" x14ac:dyDescent="0.25">
      <c r="A4" s="4"/>
      <c r="B4" s="5" t="s">
        <v>123</v>
      </c>
      <c r="C4" s="5" t="s">
        <v>124</v>
      </c>
      <c r="D4" s="6" t="s">
        <v>123</v>
      </c>
      <c r="E4" s="24" t="s">
        <v>125</v>
      </c>
      <c r="F4" s="25"/>
      <c r="G4" s="24" t="s">
        <v>126</v>
      </c>
      <c r="H4" s="25"/>
      <c r="I4" s="24" t="s">
        <v>127</v>
      </c>
      <c r="J4" s="25"/>
      <c r="K4" s="24" t="s">
        <v>128</v>
      </c>
      <c r="L4" s="25"/>
      <c r="M4" s="24" t="s">
        <v>129</v>
      </c>
      <c r="N4" s="25"/>
      <c r="O4" s="24" t="s">
        <v>130</v>
      </c>
      <c r="P4" s="25"/>
      <c r="Q4" s="24" t="s">
        <v>131</v>
      </c>
      <c r="R4" s="25"/>
    </row>
    <row r="5" spans="1:18" x14ac:dyDescent="0.25">
      <c r="A5" s="7"/>
      <c r="B5" s="8" t="s">
        <v>132</v>
      </c>
      <c r="C5" s="8" t="s">
        <v>133</v>
      </c>
      <c r="D5" s="7" t="s">
        <v>134</v>
      </c>
      <c r="E5" s="8" t="s">
        <v>135</v>
      </c>
      <c r="F5" s="7" t="s">
        <v>136</v>
      </c>
      <c r="G5" s="8" t="s">
        <v>135</v>
      </c>
      <c r="H5" s="7" t="s">
        <v>136</v>
      </c>
      <c r="I5" s="8" t="s">
        <v>135</v>
      </c>
      <c r="J5" s="7" t="s">
        <v>136</v>
      </c>
      <c r="K5" s="8" t="s">
        <v>135</v>
      </c>
      <c r="L5" s="7" t="s">
        <v>136</v>
      </c>
      <c r="M5" s="8" t="s">
        <v>135</v>
      </c>
      <c r="N5" s="7" t="s">
        <v>136</v>
      </c>
      <c r="O5" s="8" t="s">
        <v>135</v>
      </c>
      <c r="P5" s="7" t="s">
        <v>136</v>
      </c>
      <c r="Q5" s="8" t="s">
        <v>135</v>
      </c>
      <c r="R5" s="7" t="s">
        <v>136</v>
      </c>
    </row>
    <row r="6" spans="1:18" x14ac:dyDescent="0.25">
      <c r="A6" s="9" t="s">
        <v>137</v>
      </c>
      <c r="B6" s="10"/>
      <c r="C6" s="10"/>
      <c r="D6" s="11"/>
      <c r="E6" s="10"/>
      <c r="F6" s="11"/>
      <c r="G6" s="10"/>
      <c r="H6" s="11"/>
      <c r="I6" s="10"/>
      <c r="J6" s="11"/>
      <c r="K6" s="10"/>
      <c r="L6" s="11"/>
      <c r="M6" s="10"/>
      <c r="N6" s="11"/>
      <c r="O6" s="10"/>
      <c r="P6" s="11"/>
      <c r="Q6" s="10"/>
      <c r="R6" s="12"/>
    </row>
    <row r="7" spans="1:18" x14ac:dyDescent="0.25">
      <c r="A7" s="11" t="s">
        <v>138</v>
      </c>
      <c r="B7" s="13">
        <v>14530</v>
      </c>
      <c r="C7" s="14">
        <f>(12186/B7*100)</f>
        <v>83.867859600825881</v>
      </c>
      <c r="D7" s="15">
        <v>2344</v>
      </c>
      <c r="E7" s="14">
        <v>41.330979050000003</v>
      </c>
      <c r="F7" s="16">
        <v>1.41211946</v>
      </c>
      <c r="G7" s="14">
        <v>58.669020949999997</v>
      </c>
      <c r="H7" s="16">
        <v>1.41211946</v>
      </c>
      <c r="I7" s="14" t="s">
        <v>139</v>
      </c>
      <c r="J7" s="16" t="s">
        <v>139</v>
      </c>
      <c r="K7" s="14">
        <v>0</v>
      </c>
      <c r="L7" s="16">
        <v>0</v>
      </c>
      <c r="M7" s="14">
        <v>0</v>
      </c>
      <c r="N7" s="16">
        <v>0</v>
      </c>
      <c r="O7" s="14">
        <v>0</v>
      </c>
      <c r="P7" s="16">
        <v>0</v>
      </c>
      <c r="Q7" s="14">
        <v>0</v>
      </c>
      <c r="R7" s="16">
        <v>0</v>
      </c>
    </row>
    <row r="8" spans="1:18" x14ac:dyDescent="0.25">
      <c r="A8" s="11" t="s">
        <v>140</v>
      </c>
      <c r="B8" s="13">
        <v>7007</v>
      </c>
      <c r="C8" s="14">
        <f>(5832/B8*100)</f>
        <v>83.231054659626096</v>
      </c>
      <c r="D8" s="15">
        <v>1175</v>
      </c>
      <c r="E8" s="14">
        <v>51.397884070000003</v>
      </c>
      <c r="F8" s="16">
        <v>1.74368335</v>
      </c>
      <c r="G8" s="14">
        <v>48.602115929999997</v>
      </c>
      <c r="H8" s="16">
        <v>1.74368335</v>
      </c>
      <c r="I8" s="14" t="s">
        <v>139</v>
      </c>
      <c r="J8" s="16" t="s">
        <v>139</v>
      </c>
      <c r="K8" s="14">
        <v>0</v>
      </c>
      <c r="L8" s="16">
        <v>0</v>
      </c>
      <c r="M8" s="14">
        <v>0</v>
      </c>
      <c r="N8" s="16">
        <v>0</v>
      </c>
      <c r="O8" s="14">
        <v>0</v>
      </c>
      <c r="P8" s="16">
        <v>0</v>
      </c>
      <c r="Q8" s="14">
        <v>0</v>
      </c>
      <c r="R8" s="16">
        <v>0</v>
      </c>
    </row>
    <row r="9" spans="1:18" x14ac:dyDescent="0.25">
      <c r="A9" s="11" t="s">
        <v>141</v>
      </c>
      <c r="B9" s="13">
        <v>9651</v>
      </c>
      <c r="C9" s="14">
        <f>(8126/B9*100)</f>
        <v>84.198528649880842</v>
      </c>
      <c r="D9" s="15">
        <v>1525</v>
      </c>
      <c r="E9" s="14">
        <v>51.519083590000001</v>
      </c>
      <c r="F9" s="16">
        <v>1.23839923</v>
      </c>
      <c r="G9" s="14">
        <v>48.480916409999999</v>
      </c>
      <c r="H9" s="16">
        <v>1.23839923</v>
      </c>
      <c r="I9" s="14" t="s">
        <v>139</v>
      </c>
      <c r="J9" s="16" t="s">
        <v>139</v>
      </c>
      <c r="K9" s="14">
        <v>0</v>
      </c>
      <c r="L9" s="16">
        <v>0</v>
      </c>
      <c r="M9" s="14">
        <v>0</v>
      </c>
      <c r="N9" s="16">
        <v>0</v>
      </c>
      <c r="O9" s="14">
        <v>0</v>
      </c>
      <c r="P9" s="16">
        <v>0</v>
      </c>
      <c r="Q9" s="14">
        <v>0</v>
      </c>
      <c r="R9" s="16">
        <v>0</v>
      </c>
    </row>
    <row r="10" spans="1:18" x14ac:dyDescent="0.25">
      <c r="A10" s="11" t="s">
        <v>142</v>
      </c>
      <c r="B10" s="13">
        <v>20058</v>
      </c>
      <c r="C10" s="14">
        <f>(16663/B10*100)</f>
        <v>83.074085153056132</v>
      </c>
      <c r="D10" s="15">
        <v>3395</v>
      </c>
      <c r="E10" s="14">
        <v>42.950771410000002</v>
      </c>
      <c r="F10" s="16">
        <v>1.38135287</v>
      </c>
      <c r="G10" s="14">
        <v>57.049228589999998</v>
      </c>
      <c r="H10" s="16">
        <v>1.38135287</v>
      </c>
      <c r="I10" s="14" t="s">
        <v>139</v>
      </c>
      <c r="J10" s="16" t="s">
        <v>139</v>
      </c>
      <c r="K10" s="14">
        <v>0</v>
      </c>
      <c r="L10" s="16">
        <v>0</v>
      </c>
      <c r="M10" s="14">
        <v>0</v>
      </c>
      <c r="N10" s="16">
        <v>0</v>
      </c>
      <c r="O10" s="14">
        <v>0</v>
      </c>
      <c r="P10" s="16">
        <v>0</v>
      </c>
      <c r="Q10" s="14">
        <v>0</v>
      </c>
      <c r="R10" s="16">
        <v>0</v>
      </c>
    </row>
    <row r="11" spans="1:18" x14ac:dyDescent="0.25">
      <c r="A11" s="11" t="s">
        <v>143</v>
      </c>
      <c r="B11" s="13">
        <v>7053</v>
      </c>
      <c r="C11" s="14">
        <f>(5925/B11*100)</f>
        <v>84.006805614632071</v>
      </c>
      <c r="D11" s="15">
        <v>1128</v>
      </c>
      <c r="E11" s="14">
        <v>58.189910159999997</v>
      </c>
      <c r="F11" s="16">
        <v>1.57081491</v>
      </c>
      <c r="G11" s="14">
        <v>41.810089840000003</v>
      </c>
      <c r="H11" s="16">
        <v>1.57081491</v>
      </c>
      <c r="I11" s="14" t="s">
        <v>139</v>
      </c>
      <c r="J11" s="16" t="s">
        <v>139</v>
      </c>
      <c r="K11" s="14">
        <v>0</v>
      </c>
      <c r="L11" s="16">
        <v>0</v>
      </c>
      <c r="M11" s="14">
        <v>0</v>
      </c>
      <c r="N11" s="16">
        <v>0</v>
      </c>
      <c r="O11" s="14">
        <v>0</v>
      </c>
      <c r="P11" s="16">
        <v>0</v>
      </c>
      <c r="Q11" s="14">
        <v>0</v>
      </c>
      <c r="R11" s="16">
        <v>0</v>
      </c>
    </row>
    <row r="12" spans="1:18" x14ac:dyDescent="0.25">
      <c r="A12" s="11" t="s">
        <v>144</v>
      </c>
      <c r="B12" s="13">
        <v>6894</v>
      </c>
      <c r="C12" s="14">
        <f>(5770/B12*100)</f>
        <v>83.695967507977954</v>
      </c>
      <c r="D12" s="15">
        <v>1124</v>
      </c>
      <c r="E12" s="14">
        <v>58.279601810000003</v>
      </c>
      <c r="F12" s="16">
        <v>1.62042971</v>
      </c>
      <c r="G12" s="14">
        <v>41.720398189999997</v>
      </c>
      <c r="H12" s="16">
        <v>1.62042971</v>
      </c>
      <c r="I12" s="14" t="s">
        <v>139</v>
      </c>
      <c r="J12" s="16" t="s">
        <v>139</v>
      </c>
      <c r="K12" s="14">
        <v>0</v>
      </c>
      <c r="L12" s="16">
        <v>0</v>
      </c>
      <c r="M12" s="14">
        <v>0</v>
      </c>
      <c r="N12" s="16">
        <v>0</v>
      </c>
      <c r="O12" s="14">
        <v>0</v>
      </c>
      <c r="P12" s="16">
        <v>0</v>
      </c>
      <c r="Q12" s="14">
        <v>0</v>
      </c>
      <c r="R12" s="16">
        <v>0</v>
      </c>
    </row>
    <row r="13" spans="1:18" x14ac:dyDescent="0.25">
      <c r="A13" s="11" t="s">
        <v>145</v>
      </c>
      <c r="B13" s="13">
        <v>7161</v>
      </c>
      <c r="C13" s="14">
        <f>(6035/B13*100)</f>
        <v>84.275939114648793</v>
      </c>
      <c r="D13" s="15">
        <v>1126</v>
      </c>
      <c r="E13" s="14">
        <v>43.62154306</v>
      </c>
      <c r="F13" s="16">
        <v>1.65498224</v>
      </c>
      <c r="G13" s="14">
        <v>56.37845694</v>
      </c>
      <c r="H13" s="16">
        <v>1.65498224</v>
      </c>
      <c r="I13" s="14" t="s">
        <v>139</v>
      </c>
      <c r="J13" s="16" t="s">
        <v>139</v>
      </c>
      <c r="K13" s="14">
        <v>0</v>
      </c>
      <c r="L13" s="16">
        <v>0</v>
      </c>
      <c r="M13" s="14">
        <v>0</v>
      </c>
      <c r="N13" s="16">
        <v>0</v>
      </c>
      <c r="O13" s="14">
        <v>0</v>
      </c>
      <c r="P13" s="16">
        <v>0</v>
      </c>
      <c r="Q13" s="14">
        <v>0</v>
      </c>
      <c r="R13" s="16">
        <v>0</v>
      </c>
    </row>
    <row r="14" spans="1:18" x14ac:dyDescent="0.25">
      <c r="A14" s="11" t="s">
        <v>146</v>
      </c>
      <c r="B14" s="13">
        <v>5587</v>
      </c>
      <c r="C14" s="14">
        <f>(4647/B14*100)</f>
        <v>83.175228208340783</v>
      </c>
      <c r="D14" s="15">
        <v>940</v>
      </c>
      <c r="E14" s="14">
        <v>49.680132039999997</v>
      </c>
      <c r="F14" s="16">
        <v>1.93720337</v>
      </c>
      <c r="G14" s="14">
        <v>50.319867960000003</v>
      </c>
      <c r="H14" s="16">
        <v>1.93720337</v>
      </c>
      <c r="I14" s="14" t="s">
        <v>139</v>
      </c>
      <c r="J14" s="16" t="s">
        <v>139</v>
      </c>
      <c r="K14" s="14">
        <v>0</v>
      </c>
      <c r="L14" s="16">
        <v>0</v>
      </c>
      <c r="M14" s="14">
        <v>0</v>
      </c>
      <c r="N14" s="16">
        <v>0</v>
      </c>
      <c r="O14" s="14">
        <v>0</v>
      </c>
      <c r="P14" s="16">
        <v>0</v>
      </c>
      <c r="Q14" s="14">
        <v>0</v>
      </c>
      <c r="R14" s="16">
        <v>0</v>
      </c>
    </row>
    <row r="15" spans="1:18" x14ac:dyDescent="0.25">
      <c r="A15" s="11" t="s">
        <v>147</v>
      </c>
      <c r="B15" s="13">
        <v>5882</v>
      </c>
      <c r="C15" s="14">
        <f>(4921/B15*100)</f>
        <v>83.66201972118327</v>
      </c>
      <c r="D15" s="15">
        <v>961</v>
      </c>
      <c r="E15" s="14">
        <v>45.186279239999998</v>
      </c>
      <c r="F15" s="16">
        <v>1.80493868</v>
      </c>
      <c r="G15" s="14">
        <v>54.813720760000002</v>
      </c>
      <c r="H15" s="16">
        <v>1.80493868</v>
      </c>
      <c r="I15" s="14" t="s">
        <v>139</v>
      </c>
      <c r="J15" s="16" t="s">
        <v>139</v>
      </c>
      <c r="K15" s="14">
        <v>0</v>
      </c>
      <c r="L15" s="16">
        <v>0</v>
      </c>
      <c r="M15" s="14">
        <v>0</v>
      </c>
      <c r="N15" s="16">
        <v>0</v>
      </c>
      <c r="O15" s="14">
        <v>0</v>
      </c>
      <c r="P15" s="16">
        <v>0</v>
      </c>
      <c r="Q15" s="14">
        <v>0</v>
      </c>
      <c r="R15" s="16">
        <v>0</v>
      </c>
    </row>
    <row r="16" spans="1:18" x14ac:dyDescent="0.25">
      <c r="A16" s="11" t="s">
        <v>148</v>
      </c>
      <c r="B16" s="13">
        <v>6108</v>
      </c>
      <c r="C16" s="14">
        <f>(5092/B16*100)</f>
        <v>83.366077275704001</v>
      </c>
      <c r="D16" s="15">
        <v>1016</v>
      </c>
      <c r="E16" s="14">
        <v>64.585470090000001</v>
      </c>
      <c r="F16" s="16">
        <v>1.5320809200000001</v>
      </c>
      <c r="G16" s="14">
        <v>35.414529909999999</v>
      </c>
      <c r="H16" s="16">
        <v>1.5320809200000001</v>
      </c>
      <c r="I16" s="14" t="s">
        <v>139</v>
      </c>
      <c r="J16" s="16" t="s">
        <v>139</v>
      </c>
      <c r="K16" s="14">
        <v>0</v>
      </c>
      <c r="L16" s="16">
        <v>0</v>
      </c>
      <c r="M16" s="14">
        <v>0</v>
      </c>
      <c r="N16" s="16">
        <v>0</v>
      </c>
      <c r="O16" s="14">
        <v>0</v>
      </c>
      <c r="P16" s="16">
        <v>0</v>
      </c>
      <c r="Q16" s="14">
        <v>0</v>
      </c>
      <c r="R16" s="16">
        <v>0</v>
      </c>
    </row>
    <row r="17" spans="1:18" x14ac:dyDescent="0.25">
      <c r="A17" s="11" t="s">
        <v>149</v>
      </c>
      <c r="B17" s="13">
        <v>6504</v>
      </c>
      <c r="C17" s="14">
        <f>(5459/B17*100)</f>
        <v>83.932964329643298</v>
      </c>
      <c r="D17" s="15">
        <v>1045</v>
      </c>
      <c r="E17" s="14">
        <v>46.068862559999999</v>
      </c>
      <c r="F17" s="16">
        <v>1.5205909399999999</v>
      </c>
      <c r="G17" s="14">
        <v>53.931137440000001</v>
      </c>
      <c r="H17" s="16">
        <v>1.5205909399999999</v>
      </c>
      <c r="I17" s="14" t="s">
        <v>139</v>
      </c>
      <c r="J17" s="16" t="s">
        <v>139</v>
      </c>
      <c r="K17" s="14">
        <v>0</v>
      </c>
      <c r="L17" s="16">
        <v>0</v>
      </c>
      <c r="M17" s="14">
        <v>0</v>
      </c>
      <c r="N17" s="16">
        <v>0</v>
      </c>
      <c r="O17" s="14">
        <v>0</v>
      </c>
      <c r="P17" s="16">
        <v>0</v>
      </c>
      <c r="Q17" s="14">
        <v>0</v>
      </c>
      <c r="R17" s="16">
        <v>0</v>
      </c>
    </row>
    <row r="18" spans="1:18" x14ac:dyDescent="0.25">
      <c r="A18" s="11" t="s">
        <v>150</v>
      </c>
      <c r="B18" s="13">
        <v>5532</v>
      </c>
      <c r="C18" s="14">
        <f>(4583/B18*100)</f>
        <v>82.845263919016631</v>
      </c>
      <c r="D18" s="15">
        <v>949</v>
      </c>
      <c r="E18" s="14">
        <v>59.325161649999998</v>
      </c>
      <c r="F18" s="16">
        <v>1.6002854799999999</v>
      </c>
      <c r="G18" s="14">
        <v>40.674838350000002</v>
      </c>
      <c r="H18" s="16">
        <v>1.6002854799999999</v>
      </c>
      <c r="I18" s="14" t="s">
        <v>139</v>
      </c>
      <c r="J18" s="16" t="s">
        <v>139</v>
      </c>
      <c r="K18" s="14">
        <v>0</v>
      </c>
      <c r="L18" s="16">
        <v>0</v>
      </c>
      <c r="M18" s="14">
        <v>0</v>
      </c>
      <c r="N18" s="16">
        <v>0</v>
      </c>
      <c r="O18" s="14">
        <v>0</v>
      </c>
      <c r="P18" s="16">
        <v>0</v>
      </c>
      <c r="Q18" s="14">
        <v>0</v>
      </c>
      <c r="R18" s="16">
        <v>0</v>
      </c>
    </row>
    <row r="19" spans="1:18" x14ac:dyDescent="0.25">
      <c r="A19" s="11" t="s">
        <v>151</v>
      </c>
      <c r="B19" s="13">
        <v>5658</v>
      </c>
      <c r="C19" s="14">
        <f>(4745/B19*100)</f>
        <v>83.863556026864615</v>
      </c>
      <c r="D19" s="15">
        <v>913</v>
      </c>
      <c r="E19" s="14">
        <v>66.653383849999997</v>
      </c>
      <c r="F19" s="16">
        <v>1.5411769099999999</v>
      </c>
      <c r="G19" s="14">
        <v>33.346616150000003</v>
      </c>
      <c r="H19" s="16">
        <v>1.5411769099999999</v>
      </c>
      <c r="I19" s="14" t="s">
        <v>139</v>
      </c>
      <c r="J19" s="16" t="s">
        <v>139</v>
      </c>
      <c r="K19" s="14">
        <v>0</v>
      </c>
      <c r="L19" s="16">
        <v>0</v>
      </c>
      <c r="M19" s="14">
        <v>0</v>
      </c>
      <c r="N19" s="16">
        <v>0</v>
      </c>
      <c r="O19" s="14">
        <v>0</v>
      </c>
      <c r="P19" s="16">
        <v>0</v>
      </c>
      <c r="Q19" s="14">
        <v>0</v>
      </c>
      <c r="R19" s="16">
        <v>0</v>
      </c>
    </row>
    <row r="20" spans="1:18" x14ac:dyDescent="0.25">
      <c r="A20" s="11" t="s">
        <v>152</v>
      </c>
      <c r="B20" s="13">
        <v>3371</v>
      </c>
      <c r="C20" s="14">
        <f>(2820/B20*100)</f>
        <v>83.654701868881645</v>
      </c>
      <c r="D20" s="15">
        <v>551</v>
      </c>
      <c r="E20" s="14">
        <v>52.16263258</v>
      </c>
      <c r="F20" s="16">
        <v>2.09840962</v>
      </c>
      <c r="G20" s="14">
        <v>47.83736742</v>
      </c>
      <c r="H20" s="16">
        <v>2.09840962</v>
      </c>
      <c r="I20" s="14" t="s">
        <v>139</v>
      </c>
      <c r="J20" s="16" t="s">
        <v>139</v>
      </c>
      <c r="K20" s="14">
        <v>0</v>
      </c>
      <c r="L20" s="16">
        <v>0</v>
      </c>
      <c r="M20" s="14">
        <v>0</v>
      </c>
      <c r="N20" s="16">
        <v>0</v>
      </c>
      <c r="O20" s="14">
        <v>0</v>
      </c>
      <c r="P20" s="16">
        <v>0</v>
      </c>
      <c r="Q20" s="14">
        <v>0</v>
      </c>
      <c r="R20" s="16">
        <v>0</v>
      </c>
    </row>
    <row r="21" spans="1:18" x14ac:dyDescent="0.25">
      <c r="A21" s="11" t="s">
        <v>153</v>
      </c>
      <c r="B21" s="17" t="s">
        <v>154</v>
      </c>
      <c r="C21" s="17" t="s">
        <v>154</v>
      </c>
      <c r="D21" s="18" t="s">
        <v>154</v>
      </c>
      <c r="E21" s="17" t="s">
        <v>154</v>
      </c>
      <c r="F21" s="18" t="s">
        <v>154</v>
      </c>
      <c r="G21" s="17" t="s">
        <v>154</v>
      </c>
      <c r="H21" s="18" t="s">
        <v>154</v>
      </c>
      <c r="I21" s="17" t="s">
        <v>154</v>
      </c>
      <c r="J21" s="18" t="s">
        <v>154</v>
      </c>
      <c r="K21" s="17" t="s">
        <v>154</v>
      </c>
      <c r="L21" s="18" t="s">
        <v>154</v>
      </c>
      <c r="M21" s="17" t="s">
        <v>154</v>
      </c>
      <c r="N21" s="18" t="s">
        <v>154</v>
      </c>
      <c r="O21" s="17" t="s">
        <v>154</v>
      </c>
      <c r="P21" s="18" t="s">
        <v>154</v>
      </c>
      <c r="Q21" s="17" t="s">
        <v>154</v>
      </c>
      <c r="R21" s="18" t="s">
        <v>154</v>
      </c>
    </row>
    <row r="22" spans="1:18" x14ac:dyDescent="0.25">
      <c r="A22" s="11" t="s">
        <v>155</v>
      </c>
      <c r="B22" s="13">
        <v>6598</v>
      </c>
      <c r="C22" s="14">
        <f>(5607/B22*100)</f>
        <v>84.980297059715056</v>
      </c>
      <c r="D22" s="15">
        <v>991</v>
      </c>
      <c r="E22" s="14">
        <v>48.504446049999999</v>
      </c>
      <c r="F22" s="16">
        <v>1.6597103900000001</v>
      </c>
      <c r="G22" s="14">
        <v>51.495553950000001</v>
      </c>
      <c r="H22" s="16">
        <v>1.6597103900000001</v>
      </c>
      <c r="I22" s="14" t="s">
        <v>139</v>
      </c>
      <c r="J22" s="16" t="s">
        <v>139</v>
      </c>
      <c r="K22" s="14">
        <v>0</v>
      </c>
      <c r="L22" s="16">
        <v>0</v>
      </c>
      <c r="M22" s="14">
        <v>0</v>
      </c>
      <c r="N22" s="16">
        <v>0</v>
      </c>
      <c r="O22" s="14">
        <v>0</v>
      </c>
      <c r="P22" s="16">
        <v>0</v>
      </c>
      <c r="Q22" s="14">
        <v>0</v>
      </c>
      <c r="R22" s="16">
        <v>0</v>
      </c>
    </row>
    <row r="23" spans="1:18" x14ac:dyDescent="0.25">
      <c r="A23" s="11" t="s">
        <v>156</v>
      </c>
      <c r="B23" s="13">
        <v>11583</v>
      </c>
      <c r="C23" s="14">
        <f>(9661/B23*100)</f>
        <v>83.406716740050072</v>
      </c>
      <c r="D23" s="15">
        <v>1922</v>
      </c>
      <c r="E23" s="14">
        <v>65.49597618</v>
      </c>
      <c r="F23" s="16">
        <v>1.4531728699999999</v>
      </c>
      <c r="G23" s="14">
        <v>34.50402382</v>
      </c>
      <c r="H23" s="16">
        <v>1.4531728699999999</v>
      </c>
      <c r="I23" s="14" t="s">
        <v>139</v>
      </c>
      <c r="J23" s="16" t="s">
        <v>139</v>
      </c>
      <c r="K23" s="14">
        <v>0</v>
      </c>
      <c r="L23" s="16">
        <v>0</v>
      </c>
      <c r="M23" s="14">
        <v>0</v>
      </c>
      <c r="N23" s="16">
        <v>0</v>
      </c>
      <c r="O23" s="14">
        <v>0</v>
      </c>
      <c r="P23" s="16">
        <v>0</v>
      </c>
      <c r="Q23" s="14">
        <v>0</v>
      </c>
      <c r="R23" s="16">
        <v>0</v>
      </c>
    </row>
    <row r="24" spans="1:18" x14ac:dyDescent="0.25">
      <c r="A24" s="11" t="s">
        <v>157</v>
      </c>
      <c r="B24" s="13">
        <v>6647</v>
      </c>
      <c r="C24" s="14">
        <f>(5508/B24*100)</f>
        <v>82.864450127877248</v>
      </c>
      <c r="D24" s="15">
        <v>1139</v>
      </c>
      <c r="E24" s="14">
        <v>13.899085449999999</v>
      </c>
      <c r="F24" s="16">
        <v>1.18557322</v>
      </c>
      <c r="G24" s="14">
        <v>86.100914549999999</v>
      </c>
      <c r="H24" s="16">
        <v>1.18557322</v>
      </c>
      <c r="I24" s="14" t="s">
        <v>139</v>
      </c>
      <c r="J24" s="16" t="s">
        <v>139</v>
      </c>
      <c r="K24" s="14">
        <v>0</v>
      </c>
      <c r="L24" s="16">
        <v>0</v>
      </c>
      <c r="M24" s="14">
        <v>0</v>
      </c>
      <c r="N24" s="16">
        <v>0</v>
      </c>
      <c r="O24" s="14">
        <v>0</v>
      </c>
      <c r="P24" s="16">
        <v>0</v>
      </c>
      <c r="Q24" s="14">
        <v>0</v>
      </c>
      <c r="R24" s="16">
        <v>0</v>
      </c>
    </row>
    <row r="25" spans="1:18" x14ac:dyDescent="0.25">
      <c r="A25" s="11" t="s">
        <v>158</v>
      </c>
      <c r="B25" s="13">
        <v>5581</v>
      </c>
      <c r="C25" s="14">
        <f>(4617/B25*100)</f>
        <v>82.727109836946795</v>
      </c>
      <c r="D25" s="15">
        <v>964</v>
      </c>
      <c r="E25" s="14">
        <v>36.691766129999998</v>
      </c>
      <c r="F25" s="16">
        <v>1.5340691200000001</v>
      </c>
      <c r="G25" s="14">
        <v>63.308233870000002</v>
      </c>
      <c r="H25" s="16">
        <v>1.5340691200000001</v>
      </c>
      <c r="I25" s="14" t="s">
        <v>139</v>
      </c>
      <c r="J25" s="16" t="s">
        <v>139</v>
      </c>
      <c r="K25" s="14">
        <v>0</v>
      </c>
      <c r="L25" s="16">
        <v>0</v>
      </c>
      <c r="M25" s="14">
        <v>0</v>
      </c>
      <c r="N25" s="16">
        <v>0</v>
      </c>
      <c r="O25" s="14">
        <v>0</v>
      </c>
      <c r="P25" s="16">
        <v>0</v>
      </c>
      <c r="Q25" s="14">
        <v>0</v>
      </c>
      <c r="R25" s="16">
        <v>0</v>
      </c>
    </row>
    <row r="26" spans="1:18" x14ac:dyDescent="0.25">
      <c r="A26" s="11" t="s">
        <v>159</v>
      </c>
      <c r="B26" s="13">
        <v>4869</v>
      </c>
      <c r="C26" s="14">
        <f>(4025/B26*100)</f>
        <v>82.665845142739784</v>
      </c>
      <c r="D26" s="15">
        <v>844</v>
      </c>
      <c r="E26" s="14">
        <v>58.148797430000002</v>
      </c>
      <c r="F26" s="16">
        <v>1.6523913699999999</v>
      </c>
      <c r="G26" s="14">
        <v>41.851202569999998</v>
      </c>
      <c r="H26" s="16">
        <v>1.6523913699999999</v>
      </c>
      <c r="I26" s="14" t="s">
        <v>139</v>
      </c>
      <c r="J26" s="16" t="s">
        <v>139</v>
      </c>
      <c r="K26" s="14">
        <v>0</v>
      </c>
      <c r="L26" s="16">
        <v>0</v>
      </c>
      <c r="M26" s="14">
        <v>0</v>
      </c>
      <c r="N26" s="16">
        <v>0</v>
      </c>
      <c r="O26" s="14">
        <v>0</v>
      </c>
      <c r="P26" s="16">
        <v>0</v>
      </c>
      <c r="Q26" s="14">
        <v>0</v>
      </c>
      <c r="R26" s="16">
        <v>0</v>
      </c>
    </row>
    <row r="27" spans="1:18" x14ac:dyDescent="0.25">
      <c r="A27" s="11" t="s">
        <v>160</v>
      </c>
      <c r="B27" s="13">
        <v>5299</v>
      </c>
      <c r="C27" s="14">
        <f>(4441/B27*100)</f>
        <v>83.808265710511421</v>
      </c>
      <c r="D27" s="15">
        <v>858</v>
      </c>
      <c r="E27" s="14">
        <v>59.638007299999998</v>
      </c>
      <c r="F27" s="16">
        <v>1.5270564</v>
      </c>
      <c r="G27" s="14">
        <v>40.361992700000002</v>
      </c>
      <c r="H27" s="16">
        <v>1.5270564</v>
      </c>
      <c r="I27" s="14" t="s">
        <v>139</v>
      </c>
      <c r="J27" s="16" t="s">
        <v>139</v>
      </c>
      <c r="K27" s="14">
        <v>0</v>
      </c>
      <c r="L27" s="16">
        <v>0</v>
      </c>
      <c r="M27" s="14">
        <v>0</v>
      </c>
      <c r="N27" s="16">
        <v>0</v>
      </c>
      <c r="O27" s="14">
        <v>0</v>
      </c>
      <c r="P27" s="16">
        <v>0</v>
      </c>
      <c r="Q27" s="14">
        <v>0</v>
      </c>
      <c r="R27" s="16">
        <v>0</v>
      </c>
    </row>
    <row r="28" spans="1:18" x14ac:dyDescent="0.25">
      <c r="A28" s="11" t="s">
        <v>161</v>
      </c>
      <c r="B28" s="13">
        <v>7568</v>
      </c>
      <c r="C28" s="14">
        <f>(6479/B28*100)</f>
        <v>85.610465116279073</v>
      </c>
      <c r="D28" s="15">
        <v>1089</v>
      </c>
      <c r="E28" s="14">
        <v>59.825807500000003</v>
      </c>
      <c r="F28" s="16">
        <v>1.88203649</v>
      </c>
      <c r="G28" s="14">
        <v>40.174192499999997</v>
      </c>
      <c r="H28" s="16">
        <v>1.88203649</v>
      </c>
      <c r="I28" s="14" t="s">
        <v>139</v>
      </c>
      <c r="J28" s="16" t="s">
        <v>139</v>
      </c>
      <c r="K28" s="14">
        <v>0</v>
      </c>
      <c r="L28" s="16">
        <v>0</v>
      </c>
      <c r="M28" s="14">
        <v>0</v>
      </c>
      <c r="N28" s="16">
        <v>0</v>
      </c>
      <c r="O28" s="14">
        <v>0</v>
      </c>
      <c r="P28" s="16">
        <v>0</v>
      </c>
      <c r="Q28" s="14">
        <v>0</v>
      </c>
      <c r="R28" s="16">
        <v>0</v>
      </c>
    </row>
    <row r="29" spans="1:18" x14ac:dyDescent="0.25">
      <c r="A29" s="11" t="s">
        <v>162</v>
      </c>
      <c r="B29" s="13">
        <v>5385</v>
      </c>
      <c r="C29" s="14">
        <f>(4470/B29*100)</f>
        <v>83.008356545961007</v>
      </c>
      <c r="D29" s="15">
        <v>915</v>
      </c>
      <c r="E29" s="14">
        <v>40.424322709999998</v>
      </c>
      <c r="F29" s="16">
        <v>1.6395428999999999</v>
      </c>
      <c r="G29" s="14">
        <v>59.575677290000002</v>
      </c>
      <c r="H29" s="16">
        <v>1.6395428999999999</v>
      </c>
      <c r="I29" s="14" t="s">
        <v>139</v>
      </c>
      <c r="J29" s="16" t="s">
        <v>139</v>
      </c>
      <c r="K29" s="14">
        <v>0</v>
      </c>
      <c r="L29" s="16">
        <v>0</v>
      </c>
      <c r="M29" s="14">
        <v>0</v>
      </c>
      <c r="N29" s="16">
        <v>0</v>
      </c>
      <c r="O29" s="14">
        <v>0</v>
      </c>
      <c r="P29" s="16">
        <v>0</v>
      </c>
      <c r="Q29" s="14">
        <v>0</v>
      </c>
      <c r="R29" s="16">
        <v>0</v>
      </c>
    </row>
    <row r="30" spans="1:18" x14ac:dyDescent="0.25">
      <c r="A30" s="11" t="s">
        <v>163</v>
      </c>
      <c r="B30" s="13">
        <v>4520</v>
      </c>
      <c r="C30" s="14">
        <f>(3779/B30*100)</f>
        <v>83.606194690265482</v>
      </c>
      <c r="D30" s="15">
        <v>741</v>
      </c>
      <c r="E30" s="14">
        <v>42.507222390000003</v>
      </c>
      <c r="F30" s="16">
        <v>1.8300168299999999</v>
      </c>
      <c r="G30" s="14">
        <v>57.492777609999997</v>
      </c>
      <c r="H30" s="16">
        <v>1.8300168299999999</v>
      </c>
      <c r="I30" s="14" t="s">
        <v>139</v>
      </c>
      <c r="J30" s="16" t="s">
        <v>139</v>
      </c>
      <c r="K30" s="14">
        <v>0</v>
      </c>
      <c r="L30" s="16">
        <v>0</v>
      </c>
      <c r="M30" s="14">
        <v>0</v>
      </c>
      <c r="N30" s="16">
        <v>0</v>
      </c>
      <c r="O30" s="14">
        <v>0</v>
      </c>
      <c r="P30" s="16">
        <v>0</v>
      </c>
      <c r="Q30" s="14">
        <v>0</v>
      </c>
      <c r="R30" s="16">
        <v>0</v>
      </c>
    </row>
    <row r="31" spans="1:18" x14ac:dyDescent="0.25">
      <c r="A31" s="11" t="s">
        <v>164</v>
      </c>
      <c r="B31" s="13">
        <v>5456</v>
      </c>
      <c r="C31" s="14">
        <f>(4579/B31*100)</f>
        <v>83.925953079178882</v>
      </c>
      <c r="D31" s="15">
        <v>877</v>
      </c>
      <c r="E31" s="14">
        <v>48.050643119999997</v>
      </c>
      <c r="F31" s="16">
        <v>1.7584246800000001</v>
      </c>
      <c r="G31" s="14">
        <v>51.949356880000003</v>
      </c>
      <c r="H31" s="16">
        <v>1.7584246800000001</v>
      </c>
      <c r="I31" s="14" t="s">
        <v>139</v>
      </c>
      <c r="J31" s="16" t="s">
        <v>139</v>
      </c>
      <c r="K31" s="14">
        <v>0</v>
      </c>
      <c r="L31" s="16">
        <v>0</v>
      </c>
      <c r="M31" s="14">
        <v>0</v>
      </c>
      <c r="N31" s="16">
        <v>0</v>
      </c>
      <c r="O31" s="14">
        <v>0</v>
      </c>
      <c r="P31" s="16">
        <v>0</v>
      </c>
      <c r="Q31" s="14">
        <v>0</v>
      </c>
      <c r="R31" s="16">
        <v>0</v>
      </c>
    </row>
    <row r="32" spans="1:18" x14ac:dyDescent="0.25">
      <c r="A32" s="11" t="s">
        <v>165</v>
      </c>
      <c r="B32" s="17" t="s">
        <v>154</v>
      </c>
      <c r="C32" s="17" t="s">
        <v>154</v>
      </c>
      <c r="D32" s="18" t="s">
        <v>154</v>
      </c>
      <c r="E32" s="17" t="s">
        <v>154</v>
      </c>
      <c r="F32" s="18" t="s">
        <v>154</v>
      </c>
      <c r="G32" s="17" t="s">
        <v>154</v>
      </c>
      <c r="H32" s="18" t="s">
        <v>154</v>
      </c>
      <c r="I32" s="17" t="s">
        <v>154</v>
      </c>
      <c r="J32" s="18" t="s">
        <v>154</v>
      </c>
      <c r="K32" s="17" t="s">
        <v>154</v>
      </c>
      <c r="L32" s="18" t="s">
        <v>154</v>
      </c>
      <c r="M32" s="17" t="s">
        <v>154</v>
      </c>
      <c r="N32" s="18" t="s">
        <v>154</v>
      </c>
      <c r="O32" s="17" t="s">
        <v>154</v>
      </c>
      <c r="P32" s="18" t="s">
        <v>154</v>
      </c>
      <c r="Q32" s="17" t="s">
        <v>154</v>
      </c>
      <c r="R32" s="18" t="s">
        <v>154</v>
      </c>
    </row>
    <row r="33" spans="1:18" x14ac:dyDescent="0.25">
      <c r="A33" s="11" t="s">
        <v>166</v>
      </c>
      <c r="B33" s="13">
        <v>7325</v>
      </c>
      <c r="C33" s="14">
        <f>(6194/B33*100)</f>
        <v>84.559726962457333</v>
      </c>
      <c r="D33" s="15">
        <v>1131</v>
      </c>
      <c r="E33" s="14">
        <v>56.93955759</v>
      </c>
      <c r="F33" s="16">
        <v>1.7754873499999999</v>
      </c>
      <c r="G33" s="14">
        <v>43.06044241</v>
      </c>
      <c r="H33" s="16">
        <v>1.7754873499999999</v>
      </c>
      <c r="I33" s="14" t="s">
        <v>139</v>
      </c>
      <c r="J33" s="16" t="s">
        <v>139</v>
      </c>
      <c r="K33" s="14">
        <v>0</v>
      </c>
      <c r="L33" s="16">
        <v>0</v>
      </c>
      <c r="M33" s="14">
        <v>0</v>
      </c>
      <c r="N33" s="16">
        <v>0</v>
      </c>
      <c r="O33" s="14">
        <v>0</v>
      </c>
      <c r="P33" s="16">
        <v>0</v>
      </c>
      <c r="Q33" s="14">
        <v>0</v>
      </c>
      <c r="R33" s="16">
        <v>0</v>
      </c>
    </row>
    <row r="34" spans="1:18" x14ac:dyDescent="0.25">
      <c r="A34" s="11" t="s">
        <v>167</v>
      </c>
      <c r="B34" s="13">
        <v>6350</v>
      </c>
      <c r="C34" s="14">
        <f>(5345/B34*100)</f>
        <v>84.173228346456696</v>
      </c>
      <c r="D34" s="15">
        <v>1005</v>
      </c>
      <c r="E34" s="14">
        <v>62.024679519999999</v>
      </c>
      <c r="F34" s="16">
        <v>1.71161842</v>
      </c>
      <c r="G34" s="14">
        <v>37.975320480000001</v>
      </c>
      <c r="H34" s="16">
        <v>1.71161842</v>
      </c>
      <c r="I34" s="14" t="s">
        <v>139</v>
      </c>
      <c r="J34" s="16" t="s">
        <v>139</v>
      </c>
      <c r="K34" s="14">
        <v>0</v>
      </c>
      <c r="L34" s="16">
        <v>0</v>
      </c>
      <c r="M34" s="14">
        <v>0</v>
      </c>
      <c r="N34" s="16">
        <v>0</v>
      </c>
      <c r="O34" s="14">
        <v>0</v>
      </c>
      <c r="P34" s="16">
        <v>0</v>
      </c>
      <c r="Q34" s="14">
        <v>0</v>
      </c>
      <c r="R34" s="16">
        <v>0</v>
      </c>
    </row>
    <row r="35" spans="1:18" x14ac:dyDescent="0.25">
      <c r="A35" s="11" t="s">
        <v>168</v>
      </c>
      <c r="B35" s="13">
        <v>6406</v>
      </c>
      <c r="C35" s="14">
        <f>(5316/B35*100)</f>
        <v>82.9847018420231</v>
      </c>
      <c r="D35" s="15">
        <v>1090</v>
      </c>
      <c r="E35" s="14">
        <v>54.322267930000002</v>
      </c>
      <c r="F35" s="16">
        <v>1.7150015700000001</v>
      </c>
      <c r="G35" s="14">
        <v>45.677732069999998</v>
      </c>
      <c r="H35" s="16">
        <v>1.7150015700000001</v>
      </c>
      <c r="I35" s="14" t="s">
        <v>139</v>
      </c>
      <c r="J35" s="16" t="s">
        <v>139</v>
      </c>
      <c r="K35" s="14">
        <v>0</v>
      </c>
      <c r="L35" s="16">
        <v>0</v>
      </c>
      <c r="M35" s="14">
        <v>0</v>
      </c>
      <c r="N35" s="16">
        <v>0</v>
      </c>
      <c r="O35" s="14">
        <v>0</v>
      </c>
      <c r="P35" s="16">
        <v>0</v>
      </c>
      <c r="Q35" s="14">
        <v>0</v>
      </c>
      <c r="R35" s="16">
        <v>0</v>
      </c>
    </row>
    <row r="36" spans="1:18" x14ac:dyDescent="0.25">
      <c r="A36" s="11" t="s">
        <v>169</v>
      </c>
      <c r="B36" s="13">
        <v>6736</v>
      </c>
      <c r="C36" s="14">
        <f>(5652/B36*100)</f>
        <v>83.907363420427544</v>
      </c>
      <c r="D36" s="15">
        <v>1084</v>
      </c>
      <c r="E36" s="14">
        <v>50.523409710000003</v>
      </c>
      <c r="F36" s="16">
        <v>1.49203715</v>
      </c>
      <c r="G36" s="14">
        <v>49.476590289999997</v>
      </c>
      <c r="H36" s="16">
        <v>1.49203715</v>
      </c>
      <c r="I36" s="14" t="s">
        <v>139</v>
      </c>
      <c r="J36" s="16" t="s">
        <v>139</v>
      </c>
      <c r="K36" s="14">
        <v>0</v>
      </c>
      <c r="L36" s="16">
        <v>0</v>
      </c>
      <c r="M36" s="14">
        <v>0</v>
      </c>
      <c r="N36" s="16">
        <v>0</v>
      </c>
      <c r="O36" s="14">
        <v>0</v>
      </c>
      <c r="P36" s="16">
        <v>0</v>
      </c>
      <c r="Q36" s="14">
        <v>0</v>
      </c>
      <c r="R36" s="16">
        <v>0</v>
      </c>
    </row>
    <row r="37" spans="1:18" x14ac:dyDescent="0.25">
      <c r="A37" s="11" t="s">
        <v>170</v>
      </c>
      <c r="B37" s="13">
        <v>5458</v>
      </c>
      <c r="C37" s="14">
        <f>(4608/B37*100)</f>
        <v>84.426529864419194</v>
      </c>
      <c r="D37" s="15">
        <v>850</v>
      </c>
      <c r="E37" s="14">
        <v>53.681144830000001</v>
      </c>
      <c r="F37" s="16">
        <v>2.2852475000000001</v>
      </c>
      <c r="G37" s="14">
        <v>46.318855169999999</v>
      </c>
      <c r="H37" s="16">
        <v>2.2852475000000001</v>
      </c>
      <c r="I37" s="14" t="s">
        <v>139</v>
      </c>
      <c r="J37" s="16" t="s">
        <v>139</v>
      </c>
      <c r="K37" s="14">
        <v>0</v>
      </c>
      <c r="L37" s="16">
        <v>0</v>
      </c>
      <c r="M37" s="14">
        <v>0</v>
      </c>
      <c r="N37" s="16">
        <v>0</v>
      </c>
      <c r="O37" s="14">
        <v>0</v>
      </c>
      <c r="P37" s="16">
        <v>0</v>
      </c>
      <c r="Q37" s="14">
        <v>0</v>
      </c>
      <c r="R37" s="16">
        <v>0</v>
      </c>
    </row>
    <row r="38" spans="1:18" x14ac:dyDescent="0.25">
      <c r="A38" s="11" t="s">
        <v>171</v>
      </c>
      <c r="B38" s="17" t="s">
        <v>154</v>
      </c>
      <c r="C38" s="17" t="s">
        <v>154</v>
      </c>
      <c r="D38" s="18" t="s">
        <v>154</v>
      </c>
      <c r="E38" s="17" t="s">
        <v>154</v>
      </c>
      <c r="F38" s="18" t="s">
        <v>154</v>
      </c>
      <c r="G38" s="17" t="s">
        <v>154</v>
      </c>
      <c r="H38" s="18" t="s">
        <v>154</v>
      </c>
      <c r="I38" s="17" t="s">
        <v>154</v>
      </c>
      <c r="J38" s="18" t="s">
        <v>154</v>
      </c>
      <c r="K38" s="17" t="s">
        <v>154</v>
      </c>
      <c r="L38" s="18" t="s">
        <v>154</v>
      </c>
      <c r="M38" s="17" t="s">
        <v>154</v>
      </c>
      <c r="N38" s="18" t="s">
        <v>154</v>
      </c>
      <c r="O38" s="17" t="s">
        <v>154</v>
      </c>
      <c r="P38" s="18" t="s">
        <v>154</v>
      </c>
      <c r="Q38" s="17" t="s">
        <v>154</v>
      </c>
      <c r="R38" s="18" t="s">
        <v>154</v>
      </c>
    </row>
    <row r="39" spans="1:18" x14ac:dyDescent="0.25">
      <c r="A39" s="11" t="s">
        <v>172</v>
      </c>
      <c r="B39" s="13">
        <v>5895</v>
      </c>
      <c r="C39" s="14">
        <f>(4875/B39*100)</f>
        <v>82.697201017811707</v>
      </c>
      <c r="D39" s="15">
        <v>1020</v>
      </c>
      <c r="E39" s="14">
        <v>62.98688739</v>
      </c>
      <c r="F39" s="16">
        <v>1.9330994399999999</v>
      </c>
      <c r="G39" s="14">
        <v>37.01311261</v>
      </c>
      <c r="H39" s="16">
        <v>1.9330994399999999</v>
      </c>
      <c r="I39" s="14" t="s">
        <v>139</v>
      </c>
      <c r="J39" s="16" t="s">
        <v>139</v>
      </c>
      <c r="K39" s="14">
        <v>0</v>
      </c>
      <c r="L39" s="16">
        <v>0</v>
      </c>
      <c r="M39" s="14">
        <v>0</v>
      </c>
      <c r="N39" s="16">
        <v>0</v>
      </c>
      <c r="O39" s="14">
        <v>0</v>
      </c>
      <c r="P39" s="16">
        <v>0</v>
      </c>
      <c r="Q39" s="14">
        <v>0</v>
      </c>
      <c r="R39" s="16">
        <v>0</v>
      </c>
    </row>
    <row r="40" spans="1:18" x14ac:dyDescent="0.25">
      <c r="A40" s="11" t="s">
        <v>173</v>
      </c>
      <c r="B40" s="13">
        <v>14157</v>
      </c>
      <c r="C40" s="14">
        <f>(11677/B40*100)</f>
        <v>82.482164300346113</v>
      </c>
      <c r="D40" s="15">
        <v>2480</v>
      </c>
      <c r="E40" s="14">
        <v>47.134551719999997</v>
      </c>
      <c r="F40" s="16">
        <v>1.3768421200000001</v>
      </c>
      <c r="G40" s="14">
        <v>52.865448280000003</v>
      </c>
      <c r="H40" s="16">
        <v>1.3768421200000001</v>
      </c>
      <c r="I40" s="14" t="s">
        <v>139</v>
      </c>
      <c r="J40" s="16" t="s">
        <v>139</v>
      </c>
      <c r="K40" s="14">
        <v>0</v>
      </c>
      <c r="L40" s="16">
        <v>0</v>
      </c>
      <c r="M40" s="14">
        <v>0</v>
      </c>
      <c r="N40" s="16">
        <v>0</v>
      </c>
      <c r="O40" s="14">
        <v>0</v>
      </c>
      <c r="P40" s="16">
        <v>0</v>
      </c>
      <c r="Q40" s="14">
        <v>0</v>
      </c>
      <c r="R40" s="16">
        <v>0</v>
      </c>
    </row>
    <row r="41" spans="1:18" x14ac:dyDescent="0.25">
      <c r="A41" s="11" t="s">
        <v>174</v>
      </c>
      <c r="B41" s="13">
        <v>5712</v>
      </c>
      <c r="C41" s="14">
        <f>(4807/B41*100)</f>
        <v>84.156162464985997</v>
      </c>
      <c r="D41" s="15">
        <v>905</v>
      </c>
      <c r="E41" s="14">
        <v>42.69781201</v>
      </c>
      <c r="F41" s="16">
        <v>1.9241167100000001</v>
      </c>
      <c r="G41" s="14">
        <v>57.30218799</v>
      </c>
      <c r="H41" s="16">
        <v>1.9241167100000001</v>
      </c>
      <c r="I41" s="14" t="s">
        <v>139</v>
      </c>
      <c r="J41" s="16" t="s">
        <v>139</v>
      </c>
      <c r="K41" s="14">
        <v>0</v>
      </c>
      <c r="L41" s="16">
        <v>0</v>
      </c>
      <c r="M41" s="14">
        <v>0</v>
      </c>
      <c r="N41" s="16">
        <v>0</v>
      </c>
      <c r="O41" s="14">
        <v>0</v>
      </c>
      <c r="P41" s="16">
        <v>0</v>
      </c>
      <c r="Q41" s="14">
        <v>0</v>
      </c>
      <c r="R41" s="16">
        <v>0</v>
      </c>
    </row>
    <row r="42" spans="1:18" x14ac:dyDescent="0.25">
      <c r="A42" s="11" t="s">
        <v>175</v>
      </c>
      <c r="B42" s="13">
        <f>IF(COUNT(B7:B41) &gt; 0, AVERAGE(B7:B41), "\u2014")</f>
        <v>7266.90625</v>
      </c>
      <c r="C42" s="14">
        <f>IF(COUNT(C7:C41) &gt; 0, AVERAGE(C7:C41), "—")</f>
        <v>83.651274497460449</v>
      </c>
      <c r="D42" s="15">
        <f>IF(COUNT(D7:D41) &gt; 0, AVERAGE(D7:D41), "—")</f>
        <v>1190.53125</v>
      </c>
      <c r="E42" s="14">
        <f>IF(COUNT(E7:E41) &gt; 0, AVERAGE(E7:E41), "—")</f>
        <v>51.07650250375</v>
      </c>
      <c r="F42" s="16">
        <f>IF(COUNT(F7:F41) &gt; 0, SQRT(SUMSQ(F7:F41)/(COUNT(F7:F41)*COUNT(F7:F41)) ), "—")</f>
        <v>0.29561132427133385</v>
      </c>
      <c r="G42" s="14">
        <f>IF(COUNT(G7:G41) &gt; 0, AVERAGE(G7:G41), "—")</f>
        <v>48.92349749625</v>
      </c>
      <c r="H42" s="16">
        <f>IF(COUNT(H7:H41) &gt; 0, SQRT(SUMSQ(H7:H41)/(COUNT(H7:H41)*COUNT(H7:H41)) ), "—")</f>
        <v>0.29561132427133385</v>
      </c>
      <c r="I42" s="14" t="str">
        <f>IF(COUNT(I7:I41) &gt; 0, AVERAGE(I7:I41), "—")</f>
        <v>—</v>
      </c>
      <c r="J42" s="16" t="str">
        <f>IF(COUNT(J7:J41) &gt; 0, SQRT(SUMSQ(J7:J41)/(COUNT(J7:J41)*COUNT(J7:J41)) ), "—")</f>
        <v>—</v>
      </c>
      <c r="K42" s="14">
        <f>IF(COUNT(K7:K41) &gt; 0, AVERAGE(K7:K41), "—")</f>
        <v>0</v>
      </c>
      <c r="L42" s="16">
        <f>IF(COUNT(L7:L41) &gt; 0, SQRT(SUMSQ(L7:L41)/(COUNT(L7:L41)*COUNT(L7:L41)) ), "—")</f>
        <v>0</v>
      </c>
      <c r="M42" s="14">
        <f>IF(COUNT(M7:M41) &gt; 0, AVERAGE(M7:M41), "—")</f>
        <v>0</v>
      </c>
      <c r="N42" s="16">
        <f>IF(COUNT(N7:N41) &gt; 0, SQRT(SUMSQ(N7:N41)/(COUNT(N7:N41)*COUNT(N7:N41)) ), "—")</f>
        <v>0</v>
      </c>
      <c r="O42" s="14">
        <f>IF(COUNT(O7:O41) &gt; 0, AVERAGE(O7:O41), "—")</f>
        <v>0</v>
      </c>
      <c r="P42" s="16">
        <f>IF(COUNT(P7:P41) &gt; 0, SQRT(SUMSQ(P7:P41)/(COUNT(P7:P41)*COUNT(P7:P41)) ), "—")</f>
        <v>0</v>
      </c>
      <c r="Q42" s="14">
        <f>IF(COUNT(Q7:Q41) &gt; 0, AVERAGE(Q7:Q41), "—")</f>
        <v>0</v>
      </c>
      <c r="R42" s="16">
        <f>IF(COUNT(R7:R41) &gt; 0, SQRT(SUMSQ(R7:R41)/(COUNT(R7:R41)*COUNT(R7:R41)) ), "—")</f>
        <v>0</v>
      </c>
    </row>
    <row r="43" spans="1:18" x14ac:dyDescent="0.25">
      <c r="A43" s="9" t="s">
        <v>176</v>
      </c>
      <c r="B43" s="10"/>
      <c r="C43" s="10"/>
      <c r="D43" s="11"/>
      <c r="E43" s="10"/>
      <c r="F43" s="11"/>
      <c r="G43" s="10"/>
      <c r="H43" s="11"/>
      <c r="I43" s="10"/>
      <c r="J43" s="11"/>
      <c r="K43" s="10"/>
      <c r="L43" s="11"/>
      <c r="M43" s="10"/>
      <c r="N43" s="11"/>
      <c r="O43" s="10"/>
      <c r="P43" s="11"/>
      <c r="Q43" s="10"/>
      <c r="R43" s="12"/>
    </row>
    <row r="44" spans="1:18" x14ac:dyDescent="0.25">
      <c r="A44" s="11" t="s">
        <v>177</v>
      </c>
      <c r="B44" s="17" t="s">
        <v>154</v>
      </c>
      <c r="C44" s="17" t="s">
        <v>154</v>
      </c>
      <c r="D44" s="18" t="s">
        <v>154</v>
      </c>
      <c r="E44" s="17" t="s">
        <v>154</v>
      </c>
      <c r="F44" s="18" t="s">
        <v>154</v>
      </c>
      <c r="G44" s="17" t="s">
        <v>154</v>
      </c>
      <c r="H44" s="18" t="s">
        <v>154</v>
      </c>
      <c r="I44" s="17" t="s">
        <v>154</v>
      </c>
      <c r="J44" s="18" t="s">
        <v>154</v>
      </c>
      <c r="K44" s="17" t="s">
        <v>154</v>
      </c>
      <c r="L44" s="18" t="s">
        <v>154</v>
      </c>
      <c r="M44" s="17" t="s">
        <v>154</v>
      </c>
      <c r="N44" s="18" t="s">
        <v>154</v>
      </c>
      <c r="O44" s="17" t="s">
        <v>154</v>
      </c>
      <c r="P44" s="18" t="s">
        <v>154</v>
      </c>
      <c r="Q44" s="17" t="s">
        <v>154</v>
      </c>
      <c r="R44" s="18" t="s">
        <v>154</v>
      </c>
    </row>
    <row r="45" spans="1:18" x14ac:dyDescent="0.25">
      <c r="A45" s="11" t="s">
        <v>178</v>
      </c>
      <c r="B45" s="17" t="s">
        <v>154</v>
      </c>
      <c r="C45" s="17" t="s">
        <v>154</v>
      </c>
      <c r="D45" s="18" t="s">
        <v>154</v>
      </c>
      <c r="E45" s="17" t="s">
        <v>154</v>
      </c>
      <c r="F45" s="18" t="s">
        <v>154</v>
      </c>
      <c r="G45" s="17" t="s">
        <v>154</v>
      </c>
      <c r="H45" s="18" t="s">
        <v>154</v>
      </c>
      <c r="I45" s="17" t="s">
        <v>154</v>
      </c>
      <c r="J45" s="18" t="s">
        <v>154</v>
      </c>
      <c r="K45" s="17" t="s">
        <v>154</v>
      </c>
      <c r="L45" s="18" t="s">
        <v>154</v>
      </c>
      <c r="M45" s="17" t="s">
        <v>154</v>
      </c>
      <c r="N45" s="18" t="s">
        <v>154</v>
      </c>
      <c r="O45" s="17" t="s">
        <v>154</v>
      </c>
      <c r="P45" s="18" t="s">
        <v>154</v>
      </c>
      <c r="Q45" s="17" t="s">
        <v>154</v>
      </c>
      <c r="R45" s="18" t="s">
        <v>154</v>
      </c>
    </row>
    <row r="46" spans="1:18" x14ac:dyDescent="0.25">
      <c r="A46" s="11" t="s">
        <v>179</v>
      </c>
      <c r="B46" s="13">
        <v>23141</v>
      </c>
      <c r="C46" s="14">
        <f>(20519/B46*100)</f>
        <v>88.669461129596812</v>
      </c>
      <c r="D46" s="15">
        <v>2622</v>
      </c>
      <c r="E46" s="14">
        <v>64.74739787</v>
      </c>
      <c r="F46" s="16">
        <v>1.34091224</v>
      </c>
      <c r="G46" s="14">
        <v>35.25260213</v>
      </c>
      <c r="H46" s="16">
        <v>1.34091224</v>
      </c>
      <c r="I46" s="14" t="s">
        <v>139</v>
      </c>
      <c r="J46" s="16" t="s">
        <v>139</v>
      </c>
      <c r="K46" s="14">
        <v>0</v>
      </c>
      <c r="L46" s="16">
        <v>0</v>
      </c>
      <c r="M46" s="14">
        <v>0</v>
      </c>
      <c r="N46" s="16">
        <v>0</v>
      </c>
      <c r="O46" s="14">
        <v>0</v>
      </c>
      <c r="P46" s="16">
        <v>0</v>
      </c>
      <c r="Q46" s="14">
        <v>0</v>
      </c>
      <c r="R46" s="16">
        <v>0</v>
      </c>
    </row>
    <row r="47" spans="1:18" x14ac:dyDescent="0.25">
      <c r="A47" s="11" t="s">
        <v>180</v>
      </c>
      <c r="B47" s="13">
        <v>5928</v>
      </c>
      <c r="C47" s="14">
        <f>(4996/B47*100)</f>
        <v>84.278002699055335</v>
      </c>
      <c r="D47" s="15">
        <v>932</v>
      </c>
      <c r="E47" s="14">
        <v>59.202461210000003</v>
      </c>
      <c r="F47" s="16">
        <v>1.6759120999999999</v>
      </c>
      <c r="G47" s="14">
        <v>40.797538789999997</v>
      </c>
      <c r="H47" s="16">
        <v>1.6759120999999999</v>
      </c>
      <c r="I47" s="14" t="s">
        <v>139</v>
      </c>
      <c r="J47" s="16" t="s">
        <v>139</v>
      </c>
      <c r="K47" s="14">
        <v>0</v>
      </c>
      <c r="L47" s="16">
        <v>0</v>
      </c>
      <c r="M47" s="14">
        <v>0</v>
      </c>
      <c r="N47" s="16">
        <v>0</v>
      </c>
      <c r="O47" s="14">
        <v>0</v>
      </c>
      <c r="P47" s="16">
        <v>0</v>
      </c>
      <c r="Q47" s="14">
        <v>0</v>
      </c>
      <c r="R47" s="16">
        <v>0</v>
      </c>
    </row>
    <row r="48" spans="1:18" x14ac:dyDescent="0.25">
      <c r="A48" s="11" t="s">
        <v>181</v>
      </c>
      <c r="B48" s="13">
        <v>9841</v>
      </c>
      <c r="C48" s="14">
        <f>(8165/B48*100)</f>
        <v>82.969210446092873</v>
      </c>
      <c r="D48" s="15">
        <v>1676</v>
      </c>
      <c r="E48" s="14">
        <v>44.88561404</v>
      </c>
      <c r="F48" s="16">
        <v>1.86752082</v>
      </c>
      <c r="G48" s="14">
        <v>55.11438596</v>
      </c>
      <c r="H48" s="16">
        <v>1.86752082</v>
      </c>
      <c r="I48" s="14" t="s">
        <v>139</v>
      </c>
      <c r="J48" s="16" t="s">
        <v>139</v>
      </c>
      <c r="K48" s="14">
        <v>0</v>
      </c>
      <c r="L48" s="16">
        <v>0</v>
      </c>
      <c r="M48" s="14">
        <v>0</v>
      </c>
      <c r="N48" s="16">
        <v>0</v>
      </c>
      <c r="O48" s="14">
        <v>0</v>
      </c>
      <c r="P48" s="16">
        <v>0</v>
      </c>
      <c r="Q48" s="14">
        <v>0</v>
      </c>
      <c r="R48" s="16">
        <v>0</v>
      </c>
    </row>
    <row r="49" spans="1:18" x14ac:dyDescent="0.25">
      <c r="A49" s="11" t="s">
        <v>182</v>
      </c>
      <c r="B49" s="17" t="s">
        <v>154</v>
      </c>
      <c r="C49" s="17" t="s">
        <v>154</v>
      </c>
      <c r="D49" s="18" t="s">
        <v>154</v>
      </c>
      <c r="E49" s="17" t="s">
        <v>154</v>
      </c>
      <c r="F49" s="18" t="s">
        <v>154</v>
      </c>
      <c r="G49" s="17" t="s">
        <v>154</v>
      </c>
      <c r="H49" s="18" t="s">
        <v>154</v>
      </c>
      <c r="I49" s="17" t="s">
        <v>154</v>
      </c>
      <c r="J49" s="18" t="s">
        <v>154</v>
      </c>
      <c r="K49" s="17" t="s">
        <v>154</v>
      </c>
      <c r="L49" s="18" t="s">
        <v>154</v>
      </c>
      <c r="M49" s="17" t="s">
        <v>154</v>
      </c>
      <c r="N49" s="18" t="s">
        <v>154</v>
      </c>
      <c r="O49" s="17" t="s">
        <v>154</v>
      </c>
      <c r="P49" s="18" t="s">
        <v>154</v>
      </c>
      <c r="Q49" s="17" t="s">
        <v>154</v>
      </c>
      <c r="R49" s="18" t="s">
        <v>154</v>
      </c>
    </row>
    <row r="50" spans="1:18" x14ac:dyDescent="0.25">
      <c r="A50" s="11" t="s">
        <v>183</v>
      </c>
      <c r="B50" s="13">
        <v>11795</v>
      </c>
      <c r="C50" s="14">
        <f>(9985/B50*100)</f>
        <v>84.654514624841042</v>
      </c>
      <c r="D50" s="15">
        <v>1810</v>
      </c>
      <c r="E50" s="14">
        <v>65.242879930000001</v>
      </c>
      <c r="F50" s="16">
        <v>1.63251236</v>
      </c>
      <c r="G50" s="14">
        <v>34.757120069999999</v>
      </c>
      <c r="H50" s="16">
        <v>1.63251236</v>
      </c>
      <c r="I50" s="14" t="s">
        <v>139</v>
      </c>
      <c r="J50" s="16" t="s">
        <v>139</v>
      </c>
      <c r="K50" s="14">
        <v>0</v>
      </c>
      <c r="L50" s="16">
        <v>0</v>
      </c>
      <c r="M50" s="14">
        <v>0</v>
      </c>
      <c r="N50" s="16">
        <v>0</v>
      </c>
      <c r="O50" s="14">
        <v>0</v>
      </c>
      <c r="P50" s="16">
        <v>0</v>
      </c>
      <c r="Q50" s="14">
        <v>0</v>
      </c>
      <c r="R50" s="16">
        <v>0</v>
      </c>
    </row>
    <row r="51" spans="1:18" x14ac:dyDescent="0.25">
      <c r="A51" s="11" t="s">
        <v>184</v>
      </c>
      <c r="B51" s="13">
        <v>6866</v>
      </c>
      <c r="C51" s="14">
        <f>(5942/B51*100)</f>
        <v>86.542382755607335</v>
      </c>
      <c r="D51" s="15">
        <v>924</v>
      </c>
      <c r="E51" s="14">
        <v>61.590294909999997</v>
      </c>
      <c r="F51" s="16">
        <v>1.9543504599999999</v>
      </c>
      <c r="G51" s="14">
        <v>38.409705090000003</v>
      </c>
      <c r="H51" s="16">
        <v>1.9543504599999999</v>
      </c>
      <c r="I51" s="14" t="s">
        <v>139</v>
      </c>
      <c r="J51" s="16" t="s">
        <v>139</v>
      </c>
      <c r="K51" s="14">
        <v>0</v>
      </c>
      <c r="L51" s="16">
        <v>0</v>
      </c>
      <c r="M51" s="14">
        <v>0</v>
      </c>
      <c r="N51" s="16">
        <v>0</v>
      </c>
      <c r="O51" s="14">
        <v>0</v>
      </c>
      <c r="P51" s="16">
        <v>0</v>
      </c>
      <c r="Q51" s="14">
        <v>0</v>
      </c>
      <c r="R51" s="16">
        <v>0</v>
      </c>
    </row>
    <row r="52" spans="1:18" x14ac:dyDescent="0.25">
      <c r="A52" s="11" t="s">
        <v>185</v>
      </c>
      <c r="B52" s="13">
        <v>5809</v>
      </c>
      <c r="C52" s="14">
        <f>(4824/B52*100)</f>
        <v>83.043553107247376</v>
      </c>
      <c r="D52" s="15">
        <v>985</v>
      </c>
      <c r="E52" s="14">
        <v>62.47975761</v>
      </c>
      <c r="F52" s="16">
        <v>1.49415455</v>
      </c>
      <c r="G52" s="14">
        <v>37.52024239</v>
      </c>
      <c r="H52" s="16">
        <v>1.49415455</v>
      </c>
      <c r="I52" s="14" t="s">
        <v>139</v>
      </c>
      <c r="J52" s="16" t="s">
        <v>139</v>
      </c>
      <c r="K52" s="14">
        <v>0</v>
      </c>
      <c r="L52" s="16">
        <v>0</v>
      </c>
      <c r="M52" s="14">
        <v>0</v>
      </c>
      <c r="N52" s="16">
        <v>0</v>
      </c>
      <c r="O52" s="14">
        <v>0</v>
      </c>
      <c r="P52" s="16">
        <v>0</v>
      </c>
      <c r="Q52" s="14">
        <v>0</v>
      </c>
      <c r="R52" s="16">
        <v>0</v>
      </c>
    </row>
    <row r="53" spans="1:18" x14ac:dyDescent="0.25">
      <c r="A53" s="11" t="s">
        <v>186</v>
      </c>
      <c r="B53" s="13">
        <v>5571</v>
      </c>
      <c r="C53" s="14">
        <f>(4639/B53*100)</f>
        <v>83.270507987793934</v>
      </c>
      <c r="D53" s="15">
        <v>932</v>
      </c>
      <c r="E53" s="14">
        <v>62.03681641</v>
      </c>
      <c r="F53" s="16">
        <v>1.7806897800000001</v>
      </c>
      <c r="G53" s="14">
        <v>37.96318359</v>
      </c>
      <c r="H53" s="16">
        <v>1.7806897800000001</v>
      </c>
      <c r="I53" s="14" t="s">
        <v>139</v>
      </c>
      <c r="J53" s="16" t="s">
        <v>139</v>
      </c>
      <c r="K53" s="14">
        <v>0</v>
      </c>
      <c r="L53" s="16">
        <v>0</v>
      </c>
      <c r="M53" s="14">
        <v>0</v>
      </c>
      <c r="N53" s="16">
        <v>0</v>
      </c>
      <c r="O53" s="14">
        <v>0</v>
      </c>
      <c r="P53" s="16">
        <v>0</v>
      </c>
      <c r="Q53" s="14">
        <v>0</v>
      </c>
      <c r="R53" s="16">
        <v>0</v>
      </c>
    </row>
    <row r="54" spans="1:18" x14ac:dyDescent="0.25">
      <c r="A54" s="11" t="s">
        <v>187</v>
      </c>
      <c r="B54" s="17" t="s">
        <v>154</v>
      </c>
      <c r="C54" s="17" t="s">
        <v>154</v>
      </c>
      <c r="D54" s="18" t="s">
        <v>154</v>
      </c>
      <c r="E54" s="17" t="s">
        <v>154</v>
      </c>
      <c r="F54" s="18" t="s">
        <v>154</v>
      </c>
      <c r="G54" s="17" t="s">
        <v>154</v>
      </c>
      <c r="H54" s="18" t="s">
        <v>154</v>
      </c>
      <c r="I54" s="17" t="s">
        <v>154</v>
      </c>
      <c r="J54" s="18" t="s">
        <v>154</v>
      </c>
      <c r="K54" s="17" t="s">
        <v>154</v>
      </c>
      <c r="L54" s="18" t="s">
        <v>154</v>
      </c>
      <c r="M54" s="17" t="s">
        <v>154</v>
      </c>
      <c r="N54" s="18" t="s">
        <v>154</v>
      </c>
      <c r="O54" s="17" t="s">
        <v>154</v>
      </c>
      <c r="P54" s="18" t="s">
        <v>154</v>
      </c>
      <c r="Q54" s="17" t="s">
        <v>154</v>
      </c>
      <c r="R54" s="18" t="s">
        <v>154</v>
      </c>
    </row>
    <row r="55" spans="1:18" x14ac:dyDescent="0.25">
      <c r="A55" s="11" t="s">
        <v>188</v>
      </c>
      <c r="B55" s="17" t="s">
        <v>154</v>
      </c>
      <c r="C55" s="17" t="s">
        <v>154</v>
      </c>
      <c r="D55" s="18" t="s">
        <v>154</v>
      </c>
      <c r="E55" s="17" t="s">
        <v>154</v>
      </c>
      <c r="F55" s="18" t="s">
        <v>154</v>
      </c>
      <c r="G55" s="17" t="s">
        <v>154</v>
      </c>
      <c r="H55" s="18" t="s">
        <v>154</v>
      </c>
      <c r="I55" s="17" t="s">
        <v>154</v>
      </c>
      <c r="J55" s="18" t="s">
        <v>154</v>
      </c>
      <c r="K55" s="17" t="s">
        <v>154</v>
      </c>
      <c r="L55" s="18" t="s">
        <v>154</v>
      </c>
      <c r="M55" s="17" t="s">
        <v>154</v>
      </c>
      <c r="N55" s="18" t="s">
        <v>154</v>
      </c>
      <c r="O55" s="17" t="s">
        <v>154</v>
      </c>
      <c r="P55" s="18" t="s">
        <v>154</v>
      </c>
      <c r="Q55" s="17" t="s">
        <v>154</v>
      </c>
      <c r="R55" s="18" t="s">
        <v>154</v>
      </c>
    </row>
    <row r="56" spans="1:18" x14ac:dyDescent="0.25">
      <c r="A56" s="11" t="s">
        <v>189</v>
      </c>
      <c r="B56" s="13">
        <v>5359</v>
      </c>
      <c r="C56" s="14">
        <f>(4451/B56*100)</f>
        <v>83.056540399328242</v>
      </c>
      <c r="D56" s="15">
        <v>908</v>
      </c>
      <c r="E56" s="14">
        <v>35.36360415</v>
      </c>
      <c r="F56" s="16">
        <v>1.70949865</v>
      </c>
      <c r="G56" s="14">
        <v>64.63639585</v>
      </c>
      <c r="H56" s="16">
        <v>1.70949865</v>
      </c>
      <c r="I56" s="14" t="s">
        <v>139</v>
      </c>
      <c r="J56" s="16" t="s">
        <v>139</v>
      </c>
      <c r="K56" s="14">
        <v>0</v>
      </c>
      <c r="L56" s="16">
        <v>0</v>
      </c>
      <c r="M56" s="14">
        <v>0</v>
      </c>
      <c r="N56" s="16">
        <v>0</v>
      </c>
      <c r="O56" s="14">
        <v>0</v>
      </c>
      <c r="P56" s="16">
        <v>0</v>
      </c>
      <c r="Q56" s="14">
        <v>0</v>
      </c>
      <c r="R56" s="16">
        <v>0</v>
      </c>
    </row>
    <row r="57" spans="1:18" x14ac:dyDescent="0.25">
      <c r="A57" s="11" t="s">
        <v>190</v>
      </c>
      <c r="B57" s="17" t="s">
        <v>154</v>
      </c>
      <c r="C57" s="17" t="s">
        <v>154</v>
      </c>
      <c r="D57" s="18" t="s">
        <v>154</v>
      </c>
      <c r="E57" s="17" t="s">
        <v>154</v>
      </c>
      <c r="F57" s="18" t="s">
        <v>154</v>
      </c>
      <c r="G57" s="17" t="s">
        <v>154</v>
      </c>
      <c r="H57" s="18" t="s">
        <v>154</v>
      </c>
      <c r="I57" s="17" t="s">
        <v>154</v>
      </c>
      <c r="J57" s="18" t="s">
        <v>154</v>
      </c>
      <c r="K57" s="17" t="s">
        <v>154</v>
      </c>
      <c r="L57" s="18" t="s">
        <v>154</v>
      </c>
      <c r="M57" s="17" t="s">
        <v>154</v>
      </c>
      <c r="N57" s="18" t="s">
        <v>154</v>
      </c>
      <c r="O57" s="17" t="s">
        <v>154</v>
      </c>
      <c r="P57" s="18" t="s">
        <v>154</v>
      </c>
      <c r="Q57" s="17" t="s">
        <v>154</v>
      </c>
      <c r="R57" s="18" t="s">
        <v>154</v>
      </c>
    </row>
    <row r="58" spans="1:18" x14ac:dyDescent="0.25">
      <c r="A58" s="11" t="s">
        <v>191</v>
      </c>
      <c r="B58" s="17" t="s">
        <v>154</v>
      </c>
      <c r="C58" s="17" t="s">
        <v>154</v>
      </c>
      <c r="D58" s="18" t="s">
        <v>154</v>
      </c>
      <c r="E58" s="17" t="s">
        <v>154</v>
      </c>
      <c r="F58" s="18" t="s">
        <v>154</v>
      </c>
      <c r="G58" s="17" t="s">
        <v>154</v>
      </c>
      <c r="H58" s="18" t="s">
        <v>154</v>
      </c>
      <c r="I58" s="17" t="s">
        <v>154</v>
      </c>
      <c r="J58" s="18" t="s">
        <v>154</v>
      </c>
      <c r="K58" s="17" t="s">
        <v>154</v>
      </c>
      <c r="L58" s="18" t="s">
        <v>154</v>
      </c>
      <c r="M58" s="17" t="s">
        <v>154</v>
      </c>
      <c r="N58" s="18" t="s">
        <v>154</v>
      </c>
      <c r="O58" s="17" t="s">
        <v>154</v>
      </c>
      <c r="P58" s="18" t="s">
        <v>154</v>
      </c>
      <c r="Q58" s="17" t="s">
        <v>154</v>
      </c>
      <c r="R58" s="18" t="s">
        <v>154</v>
      </c>
    </row>
    <row r="59" spans="1:18" x14ac:dyDescent="0.25">
      <c r="A59" s="11" t="s">
        <v>192</v>
      </c>
      <c r="B59" s="17" t="s">
        <v>154</v>
      </c>
      <c r="C59" s="17" t="s">
        <v>154</v>
      </c>
      <c r="D59" s="18" t="s">
        <v>154</v>
      </c>
      <c r="E59" s="17" t="s">
        <v>154</v>
      </c>
      <c r="F59" s="18" t="s">
        <v>154</v>
      </c>
      <c r="G59" s="17" t="s">
        <v>154</v>
      </c>
      <c r="H59" s="18" t="s">
        <v>154</v>
      </c>
      <c r="I59" s="17" t="s">
        <v>154</v>
      </c>
      <c r="J59" s="18" t="s">
        <v>154</v>
      </c>
      <c r="K59" s="17" t="s">
        <v>154</v>
      </c>
      <c r="L59" s="18" t="s">
        <v>154</v>
      </c>
      <c r="M59" s="17" t="s">
        <v>154</v>
      </c>
      <c r="N59" s="18" t="s">
        <v>154</v>
      </c>
      <c r="O59" s="17" t="s">
        <v>154</v>
      </c>
      <c r="P59" s="18" t="s">
        <v>154</v>
      </c>
      <c r="Q59" s="17" t="s">
        <v>154</v>
      </c>
      <c r="R59" s="18" t="s">
        <v>154</v>
      </c>
    </row>
    <row r="60" spans="1:18" x14ac:dyDescent="0.25">
      <c r="A60" s="11" t="s">
        <v>193</v>
      </c>
      <c r="B60" s="17" t="s">
        <v>154</v>
      </c>
      <c r="C60" s="17" t="s">
        <v>154</v>
      </c>
      <c r="D60" s="18" t="s">
        <v>154</v>
      </c>
      <c r="E60" s="17" t="s">
        <v>154</v>
      </c>
      <c r="F60" s="18" t="s">
        <v>154</v>
      </c>
      <c r="G60" s="17" t="s">
        <v>154</v>
      </c>
      <c r="H60" s="18" t="s">
        <v>154</v>
      </c>
      <c r="I60" s="17" t="s">
        <v>154</v>
      </c>
      <c r="J60" s="18" t="s">
        <v>154</v>
      </c>
      <c r="K60" s="17" t="s">
        <v>154</v>
      </c>
      <c r="L60" s="18" t="s">
        <v>154</v>
      </c>
      <c r="M60" s="17" t="s">
        <v>154</v>
      </c>
      <c r="N60" s="18" t="s">
        <v>154</v>
      </c>
      <c r="O60" s="17" t="s">
        <v>154</v>
      </c>
      <c r="P60" s="18" t="s">
        <v>154</v>
      </c>
      <c r="Q60" s="17" t="s">
        <v>154</v>
      </c>
      <c r="R60" s="18" t="s">
        <v>154</v>
      </c>
    </row>
    <row r="61" spans="1:18" x14ac:dyDescent="0.25">
      <c r="A61" s="11" t="s">
        <v>194</v>
      </c>
      <c r="B61" s="13">
        <v>6525</v>
      </c>
      <c r="C61" s="14">
        <f>(5436/B61*100)</f>
        <v>83.310344827586206</v>
      </c>
      <c r="D61" s="15">
        <v>1089</v>
      </c>
      <c r="E61" s="14">
        <v>57.049915720000001</v>
      </c>
      <c r="F61" s="16">
        <v>1.5729321700000001</v>
      </c>
      <c r="G61" s="14">
        <v>42.950084279999999</v>
      </c>
      <c r="H61" s="16">
        <v>1.5729321700000001</v>
      </c>
      <c r="I61" s="14" t="s">
        <v>139</v>
      </c>
      <c r="J61" s="16" t="s">
        <v>139</v>
      </c>
      <c r="K61" s="14">
        <v>0</v>
      </c>
      <c r="L61" s="16">
        <v>0</v>
      </c>
      <c r="M61" s="14">
        <v>0</v>
      </c>
      <c r="N61" s="16">
        <v>0</v>
      </c>
      <c r="O61" s="14">
        <v>0</v>
      </c>
      <c r="P61" s="16">
        <v>0</v>
      </c>
      <c r="Q61" s="14">
        <v>0</v>
      </c>
      <c r="R61" s="16">
        <v>0</v>
      </c>
    </row>
    <row r="62" spans="1:18" x14ac:dyDescent="0.25">
      <c r="A62" s="11" t="s">
        <v>195</v>
      </c>
      <c r="B62" s="13">
        <v>4476</v>
      </c>
      <c r="C62" s="14">
        <f>(3709/B62*100)</f>
        <v>82.864164432529037</v>
      </c>
      <c r="D62" s="15">
        <v>767</v>
      </c>
      <c r="E62" s="14">
        <v>42.406759450000003</v>
      </c>
      <c r="F62" s="16">
        <v>1.930005</v>
      </c>
      <c r="G62" s="14">
        <v>57.593240549999997</v>
      </c>
      <c r="H62" s="16">
        <v>1.930005</v>
      </c>
      <c r="I62" s="14" t="s">
        <v>139</v>
      </c>
      <c r="J62" s="16" t="s">
        <v>139</v>
      </c>
      <c r="K62" s="14">
        <v>0</v>
      </c>
      <c r="L62" s="16">
        <v>0</v>
      </c>
      <c r="M62" s="14">
        <v>0</v>
      </c>
      <c r="N62" s="16">
        <v>0</v>
      </c>
      <c r="O62" s="14">
        <v>0</v>
      </c>
      <c r="P62" s="16">
        <v>0</v>
      </c>
      <c r="Q62" s="14">
        <v>0</v>
      </c>
      <c r="R62" s="16">
        <v>0</v>
      </c>
    </row>
    <row r="63" spans="1:18" x14ac:dyDescent="0.25">
      <c r="A63" s="11" t="s">
        <v>196</v>
      </c>
      <c r="B63" s="17" t="s">
        <v>154</v>
      </c>
      <c r="C63" s="17" t="s">
        <v>154</v>
      </c>
      <c r="D63" s="18" t="s">
        <v>154</v>
      </c>
      <c r="E63" s="17" t="s">
        <v>154</v>
      </c>
      <c r="F63" s="18" t="s">
        <v>154</v>
      </c>
      <c r="G63" s="17" t="s">
        <v>154</v>
      </c>
      <c r="H63" s="18" t="s">
        <v>154</v>
      </c>
      <c r="I63" s="17" t="s">
        <v>154</v>
      </c>
      <c r="J63" s="18" t="s">
        <v>154</v>
      </c>
      <c r="K63" s="17" t="s">
        <v>154</v>
      </c>
      <c r="L63" s="18" t="s">
        <v>154</v>
      </c>
      <c r="M63" s="17" t="s">
        <v>154</v>
      </c>
      <c r="N63" s="18" t="s">
        <v>154</v>
      </c>
      <c r="O63" s="17" t="s">
        <v>154</v>
      </c>
      <c r="P63" s="18" t="s">
        <v>154</v>
      </c>
      <c r="Q63" s="17" t="s">
        <v>154</v>
      </c>
      <c r="R63" s="18" t="s">
        <v>154</v>
      </c>
    </row>
    <row r="64" spans="1:18" x14ac:dyDescent="0.25">
      <c r="A64" s="11" t="s">
        <v>197</v>
      </c>
      <c r="B64" s="17" t="s">
        <v>154</v>
      </c>
      <c r="C64" s="17" t="s">
        <v>154</v>
      </c>
      <c r="D64" s="18" t="s">
        <v>154</v>
      </c>
      <c r="E64" s="17" t="s">
        <v>154</v>
      </c>
      <c r="F64" s="18" t="s">
        <v>154</v>
      </c>
      <c r="G64" s="17" t="s">
        <v>154</v>
      </c>
      <c r="H64" s="18" t="s">
        <v>154</v>
      </c>
      <c r="I64" s="17" t="s">
        <v>154</v>
      </c>
      <c r="J64" s="18" t="s">
        <v>154</v>
      </c>
      <c r="K64" s="17" t="s">
        <v>154</v>
      </c>
      <c r="L64" s="18" t="s">
        <v>154</v>
      </c>
      <c r="M64" s="17" t="s">
        <v>154</v>
      </c>
      <c r="N64" s="18" t="s">
        <v>154</v>
      </c>
      <c r="O64" s="17" t="s">
        <v>154</v>
      </c>
      <c r="P64" s="18" t="s">
        <v>154</v>
      </c>
      <c r="Q64" s="17" t="s">
        <v>154</v>
      </c>
      <c r="R64" s="18" t="s">
        <v>154</v>
      </c>
    </row>
    <row r="65" spans="1:18" x14ac:dyDescent="0.25">
      <c r="A65" s="11" t="s">
        <v>198</v>
      </c>
      <c r="B65" s="17" t="s">
        <v>154</v>
      </c>
      <c r="C65" s="17" t="s">
        <v>154</v>
      </c>
      <c r="D65" s="18" t="s">
        <v>154</v>
      </c>
      <c r="E65" s="17" t="s">
        <v>154</v>
      </c>
      <c r="F65" s="18" t="s">
        <v>154</v>
      </c>
      <c r="G65" s="17" t="s">
        <v>154</v>
      </c>
      <c r="H65" s="18" t="s">
        <v>154</v>
      </c>
      <c r="I65" s="17" t="s">
        <v>154</v>
      </c>
      <c r="J65" s="18" t="s">
        <v>154</v>
      </c>
      <c r="K65" s="17" t="s">
        <v>154</v>
      </c>
      <c r="L65" s="18" t="s">
        <v>154</v>
      </c>
      <c r="M65" s="17" t="s">
        <v>154</v>
      </c>
      <c r="N65" s="18" t="s">
        <v>154</v>
      </c>
      <c r="O65" s="17" t="s">
        <v>154</v>
      </c>
      <c r="P65" s="18" t="s">
        <v>154</v>
      </c>
      <c r="Q65" s="17" t="s">
        <v>154</v>
      </c>
      <c r="R65" s="18" t="s">
        <v>154</v>
      </c>
    </row>
    <row r="66" spans="1:18" x14ac:dyDescent="0.25">
      <c r="A66" s="11" t="s">
        <v>199</v>
      </c>
      <c r="B66" s="13">
        <v>5665</v>
      </c>
      <c r="C66" s="14">
        <f>(4753/B66*100)</f>
        <v>83.901147396293027</v>
      </c>
      <c r="D66" s="15">
        <v>912</v>
      </c>
      <c r="E66" s="14">
        <v>59.34222312</v>
      </c>
      <c r="F66" s="16">
        <v>1.6695170399999999</v>
      </c>
      <c r="G66" s="14">
        <v>40.65777688</v>
      </c>
      <c r="H66" s="16">
        <v>1.6695170399999999</v>
      </c>
      <c r="I66" s="14" t="s">
        <v>139</v>
      </c>
      <c r="J66" s="16" t="s">
        <v>139</v>
      </c>
      <c r="K66" s="14">
        <v>0</v>
      </c>
      <c r="L66" s="16">
        <v>0</v>
      </c>
      <c r="M66" s="14">
        <v>0</v>
      </c>
      <c r="N66" s="16">
        <v>0</v>
      </c>
      <c r="O66" s="14">
        <v>0</v>
      </c>
      <c r="P66" s="16">
        <v>0</v>
      </c>
      <c r="Q66" s="14">
        <v>0</v>
      </c>
      <c r="R66" s="16">
        <v>0</v>
      </c>
    </row>
    <row r="67" spans="1:18" x14ac:dyDescent="0.25">
      <c r="A67" s="11" t="s">
        <v>200</v>
      </c>
      <c r="B67" s="13">
        <v>6971</v>
      </c>
      <c r="C67" s="14">
        <f>(6054/B67*100)</f>
        <v>86.845502797303112</v>
      </c>
      <c r="D67" s="15">
        <v>917</v>
      </c>
      <c r="E67" s="14">
        <v>65.186373239999995</v>
      </c>
      <c r="F67" s="16">
        <v>1.75538634</v>
      </c>
      <c r="G67" s="14">
        <v>34.813626759999998</v>
      </c>
      <c r="H67" s="16">
        <v>1.75538634</v>
      </c>
      <c r="I67" s="14" t="s">
        <v>139</v>
      </c>
      <c r="J67" s="16" t="s">
        <v>139</v>
      </c>
      <c r="K67" s="14">
        <v>0</v>
      </c>
      <c r="L67" s="16">
        <v>0</v>
      </c>
      <c r="M67" s="14">
        <v>0</v>
      </c>
      <c r="N67" s="16">
        <v>0</v>
      </c>
      <c r="O67" s="14">
        <v>0</v>
      </c>
      <c r="P67" s="16">
        <v>0</v>
      </c>
      <c r="Q67" s="14">
        <v>0</v>
      </c>
      <c r="R67" s="16">
        <v>0</v>
      </c>
    </row>
    <row r="68" spans="1:18" x14ac:dyDescent="0.25">
      <c r="A68" s="11" t="s">
        <v>201</v>
      </c>
      <c r="B68" s="17" t="s">
        <v>154</v>
      </c>
      <c r="C68" s="17" t="s">
        <v>154</v>
      </c>
      <c r="D68" s="18" t="s">
        <v>154</v>
      </c>
      <c r="E68" s="17" t="s">
        <v>154</v>
      </c>
      <c r="F68" s="18" t="s">
        <v>154</v>
      </c>
      <c r="G68" s="17" t="s">
        <v>154</v>
      </c>
      <c r="H68" s="18" t="s">
        <v>154</v>
      </c>
      <c r="I68" s="17" t="s">
        <v>154</v>
      </c>
      <c r="J68" s="18" t="s">
        <v>154</v>
      </c>
      <c r="K68" s="17" t="s">
        <v>154</v>
      </c>
      <c r="L68" s="18" t="s">
        <v>154</v>
      </c>
      <c r="M68" s="17" t="s">
        <v>154</v>
      </c>
      <c r="N68" s="18" t="s">
        <v>154</v>
      </c>
      <c r="O68" s="17" t="s">
        <v>154</v>
      </c>
      <c r="P68" s="18" t="s">
        <v>154</v>
      </c>
      <c r="Q68" s="17" t="s">
        <v>154</v>
      </c>
      <c r="R68" s="18" t="s">
        <v>154</v>
      </c>
    </row>
    <row r="69" spans="1:18" x14ac:dyDescent="0.25">
      <c r="A69" s="11" t="s">
        <v>202</v>
      </c>
      <c r="B69" s="17" t="s">
        <v>154</v>
      </c>
      <c r="C69" s="17" t="s">
        <v>154</v>
      </c>
      <c r="D69" s="18" t="s">
        <v>154</v>
      </c>
      <c r="E69" s="17" t="s">
        <v>154</v>
      </c>
      <c r="F69" s="18" t="s">
        <v>154</v>
      </c>
      <c r="G69" s="17" t="s">
        <v>154</v>
      </c>
      <c r="H69" s="18" t="s">
        <v>154</v>
      </c>
      <c r="I69" s="17" t="s">
        <v>154</v>
      </c>
      <c r="J69" s="18" t="s">
        <v>154</v>
      </c>
      <c r="K69" s="17" t="s">
        <v>154</v>
      </c>
      <c r="L69" s="18" t="s">
        <v>154</v>
      </c>
      <c r="M69" s="17" t="s">
        <v>154</v>
      </c>
      <c r="N69" s="18" t="s">
        <v>154</v>
      </c>
      <c r="O69" s="17" t="s">
        <v>154</v>
      </c>
      <c r="P69" s="18" t="s">
        <v>154</v>
      </c>
      <c r="Q69" s="17" t="s">
        <v>154</v>
      </c>
      <c r="R69" s="18" t="s">
        <v>154</v>
      </c>
    </row>
    <row r="70" spans="1:18" x14ac:dyDescent="0.25">
      <c r="A70" s="11" t="s">
        <v>203</v>
      </c>
      <c r="B70" s="13">
        <v>6036</v>
      </c>
      <c r="C70" s="14">
        <f>(5065/B70*100)</f>
        <v>83.913187541418154</v>
      </c>
      <c r="D70" s="15">
        <v>971</v>
      </c>
      <c r="E70" s="14">
        <v>50.576287489999999</v>
      </c>
      <c r="F70" s="16">
        <v>1.4703274799999999</v>
      </c>
      <c r="G70" s="14">
        <v>49.423712510000001</v>
      </c>
      <c r="H70" s="16">
        <v>1.4703274799999999</v>
      </c>
      <c r="I70" s="14" t="s">
        <v>139</v>
      </c>
      <c r="J70" s="16" t="s">
        <v>139</v>
      </c>
      <c r="K70" s="14">
        <v>0</v>
      </c>
      <c r="L70" s="16">
        <v>0</v>
      </c>
      <c r="M70" s="14">
        <v>0</v>
      </c>
      <c r="N70" s="16">
        <v>0</v>
      </c>
      <c r="O70" s="14">
        <v>0</v>
      </c>
      <c r="P70" s="16">
        <v>0</v>
      </c>
      <c r="Q70" s="14">
        <v>0</v>
      </c>
      <c r="R70" s="16">
        <v>0</v>
      </c>
    </row>
    <row r="71" spans="1:18" x14ac:dyDescent="0.25">
      <c r="A71" s="11" t="s">
        <v>204</v>
      </c>
      <c r="B71" s="17" t="s">
        <v>154</v>
      </c>
      <c r="C71" s="17" t="s">
        <v>154</v>
      </c>
      <c r="D71" s="18" t="s">
        <v>154</v>
      </c>
      <c r="E71" s="17" t="s">
        <v>154</v>
      </c>
      <c r="F71" s="18" t="s">
        <v>154</v>
      </c>
      <c r="G71" s="17" t="s">
        <v>154</v>
      </c>
      <c r="H71" s="18" t="s">
        <v>154</v>
      </c>
      <c r="I71" s="17" t="s">
        <v>154</v>
      </c>
      <c r="J71" s="18" t="s">
        <v>154</v>
      </c>
      <c r="K71" s="17" t="s">
        <v>154</v>
      </c>
      <c r="L71" s="18" t="s">
        <v>154</v>
      </c>
      <c r="M71" s="17" t="s">
        <v>154</v>
      </c>
      <c r="N71" s="18" t="s">
        <v>154</v>
      </c>
      <c r="O71" s="17" t="s">
        <v>154</v>
      </c>
      <c r="P71" s="18" t="s">
        <v>154</v>
      </c>
      <c r="Q71" s="17" t="s">
        <v>154</v>
      </c>
      <c r="R71" s="18" t="s">
        <v>154</v>
      </c>
    </row>
    <row r="72" spans="1:18" x14ac:dyDescent="0.25">
      <c r="A72" s="11" t="s">
        <v>205</v>
      </c>
      <c r="B72" s="13">
        <v>7708</v>
      </c>
      <c r="C72" s="14">
        <f>(6396/B72*100)</f>
        <v>82.978723404255319</v>
      </c>
      <c r="D72" s="15">
        <v>1312</v>
      </c>
      <c r="E72" s="14">
        <v>46.953362599999998</v>
      </c>
      <c r="F72" s="16">
        <v>1.48148704</v>
      </c>
      <c r="G72" s="14">
        <v>53.046637400000002</v>
      </c>
      <c r="H72" s="16">
        <v>1.48148704</v>
      </c>
      <c r="I72" s="14" t="s">
        <v>139</v>
      </c>
      <c r="J72" s="16" t="s">
        <v>139</v>
      </c>
      <c r="K72" s="14">
        <v>0</v>
      </c>
      <c r="L72" s="16">
        <v>0</v>
      </c>
      <c r="M72" s="14">
        <v>0</v>
      </c>
      <c r="N72" s="16">
        <v>0</v>
      </c>
      <c r="O72" s="14">
        <v>0</v>
      </c>
      <c r="P72" s="16">
        <v>0</v>
      </c>
      <c r="Q72" s="14">
        <v>0</v>
      </c>
      <c r="R72" s="16">
        <v>0</v>
      </c>
    </row>
    <row r="73" spans="1:18" x14ac:dyDescent="0.25">
      <c r="A73" s="11" t="s">
        <v>206</v>
      </c>
      <c r="B73" s="13">
        <v>8249</v>
      </c>
      <c r="C73" s="14">
        <f>(7001/B73*100)</f>
        <v>84.870893441629292</v>
      </c>
      <c r="D73" s="15">
        <v>1248</v>
      </c>
      <c r="E73" s="14">
        <v>53.736705919999999</v>
      </c>
      <c r="F73" s="16">
        <v>1.9260946999999999</v>
      </c>
      <c r="G73" s="14">
        <v>46.263294080000001</v>
      </c>
      <c r="H73" s="16">
        <v>1.9260946999999999</v>
      </c>
      <c r="I73" s="14" t="s">
        <v>139</v>
      </c>
      <c r="J73" s="16" t="s">
        <v>139</v>
      </c>
      <c r="K73" s="14">
        <v>0</v>
      </c>
      <c r="L73" s="16">
        <v>0</v>
      </c>
      <c r="M73" s="14">
        <v>0</v>
      </c>
      <c r="N73" s="16">
        <v>0</v>
      </c>
      <c r="O73" s="14">
        <v>0</v>
      </c>
      <c r="P73" s="16">
        <v>0</v>
      </c>
      <c r="Q73" s="14">
        <v>0</v>
      </c>
      <c r="R73" s="16">
        <v>0</v>
      </c>
    </row>
    <row r="74" spans="1:18" x14ac:dyDescent="0.25">
      <c r="A74" s="11" t="s">
        <v>207</v>
      </c>
      <c r="B74" s="17" t="s">
        <v>154</v>
      </c>
      <c r="C74" s="17" t="s">
        <v>154</v>
      </c>
      <c r="D74" s="18" t="s">
        <v>154</v>
      </c>
      <c r="E74" s="17" t="s">
        <v>154</v>
      </c>
      <c r="F74" s="18" t="s">
        <v>154</v>
      </c>
      <c r="G74" s="17" t="s">
        <v>154</v>
      </c>
      <c r="H74" s="18" t="s">
        <v>154</v>
      </c>
      <c r="I74" s="17" t="s">
        <v>154</v>
      </c>
      <c r="J74" s="18" t="s">
        <v>154</v>
      </c>
      <c r="K74" s="17" t="s">
        <v>154</v>
      </c>
      <c r="L74" s="18" t="s">
        <v>154</v>
      </c>
      <c r="M74" s="17" t="s">
        <v>154</v>
      </c>
      <c r="N74" s="18" t="s">
        <v>154</v>
      </c>
      <c r="O74" s="17" t="s">
        <v>154</v>
      </c>
      <c r="P74" s="18" t="s">
        <v>154</v>
      </c>
      <c r="Q74" s="17" t="s">
        <v>154</v>
      </c>
      <c r="R74" s="18" t="s">
        <v>154</v>
      </c>
    </row>
    <row r="75" spans="1:18" x14ac:dyDescent="0.25">
      <c r="A75" s="11" t="s">
        <v>208</v>
      </c>
      <c r="B75" s="13">
        <v>5375</v>
      </c>
      <c r="C75" s="14">
        <f>(4571/B75*100)</f>
        <v>85.041860465116287</v>
      </c>
      <c r="D75" s="15">
        <v>804</v>
      </c>
      <c r="E75" s="14">
        <v>70.538657369999996</v>
      </c>
      <c r="F75" s="16">
        <v>1.5818553099999999</v>
      </c>
      <c r="G75" s="14">
        <v>29.461342630000001</v>
      </c>
      <c r="H75" s="16">
        <v>1.5818553099999999</v>
      </c>
      <c r="I75" s="14" t="s">
        <v>139</v>
      </c>
      <c r="J75" s="16" t="s">
        <v>139</v>
      </c>
      <c r="K75" s="14">
        <v>0</v>
      </c>
      <c r="L75" s="16">
        <v>0</v>
      </c>
      <c r="M75" s="14">
        <v>0</v>
      </c>
      <c r="N75" s="16">
        <v>0</v>
      </c>
      <c r="O75" s="14">
        <v>0</v>
      </c>
      <c r="P75" s="16">
        <v>0</v>
      </c>
      <c r="Q75" s="14">
        <v>0</v>
      </c>
      <c r="R75" s="16">
        <v>0</v>
      </c>
    </row>
    <row r="76" spans="1:18" x14ac:dyDescent="0.25">
      <c r="A76" s="11" t="s">
        <v>209</v>
      </c>
      <c r="B76" s="13">
        <v>14167</v>
      </c>
      <c r="C76" s="14">
        <f>(11809/B76*100)</f>
        <v>83.355685748570622</v>
      </c>
      <c r="D76" s="15">
        <v>2358</v>
      </c>
      <c r="E76" s="14">
        <v>56.703927800000002</v>
      </c>
      <c r="F76" s="16">
        <v>1.3953009300000001</v>
      </c>
      <c r="G76" s="14">
        <v>43.296072199999998</v>
      </c>
      <c r="H76" s="16">
        <v>1.3953009300000001</v>
      </c>
      <c r="I76" s="14" t="s">
        <v>139</v>
      </c>
      <c r="J76" s="16" t="s">
        <v>139</v>
      </c>
      <c r="K76" s="14">
        <v>0</v>
      </c>
      <c r="L76" s="16">
        <v>0</v>
      </c>
      <c r="M76" s="14">
        <v>0</v>
      </c>
      <c r="N76" s="16">
        <v>0</v>
      </c>
      <c r="O76" s="14">
        <v>0</v>
      </c>
      <c r="P76" s="16">
        <v>0</v>
      </c>
      <c r="Q76" s="14">
        <v>0</v>
      </c>
      <c r="R76" s="16">
        <v>0</v>
      </c>
    </row>
    <row r="77" spans="1:18" x14ac:dyDescent="0.25">
      <c r="A77" s="11" t="s">
        <v>210</v>
      </c>
      <c r="B77" s="13">
        <v>6062</v>
      </c>
      <c r="C77" s="14">
        <f>(5111/B77*100)</f>
        <v>84.312108215110527</v>
      </c>
      <c r="D77" s="15">
        <v>951</v>
      </c>
      <c r="E77" s="14">
        <v>62.705967540000003</v>
      </c>
      <c r="F77" s="16">
        <v>1.58798097</v>
      </c>
      <c r="G77" s="14">
        <v>37.294032459999997</v>
      </c>
      <c r="H77" s="16">
        <v>1.58798097</v>
      </c>
      <c r="I77" s="14" t="s">
        <v>139</v>
      </c>
      <c r="J77" s="16" t="s">
        <v>139</v>
      </c>
      <c r="K77" s="14">
        <v>0</v>
      </c>
      <c r="L77" s="16">
        <v>0</v>
      </c>
      <c r="M77" s="14">
        <v>0</v>
      </c>
      <c r="N77" s="16">
        <v>0</v>
      </c>
      <c r="O77" s="14">
        <v>0</v>
      </c>
      <c r="P77" s="16">
        <v>0</v>
      </c>
      <c r="Q77" s="14">
        <v>0</v>
      </c>
      <c r="R77" s="16">
        <v>0</v>
      </c>
    </row>
    <row r="78" spans="1:18" x14ac:dyDescent="0.25">
      <c r="A78" s="11" t="s">
        <v>211</v>
      </c>
      <c r="B78" s="17" t="s">
        <v>154</v>
      </c>
      <c r="C78" s="17" t="s">
        <v>154</v>
      </c>
      <c r="D78" s="18" t="s">
        <v>154</v>
      </c>
      <c r="E78" s="17" t="s">
        <v>154</v>
      </c>
      <c r="F78" s="18" t="s">
        <v>154</v>
      </c>
      <c r="G78" s="17" t="s">
        <v>154</v>
      </c>
      <c r="H78" s="18" t="s">
        <v>154</v>
      </c>
      <c r="I78" s="17" t="s">
        <v>154</v>
      </c>
      <c r="J78" s="18" t="s">
        <v>154</v>
      </c>
      <c r="K78" s="17" t="s">
        <v>154</v>
      </c>
      <c r="L78" s="18" t="s">
        <v>154</v>
      </c>
      <c r="M78" s="17" t="s">
        <v>154</v>
      </c>
      <c r="N78" s="18" t="s">
        <v>154</v>
      </c>
      <c r="O78" s="17" t="s">
        <v>154</v>
      </c>
      <c r="P78" s="18" t="s">
        <v>154</v>
      </c>
      <c r="Q78" s="17" t="s">
        <v>154</v>
      </c>
      <c r="R78" s="18" t="s">
        <v>154</v>
      </c>
    </row>
    <row r="79" spans="1:18" ht="24.95" customHeight="1" x14ac:dyDescent="0.25">
      <c r="A79" s="11" t="s">
        <v>212</v>
      </c>
      <c r="B79" s="17" t="s">
        <v>154</v>
      </c>
      <c r="C79" s="17" t="s">
        <v>154</v>
      </c>
      <c r="D79" s="18" t="s">
        <v>154</v>
      </c>
      <c r="E79" s="17" t="s">
        <v>154</v>
      </c>
      <c r="F79" s="18" t="s">
        <v>154</v>
      </c>
      <c r="G79" s="17" t="s">
        <v>154</v>
      </c>
      <c r="H79" s="18" t="s">
        <v>154</v>
      </c>
      <c r="I79" s="17" t="s">
        <v>154</v>
      </c>
      <c r="J79" s="18" t="s">
        <v>154</v>
      </c>
      <c r="K79" s="17" t="s">
        <v>154</v>
      </c>
      <c r="L79" s="18" t="s">
        <v>154</v>
      </c>
      <c r="M79" s="17" t="s">
        <v>154</v>
      </c>
      <c r="N79" s="18" t="s">
        <v>154</v>
      </c>
      <c r="O79" s="17" t="s">
        <v>154</v>
      </c>
      <c r="P79" s="18" t="s">
        <v>154</v>
      </c>
      <c r="Q79" s="17" t="s">
        <v>154</v>
      </c>
      <c r="R79" s="18" t="s">
        <v>154</v>
      </c>
    </row>
    <row r="80" spans="1:18" x14ac:dyDescent="0.25">
      <c r="A80" s="11" t="s">
        <v>213</v>
      </c>
      <c r="B80" s="17" t="s">
        <v>154</v>
      </c>
      <c r="C80" s="17" t="s">
        <v>154</v>
      </c>
      <c r="D80" s="18" t="s">
        <v>154</v>
      </c>
      <c r="E80" s="17" t="s">
        <v>154</v>
      </c>
      <c r="F80" s="18" t="s">
        <v>154</v>
      </c>
      <c r="G80" s="17" t="s">
        <v>154</v>
      </c>
      <c r="H80" s="18" t="s">
        <v>154</v>
      </c>
      <c r="I80" s="17" t="s">
        <v>154</v>
      </c>
      <c r="J80" s="18" t="s">
        <v>154</v>
      </c>
      <c r="K80" s="17" t="s">
        <v>154</v>
      </c>
      <c r="L80" s="18" t="s">
        <v>154</v>
      </c>
      <c r="M80" s="17" t="s">
        <v>154</v>
      </c>
      <c r="N80" s="18" t="s">
        <v>154</v>
      </c>
      <c r="O80" s="17" t="s">
        <v>154</v>
      </c>
      <c r="P80" s="18" t="s">
        <v>154</v>
      </c>
      <c r="Q80" s="17" t="s">
        <v>154</v>
      </c>
      <c r="R80" s="18" t="s">
        <v>154</v>
      </c>
    </row>
    <row r="81" spans="1:18" x14ac:dyDescent="0.25">
      <c r="A81" s="19" t="s">
        <v>214</v>
      </c>
      <c r="B81" s="13">
        <v>8861</v>
      </c>
      <c r="C81" s="14">
        <f>(7350/B81*100)</f>
        <v>82.947748561110473</v>
      </c>
      <c r="D81" s="15">
        <v>1511</v>
      </c>
      <c r="E81" s="14">
        <v>61.116193440000004</v>
      </c>
      <c r="F81" s="16">
        <v>1.59528172</v>
      </c>
      <c r="G81" s="14">
        <v>38.883806559999996</v>
      </c>
      <c r="H81" s="16">
        <v>1.59528172</v>
      </c>
      <c r="I81" s="14" t="s">
        <v>139</v>
      </c>
      <c r="J81" s="16" t="s">
        <v>139</v>
      </c>
      <c r="K81" s="14">
        <v>0</v>
      </c>
      <c r="L81" s="16">
        <v>0</v>
      </c>
      <c r="M81" s="14">
        <v>0</v>
      </c>
      <c r="N81" s="16">
        <v>0</v>
      </c>
      <c r="O81" s="14">
        <v>0</v>
      </c>
      <c r="P81" s="16">
        <v>0</v>
      </c>
      <c r="Q81" s="14">
        <v>0</v>
      </c>
      <c r="R81" s="16">
        <v>0</v>
      </c>
    </row>
    <row r="82" spans="1:18" x14ac:dyDescent="0.25">
      <c r="A82" s="20"/>
      <c r="B82" s="20" t="s">
        <v>215</v>
      </c>
      <c r="C82" s="20" t="s">
        <v>215</v>
      </c>
      <c r="D82" s="20" t="s">
        <v>215</v>
      </c>
      <c r="E82" s="20" t="s">
        <v>215</v>
      </c>
      <c r="F82" s="20" t="s">
        <v>215</v>
      </c>
      <c r="G82" s="20" t="s">
        <v>215</v>
      </c>
      <c r="H82" s="20" t="s">
        <v>215</v>
      </c>
      <c r="I82" s="20" t="s">
        <v>215</v>
      </c>
      <c r="J82" s="20" t="s">
        <v>215</v>
      </c>
      <c r="K82" s="20" t="s">
        <v>215</v>
      </c>
      <c r="L82" s="20" t="s">
        <v>215</v>
      </c>
      <c r="M82" s="20" t="s">
        <v>215</v>
      </c>
      <c r="N82" s="20" t="s">
        <v>215</v>
      </c>
      <c r="O82" s="20" t="s">
        <v>215</v>
      </c>
      <c r="P82" s="20" t="s">
        <v>215</v>
      </c>
      <c r="Q82" s="20" t="s">
        <v>215</v>
      </c>
      <c r="R82" s="20" t="s">
        <v>215</v>
      </c>
    </row>
    <row r="83" spans="1:18" x14ac:dyDescent="0.25">
      <c r="A83" s="3" t="s">
        <v>216</v>
      </c>
    </row>
    <row r="84" spans="1:18" x14ac:dyDescent="0.25">
      <c r="A84" s="22" t="s">
        <v>217</v>
      </c>
      <c r="B84" s="23"/>
      <c r="C84" s="23"/>
      <c r="D84" s="23"/>
      <c r="E84" s="23"/>
      <c r="F84" s="23"/>
      <c r="G84" s="23"/>
      <c r="H84" s="23"/>
      <c r="I84" s="23"/>
      <c r="J84" s="23"/>
      <c r="K84" s="23"/>
      <c r="L84" s="23"/>
      <c r="M84" s="23"/>
      <c r="N84" s="23"/>
      <c r="O84" s="23"/>
      <c r="P84" s="23"/>
      <c r="Q84" s="23"/>
      <c r="R84" s="23"/>
    </row>
    <row r="85" spans="1:18" x14ac:dyDescent="0.25">
      <c r="A85" s="22" t="s">
        <v>218</v>
      </c>
      <c r="B85" s="23"/>
      <c r="C85" s="23"/>
      <c r="D85" s="23"/>
      <c r="E85" s="23"/>
      <c r="F85" s="23"/>
      <c r="G85" s="23"/>
      <c r="H85" s="23"/>
      <c r="I85" s="23"/>
      <c r="J85" s="23"/>
      <c r="K85" s="23"/>
      <c r="L85" s="23"/>
      <c r="M85" s="23"/>
      <c r="N85" s="23"/>
      <c r="O85" s="23"/>
      <c r="P85" s="23"/>
      <c r="Q85" s="23"/>
      <c r="R85" s="23"/>
    </row>
    <row r="86" spans="1:18" ht="30" customHeight="1" x14ac:dyDescent="0.25">
      <c r="A86" s="22" t="s">
        <v>219</v>
      </c>
      <c r="B86" s="23"/>
      <c r="C86" s="23"/>
      <c r="D86" s="23"/>
      <c r="E86" s="23"/>
      <c r="F86" s="23"/>
      <c r="G86" s="23"/>
      <c r="H86" s="23"/>
      <c r="I86" s="23"/>
      <c r="J86" s="23"/>
      <c r="K86" s="23"/>
      <c r="L86" s="23"/>
      <c r="M86" s="23"/>
      <c r="N86" s="23"/>
      <c r="O86" s="23"/>
      <c r="P86" s="23"/>
      <c r="Q86" s="23"/>
      <c r="R86" s="23"/>
    </row>
    <row r="87" spans="1:18" ht="30" customHeight="1" x14ac:dyDescent="0.25">
      <c r="A87" s="22" t="s">
        <v>215</v>
      </c>
      <c r="B87" s="23"/>
      <c r="C87" s="23"/>
      <c r="D87" s="23"/>
      <c r="E87" s="23"/>
      <c r="F87" s="23"/>
      <c r="G87" s="23"/>
      <c r="H87" s="23"/>
      <c r="I87" s="23"/>
      <c r="J87" s="23"/>
      <c r="K87" s="23"/>
      <c r="L87" s="23"/>
      <c r="M87" s="23"/>
      <c r="N87" s="23"/>
      <c r="O87" s="23"/>
      <c r="P87" s="23"/>
      <c r="Q87" s="23"/>
      <c r="R87" s="23"/>
    </row>
    <row r="88" spans="1:18" ht="30" customHeight="1" x14ac:dyDescent="0.25">
      <c r="A88" s="22" t="s">
        <v>220</v>
      </c>
      <c r="B88" s="23"/>
      <c r="C88" s="23"/>
      <c r="D88" s="23"/>
      <c r="E88" s="23"/>
      <c r="F88" s="23"/>
      <c r="G88" s="23"/>
      <c r="H88" s="23"/>
      <c r="I88" s="23"/>
      <c r="J88" s="23"/>
      <c r="K88" s="23"/>
      <c r="L88" s="23"/>
      <c r="M88" s="23"/>
      <c r="N88" s="23"/>
      <c r="O88" s="23"/>
      <c r="P88" s="23"/>
      <c r="Q88" s="23"/>
      <c r="R88" s="23"/>
    </row>
    <row r="89" spans="1:18" ht="30" customHeight="1" x14ac:dyDescent="0.25">
      <c r="A89" s="22" t="s">
        <v>221</v>
      </c>
      <c r="B89" s="23"/>
      <c r="C89" s="23"/>
      <c r="D89" s="23"/>
      <c r="E89" s="23"/>
      <c r="F89" s="23"/>
      <c r="G89" s="23"/>
      <c r="H89" s="23"/>
      <c r="I89" s="23"/>
      <c r="J89" s="23"/>
      <c r="K89" s="23"/>
      <c r="L89" s="23"/>
      <c r="M89" s="23"/>
      <c r="N89" s="23"/>
      <c r="O89" s="23"/>
      <c r="P89" s="23"/>
      <c r="Q89" s="23"/>
      <c r="R89" s="23"/>
    </row>
    <row r="90" spans="1:18" ht="30" customHeight="1" x14ac:dyDescent="0.25">
      <c r="A90" s="22" t="s">
        <v>222</v>
      </c>
      <c r="B90" s="23"/>
      <c r="C90" s="23"/>
      <c r="D90" s="23"/>
      <c r="E90" s="23"/>
      <c r="F90" s="23"/>
      <c r="G90" s="23"/>
      <c r="H90" s="23"/>
      <c r="I90" s="23"/>
      <c r="J90" s="23"/>
      <c r="K90" s="23"/>
      <c r="L90" s="23"/>
      <c r="M90" s="23"/>
      <c r="N90" s="23"/>
      <c r="O90" s="23"/>
      <c r="P90" s="23"/>
      <c r="Q90" s="23"/>
      <c r="R90" s="23"/>
    </row>
    <row r="91" spans="1:18" ht="30" customHeight="1" x14ac:dyDescent="0.25">
      <c r="A91" s="22" t="s">
        <v>223</v>
      </c>
      <c r="B91" s="23"/>
      <c r="C91" s="23"/>
      <c r="D91" s="23"/>
      <c r="E91" s="23"/>
      <c r="F91" s="23"/>
      <c r="G91" s="23"/>
      <c r="H91" s="23"/>
      <c r="I91" s="23"/>
      <c r="J91" s="23"/>
      <c r="K91" s="23"/>
      <c r="L91" s="23"/>
      <c r="M91" s="23"/>
      <c r="N91" s="23"/>
      <c r="O91" s="23"/>
      <c r="P91" s="23"/>
      <c r="Q91" s="23"/>
      <c r="R91" s="23"/>
    </row>
    <row r="92" spans="1:18" ht="30" customHeight="1" x14ac:dyDescent="0.25">
      <c r="A92" s="22" t="s">
        <v>224</v>
      </c>
      <c r="B92" s="23"/>
      <c r="C92" s="23"/>
      <c r="D92" s="23"/>
      <c r="E92" s="23"/>
      <c r="F92" s="23"/>
      <c r="G92" s="23"/>
      <c r="H92" s="23"/>
      <c r="I92" s="23"/>
      <c r="J92" s="23"/>
      <c r="K92" s="23"/>
      <c r="L92" s="23"/>
      <c r="M92" s="23"/>
      <c r="N92" s="23"/>
      <c r="O92" s="23"/>
      <c r="P92" s="23"/>
      <c r="Q92" s="23"/>
      <c r="R92" s="23"/>
    </row>
    <row r="93" spans="1:18" ht="30" customHeight="1" x14ac:dyDescent="0.25">
      <c r="A93" s="22" t="s">
        <v>225</v>
      </c>
      <c r="B93" s="23"/>
      <c r="C93" s="23"/>
      <c r="D93" s="23"/>
      <c r="E93" s="23"/>
      <c r="F93" s="23"/>
      <c r="G93" s="23"/>
      <c r="H93" s="23"/>
      <c r="I93" s="23"/>
      <c r="J93" s="23"/>
      <c r="K93" s="23"/>
      <c r="L93" s="23"/>
      <c r="M93" s="23"/>
      <c r="N93" s="23"/>
      <c r="O93" s="23"/>
      <c r="P93" s="23"/>
      <c r="Q93" s="23"/>
      <c r="R93" s="23"/>
    </row>
    <row r="94" spans="1:18" ht="30" customHeight="1" x14ac:dyDescent="0.25">
      <c r="A94" s="22" t="s">
        <v>226</v>
      </c>
      <c r="B94" s="23"/>
      <c r="C94" s="23"/>
      <c r="D94" s="23"/>
      <c r="E94" s="23"/>
      <c r="F94" s="23"/>
      <c r="G94" s="23"/>
      <c r="H94" s="23"/>
      <c r="I94" s="23"/>
      <c r="J94" s="23"/>
      <c r="K94" s="23"/>
      <c r="L94" s="23"/>
      <c r="M94" s="23"/>
      <c r="N94" s="23"/>
      <c r="O94" s="23"/>
      <c r="P94" s="23"/>
      <c r="Q94" s="23"/>
      <c r="R94" s="23"/>
    </row>
    <row r="95" spans="1:18" ht="30" customHeight="1" x14ac:dyDescent="0.25">
      <c r="A95" s="22" t="s">
        <v>227</v>
      </c>
      <c r="B95" s="23"/>
      <c r="C95" s="23"/>
      <c r="D95" s="23"/>
      <c r="E95" s="23"/>
      <c r="F95" s="23"/>
      <c r="G95" s="23"/>
      <c r="H95" s="23"/>
      <c r="I95" s="23"/>
      <c r="J95" s="23"/>
      <c r="K95" s="23"/>
      <c r="L95" s="23"/>
      <c r="M95" s="23"/>
      <c r="N95" s="23"/>
      <c r="O95" s="23"/>
      <c r="P95" s="23"/>
      <c r="Q95" s="23"/>
      <c r="R95" s="23"/>
    </row>
    <row r="96" spans="1:18" ht="30" customHeight="1" x14ac:dyDescent="0.25">
      <c r="A96" s="22" t="s">
        <v>228</v>
      </c>
      <c r="B96" s="23"/>
      <c r="C96" s="23"/>
      <c r="D96" s="23"/>
      <c r="E96" s="23"/>
      <c r="F96" s="23"/>
      <c r="G96" s="23"/>
      <c r="H96" s="23"/>
      <c r="I96" s="23"/>
      <c r="J96" s="23"/>
      <c r="K96" s="23"/>
      <c r="L96" s="23"/>
      <c r="M96" s="23"/>
      <c r="N96" s="23"/>
      <c r="O96" s="23"/>
      <c r="P96" s="23"/>
      <c r="Q96" s="23"/>
      <c r="R96" s="23"/>
    </row>
  </sheetData>
  <mergeCells count="22">
    <mergeCell ref="O4:P4"/>
    <mergeCell ref="Q4:R4"/>
    <mergeCell ref="A1:R1"/>
    <mergeCell ref="A2:R2"/>
    <mergeCell ref="A84:R84"/>
    <mergeCell ref="E4:F4"/>
    <mergeCell ref="G4:H4"/>
    <mergeCell ref="I4:J4"/>
    <mergeCell ref="K4:L4"/>
    <mergeCell ref="M4:N4"/>
    <mergeCell ref="A85:R85"/>
    <mergeCell ref="A86:R86"/>
    <mergeCell ref="A87:R87"/>
    <mergeCell ref="A88:R88"/>
    <mergeCell ref="A89:R89"/>
    <mergeCell ref="A95:R95"/>
    <mergeCell ref="A96:R96"/>
    <mergeCell ref="A90:R90"/>
    <mergeCell ref="A91:R91"/>
    <mergeCell ref="A92:R92"/>
    <mergeCell ref="A93:R93"/>
    <mergeCell ref="A94:R94"/>
  </mergeCells>
  <pageMargins left="0.75" right="0.75" top="1" bottom="1" header="0.5" footer="0.5"/>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3"/>
  <dimension ref="A1:R96"/>
  <sheetViews>
    <sheetView zoomScale="80" workbookViewId="0">
      <pane xSplit="4" topLeftCell="E1" activePane="topRight" state="frozen"/>
      <selection sqref="A1:R1"/>
      <selection pane="topRight" sqref="A1:R1"/>
    </sheetView>
  </sheetViews>
  <sheetFormatPr defaultColWidth="11.42578125" defaultRowHeight="15" x14ac:dyDescent="0.25"/>
  <cols>
    <col min="1" max="1" width="50" customWidth="1"/>
  </cols>
  <sheetData>
    <row r="1" spans="1:18" x14ac:dyDescent="0.25">
      <c r="A1" s="26" t="s">
        <v>122</v>
      </c>
      <c r="B1" s="23"/>
      <c r="C1" s="23"/>
      <c r="D1" s="23"/>
      <c r="E1" s="23"/>
      <c r="F1" s="23"/>
      <c r="G1" s="23"/>
      <c r="H1" s="23"/>
      <c r="I1" s="23"/>
      <c r="J1" s="23"/>
      <c r="K1" s="23"/>
      <c r="L1" s="23"/>
      <c r="M1" s="23"/>
      <c r="N1" s="23"/>
      <c r="O1" s="23"/>
      <c r="P1" s="23"/>
      <c r="Q1" s="23"/>
      <c r="R1" s="23"/>
    </row>
    <row r="2" spans="1:18" x14ac:dyDescent="0.25">
      <c r="A2" s="27" t="s">
        <v>269</v>
      </c>
      <c r="B2" s="23"/>
      <c r="C2" s="23"/>
      <c r="D2" s="23"/>
      <c r="E2" s="23"/>
      <c r="F2" s="23"/>
      <c r="G2" s="23"/>
      <c r="H2" s="23"/>
      <c r="I2" s="23"/>
      <c r="J2" s="23"/>
      <c r="K2" s="23"/>
      <c r="L2" s="23"/>
      <c r="M2" s="23"/>
      <c r="N2" s="23"/>
      <c r="O2" s="23"/>
      <c r="P2" s="23"/>
      <c r="Q2" s="23"/>
      <c r="R2" s="23"/>
    </row>
    <row r="4" spans="1:18" ht="30" customHeight="1" x14ac:dyDescent="0.25">
      <c r="A4" s="4"/>
      <c r="B4" s="5" t="s">
        <v>123</v>
      </c>
      <c r="C4" s="5" t="s">
        <v>124</v>
      </c>
      <c r="D4" s="6" t="s">
        <v>123</v>
      </c>
      <c r="E4" s="24" t="s">
        <v>125</v>
      </c>
      <c r="F4" s="25"/>
      <c r="G4" s="24" t="s">
        <v>126</v>
      </c>
      <c r="H4" s="25"/>
      <c r="I4" s="24" t="s">
        <v>127</v>
      </c>
      <c r="J4" s="25"/>
      <c r="K4" s="24" t="s">
        <v>128</v>
      </c>
      <c r="L4" s="25"/>
      <c r="M4" s="24" t="s">
        <v>129</v>
      </c>
      <c r="N4" s="25"/>
      <c r="O4" s="24" t="s">
        <v>130</v>
      </c>
      <c r="P4" s="25"/>
      <c r="Q4" s="24" t="s">
        <v>131</v>
      </c>
      <c r="R4" s="25"/>
    </row>
    <row r="5" spans="1:18" x14ac:dyDescent="0.25">
      <c r="A5" s="7"/>
      <c r="B5" s="8" t="s">
        <v>132</v>
      </c>
      <c r="C5" s="8" t="s">
        <v>133</v>
      </c>
      <c r="D5" s="7" t="s">
        <v>134</v>
      </c>
      <c r="E5" s="8" t="s">
        <v>135</v>
      </c>
      <c r="F5" s="7" t="s">
        <v>136</v>
      </c>
      <c r="G5" s="8" t="s">
        <v>135</v>
      </c>
      <c r="H5" s="7" t="s">
        <v>136</v>
      </c>
      <c r="I5" s="8" t="s">
        <v>135</v>
      </c>
      <c r="J5" s="7" t="s">
        <v>136</v>
      </c>
      <c r="K5" s="8" t="s">
        <v>135</v>
      </c>
      <c r="L5" s="7" t="s">
        <v>136</v>
      </c>
      <c r="M5" s="8" t="s">
        <v>135</v>
      </c>
      <c r="N5" s="7" t="s">
        <v>136</v>
      </c>
      <c r="O5" s="8" t="s">
        <v>135</v>
      </c>
      <c r="P5" s="7" t="s">
        <v>136</v>
      </c>
      <c r="Q5" s="8" t="s">
        <v>135</v>
      </c>
      <c r="R5" s="7" t="s">
        <v>136</v>
      </c>
    </row>
    <row r="6" spans="1:18" x14ac:dyDescent="0.25">
      <c r="A6" s="9" t="s">
        <v>137</v>
      </c>
      <c r="B6" s="10"/>
      <c r="C6" s="10"/>
      <c r="D6" s="11"/>
      <c r="E6" s="10"/>
      <c r="F6" s="11"/>
      <c r="G6" s="10"/>
      <c r="H6" s="11"/>
      <c r="I6" s="10"/>
      <c r="J6" s="11"/>
      <c r="K6" s="10"/>
      <c r="L6" s="11"/>
      <c r="M6" s="10"/>
      <c r="N6" s="11"/>
      <c r="O6" s="10"/>
      <c r="P6" s="11"/>
      <c r="Q6" s="10"/>
      <c r="R6" s="12"/>
    </row>
    <row r="7" spans="1:18" x14ac:dyDescent="0.25">
      <c r="A7" s="11" t="s">
        <v>138</v>
      </c>
      <c r="B7" s="13">
        <v>14530</v>
      </c>
      <c r="C7" s="14">
        <f>(12186/B7*100)</f>
        <v>83.867859600825881</v>
      </c>
      <c r="D7" s="15">
        <v>2344</v>
      </c>
      <c r="E7" s="14">
        <v>7.3480448799999998</v>
      </c>
      <c r="F7" s="16">
        <v>0.77745255999999996</v>
      </c>
      <c r="G7" s="14">
        <v>92.651955119999997</v>
      </c>
      <c r="H7" s="16">
        <v>0.77745255999999996</v>
      </c>
      <c r="I7" s="14" t="s">
        <v>139</v>
      </c>
      <c r="J7" s="16" t="s">
        <v>139</v>
      </c>
      <c r="K7" s="14">
        <v>0</v>
      </c>
      <c r="L7" s="16">
        <v>0</v>
      </c>
      <c r="M7" s="14">
        <v>0</v>
      </c>
      <c r="N7" s="16">
        <v>0</v>
      </c>
      <c r="O7" s="14">
        <v>0</v>
      </c>
      <c r="P7" s="16">
        <v>0</v>
      </c>
      <c r="Q7" s="14">
        <v>0</v>
      </c>
      <c r="R7" s="16">
        <v>0</v>
      </c>
    </row>
    <row r="8" spans="1:18" x14ac:dyDescent="0.25">
      <c r="A8" s="11" t="s">
        <v>140</v>
      </c>
      <c r="B8" s="13">
        <v>7007</v>
      </c>
      <c r="C8" s="14">
        <f>(5832/B8*100)</f>
        <v>83.231054659626096</v>
      </c>
      <c r="D8" s="15">
        <v>1175</v>
      </c>
      <c r="E8" s="14">
        <v>12.421824559999999</v>
      </c>
      <c r="F8" s="16">
        <v>1.2456070699999999</v>
      </c>
      <c r="G8" s="14">
        <v>87.578175439999995</v>
      </c>
      <c r="H8" s="16">
        <v>1.2456070699999999</v>
      </c>
      <c r="I8" s="14" t="s">
        <v>139</v>
      </c>
      <c r="J8" s="16" t="s">
        <v>139</v>
      </c>
      <c r="K8" s="14">
        <v>0</v>
      </c>
      <c r="L8" s="16">
        <v>0</v>
      </c>
      <c r="M8" s="14">
        <v>0</v>
      </c>
      <c r="N8" s="16">
        <v>0</v>
      </c>
      <c r="O8" s="14">
        <v>0</v>
      </c>
      <c r="P8" s="16">
        <v>0</v>
      </c>
      <c r="Q8" s="14">
        <v>0</v>
      </c>
      <c r="R8" s="16">
        <v>0</v>
      </c>
    </row>
    <row r="9" spans="1:18" x14ac:dyDescent="0.25">
      <c r="A9" s="11" t="s">
        <v>141</v>
      </c>
      <c r="B9" s="13">
        <v>9651</v>
      </c>
      <c r="C9" s="14">
        <f>(8126/B9*100)</f>
        <v>84.198528649880842</v>
      </c>
      <c r="D9" s="15">
        <v>1525</v>
      </c>
      <c r="E9" s="14">
        <v>8.0824253600000002</v>
      </c>
      <c r="F9" s="16">
        <v>0.71703530000000004</v>
      </c>
      <c r="G9" s="14">
        <v>91.917574639999998</v>
      </c>
      <c r="H9" s="16">
        <v>0.71703530000000004</v>
      </c>
      <c r="I9" s="14" t="s">
        <v>139</v>
      </c>
      <c r="J9" s="16" t="s">
        <v>139</v>
      </c>
      <c r="K9" s="14">
        <v>0</v>
      </c>
      <c r="L9" s="16">
        <v>0</v>
      </c>
      <c r="M9" s="14">
        <v>0</v>
      </c>
      <c r="N9" s="16">
        <v>0</v>
      </c>
      <c r="O9" s="14">
        <v>0</v>
      </c>
      <c r="P9" s="16">
        <v>0</v>
      </c>
      <c r="Q9" s="14">
        <v>0</v>
      </c>
      <c r="R9" s="16">
        <v>0</v>
      </c>
    </row>
    <row r="10" spans="1:18" x14ac:dyDescent="0.25">
      <c r="A10" s="11" t="s">
        <v>142</v>
      </c>
      <c r="B10" s="13">
        <v>20058</v>
      </c>
      <c r="C10" s="14">
        <f>(16663/B10*100)</f>
        <v>83.074085153056132</v>
      </c>
      <c r="D10" s="15">
        <v>3395</v>
      </c>
      <c r="E10" s="14">
        <v>7.1108667800000003</v>
      </c>
      <c r="F10" s="16">
        <v>0.57356753999999999</v>
      </c>
      <c r="G10" s="14">
        <v>92.889133220000005</v>
      </c>
      <c r="H10" s="16">
        <v>0.57356753999999999</v>
      </c>
      <c r="I10" s="14" t="s">
        <v>139</v>
      </c>
      <c r="J10" s="16" t="s">
        <v>139</v>
      </c>
      <c r="K10" s="14">
        <v>0</v>
      </c>
      <c r="L10" s="16">
        <v>0</v>
      </c>
      <c r="M10" s="14">
        <v>0</v>
      </c>
      <c r="N10" s="16">
        <v>0</v>
      </c>
      <c r="O10" s="14">
        <v>0</v>
      </c>
      <c r="P10" s="16">
        <v>0</v>
      </c>
      <c r="Q10" s="14">
        <v>0</v>
      </c>
      <c r="R10" s="16">
        <v>0</v>
      </c>
    </row>
    <row r="11" spans="1:18" x14ac:dyDescent="0.25">
      <c r="A11" s="11" t="s">
        <v>143</v>
      </c>
      <c r="B11" s="13">
        <v>7053</v>
      </c>
      <c r="C11" s="14">
        <f>(5925/B11*100)</f>
        <v>84.006805614632071</v>
      </c>
      <c r="D11" s="15">
        <v>1128</v>
      </c>
      <c r="E11" s="14">
        <v>12.558275569999999</v>
      </c>
      <c r="F11" s="16">
        <v>1.0964124900000001</v>
      </c>
      <c r="G11" s="14">
        <v>87.441724429999994</v>
      </c>
      <c r="H11" s="16">
        <v>1.0964124900000001</v>
      </c>
      <c r="I11" s="14" t="s">
        <v>139</v>
      </c>
      <c r="J11" s="16" t="s">
        <v>139</v>
      </c>
      <c r="K11" s="14">
        <v>0</v>
      </c>
      <c r="L11" s="16">
        <v>0</v>
      </c>
      <c r="M11" s="14">
        <v>0</v>
      </c>
      <c r="N11" s="16">
        <v>0</v>
      </c>
      <c r="O11" s="14">
        <v>0</v>
      </c>
      <c r="P11" s="16">
        <v>0</v>
      </c>
      <c r="Q11" s="14">
        <v>0</v>
      </c>
      <c r="R11" s="16">
        <v>0</v>
      </c>
    </row>
    <row r="12" spans="1:18" x14ac:dyDescent="0.25">
      <c r="A12" s="11" t="s">
        <v>144</v>
      </c>
      <c r="B12" s="13">
        <v>6894</v>
      </c>
      <c r="C12" s="14">
        <f>(5770/B12*100)</f>
        <v>83.695967507977954</v>
      </c>
      <c r="D12" s="15">
        <v>1124</v>
      </c>
      <c r="E12" s="14">
        <v>10.01390264</v>
      </c>
      <c r="F12" s="16">
        <v>1.21932602</v>
      </c>
      <c r="G12" s="14">
        <v>89.986097360000002</v>
      </c>
      <c r="H12" s="16">
        <v>1.21932602</v>
      </c>
      <c r="I12" s="14" t="s">
        <v>139</v>
      </c>
      <c r="J12" s="16" t="s">
        <v>139</v>
      </c>
      <c r="K12" s="14">
        <v>0</v>
      </c>
      <c r="L12" s="16">
        <v>0</v>
      </c>
      <c r="M12" s="14">
        <v>0</v>
      </c>
      <c r="N12" s="16">
        <v>0</v>
      </c>
      <c r="O12" s="14">
        <v>0</v>
      </c>
      <c r="P12" s="16">
        <v>0</v>
      </c>
      <c r="Q12" s="14">
        <v>0</v>
      </c>
      <c r="R12" s="16">
        <v>0</v>
      </c>
    </row>
    <row r="13" spans="1:18" x14ac:dyDescent="0.25">
      <c r="A13" s="11" t="s">
        <v>145</v>
      </c>
      <c r="B13" s="13">
        <v>7161</v>
      </c>
      <c r="C13" s="14">
        <f>(6035/B13*100)</f>
        <v>84.275939114648793</v>
      </c>
      <c r="D13" s="15">
        <v>1126</v>
      </c>
      <c r="E13" s="14">
        <v>7.586379</v>
      </c>
      <c r="F13" s="16">
        <v>0.98124212</v>
      </c>
      <c r="G13" s="14">
        <v>92.413621000000006</v>
      </c>
      <c r="H13" s="16">
        <v>0.98124212</v>
      </c>
      <c r="I13" s="14" t="s">
        <v>139</v>
      </c>
      <c r="J13" s="16" t="s">
        <v>139</v>
      </c>
      <c r="K13" s="14">
        <v>0</v>
      </c>
      <c r="L13" s="16">
        <v>0</v>
      </c>
      <c r="M13" s="14">
        <v>0</v>
      </c>
      <c r="N13" s="16">
        <v>0</v>
      </c>
      <c r="O13" s="14">
        <v>0</v>
      </c>
      <c r="P13" s="16">
        <v>0</v>
      </c>
      <c r="Q13" s="14">
        <v>0</v>
      </c>
      <c r="R13" s="16">
        <v>0</v>
      </c>
    </row>
    <row r="14" spans="1:18" x14ac:dyDescent="0.25">
      <c r="A14" s="11" t="s">
        <v>146</v>
      </c>
      <c r="B14" s="13">
        <v>5587</v>
      </c>
      <c r="C14" s="14">
        <f>(4647/B14*100)</f>
        <v>83.175228208340783</v>
      </c>
      <c r="D14" s="15">
        <v>940</v>
      </c>
      <c r="E14" s="14">
        <v>4.8007636199999997</v>
      </c>
      <c r="F14" s="16">
        <v>0.73735057999999998</v>
      </c>
      <c r="G14" s="14">
        <v>95.199236380000002</v>
      </c>
      <c r="H14" s="16">
        <v>0.73735057999999998</v>
      </c>
      <c r="I14" s="14" t="s">
        <v>139</v>
      </c>
      <c r="J14" s="16" t="s">
        <v>139</v>
      </c>
      <c r="K14" s="14">
        <v>0</v>
      </c>
      <c r="L14" s="16">
        <v>0</v>
      </c>
      <c r="M14" s="14">
        <v>0</v>
      </c>
      <c r="N14" s="16">
        <v>0</v>
      </c>
      <c r="O14" s="14">
        <v>0</v>
      </c>
      <c r="P14" s="16">
        <v>0</v>
      </c>
      <c r="Q14" s="14">
        <v>0</v>
      </c>
      <c r="R14" s="16">
        <v>0</v>
      </c>
    </row>
    <row r="15" spans="1:18" x14ac:dyDescent="0.25">
      <c r="A15" s="11" t="s">
        <v>147</v>
      </c>
      <c r="B15" s="13">
        <v>5882</v>
      </c>
      <c r="C15" s="14">
        <f>(4921/B15*100)</f>
        <v>83.66201972118327</v>
      </c>
      <c r="D15" s="15">
        <v>961</v>
      </c>
      <c r="E15" s="14">
        <v>6.6011106499999999</v>
      </c>
      <c r="F15" s="16">
        <v>1.00291635</v>
      </c>
      <c r="G15" s="14">
        <v>93.398889350000005</v>
      </c>
      <c r="H15" s="16">
        <v>1.00291635</v>
      </c>
      <c r="I15" s="14" t="s">
        <v>139</v>
      </c>
      <c r="J15" s="16" t="s">
        <v>139</v>
      </c>
      <c r="K15" s="14">
        <v>0</v>
      </c>
      <c r="L15" s="16">
        <v>0</v>
      </c>
      <c r="M15" s="14">
        <v>0</v>
      </c>
      <c r="N15" s="16">
        <v>0</v>
      </c>
      <c r="O15" s="14">
        <v>0</v>
      </c>
      <c r="P15" s="16">
        <v>0</v>
      </c>
      <c r="Q15" s="14">
        <v>0</v>
      </c>
      <c r="R15" s="16">
        <v>0</v>
      </c>
    </row>
    <row r="16" spans="1:18" x14ac:dyDescent="0.25">
      <c r="A16" s="11" t="s">
        <v>148</v>
      </c>
      <c r="B16" s="13">
        <v>6108</v>
      </c>
      <c r="C16" s="14">
        <f>(5092/B16*100)</f>
        <v>83.366077275704001</v>
      </c>
      <c r="D16" s="15">
        <v>1016</v>
      </c>
      <c r="E16" s="14">
        <v>10.476011059999999</v>
      </c>
      <c r="F16" s="16">
        <v>0.95353447999999996</v>
      </c>
      <c r="G16" s="14">
        <v>89.523988939999995</v>
      </c>
      <c r="H16" s="16">
        <v>0.95353447999999996</v>
      </c>
      <c r="I16" s="14" t="s">
        <v>139</v>
      </c>
      <c r="J16" s="16" t="s">
        <v>139</v>
      </c>
      <c r="K16" s="14">
        <v>0</v>
      </c>
      <c r="L16" s="16">
        <v>0</v>
      </c>
      <c r="M16" s="14">
        <v>0</v>
      </c>
      <c r="N16" s="16">
        <v>0</v>
      </c>
      <c r="O16" s="14">
        <v>0</v>
      </c>
      <c r="P16" s="16">
        <v>0</v>
      </c>
      <c r="Q16" s="14">
        <v>0</v>
      </c>
      <c r="R16" s="16">
        <v>0</v>
      </c>
    </row>
    <row r="17" spans="1:18" x14ac:dyDescent="0.25">
      <c r="A17" s="11" t="s">
        <v>149</v>
      </c>
      <c r="B17" s="13">
        <v>6504</v>
      </c>
      <c r="C17" s="14">
        <f>(5459/B17*100)</f>
        <v>83.932964329643298</v>
      </c>
      <c r="D17" s="15">
        <v>1045</v>
      </c>
      <c r="E17" s="14">
        <v>7.3078154299999998</v>
      </c>
      <c r="F17" s="16">
        <v>0.84270517</v>
      </c>
      <c r="G17" s="14">
        <v>92.692184569999995</v>
      </c>
      <c r="H17" s="16">
        <v>0.84270517</v>
      </c>
      <c r="I17" s="14" t="s">
        <v>139</v>
      </c>
      <c r="J17" s="16" t="s">
        <v>139</v>
      </c>
      <c r="K17" s="14">
        <v>0</v>
      </c>
      <c r="L17" s="16">
        <v>0</v>
      </c>
      <c r="M17" s="14">
        <v>0</v>
      </c>
      <c r="N17" s="16">
        <v>0</v>
      </c>
      <c r="O17" s="14">
        <v>0</v>
      </c>
      <c r="P17" s="16">
        <v>0</v>
      </c>
      <c r="Q17" s="14">
        <v>0</v>
      </c>
      <c r="R17" s="16">
        <v>0</v>
      </c>
    </row>
    <row r="18" spans="1:18" x14ac:dyDescent="0.25">
      <c r="A18" s="11" t="s">
        <v>150</v>
      </c>
      <c r="B18" s="13">
        <v>5532</v>
      </c>
      <c r="C18" s="14">
        <f>(4583/B18*100)</f>
        <v>82.845263919016631</v>
      </c>
      <c r="D18" s="15">
        <v>949</v>
      </c>
      <c r="E18" s="14">
        <v>16.293150900000001</v>
      </c>
      <c r="F18" s="16">
        <v>1.3784201899999999</v>
      </c>
      <c r="G18" s="14">
        <v>83.706849099999999</v>
      </c>
      <c r="H18" s="16">
        <v>1.3784201899999999</v>
      </c>
      <c r="I18" s="14" t="s">
        <v>139</v>
      </c>
      <c r="J18" s="16" t="s">
        <v>139</v>
      </c>
      <c r="K18" s="14">
        <v>0</v>
      </c>
      <c r="L18" s="16">
        <v>0</v>
      </c>
      <c r="M18" s="14">
        <v>0</v>
      </c>
      <c r="N18" s="16">
        <v>0</v>
      </c>
      <c r="O18" s="14">
        <v>0</v>
      </c>
      <c r="P18" s="16">
        <v>0</v>
      </c>
      <c r="Q18" s="14">
        <v>0</v>
      </c>
      <c r="R18" s="16">
        <v>0</v>
      </c>
    </row>
    <row r="19" spans="1:18" x14ac:dyDescent="0.25">
      <c r="A19" s="11" t="s">
        <v>151</v>
      </c>
      <c r="B19" s="13">
        <v>5658</v>
      </c>
      <c r="C19" s="14">
        <f>(4745/B19*100)</f>
        <v>83.863556026864615</v>
      </c>
      <c r="D19" s="15">
        <v>913</v>
      </c>
      <c r="E19" s="14">
        <v>10.874134740000001</v>
      </c>
      <c r="F19" s="16">
        <v>0.96874417000000002</v>
      </c>
      <c r="G19" s="14">
        <v>89.125865259999998</v>
      </c>
      <c r="H19" s="16">
        <v>0.96874417000000002</v>
      </c>
      <c r="I19" s="14" t="s">
        <v>139</v>
      </c>
      <c r="J19" s="16" t="s">
        <v>139</v>
      </c>
      <c r="K19" s="14">
        <v>0</v>
      </c>
      <c r="L19" s="16">
        <v>0</v>
      </c>
      <c r="M19" s="14">
        <v>0</v>
      </c>
      <c r="N19" s="16">
        <v>0</v>
      </c>
      <c r="O19" s="14">
        <v>0</v>
      </c>
      <c r="P19" s="16">
        <v>0</v>
      </c>
      <c r="Q19" s="14">
        <v>0</v>
      </c>
      <c r="R19" s="16">
        <v>0</v>
      </c>
    </row>
    <row r="20" spans="1:18" x14ac:dyDescent="0.25">
      <c r="A20" s="11" t="s">
        <v>152</v>
      </c>
      <c r="B20" s="13">
        <v>3371</v>
      </c>
      <c r="C20" s="14">
        <f>(2820/B20*100)</f>
        <v>83.654701868881645</v>
      </c>
      <c r="D20" s="15">
        <v>551</v>
      </c>
      <c r="E20" s="14">
        <v>10.411869469999999</v>
      </c>
      <c r="F20" s="16">
        <v>1.3389800700000001</v>
      </c>
      <c r="G20" s="14">
        <v>89.588130530000001</v>
      </c>
      <c r="H20" s="16">
        <v>1.3389800700000001</v>
      </c>
      <c r="I20" s="14" t="s">
        <v>139</v>
      </c>
      <c r="J20" s="16" t="s">
        <v>139</v>
      </c>
      <c r="K20" s="14">
        <v>0</v>
      </c>
      <c r="L20" s="16">
        <v>0</v>
      </c>
      <c r="M20" s="14">
        <v>0</v>
      </c>
      <c r="N20" s="16">
        <v>0</v>
      </c>
      <c r="O20" s="14">
        <v>0</v>
      </c>
      <c r="P20" s="16">
        <v>0</v>
      </c>
      <c r="Q20" s="14">
        <v>0</v>
      </c>
      <c r="R20" s="16">
        <v>0</v>
      </c>
    </row>
    <row r="21" spans="1:18" x14ac:dyDescent="0.25">
      <c r="A21" s="11" t="s">
        <v>153</v>
      </c>
      <c r="B21" s="17" t="s">
        <v>154</v>
      </c>
      <c r="C21" s="17" t="s">
        <v>154</v>
      </c>
      <c r="D21" s="18" t="s">
        <v>154</v>
      </c>
      <c r="E21" s="17" t="s">
        <v>154</v>
      </c>
      <c r="F21" s="18" t="s">
        <v>154</v>
      </c>
      <c r="G21" s="17" t="s">
        <v>154</v>
      </c>
      <c r="H21" s="18" t="s">
        <v>154</v>
      </c>
      <c r="I21" s="17" t="s">
        <v>154</v>
      </c>
      <c r="J21" s="18" t="s">
        <v>154</v>
      </c>
      <c r="K21" s="17" t="s">
        <v>154</v>
      </c>
      <c r="L21" s="18" t="s">
        <v>154</v>
      </c>
      <c r="M21" s="17" t="s">
        <v>154</v>
      </c>
      <c r="N21" s="18" t="s">
        <v>154</v>
      </c>
      <c r="O21" s="17" t="s">
        <v>154</v>
      </c>
      <c r="P21" s="18" t="s">
        <v>154</v>
      </c>
      <c r="Q21" s="17" t="s">
        <v>154</v>
      </c>
      <c r="R21" s="18" t="s">
        <v>154</v>
      </c>
    </row>
    <row r="22" spans="1:18" x14ac:dyDescent="0.25">
      <c r="A22" s="11" t="s">
        <v>155</v>
      </c>
      <c r="B22" s="13">
        <v>6598</v>
      </c>
      <c r="C22" s="14">
        <f>(5607/B22*100)</f>
        <v>84.980297059715056</v>
      </c>
      <c r="D22" s="15">
        <v>991</v>
      </c>
      <c r="E22" s="14">
        <v>15.7145478</v>
      </c>
      <c r="F22" s="16">
        <v>1.25293075</v>
      </c>
      <c r="G22" s="14">
        <v>84.285452199999995</v>
      </c>
      <c r="H22" s="16">
        <v>1.25293075</v>
      </c>
      <c r="I22" s="14" t="s">
        <v>139</v>
      </c>
      <c r="J22" s="16" t="s">
        <v>139</v>
      </c>
      <c r="K22" s="14">
        <v>0</v>
      </c>
      <c r="L22" s="16">
        <v>0</v>
      </c>
      <c r="M22" s="14">
        <v>0</v>
      </c>
      <c r="N22" s="16">
        <v>0</v>
      </c>
      <c r="O22" s="14">
        <v>0</v>
      </c>
      <c r="P22" s="16">
        <v>0</v>
      </c>
      <c r="Q22" s="14">
        <v>0</v>
      </c>
      <c r="R22" s="16">
        <v>0</v>
      </c>
    </row>
    <row r="23" spans="1:18" x14ac:dyDescent="0.25">
      <c r="A23" s="11" t="s">
        <v>156</v>
      </c>
      <c r="B23" s="13">
        <v>11583</v>
      </c>
      <c r="C23" s="14">
        <f>(9661/B23*100)</f>
        <v>83.406716740050072</v>
      </c>
      <c r="D23" s="15">
        <v>1922</v>
      </c>
      <c r="E23" s="14">
        <v>11.456656110000001</v>
      </c>
      <c r="F23" s="16">
        <v>1.1625085799999999</v>
      </c>
      <c r="G23" s="14">
        <v>88.543343890000003</v>
      </c>
      <c r="H23" s="16">
        <v>1.1625085799999999</v>
      </c>
      <c r="I23" s="14" t="s">
        <v>139</v>
      </c>
      <c r="J23" s="16" t="s">
        <v>139</v>
      </c>
      <c r="K23" s="14">
        <v>0</v>
      </c>
      <c r="L23" s="16">
        <v>0</v>
      </c>
      <c r="M23" s="14">
        <v>0</v>
      </c>
      <c r="N23" s="16">
        <v>0</v>
      </c>
      <c r="O23" s="14">
        <v>0</v>
      </c>
      <c r="P23" s="16">
        <v>0</v>
      </c>
      <c r="Q23" s="14">
        <v>0</v>
      </c>
      <c r="R23" s="16">
        <v>0</v>
      </c>
    </row>
    <row r="24" spans="1:18" x14ac:dyDescent="0.25">
      <c r="A24" s="11" t="s">
        <v>157</v>
      </c>
      <c r="B24" s="13">
        <v>6647</v>
      </c>
      <c r="C24" s="14">
        <f>(5508/B24*100)</f>
        <v>82.864450127877248</v>
      </c>
      <c r="D24" s="15">
        <v>1139</v>
      </c>
      <c r="E24" s="14">
        <v>11.3020064</v>
      </c>
      <c r="F24" s="16">
        <v>1.0351815499999999</v>
      </c>
      <c r="G24" s="14">
        <v>88.697993600000004</v>
      </c>
      <c r="H24" s="16">
        <v>1.0351815499999999</v>
      </c>
      <c r="I24" s="14" t="s">
        <v>139</v>
      </c>
      <c r="J24" s="16" t="s">
        <v>139</v>
      </c>
      <c r="K24" s="14">
        <v>0</v>
      </c>
      <c r="L24" s="16">
        <v>0</v>
      </c>
      <c r="M24" s="14">
        <v>0</v>
      </c>
      <c r="N24" s="16">
        <v>0</v>
      </c>
      <c r="O24" s="14">
        <v>0</v>
      </c>
      <c r="P24" s="16">
        <v>0</v>
      </c>
      <c r="Q24" s="14">
        <v>0</v>
      </c>
      <c r="R24" s="16">
        <v>0</v>
      </c>
    </row>
    <row r="25" spans="1:18" x14ac:dyDescent="0.25">
      <c r="A25" s="11" t="s">
        <v>158</v>
      </c>
      <c r="B25" s="13">
        <v>5581</v>
      </c>
      <c r="C25" s="14">
        <f>(4617/B25*100)</f>
        <v>82.727109836946795</v>
      </c>
      <c r="D25" s="15">
        <v>964</v>
      </c>
      <c r="E25" s="14">
        <v>10.504189419999999</v>
      </c>
      <c r="F25" s="16">
        <v>1.10206253</v>
      </c>
      <c r="G25" s="14">
        <v>89.495810579999997</v>
      </c>
      <c r="H25" s="16">
        <v>1.10206253</v>
      </c>
      <c r="I25" s="14" t="s">
        <v>139</v>
      </c>
      <c r="J25" s="16" t="s">
        <v>139</v>
      </c>
      <c r="K25" s="14">
        <v>0</v>
      </c>
      <c r="L25" s="16">
        <v>0</v>
      </c>
      <c r="M25" s="14">
        <v>0</v>
      </c>
      <c r="N25" s="16">
        <v>0</v>
      </c>
      <c r="O25" s="14">
        <v>0</v>
      </c>
      <c r="P25" s="16">
        <v>0</v>
      </c>
      <c r="Q25" s="14">
        <v>0</v>
      </c>
      <c r="R25" s="16">
        <v>0</v>
      </c>
    </row>
    <row r="26" spans="1:18" x14ac:dyDescent="0.25">
      <c r="A26" s="11" t="s">
        <v>159</v>
      </c>
      <c r="B26" s="13">
        <v>4869</v>
      </c>
      <c r="C26" s="14">
        <f>(4025/B26*100)</f>
        <v>82.665845142739784</v>
      </c>
      <c r="D26" s="15">
        <v>844</v>
      </c>
      <c r="E26" s="14">
        <v>10.008530049999999</v>
      </c>
      <c r="F26" s="16">
        <v>1.01186643</v>
      </c>
      <c r="G26" s="14">
        <v>89.991469949999995</v>
      </c>
      <c r="H26" s="16">
        <v>1.01186643</v>
      </c>
      <c r="I26" s="14" t="s">
        <v>139</v>
      </c>
      <c r="J26" s="16" t="s">
        <v>139</v>
      </c>
      <c r="K26" s="14">
        <v>0</v>
      </c>
      <c r="L26" s="16">
        <v>0</v>
      </c>
      <c r="M26" s="14">
        <v>0</v>
      </c>
      <c r="N26" s="16">
        <v>0</v>
      </c>
      <c r="O26" s="14">
        <v>0</v>
      </c>
      <c r="P26" s="16">
        <v>0</v>
      </c>
      <c r="Q26" s="14">
        <v>0</v>
      </c>
      <c r="R26" s="16">
        <v>0</v>
      </c>
    </row>
    <row r="27" spans="1:18" x14ac:dyDescent="0.25">
      <c r="A27" s="11" t="s">
        <v>160</v>
      </c>
      <c r="B27" s="13">
        <v>5299</v>
      </c>
      <c r="C27" s="14">
        <f>(4441/B27*100)</f>
        <v>83.808265710511421</v>
      </c>
      <c r="D27" s="15">
        <v>858</v>
      </c>
      <c r="E27" s="14">
        <v>10.89616004</v>
      </c>
      <c r="F27" s="16">
        <v>1.1240186599999999</v>
      </c>
      <c r="G27" s="14">
        <v>89.103839960000002</v>
      </c>
      <c r="H27" s="16">
        <v>1.1240186599999999</v>
      </c>
      <c r="I27" s="14" t="s">
        <v>139</v>
      </c>
      <c r="J27" s="16" t="s">
        <v>139</v>
      </c>
      <c r="K27" s="14">
        <v>0</v>
      </c>
      <c r="L27" s="16">
        <v>0</v>
      </c>
      <c r="M27" s="14">
        <v>0</v>
      </c>
      <c r="N27" s="16">
        <v>0</v>
      </c>
      <c r="O27" s="14">
        <v>0</v>
      </c>
      <c r="P27" s="16">
        <v>0</v>
      </c>
      <c r="Q27" s="14">
        <v>0</v>
      </c>
      <c r="R27" s="16">
        <v>0</v>
      </c>
    </row>
    <row r="28" spans="1:18" x14ac:dyDescent="0.25">
      <c r="A28" s="11" t="s">
        <v>161</v>
      </c>
      <c r="B28" s="13">
        <v>7568</v>
      </c>
      <c r="C28" s="14">
        <f>(6479/B28*100)</f>
        <v>85.610465116279073</v>
      </c>
      <c r="D28" s="15">
        <v>1089</v>
      </c>
      <c r="E28" s="14">
        <v>17.29002097</v>
      </c>
      <c r="F28" s="16">
        <v>1.2853356600000001</v>
      </c>
      <c r="G28" s="14">
        <v>82.70997903</v>
      </c>
      <c r="H28" s="16">
        <v>1.2853356600000001</v>
      </c>
      <c r="I28" s="14" t="s">
        <v>139</v>
      </c>
      <c r="J28" s="16" t="s">
        <v>139</v>
      </c>
      <c r="K28" s="14">
        <v>0</v>
      </c>
      <c r="L28" s="16">
        <v>0</v>
      </c>
      <c r="M28" s="14">
        <v>0</v>
      </c>
      <c r="N28" s="16">
        <v>0</v>
      </c>
      <c r="O28" s="14">
        <v>0</v>
      </c>
      <c r="P28" s="16">
        <v>0</v>
      </c>
      <c r="Q28" s="14">
        <v>0</v>
      </c>
      <c r="R28" s="16">
        <v>0</v>
      </c>
    </row>
    <row r="29" spans="1:18" x14ac:dyDescent="0.25">
      <c r="A29" s="11" t="s">
        <v>162</v>
      </c>
      <c r="B29" s="13">
        <v>5385</v>
      </c>
      <c r="C29" s="14">
        <f>(4470/B29*100)</f>
        <v>83.008356545961007</v>
      </c>
      <c r="D29" s="15">
        <v>915</v>
      </c>
      <c r="E29" s="14">
        <v>9.5097302300000006</v>
      </c>
      <c r="F29" s="16">
        <v>0.92759535000000004</v>
      </c>
      <c r="G29" s="14">
        <v>90.490269769999998</v>
      </c>
      <c r="H29" s="16">
        <v>0.92759535000000004</v>
      </c>
      <c r="I29" s="14" t="s">
        <v>139</v>
      </c>
      <c r="J29" s="16" t="s">
        <v>139</v>
      </c>
      <c r="K29" s="14">
        <v>0</v>
      </c>
      <c r="L29" s="16">
        <v>0</v>
      </c>
      <c r="M29" s="14">
        <v>0</v>
      </c>
      <c r="N29" s="16">
        <v>0</v>
      </c>
      <c r="O29" s="14">
        <v>0</v>
      </c>
      <c r="P29" s="16">
        <v>0</v>
      </c>
      <c r="Q29" s="14">
        <v>0</v>
      </c>
      <c r="R29" s="16">
        <v>0</v>
      </c>
    </row>
    <row r="30" spans="1:18" x14ac:dyDescent="0.25">
      <c r="A30" s="11" t="s">
        <v>163</v>
      </c>
      <c r="B30" s="13">
        <v>4520</v>
      </c>
      <c r="C30" s="14">
        <f>(3779/B30*100)</f>
        <v>83.606194690265482</v>
      </c>
      <c r="D30" s="15">
        <v>741</v>
      </c>
      <c r="E30" s="14">
        <v>8.7997890400000003</v>
      </c>
      <c r="F30" s="16">
        <v>1.2580656800000001</v>
      </c>
      <c r="G30" s="14">
        <v>91.200210960000007</v>
      </c>
      <c r="H30" s="16">
        <v>1.2580656800000001</v>
      </c>
      <c r="I30" s="14" t="s">
        <v>139</v>
      </c>
      <c r="J30" s="16" t="s">
        <v>139</v>
      </c>
      <c r="K30" s="14">
        <v>0</v>
      </c>
      <c r="L30" s="16">
        <v>0</v>
      </c>
      <c r="M30" s="14">
        <v>0</v>
      </c>
      <c r="N30" s="16">
        <v>0</v>
      </c>
      <c r="O30" s="14">
        <v>0</v>
      </c>
      <c r="P30" s="16">
        <v>0</v>
      </c>
      <c r="Q30" s="14">
        <v>0</v>
      </c>
      <c r="R30" s="16">
        <v>0</v>
      </c>
    </row>
    <row r="31" spans="1:18" x14ac:dyDescent="0.25">
      <c r="A31" s="11" t="s">
        <v>164</v>
      </c>
      <c r="B31" s="13">
        <v>5456</v>
      </c>
      <c r="C31" s="14">
        <f>(4579/B31*100)</f>
        <v>83.925953079178882</v>
      </c>
      <c r="D31" s="15">
        <v>877</v>
      </c>
      <c r="E31" s="14">
        <v>8.0074494000000005</v>
      </c>
      <c r="F31" s="16">
        <v>0.94341803999999996</v>
      </c>
      <c r="G31" s="14">
        <v>91.992550600000001</v>
      </c>
      <c r="H31" s="16">
        <v>0.94341803999999996</v>
      </c>
      <c r="I31" s="14" t="s">
        <v>139</v>
      </c>
      <c r="J31" s="16" t="s">
        <v>139</v>
      </c>
      <c r="K31" s="14">
        <v>0</v>
      </c>
      <c r="L31" s="16">
        <v>0</v>
      </c>
      <c r="M31" s="14">
        <v>0</v>
      </c>
      <c r="N31" s="16">
        <v>0</v>
      </c>
      <c r="O31" s="14">
        <v>0</v>
      </c>
      <c r="P31" s="16">
        <v>0</v>
      </c>
      <c r="Q31" s="14">
        <v>0</v>
      </c>
      <c r="R31" s="16">
        <v>0</v>
      </c>
    </row>
    <row r="32" spans="1:18" x14ac:dyDescent="0.25">
      <c r="A32" s="11" t="s">
        <v>165</v>
      </c>
      <c r="B32" s="17" t="s">
        <v>154</v>
      </c>
      <c r="C32" s="17" t="s">
        <v>154</v>
      </c>
      <c r="D32" s="18" t="s">
        <v>154</v>
      </c>
      <c r="E32" s="17" t="s">
        <v>154</v>
      </c>
      <c r="F32" s="18" t="s">
        <v>154</v>
      </c>
      <c r="G32" s="17" t="s">
        <v>154</v>
      </c>
      <c r="H32" s="18" t="s">
        <v>154</v>
      </c>
      <c r="I32" s="17" t="s">
        <v>154</v>
      </c>
      <c r="J32" s="18" t="s">
        <v>154</v>
      </c>
      <c r="K32" s="17" t="s">
        <v>154</v>
      </c>
      <c r="L32" s="18" t="s">
        <v>154</v>
      </c>
      <c r="M32" s="17" t="s">
        <v>154</v>
      </c>
      <c r="N32" s="18" t="s">
        <v>154</v>
      </c>
      <c r="O32" s="17" t="s">
        <v>154</v>
      </c>
      <c r="P32" s="18" t="s">
        <v>154</v>
      </c>
      <c r="Q32" s="17" t="s">
        <v>154</v>
      </c>
      <c r="R32" s="18" t="s">
        <v>154</v>
      </c>
    </row>
    <row r="33" spans="1:18" x14ac:dyDescent="0.25">
      <c r="A33" s="11" t="s">
        <v>166</v>
      </c>
      <c r="B33" s="13">
        <v>7325</v>
      </c>
      <c r="C33" s="14">
        <f>(6194/B33*100)</f>
        <v>84.559726962457333</v>
      </c>
      <c r="D33" s="15">
        <v>1131</v>
      </c>
      <c r="E33" s="14">
        <v>9.52286638</v>
      </c>
      <c r="F33" s="16">
        <v>0.94146019999999997</v>
      </c>
      <c r="G33" s="14">
        <v>90.477133620000004</v>
      </c>
      <c r="H33" s="16">
        <v>0.94146019999999997</v>
      </c>
      <c r="I33" s="14" t="s">
        <v>139</v>
      </c>
      <c r="J33" s="16" t="s">
        <v>139</v>
      </c>
      <c r="K33" s="14">
        <v>0</v>
      </c>
      <c r="L33" s="16">
        <v>0</v>
      </c>
      <c r="M33" s="14">
        <v>0</v>
      </c>
      <c r="N33" s="16">
        <v>0</v>
      </c>
      <c r="O33" s="14">
        <v>0</v>
      </c>
      <c r="P33" s="16">
        <v>0</v>
      </c>
      <c r="Q33" s="14">
        <v>0</v>
      </c>
      <c r="R33" s="16">
        <v>0</v>
      </c>
    </row>
    <row r="34" spans="1:18" x14ac:dyDescent="0.25">
      <c r="A34" s="11" t="s">
        <v>167</v>
      </c>
      <c r="B34" s="13">
        <v>6350</v>
      </c>
      <c r="C34" s="14">
        <f>(5345/B34*100)</f>
        <v>84.173228346456696</v>
      </c>
      <c r="D34" s="15">
        <v>1005</v>
      </c>
      <c r="E34" s="14">
        <v>14.35746518</v>
      </c>
      <c r="F34" s="16">
        <v>1.22233682</v>
      </c>
      <c r="G34" s="14">
        <v>85.642534819999995</v>
      </c>
      <c r="H34" s="16">
        <v>1.22233682</v>
      </c>
      <c r="I34" s="14" t="s">
        <v>139</v>
      </c>
      <c r="J34" s="16" t="s">
        <v>139</v>
      </c>
      <c r="K34" s="14">
        <v>0</v>
      </c>
      <c r="L34" s="16">
        <v>0</v>
      </c>
      <c r="M34" s="14">
        <v>0</v>
      </c>
      <c r="N34" s="16">
        <v>0</v>
      </c>
      <c r="O34" s="14">
        <v>0</v>
      </c>
      <c r="P34" s="16">
        <v>0</v>
      </c>
      <c r="Q34" s="14">
        <v>0</v>
      </c>
      <c r="R34" s="16">
        <v>0</v>
      </c>
    </row>
    <row r="35" spans="1:18" x14ac:dyDescent="0.25">
      <c r="A35" s="11" t="s">
        <v>168</v>
      </c>
      <c r="B35" s="13">
        <v>6406</v>
      </c>
      <c r="C35" s="14">
        <f>(5316/B35*100)</f>
        <v>82.9847018420231</v>
      </c>
      <c r="D35" s="15">
        <v>1090</v>
      </c>
      <c r="E35" s="14">
        <v>8.4223099599999998</v>
      </c>
      <c r="F35" s="16">
        <v>1.20876191</v>
      </c>
      <c r="G35" s="14">
        <v>91.577690039999993</v>
      </c>
      <c r="H35" s="16">
        <v>1.20876191</v>
      </c>
      <c r="I35" s="14" t="s">
        <v>139</v>
      </c>
      <c r="J35" s="16" t="s">
        <v>139</v>
      </c>
      <c r="K35" s="14">
        <v>0</v>
      </c>
      <c r="L35" s="16">
        <v>0</v>
      </c>
      <c r="M35" s="14">
        <v>0</v>
      </c>
      <c r="N35" s="16">
        <v>0</v>
      </c>
      <c r="O35" s="14">
        <v>0</v>
      </c>
      <c r="P35" s="16">
        <v>0</v>
      </c>
      <c r="Q35" s="14">
        <v>0</v>
      </c>
      <c r="R35" s="16">
        <v>0</v>
      </c>
    </row>
    <row r="36" spans="1:18" x14ac:dyDescent="0.25">
      <c r="A36" s="11" t="s">
        <v>169</v>
      </c>
      <c r="B36" s="13">
        <v>6736</v>
      </c>
      <c r="C36" s="14">
        <f>(5652/B36*100)</f>
        <v>83.907363420427544</v>
      </c>
      <c r="D36" s="15">
        <v>1084</v>
      </c>
      <c r="E36" s="14">
        <v>8.8302020500000005</v>
      </c>
      <c r="F36" s="16">
        <v>0.85736040000000002</v>
      </c>
      <c r="G36" s="14">
        <v>91.169797950000003</v>
      </c>
      <c r="H36" s="16">
        <v>0.85736040000000002</v>
      </c>
      <c r="I36" s="14" t="s">
        <v>139</v>
      </c>
      <c r="J36" s="16" t="s">
        <v>139</v>
      </c>
      <c r="K36" s="14">
        <v>0</v>
      </c>
      <c r="L36" s="16">
        <v>0</v>
      </c>
      <c r="M36" s="14">
        <v>0</v>
      </c>
      <c r="N36" s="16">
        <v>0</v>
      </c>
      <c r="O36" s="14">
        <v>0</v>
      </c>
      <c r="P36" s="16">
        <v>0</v>
      </c>
      <c r="Q36" s="14">
        <v>0</v>
      </c>
      <c r="R36" s="16">
        <v>0</v>
      </c>
    </row>
    <row r="37" spans="1:18" x14ac:dyDescent="0.25">
      <c r="A37" s="11" t="s">
        <v>170</v>
      </c>
      <c r="B37" s="13">
        <v>5458</v>
      </c>
      <c r="C37" s="14">
        <f>(4608/B37*100)</f>
        <v>84.426529864419194</v>
      </c>
      <c r="D37" s="15">
        <v>850</v>
      </c>
      <c r="E37" s="14">
        <v>12.668049849999999</v>
      </c>
      <c r="F37" s="16">
        <v>1.2588320799999999</v>
      </c>
      <c r="G37" s="14">
        <v>87.331950149999997</v>
      </c>
      <c r="H37" s="16">
        <v>1.2588320799999999</v>
      </c>
      <c r="I37" s="14" t="s">
        <v>139</v>
      </c>
      <c r="J37" s="16" t="s">
        <v>139</v>
      </c>
      <c r="K37" s="14">
        <v>0</v>
      </c>
      <c r="L37" s="16">
        <v>0</v>
      </c>
      <c r="M37" s="14">
        <v>0</v>
      </c>
      <c r="N37" s="16">
        <v>0</v>
      </c>
      <c r="O37" s="14">
        <v>0</v>
      </c>
      <c r="P37" s="16">
        <v>0</v>
      </c>
      <c r="Q37" s="14">
        <v>0</v>
      </c>
      <c r="R37" s="16">
        <v>0</v>
      </c>
    </row>
    <row r="38" spans="1:18" x14ac:dyDescent="0.25">
      <c r="A38" s="11" t="s">
        <v>171</v>
      </c>
      <c r="B38" s="17" t="s">
        <v>154</v>
      </c>
      <c r="C38" s="17" t="s">
        <v>154</v>
      </c>
      <c r="D38" s="18" t="s">
        <v>154</v>
      </c>
      <c r="E38" s="17" t="s">
        <v>154</v>
      </c>
      <c r="F38" s="18" t="s">
        <v>154</v>
      </c>
      <c r="G38" s="17" t="s">
        <v>154</v>
      </c>
      <c r="H38" s="18" t="s">
        <v>154</v>
      </c>
      <c r="I38" s="17" t="s">
        <v>154</v>
      </c>
      <c r="J38" s="18" t="s">
        <v>154</v>
      </c>
      <c r="K38" s="17" t="s">
        <v>154</v>
      </c>
      <c r="L38" s="18" t="s">
        <v>154</v>
      </c>
      <c r="M38" s="17" t="s">
        <v>154</v>
      </c>
      <c r="N38" s="18" t="s">
        <v>154</v>
      </c>
      <c r="O38" s="17" t="s">
        <v>154</v>
      </c>
      <c r="P38" s="18" t="s">
        <v>154</v>
      </c>
      <c r="Q38" s="17" t="s">
        <v>154</v>
      </c>
      <c r="R38" s="18" t="s">
        <v>154</v>
      </c>
    </row>
    <row r="39" spans="1:18" x14ac:dyDescent="0.25">
      <c r="A39" s="11" t="s">
        <v>172</v>
      </c>
      <c r="B39" s="13">
        <v>5895</v>
      </c>
      <c r="C39" s="14">
        <f>(4875/B39*100)</f>
        <v>82.697201017811707</v>
      </c>
      <c r="D39" s="15">
        <v>1020</v>
      </c>
      <c r="E39" s="14">
        <v>25.012202550000001</v>
      </c>
      <c r="F39" s="16">
        <v>1.35060212</v>
      </c>
      <c r="G39" s="14">
        <v>74.987797450000002</v>
      </c>
      <c r="H39" s="16">
        <v>1.35060212</v>
      </c>
      <c r="I39" s="14" t="s">
        <v>139</v>
      </c>
      <c r="J39" s="16" t="s">
        <v>139</v>
      </c>
      <c r="K39" s="14">
        <v>0</v>
      </c>
      <c r="L39" s="16">
        <v>0</v>
      </c>
      <c r="M39" s="14">
        <v>0</v>
      </c>
      <c r="N39" s="16">
        <v>0</v>
      </c>
      <c r="O39" s="14">
        <v>0</v>
      </c>
      <c r="P39" s="16">
        <v>0</v>
      </c>
      <c r="Q39" s="14">
        <v>0</v>
      </c>
      <c r="R39" s="16">
        <v>0</v>
      </c>
    </row>
    <row r="40" spans="1:18" x14ac:dyDescent="0.25">
      <c r="A40" s="11" t="s">
        <v>173</v>
      </c>
      <c r="B40" s="13">
        <v>14157</v>
      </c>
      <c r="C40" s="14">
        <f>(11677/B40*100)</f>
        <v>82.482164300346113</v>
      </c>
      <c r="D40" s="15">
        <v>2480</v>
      </c>
      <c r="E40" s="14">
        <v>10.20379357</v>
      </c>
      <c r="F40" s="16">
        <v>0.84452254999999998</v>
      </c>
      <c r="G40" s="14">
        <v>89.796206429999998</v>
      </c>
      <c r="H40" s="16">
        <v>0.84452254999999998</v>
      </c>
      <c r="I40" s="14" t="s">
        <v>139</v>
      </c>
      <c r="J40" s="16" t="s">
        <v>139</v>
      </c>
      <c r="K40" s="14">
        <v>0</v>
      </c>
      <c r="L40" s="16">
        <v>0</v>
      </c>
      <c r="M40" s="14">
        <v>0</v>
      </c>
      <c r="N40" s="16">
        <v>0</v>
      </c>
      <c r="O40" s="14">
        <v>0</v>
      </c>
      <c r="P40" s="16">
        <v>0</v>
      </c>
      <c r="Q40" s="14">
        <v>0</v>
      </c>
      <c r="R40" s="16">
        <v>0</v>
      </c>
    </row>
    <row r="41" spans="1:18" x14ac:dyDescent="0.25">
      <c r="A41" s="11" t="s">
        <v>174</v>
      </c>
      <c r="B41" s="13">
        <v>5712</v>
      </c>
      <c r="C41" s="14">
        <f>(4807/B41*100)</f>
        <v>84.156162464985997</v>
      </c>
      <c r="D41" s="15">
        <v>905</v>
      </c>
      <c r="E41" s="14">
        <v>7.9822717000000001</v>
      </c>
      <c r="F41" s="16">
        <v>0.85692179000000002</v>
      </c>
      <c r="G41" s="14">
        <v>92.017728300000002</v>
      </c>
      <c r="H41" s="16">
        <v>0.85692179000000002</v>
      </c>
      <c r="I41" s="14" t="s">
        <v>139</v>
      </c>
      <c r="J41" s="16" t="s">
        <v>139</v>
      </c>
      <c r="K41" s="14">
        <v>0</v>
      </c>
      <c r="L41" s="16">
        <v>0</v>
      </c>
      <c r="M41" s="14">
        <v>0</v>
      </c>
      <c r="N41" s="16">
        <v>0</v>
      </c>
      <c r="O41" s="14">
        <v>0</v>
      </c>
      <c r="P41" s="16">
        <v>0</v>
      </c>
      <c r="Q41" s="14">
        <v>0</v>
      </c>
      <c r="R41" s="16">
        <v>0</v>
      </c>
    </row>
    <row r="42" spans="1:18" x14ac:dyDescent="0.25">
      <c r="A42" s="11" t="s">
        <v>175</v>
      </c>
      <c r="B42" s="13">
        <f>IF(COUNT(B7:B41) &gt; 0, AVERAGE(B7:B41), "\u2014")</f>
        <v>7266.90625</v>
      </c>
      <c r="C42" s="14">
        <f>IF(COUNT(C7:C41) &gt; 0, AVERAGE(C7:C41), "—")</f>
        <v>83.651274497460449</v>
      </c>
      <c r="D42" s="15">
        <f>IF(COUNT(D7:D41) &gt; 0, AVERAGE(D7:D41), "—")</f>
        <v>1190.53125</v>
      </c>
      <c r="E42" s="14">
        <f>IF(COUNT(E7:E41) &gt; 0, AVERAGE(E7:E41), "—")</f>
        <v>10.699212980000002</v>
      </c>
      <c r="F42" s="16">
        <f>IF(COUNT(F7:F41) &gt; 0, SQRT(SUMSQ(F7:F41)/(COUNT(F7:F41)*COUNT(F7:F41)) ), "—")</f>
        <v>0.18844556235300036</v>
      </c>
      <c r="G42" s="14">
        <f>IF(COUNT(G7:G41) &gt; 0, AVERAGE(G7:G41), "—")</f>
        <v>89.300787019999987</v>
      </c>
      <c r="H42" s="16">
        <f>IF(COUNT(H7:H41) &gt; 0, SQRT(SUMSQ(H7:H41)/(COUNT(H7:H41)*COUNT(H7:H41)) ), "—")</f>
        <v>0.18844556235300036</v>
      </c>
      <c r="I42" s="14" t="str">
        <f>IF(COUNT(I7:I41) &gt; 0, AVERAGE(I7:I41), "—")</f>
        <v>—</v>
      </c>
      <c r="J42" s="16" t="str">
        <f>IF(COUNT(J7:J41) &gt; 0, SQRT(SUMSQ(J7:J41)/(COUNT(J7:J41)*COUNT(J7:J41)) ), "—")</f>
        <v>—</v>
      </c>
      <c r="K42" s="14">
        <f>IF(COUNT(K7:K41) &gt; 0, AVERAGE(K7:K41), "—")</f>
        <v>0</v>
      </c>
      <c r="L42" s="16">
        <f>IF(COUNT(L7:L41) &gt; 0, SQRT(SUMSQ(L7:L41)/(COUNT(L7:L41)*COUNT(L7:L41)) ), "—")</f>
        <v>0</v>
      </c>
      <c r="M42" s="14">
        <f>IF(COUNT(M7:M41) &gt; 0, AVERAGE(M7:M41), "—")</f>
        <v>0</v>
      </c>
      <c r="N42" s="16">
        <f>IF(COUNT(N7:N41) &gt; 0, SQRT(SUMSQ(N7:N41)/(COUNT(N7:N41)*COUNT(N7:N41)) ), "—")</f>
        <v>0</v>
      </c>
      <c r="O42" s="14">
        <f>IF(COUNT(O7:O41) &gt; 0, AVERAGE(O7:O41), "—")</f>
        <v>0</v>
      </c>
      <c r="P42" s="16">
        <f>IF(COUNT(P7:P41) &gt; 0, SQRT(SUMSQ(P7:P41)/(COUNT(P7:P41)*COUNT(P7:P41)) ), "—")</f>
        <v>0</v>
      </c>
      <c r="Q42" s="14">
        <f>IF(COUNT(Q7:Q41) &gt; 0, AVERAGE(Q7:Q41), "—")</f>
        <v>0</v>
      </c>
      <c r="R42" s="16">
        <f>IF(COUNT(R7:R41) &gt; 0, SQRT(SUMSQ(R7:R41)/(COUNT(R7:R41)*COUNT(R7:R41)) ), "—")</f>
        <v>0</v>
      </c>
    </row>
    <row r="43" spans="1:18" x14ac:dyDescent="0.25">
      <c r="A43" s="9" t="s">
        <v>176</v>
      </c>
      <c r="B43" s="10"/>
      <c r="C43" s="10"/>
      <c r="D43" s="11"/>
      <c r="E43" s="10"/>
      <c r="F43" s="11"/>
      <c r="G43" s="10"/>
      <c r="H43" s="11"/>
      <c r="I43" s="10"/>
      <c r="J43" s="11"/>
      <c r="K43" s="10"/>
      <c r="L43" s="11"/>
      <c r="M43" s="10"/>
      <c r="N43" s="11"/>
      <c r="O43" s="10"/>
      <c r="P43" s="11"/>
      <c r="Q43" s="10"/>
      <c r="R43" s="12"/>
    </row>
    <row r="44" spans="1:18" x14ac:dyDescent="0.25">
      <c r="A44" s="11" t="s">
        <v>177</v>
      </c>
      <c r="B44" s="17" t="s">
        <v>154</v>
      </c>
      <c r="C44" s="17" t="s">
        <v>154</v>
      </c>
      <c r="D44" s="18" t="s">
        <v>154</v>
      </c>
      <c r="E44" s="17" t="s">
        <v>154</v>
      </c>
      <c r="F44" s="18" t="s">
        <v>154</v>
      </c>
      <c r="G44" s="17" t="s">
        <v>154</v>
      </c>
      <c r="H44" s="18" t="s">
        <v>154</v>
      </c>
      <c r="I44" s="17" t="s">
        <v>154</v>
      </c>
      <c r="J44" s="18" t="s">
        <v>154</v>
      </c>
      <c r="K44" s="17" t="s">
        <v>154</v>
      </c>
      <c r="L44" s="18" t="s">
        <v>154</v>
      </c>
      <c r="M44" s="17" t="s">
        <v>154</v>
      </c>
      <c r="N44" s="18" t="s">
        <v>154</v>
      </c>
      <c r="O44" s="17" t="s">
        <v>154</v>
      </c>
      <c r="P44" s="18" t="s">
        <v>154</v>
      </c>
      <c r="Q44" s="17" t="s">
        <v>154</v>
      </c>
      <c r="R44" s="18" t="s">
        <v>154</v>
      </c>
    </row>
    <row r="45" spans="1:18" x14ac:dyDescent="0.25">
      <c r="A45" s="11" t="s">
        <v>178</v>
      </c>
      <c r="B45" s="17" t="s">
        <v>154</v>
      </c>
      <c r="C45" s="17" t="s">
        <v>154</v>
      </c>
      <c r="D45" s="18" t="s">
        <v>154</v>
      </c>
      <c r="E45" s="17" t="s">
        <v>154</v>
      </c>
      <c r="F45" s="18" t="s">
        <v>154</v>
      </c>
      <c r="G45" s="17" t="s">
        <v>154</v>
      </c>
      <c r="H45" s="18" t="s">
        <v>154</v>
      </c>
      <c r="I45" s="17" t="s">
        <v>154</v>
      </c>
      <c r="J45" s="18" t="s">
        <v>154</v>
      </c>
      <c r="K45" s="17" t="s">
        <v>154</v>
      </c>
      <c r="L45" s="18" t="s">
        <v>154</v>
      </c>
      <c r="M45" s="17" t="s">
        <v>154</v>
      </c>
      <c r="N45" s="18" t="s">
        <v>154</v>
      </c>
      <c r="O45" s="17" t="s">
        <v>154</v>
      </c>
      <c r="P45" s="18" t="s">
        <v>154</v>
      </c>
      <c r="Q45" s="17" t="s">
        <v>154</v>
      </c>
      <c r="R45" s="18" t="s">
        <v>154</v>
      </c>
    </row>
    <row r="46" spans="1:18" x14ac:dyDescent="0.25">
      <c r="A46" s="11" t="s">
        <v>179</v>
      </c>
      <c r="B46" s="13">
        <v>23141</v>
      </c>
      <c r="C46" s="14">
        <f>(20519/B46*100)</f>
        <v>88.669461129596812</v>
      </c>
      <c r="D46" s="15">
        <v>2622</v>
      </c>
      <c r="E46" s="14">
        <v>19.186807600000002</v>
      </c>
      <c r="F46" s="16">
        <v>1.17458676</v>
      </c>
      <c r="G46" s="14">
        <v>80.813192400000005</v>
      </c>
      <c r="H46" s="16">
        <v>1.17458676</v>
      </c>
      <c r="I46" s="14" t="s">
        <v>139</v>
      </c>
      <c r="J46" s="16" t="s">
        <v>139</v>
      </c>
      <c r="K46" s="14">
        <v>0</v>
      </c>
      <c r="L46" s="16">
        <v>0</v>
      </c>
      <c r="M46" s="14">
        <v>0</v>
      </c>
      <c r="N46" s="16">
        <v>0</v>
      </c>
      <c r="O46" s="14">
        <v>0</v>
      </c>
      <c r="P46" s="16">
        <v>0</v>
      </c>
      <c r="Q46" s="14">
        <v>0</v>
      </c>
      <c r="R46" s="16">
        <v>0</v>
      </c>
    </row>
    <row r="47" spans="1:18" x14ac:dyDescent="0.25">
      <c r="A47" s="11" t="s">
        <v>180</v>
      </c>
      <c r="B47" s="13">
        <v>5928</v>
      </c>
      <c r="C47" s="14">
        <f>(4996/B47*100)</f>
        <v>84.278002699055335</v>
      </c>
      <c r="D47" s="15">
        <v>932</v>
      </c>
      <c r="E47" s="14">
        <v>17.453048249999998</v>
      </c>
      <c r="F47" s="16">
        <v>1.3413101000000001</v>
      </c>
      <c r="G47" s="14">
        <v>82.546951750000005</v>
      </c>
      <c r="H47" s="16">
        <v>1.3413101000000001</v>
      </c>
      <c r="I47" s="14" t="s">
        <v>139</v>
      </c>
      <c r="J47" s="16" t="s">
        <v>139</v>
      </c>
      <c r="K47" s="14">
        <v>0</v>
      </c>
      <c r="L47" s="16">
        <v>0</v>
      </c>
      <c r="M47" s="14">
        <v>0</v>
      </c>
      <c r="N47" s="16">
        <v>0</v>
      </c>
      <c r="O47" s="14">
        <v>0</v>
      </c>
      <c r="P47" s="16">
        <v>0</v>
      </c>
      <c r="Q47" s="14">
        <v>0</v>
      </c>
      <c r="R47" s="16">
        <v>0</v>
      </c>
    </row>
    <row r="48" spans="1:18" x14ac:dyDescent="0.25">
      <c r="A48" s="11" t="s">
        <v>181</v>
      </c>
      <c r="B48" s="13">
        <v>9841</v>
      </c>
      <c r="C48" s="14">
        <f>(8165/B48*100)</f>
        <v>82.969210446092873</v>
      </c>
      <c r="D48" s="15">
        <v>1676</v>
      </c>
      <c r="E48" s="14">
        <v>10.827955380000001</v>
      </c>
      <c r="F48" s="16">
        <v>1.0497011300000001</v>
      </c>
      <c r="G48" s="14">
        <v>89.172044619999994</v>
      </c>
      <c r="H48" s="16">
        <v>1.0497011300000001</v>
      </c>
      <c r="I48" s="14" t="s">
        <v>139</v>
      </c>
      <c r="J48" s="16" t="s">
        <v>139</v>
      </c>
      <c r="K48" s="14">
        <v>0</v>
      </c>
      <c r="L48" s="16">
        <v>0</v>
      </c>
      <c r="M48" s="14">
        <v>0</v>
      </c>
      <c r="N48" s="16">
        <v>0</v>
      </c>
      <c r="O48" s="14">
        <v>0</v>
      </c>
      <c r="P48" s="16">
        <v>0</v>
      </c>
      <c r="Q48" s="14">
        <v>0</v>
      </c>
      <c r="R48" s="16">
        <v>0</v>
      </c>
    </row>
    <row r="49" spans="1:18" x14ac:dyDescent="0.25">
      <c r="A49" s="11" t="s">
        <v>182</v>
      </c>
      <c r="B49" s="17" t="s">
        <v>154</v>
      </c>
      <c r="C49" s="17" t="s">
        <v>154</v>
      </c>
      <c r="D49" s="18" t="s">
        <v>154</v>
      </c>
      <c r="E49" s="17" t="s">
        <v>154</v>
      </c>
      <c r="F49" s="18" t="s">
        <v>154</v>
      </c>
      <c r="G49" s="17" t="s">
        <v>154</v>
      </c>
      <c r="H49" s="18" t="s">
        <v>154</v>
      </c>
      <c r="I49" s="17" t="s">
        <v>154</v>
      </c>
      <c r="J49" s="18" t="s">
        <v>154</v>
      </c>
      <c r="K49" s="17" t="s">
        <v>154</v>
      </c>
      <c r="L49" s="18" t="s">
        <v>154</v>
      </c>
      <c r="M49" s="17" t="s">
        <v>154</v>
      </c>
      <c r="N49" s="18" t="s">
        <v>154</v>
      </c>
      <c r="O49" s="17" t="s">
        <v>154</v>
      </c>
      <c r="P49" s="18" t="s">
        <v>154</v>
      </c>
      <c r="Q49" s="17" t="s">
        <v>154</v>
      </c>
      <c r="R49" s="18" t="s">
        <v>154</v>
      </c>
    </row>
    <row r="50" spans="1:18" x14ac:dyDescent="0.25">
      <c r="A50" s="11" t="s">
        <v>183</v>
      </c>
      <c r="B50" s="13">
        <v>11795</v>
      </c>
      <c r="C50" s="14">
        <f>(9985/B50*100)</f>
        <v>84.654514624841042</v>
      </c>
      <c r="D50" s="15">
        <v>1810</v>
      </c>
      <c r="E50" s="14">
        <v>16.6960522</v>
      </c>
      <c r="F50" s="16">
        <v>1.0787446599999999</v>
      </c>
      <c r="G50" s="14">
        <v>83.303947800000003</v>
      </c>
      <c r="H50" s="16">
        <v>1.0787446599999999</v>
      </c>
      <c r="I50" s="14" t="s">
        <v>139</v>
      </c>
      <c r="J50" s="16" t="s">
        <v>139</v>
      </c>
      <c r="K50" s="14">
        <v>0</v>
      </c>
      <c r="L50" s="16">
        <v>0</v>
      </c>
      <c r="M50" s="14">
        <v>0</v>
      </c>
      <c r="N50" s="16">
        <v>0</v>
      </c>
      <c r="O50" s="14">
        <v>0</v>
      </c>
      <c r="P50" s="16">
        <v>0</v>
      </c>
      <c r="Q50" s="14">
        <v>0</v>
      </c>
      <c r="R50" s="16">
        <v>0</v>
      </c>
    </row>
    <row r="51" spans="1:18" x14ac:dyDescent="0.25">
      <c r="A51" s="11" t="s">
        <v>184</v>
      </c>
      <c r="B51" s="13">
        <v>6866</v>
      </c>
      <c r="C51" s="14">
        <f>(5942/B51*100)</f>
        <v>86.542382755607335</v>
      </c>
      <c r="D51" s="15">
        <v>924</v>
      </c>
      <c r="E51" s="14">
        <v>11.417735499999999</v>
      </c>
      <c r="F51" s="16">
        <v>1.12008774</v>
      </c>
      <c r="G51" s="14">
        <v>88.582264499999994</v>
      </c>
      <c r="H51" s="16">
        <v>1.12008774</v>
      </c>
      <c r="I51" s="14" t="s">
        <v>139</v>
      </c>
      <c r="J51" s="16" t="s">
        <v>139</v>
      </c>
      <c r="K51" s="14">
        <v>0</v>
      </c>
      <c r="L51" s="16">
        <v>0</v>
      </c>
      <c r="M51" s="14">
        <v>0</v>
      </c>
      <c r="N51" s="16">
        <v>0</v>
      </c>
      <c r="O51" s="14">
        <v>0</v>
      </c>
      <c r="P51" s="16">
        <v>0</v>
      </c>
      <c r="Q51" s="14">
        <v>0</v>
      </c>
      <c r="R51" s="16">
        <v>0</v>
      </c>
    </row>
    <row r="52" spans="1:18" x14ac:dyDescent="0.25">
      <c r="A52" s="11" t="s">
        <v>185</v>
      </c>
      <c r="B52" s="13">
        <v>5809</v>
      </c>
      <c r="C52" s="14">
        <f>(4824/B52*100)</f>
        <v>83.043553107247376</v>
      </c>
      <c r="D52" s="15">
        <v>985</v>
      </c>
      <c r="E52" s="14">
        <v>13.42240426</v>
      </c>
      <c r="F52" s="16">
        <v>1.15296357</v>
      </c>
      <c r="G52" s="14">
        <v>86.577595740000007</v>
      </c>
      <c r="H52" s="16">
        <v>1.15296357</v>
      </c>
      <c r="I52" s="14" t="s">
        <v>139</v>
      </c>
      <c r="J52" s="16" t="s">
        <v>139</v>
      </c>
      <c r="K52" s="14">
        <v>0</v>
      </c>
      <c r="L52" s="16">
        <v>0</v>
      </c>
      <c r="M52" s="14">
        <v>0</v>
      </c>
      <c r="N52" s="16">
        <v>0</v>
      </c>
      <c r="O52" s="14">
        <v>0</v>
      </c>
      <c r="P52" s="16">
        <v>0</v>
      </c>
      <c r="Q52" s="14">
        <v>0</v>
      </c>
      <c r="R52" s="16">
        <v>0</v>
      </c>
    </row>
    <row r="53" spans="1:18" x14ac:dyDescent="0.25">
      <c r="A53" s="11" t="s">
        <v>186</v>
      </c>
      <c r="B53" s="13">
        <v>5571</v>
      </c>
      <c r="C53" s="14">
        <f>(4639/B53*100)</f>
        <v>83.270507987793934</v>
      </c>
      <c r="D53" s="15">
        <v>932</v>
      </c>
      <c r="E53" s="14">
        <v>19.87040305</v>
      </c>
      <c r="F53" s="16">
        <v>1.3771969399999999</v>
      </c>
      <c r="G53" s="14">
        <v>80.129596950000007</v>
      </c>
      <c r="H53" s="16">
        <v>1.3771969399999999</v>
      </c>
      <c r="I53" s="14" t="s">
        <v>139</v>
      </c>
      <c r="J53" s="16" t="s">
        <v>139</v>
      </c>
      <c r="K53" s="14">
        <v>0</v>
      </c>
      <c r="L53" s="16">
        <v>0</v>
      </c>
      <c r="M53" s="14">
        <v>0</v>
      </c>
      <c r="N53" s="16">
        <v>0</v>
      </c>
      <c r="O53" s="14">
        <v>0</v>
      </c>
      <c r="P53" s="16">
        <v>0</v>
      </c>
      <c r="Q53" s="14">
        <v>0</v>
      </c>
      <c r="R53" s="16">
        <v>0</v>
      </c>
    </row>
    <row r="54" spans="1:18" x14ac:dyDescent="0.25">
      <c r="A54" s="11" t="s">
        <v>187</v>
      </c>
      <c r="B54" s="17" t="s">
        <v>154</v>
      </c>
      <c r="C54" s="17" t="s">
        <v>154</v>
      </c>
      <c r="D54" s="18" t="s">
        <v>154</v>
      </c>
      <c r="E54" s="17" t="s">
        <v>154</v>
      </c>
      <c r="F54" s="18" t="s">
        <v>154</v>
      </c>
      <c r="G54" s="17" t="s">
        <v>154</v>
      </c>
      <c r="H54" s="18" t="s">
        <v>154</v>
      </c>
      <c r="I54" s="17" t="s">
        <v>154</v>
      </c>
      <c r="J54" s="18" t="s">
        <v>154</v>
      </c>
      <c r="K54" s="17" t="s">
        <v>154</v>
      </c>
      <c r="L54" s="18" t="s">
        <v>154</v>
      </c>
      <c r="M54" s="17" t="s">
        <v>154</v>
      </c>
      <c r="N54" s="18" t="s">
        <v>154</v>
      </c>
      <c r="O54" s="17" t="s">
        <v>154</v>
      </c>
      <c r="P54" s="18" t="s">
        <v>154</v>
      </c>
      <c r="Q54" s="17" t="s">
        <v>154</v>
      </c>
      <c r="R54" s="18" t="s">
        <v>154</v>
      </c>
    </row>
    <row r="55" spans="1:18" x14ac:dyDescent="0.25">
      <c r="A55" s="11" t="s">
        <v>188</v>
      </c>
      <c r="B55" s="17" t="s">
        <v>154</v>
      </c>
      <c r="C55" s="17" t="s">
        <v>154</v>
      </c>
      <c r="D55" s="18" t="s">
        <v>154</v>
      </c>
      <c r="E55" s="17" t="s">
        <v>154</v>
      </c>
      <c r="F55" s="18" t="s">
        <v>154</v>
      </c>
      <c r="G55" s="17" t="s">
        <v>154</v>
      </c>
      <c r="H55" s="18" t="s">
        <v>154</v>
      </c>
      <c r="I55" s="17" t="s">
        <v>154</v>
      </c>
      <c r="J55" s="18" t="s">
        <v>154</v>
      </c>
      <c r="K55" s="17" t="s">
        <v>154</v>
      </c>
      <c r="L55" s="18" t="s">
        <v>154</v>
      </c>
      <c r="M55" s="17" t="s">
        <v>154</v>
      </c>
      <c r="N55" s="18" t="s">
        <v>154</v>
      </c>
      <c r="O55" s="17" t="s">
        <v>154</v>
      </c>
      <c r="P55" s="18" t="s">
        <v>154</v>
      </c>
      <c r="Q55" s="17" t="s">
        <v>154</v>
      </c>
      <c r="R55" s="18" t="s">
        <v>154</v>
      </c>
    </row>
    <row r="56" spans="1:18" x14ac:dyDescent="0.25">
      <c r="A56" s="11" t="s">
        <v>189</v>
      </c>
      <c r="B56" s="13">
        <v>5359</v>
      </c>
      <c r="C56" s="14">
        <f>(4451/B56*100)</f>
        <v>83.056540399328242</v>
      </c>
      <c r="D56" s="15">
        <v>908</v>
      </c>
      <c r="E56" s="14">
        <v>7.0633092700000004</v>
      </c>
      <c r="F56" s="16">
        <v>1.01510028</v>
      </c>
      <c r="G56" s="14">
        <v>92.936690729999995</v>
      </c>
      <c r="H56" s="16">
        <v>1.01510028</v>
      </c>
      <c r="I56" s="14" t="s">
        <v>139</v>
      </c>
      <c r="J56" s="16" t="s">
        <v>139</v>
      </c>
      <c r="K56" s="14">
        <v>0</v>
      </c>
      <c r="L56" s="16">
        <v>0</v>
      </c>
      <c r="M56" s="14">
        <v>0</v>
      </c>
      <c r="N56" s="16">
        <v>0</v>
      </c>
      <c r="O56" s="14">
        <v>0</v>
      </c>
      <c r="P56" s="16">
        <v>0</v>
      </c>
      <c r="Q56" s="14">
        <v>0</v>
      </c>
      <c r="R56" s="16">
        <v>0</v>
      </c>
    </row>
    <row r="57" spans="1:18" x14ac:dyDescent="0.25">
      <c r="A57" s="11" t="s">
        <v>190</v>
      </c>
      <c r="B57" s="17" t="s">
        <v>154</v>
      </c>
      <c r="C57" s="17" t="s">
        <v>154</v>
      </c>
      <c r="D57" s="18" t="s">
        <v>154</v>
      </c>
      <c r="E57" s="17" t="s">
        <v>154</v>
      </c>
      <c r="F57" s="18" t="s">
        <v>154</v>
      </c>
      <c r="G57" s="17" t="s">
        <v>154</v>
      </c>
      <c r="H57" s="18" t="s">
        <v>154</v>
      </c>
      <c r="I57" s="17" t="s">
        <v>154</v>
      </c>
      <c r="J57" s="18" t="s">
        <v>154</v>
      </c>
      <c r="K57" s="17" t="s">
        <v>154</v>
      </c>
      <c r="L57" s="18" t="s">
        <v>154</v>
      </c>
      <c r="M57" s="17" t="s">
        <v>154</v>
      </c>
      <c r="N57" s="18" t="s">
        <v>154</v>
      </c>
      <c r="O57" s="17" t="s">
        <v>154</v>
      </c>
      <c r="P57" s="18" t="s">
        <v>154</v>
      </c>
      <c r="Q57" s="17" t="s">
        <v>154</v>
      </c>
      <c r="R57" s="18" t="s">
        <v>154</v>
      </c>
    </row>
    <row r="58" spans="1:18" x14ac:dyDescent="0.25">
      <c r="A58" s="11" t="s">
        <v>191</v>
      </c>
      <c r="B58" s="17" t="s">
        <v>154</v>
      </c>
      <c r="C58" s="17" t="s">
        <v>154</v>
      </c>
      <c r="D58" s="18" t="s">
        <v>154</v>
      </c>
      <c r="E58" s="17" t="s">
        <v>154</v>
      </c>
      <c r="F58" s="18" t="s">
        <v>154</v>
      </c>
      <c r="G58" s="17" t="s">
        <v>154</v>
      </c>
      <c r="H58" s="18" t="s">
        <v>154</v>
      </c>
      <c r="I58" s="17" t="s">
        <v>154</v>
      </c>
      <c r="J58" s="18" t="s">
        <v>154</v>
      </c>
      <c r="K58" s="17" t="s">
        <v>154</v>
      </c>
      <c r="L58" s="18" t="s">
        <v>154</v>
      </c>
      <c r="M58" s="17" t="s">
        <v>154</v>
      </c>
      <c r="N58" s="18" t="s">
        <v>154</v>
      </c>
      <c r="O58" s="17" t="s">
        <v>154</v>
      </c>
      <c r="P58" s="18" t="s">
        <v>154</v>
      </c>
      <c r="Q58" s="17" t="s">
        <v>154</v>
      </c>
      <c r="R58" s="18" t="s">
        <v>154</v>
      </c>
    </row>
    <row r="59" spans="1:18" x14ac:dyDescent="0.25">
      <c r="A59" s="11" t="s">
        <v>192</v>
      </c>
      <c r="B59" s="17" t="s">
        <v>154</v>
      </c>
      <c r="C59" s="17" t="s">
        <v>154</v>
      </c>
      <c r="D59" s="18" t="s">
        <v>154</v>
      </c>
      <c r="E59" s="17" t="s">
        <v>154</v>
      </c>
      <c r="F59" s="18" t="s">
        <v>154</v>
      </c>
      <c r="G59" s="17" t="s">
        <v>154</v>
      </c>
      <c r="H59" s="18" t="s">
        <v>154</v>
      </c>
      <c r="I59" s="17" t="s">
        <v>154</v>
      </c>
      <c r="J59" s="18" t="s">
        <v>154</v>
      </c>
      <c r="K59" s="17" t="s">
        <v>154</v>
      </c>
      <c r="L59" s="18" t="s">
        <v>154</v>
      </c>
      <c r="M59" s="17" t="s">
        <v>154</v>
      </c>
      <c r="N59" s="18" t="s">
        <v>154</v>
      </c>
      <c r="O59" s="17" t="s">
        <v>154</v>
      </c>
      <c r="P59" s="18" t="s">
        <v>154</v>
      </c>
      <c r="Q59" s="17" t="s">
        <v>154</v>
      </c>
      <c r="R59" s="18" t="s">
        <v>154</v>
      </c>
    </row>
    <row r="60" spans="1:18" x14ac:dyDescent="0.25">
      <c r="A60" s="11" t="s">
        <v>193</v>
      </c>
      <c r="B60" s="17" t="s">
        <v>154</v>
      </c>
      <c r="C60" s="17" t="s">
        <v>154</v>
      </c>
      <c r="D60" s="18" t="s">
        <v>154</v>
      </c>
      <c r="E60" s="17" t="s">
        <v>154</v>
      </c>
      <c r="F60" s="18" t="s">
        <v>154</v>
      </c>
      <c r="G60" s="17" t="s">
        <v>154</v>
      </c>
      <c r="H60" s="18" t="s">
        <v>154</v>
      </c>
      <c r="I60" s="17" t="s">
        <v>154</v>
      </c>
      <c r="J60" s="18" t="s">
        <v>154</v>
      </c>
      <c r="K60" s="17" t="s">
        <v>154</v>
      </c>
      <c r="L60" s="18" t="s">
        <v>154</v>
      </c>
      <c r="M60" s="17" t="s">
        <v>154</v>
      </c>
      <c r="N60" s="18" t="s">
        <v>154</v>
      </c>
      <c r="O60" s="17" t="s">
        <v>154</v>
      </c>
      <c r="P60" s="18" t="s">
        <v>154</v>
      </c>
      <c r="Q60" s="17" t="s">
        <v>154</v>
      </c>
      <c r="R60" s="18" t="s">
        <v>154</v>
      </c>
    </row>
    <row r="61" spans="1:18" x14ac:dyDescent="0.25">
      <c r="A61" s="11" t="s">
        <v>194</v>
      </c>
      <c r="B61" s="13">
        <v>6525</v>
      </c>
      <c r="C61" s="14">
        <f>(5436/B61*100)</f>
        <v>83.310344827586206</v>
      </c>
      <c r="D61" s="15">
        <v>1089</v>
      </c>
      <c r="E61" s="14">
        <v>10.05261408</v>
      </c>
      <c r="F61" s="16">
        <v>0.88481781000000004</v>
      </c>
      <c r="G61" s="14">
        <v>89.947385920000002</v>
      </c>
      <c r="H61" s="16">
        <v>0.88481781000000004</v>
      </c>
      <c r="I61" s="14" t="s">
        <v>139</v>
      </c>
      <c r="J61" s="16" t="s">
        <v>139</v>
      </c>
      <c r="K61" s="14">
        <v>0</v>
      </c>
      <c r="L61" s="16">
        <v>0</v>
      </c>
      <c r="M61" s="14">
        <v>0</v>
      </c>
      <c r="N61" s="16">
        <v>0</v>
      </c>
      <c r="O61" s="14">
        <v>0</v>
      </c>
      <c r="P61" s="16">
        <v>0</v>
      </c>
      <c r="Q61" s="14">
        <v>0</v>
      </c>
      <c r="R61" s="16">
        <v>0</v>
      </c>
    </row>
    <row r="62" spans="1:18" x14ac:dyDescent="0.25">
      <c r="A62" s="11" t="s">
        <v>195</v>
      </c>
      <c r="B62" s="13">
        <v>4476</v>
      </c>
      <c r="C62" s="14">
        <f>(3709/B62*100)</f>
        <v>82.864164432529037</v>
      </c>
      <c r="D62" s="15">
        <v>767</v>
      </c>
      <c r="E62" s="14">
        <v>6.8024769699999998</v>
      </c>
      <c r="F62" s="16">
        <v>0.96011131999999999</v>
      </c>
      <c r="G62" s="14">
        <v>93.197523029999999</v>
      </c>
      <c r="H62" s="16">
        <v>0.96011131999999999</v>
      </c>
      <c r="I62" s="14" t="s">
        <v>139</v>
      </c>
      <c r="J62" s="16" t="s">
        <v>139</v>
      </c>
      <c r="K62" s="14">
        <v>0</v>
      </c>
      <c r="L62" s="16">
        <v>0</v>
      </c>
      <c r="M62" s="14">
        <v>0</v>
      </c>
      <c r="N62" s="16">
        <v>0</v>
      </c>
      <c r="O62" s="14">
        <v>0</v>
      </c>
      <c r="P62" s="16">
        <v>0</v>
      </c>
      <c r="Q62" s="14">
        <v>0</v>
      </c>
      <c r="R62" s="16">
        <v>0</v>
      </c>
    </row>
    <row r="63" spans="1:18" x14ac:dyDescent="0.25">
      <c r="A63" s="11" t="s">
        <v>196</v>
      </c>
      <c r="B63" s="17" t="s">
        <v>154</v>
      </c>
      <c r="C63" s="17" t="s">
        <v>154</v>
      </c>
      <c r="D63" s="18" t="s">
        <v>154</v>
      </c>
      <c r="E63" s="17" t="s">
        <v>154</v>
      </c>
      <c r="F63" s="18" t="s">
        <v>154</v>
      </c>
      <c r="G63" s="17" t="s">
        <v>154</v>
      </c>
      <c r="H63" s="18" t="s">
        <v>154</v>
      </c>
      <c r="I63" s="17" t="s">
        <v>154</v>
      </c>
      <c r="J63" s="18" t="s">
        <v>154</v>
      </c>
      <c r="K63" s="17" t="s">
        <v>154</v>
      </c>
      <c r="L63" s="18" t="s">
        <v>154</v>
      </c>
      <c r="M63" s="17" t="s">
        <v>154</v>
      </c>
      <c r="N63" s="18" t="s">
        <v>154</v>
      </c>
      <c r="O63" s="17" t="s">
        <v>154</v>
      </c>
      <c r="P63" s="18" t="s">
        <v>154</v>
      </c>
      <c r="Q63" s="17" t="s">
        <v>154</v>
      </c>
      <c r="R63" s="18" t="s">
        <v>154</v>
      </c>
    </row>
    <row r="64" spans="1:18" x14ac:dyDescent="0.25">
      <c r="A64" s="11" t="s">
        <v>197</v>
      </c>
      <c r="B64" s="17" t="s">
        <v>154</v>
      </c>
      <c r="C64" s="17" t="s">
        <v>154</v>
      </c>
      <c r="D64" s="18" t="s">
        <v>154</v>
      </c>
      <c r="E64" s="17" t="s">
        <v>154</v>
      </c>
      <c r="F64" s="18" t="s">
        <v>154</v>
      </c>
      <c r="G64" s="17" t="s">
        <v>154</v>
      </c>
      <c r="H64" s="18" t="s">
        <v>154</v>
      </c>
      <c r="I64" s="17" t="s">
        <v>154</v>
      </c>
      <c r="J64" s="18" t="s">
        <v>154</v>
      </c>
      <c r="K64" s="17" t="s">
        <v>154</v>
      </c>
      <c r="L64" s="18" t="s">
        <v>154</v>
      </c>
      <c r="M64" s="17" t="s">
        <v>154</v>
      </c>
      <c r="N64" s="18" t="s">
        <v>154</v>
      </c>
      <c r="O64" s="17" t="s">
        <v>154</v>
      </c>
      <c r="P64" s="18" t="s">
        <v>154</v>
      </c>
      <c r="Q64" s="17" t="s">
        <v>154</v>
      </c>
      <c r="R64" s="18" t="s">
        <v>154</v>
      </c>
    </row>
    <row r="65" spans="1:18" x14ac:dyDescent="0.25">
      <c r="A65" s="11" t="s">
        <v>198</v>
      </c>
      <c r="B65" s="17" t="s">
        <v>154</v>
      </c>
      <c r="C65" s="17" t="s">
        <v>154</v>
      </c>
      <c r="D65" s="18" t="s">
        <v>154</v>
      </c>
      <c r="E65" s="17" t="s">
        <v>154</v>
      </c>
      <c r="F65" s="18" t="s">
        <v>154</v>
      </c>
      <c r="G65" s="17" t="s">
        <v>154</v>
      </c>
      <c r="H65" s="18" t="s">
        <v>154</v>
      </c>
      <c r="I65" s="17" t="s">
        <v>154</v>
      </c>
      <c r="J65" s="18" t="s">
        <v>154</v>
      </c>
      <c r="K65" s="17" t="s">
        <v>154</v>
      </c>
      <c r="L65" s="18" t="s">
        <v>154</v>
      </c>
      <c r="M65" s="17" t="s">
        <v>154</v>
      </c>
      <c r="N65" s="18" t="s">
        <v>154</v>
      </c>
      <c r="O65" s="17" t="s">
        <v>154</v>
      </c>
      <c r="P65" s="18" t="s">
        <v>154</v>
      </c>
      <c r="Q65" s="17" t="s">
        <v>154</v>
      </c>
      <c r="R65" s="18" t="s">
        <v>154</v>
      </c>
    </row>
    <row r="66" spans="1:18" x14ac:dyDescent="0.25">
      <c r="A66" s="11" t="s">
        <v>199</v>
      </c>
      <c r="B66" s="13">
        <v>5665</v>
      </c>
      <c r="C66" s="14">
        <f>(4753/B66*100)</f>
        <v>83.901147396293027</v>
      </c>
      <c r="D66" s="15">
        <v>912</v>
      </c>
      <c r="E66" s="14">
        <v>23.743174</v>
      </c>
      <c r="F66" s="16">
        <v>1.3802200899999999</v>
      </c>
      <c r="G66" s="14">
        <v>76.256826000000004</v>
      </c>
      <c r="H66" s="16">
        <v>1.3802200899999999</v>
      </c>
      <c r="I66" s="14" t="s">
        <v>139</v>
      </c>
      <c r="J66" s="16" t="s">
        <v>139</v>
      </c>
      <c r="K66" s="14">
        <v>0</v>
      </c>
      <c r="L66" s="16">
        <v>0</v>
      </c>
      <c r="M66" s="14">
        <v>0</v>
      </c>
      <c r="N66" s="16">
        <v>0</v>
      </c>
      <c r="O66" s="14">
        <v>0</v>
      </c>
      <c r="P66" s="16">
        <v>0</v>
      </c>
      <c r="Q66" s="14">
        <v>0</v>
      </c>
      <c r="R66" s="16">
        <v>0</v>
      </c>
    </row>
    <row r="67" spans="1:18" x14ac:dyDescent="0.25">
      <c r="A67" s="11" t="s">
        <v>200</v>
      </c>
      <c r="B67" s="13">
        <v>6971</v>
      </c>
      <c r="C67" s="14">
        <f>(6054/B67*100)</f>
        <v>86.845502797303112</v>
      </c>
      <c r="D67" s="15">
        <v>917</v>
      </c>
      <c r="E67" s="14">
        <v>19.435575279999998</v>
      </c>
      <c r="F67" s="16">
        <v>1.55733028</v>
      </c>
      <c r="G67" s="14">
        <v>80.564424720000005</v>
      </c>
      <c r="H67" s="16">
        <v>1.55733028</v>
      </c>
      <c r="I67" s="14" t="s">
        <v>139</v>
      </c>
      <c r="J67" s="16" t="s">
        <v>139</v>
      </c>
      <c r="K67" s="14">
        <v>0</v>
      </c>
      <c r="L67" s="16">
        <v>0</v>
      </c>
      <c r="M67" s="14">
        <v>0</v>
      </c>
      <c r="N67" s="16">
        <v>0</v>
      </c>
      <c r="O67" s="14">
        <v>0</v>
      </c>
      <c r="P67" s="16">
        <v>0</v>
      </c>
      <c r="Q67" s="14">
        <v>0</v>
      </c>
      <c r="R67" s="16">
        <v>0</v>
      </c>
    </row>
    <row r="68" spans="1:18" x14ac:dyDescent="0.25">
      <c r="A68" s="11" t="s">
        <v>201</v>
      </c>
      <c r="B68" s="17" t="s">
        <v>154</v>
      </c>
      <c r="C68" s="17" t="s">
        <v>154</v>
      </c>
      <c r="D68" s="18" t="s">
        <v>154</v>
      </c>
      <c r="E68" s="17" t="s">
        <v>154</v>
      </c>
      <c r="F68" s="18" t="s">
        <v>154</v>
      </c>
      <c r="G68" s="17" t="s">
        <v>154</v>
      </c>
      <c r="H68" s="18" t="s">
        <v>154</v>
      </c>
      <c r="I68" s="17" t="s">
        <v>154</v>
      </c>
      <c r="J68" s="18" t="s">
        <v>154</v>
      </c>
      <c r="K68" s="17" t="s">
        <v>154</v>
      </c>
      <c r="L68" s="18" t="s">
        <v>154</v>
      </c>
      <c r="M68" s="17" t="s">
        <v>154</v>
      </c>
      <c r="N68" s="18" t="s">
        <v>154</v>
      </c>
      <c r="O68" s="17" t="s">
        <v>154</v>
      </c>
      <c r="P68" s="18" t="s">
        <v>154</v>
      </c>
      <c r="Q68" s="17" t="s">
        <v>154</v>
      </c>
      <c r="R68" s="18" t="s">
        <v>154</v>
      </c>
    </row>
    <row r="69" spans="1:18" x14ac:dyDescent="0.25">
      <c r="A69" s="11" t="s">
        <v>202</v>
      </c>
      <c r="B69" s="17" t="s">
        <v>154</v>
      </c>
      <c r="C69" s="17" t="s">
        <v>154</v>
      </c>
      <c r="D69" s="18" t="s">
        <v>154</v>
      </c>
      <c r="E69" s="17" t="s">
        <v>154</v>
      </c>
      <c r="F69" s="18" t="s">
        <v>154</v>
      </c>
      <c r="G69" s="17" t="s">
        <v>154</v>
      </c>
      <c r="H69" s="18" t="s">
        <v>154</v>
      </c>
      <c r="I69" s="17" t="s">
        <v>154</v>
      </c>
      <c r="J69" s="18" t="s">
        <v>154</v>
      </c>
      <c r="K69" s="17" t="s">
        <v>154</v>
      </c>
      <c r="L69" s="18" t="s">
        <v>154</v>
      </c>
      <c r="M69" s="17" t="s">
        <v>154</v>
      </c>
      <c r="N69" s="18" t="s">
        <v>154</v>
      </c>
      <c r="O69" s="17" t="s">
        <v>154</v>
      </c>
      <c r="P69" s="18" t="s">
        <v>154</v>
      </c>
      <c r="Q69" s="17" t="s">
        <v>154</v>
      </c>
      <c r="R69" s="18" t="s">
        <v>154</v>
      </c>
    </row>
    <row r="70" spans="1:18" x14ac:dyDescent="0.25">
      <c r="A70" s="11" t="s">
        <v>203</v>
      </c>
      <c r="B70" s="13">
        <v>6036</v>
      </c>
      <c r="C70" s="14">
        <f>(5065/B70*100)</f>
        <v>83.913187541418154</v>
      </c>
      <c r="D70" s="15">
        <v>971</v>
      </c>
      <c r="E70" s="14">
        <v>10.636455379999999</v>
      </c>
      <c r="F70" s="16">
        <v>0.99205525999999999</v>
      </c>
      <c r="G70" s="14">
        <v>89.363544619999999</v>
      </c>
      <c r="H70" s="16">
        <v>0.99205525999999999</v>
      </c>
      <c r="I70" s="14" t="s">
        <v>139</v>
      </c>
      <c r="J70" s="16" t="s">
        <v>139</v>
      </c>
      <c r="K70" s="14">
        <v>0</v>
      </c>
      <c r="L70" s="16">
        <v>0</v>
      </c>
      <c r="M70" s="14">
        <v>0</v>
      </c>
      <c r="N70" s="16">
        <v>0</v>
      </c>
      <c r="O70" s="14">
        <v>0</v>
      </c>
      <c r="P70" s="16">
        <v>0</v>
      </c>
      <c r="Q70" s="14">
        <v>0</v>
      </c>
      <c r="R70" s="16">
        <v>0</v>
      </c>
    </row>
    <row r="71" spans="1:18" x14ac:dyDescent="0.25">
      <c r="A71" s="11" t="s">
        <v>204</v>
      </c>
      <c r="B71" s="17" t="s">
        <v>154</v>
      </c>
      <c r="C71" s="17" t="s">
        <v>154</v>
      </c>
      <c r="D71" s="18" t="s">
        <v>154</v>
      </c>
      <c r="E71" s="17" t="s">
        <v>154</v>
      </c>
      <c r="F71" s="18" t="s">
        <v>154</v>
      </c>
      <c r="G71" s="17" t="s">
        <v>154</v>
      </c>
      <c r="H71" s="18" t="s">
        <v>154</v>
      </c>
      <c r="I71" s="17" t="s">
        <v>154</v>
      </c>
      <c r="J71" s="18" t="s">
        <v>154</v>
      </c>
      <c r="K71" s="17" t="s">
        <v>154</v>
      </c>
      <c r="L71" s="18" t="s">
        <v>154</v>
      </c>
      <c r="M71" s="17" t="s">
        <v>154</v>
      </c>
      <c r="N71" s="18" t="s">
        <v>154</v>
      </c>
      <c r="O71" s="17" t="s">
        <v>154</v>
      </c>
      <c r="P71" s="18" t="s">
        <v>154</v>
      </c>
      <c r="Q71" s="17" t="s">
        <v>154</v>
      </c>
      <c r="R71" s="18" t="s">
        <v>154</v>
      </c>
    </row>
    <row r="72" spans="1:18" x14ac:dyDescent="0.25">
      <c r="A72" s="11" t="s">
        <v>205</v>
      </c>
      <c r="B72" s="13">
        <v>7708</v>
      </c>
      <c r="C72" s="14">
        <f>(6396/B72*100)</f>
        <v>82.978723404255319</v>
      </c>
      <c r="D72" s="15">
        <v>1312</v>
      </c>
      <c r="E72" s="14">
        <v>6.3739143599999997</v>
      </c>
      <c r="F72" s="16">
        <v>0.69443493000000001</v>
      </c>
      <c r="G72" s="14">
        <v>93.626085639999999</v>
      </c>
      <c r="H72" s="16">
        <v>0.69443493000000001</v>
      </c>
      <c r="I72" s="14" t="s">
        <v>139</v>
      </c>
      <c r="J72" s="16" t="s">
        <v>139</v>
      </c>
      <c r="K72" s="14">
        <v>0</v>
      </c>
      <c r="L72" s="16">
        <v>0</v>
      </c>
      <c r="M72" s="14">
        <v>0</v>
      </c>
      <c r="N72" s="16">
        <v>0</v>
      </c>
      <c r="O72" s="14">
        <v>0</v>
      </c>
      <c r="P72" s="16">
        <v>0</v>
      </c>
      <c r="Q72" s="14">
        <v>0</v>
      </c>
      <c r="R72" s="16">
        <v>0</v>
      </c>
    </row>
    <row r="73" spans="1:18" x14ac:dyDescent="0.25">
      <c r="A73" s="11" t="s">
        <v>206</v>
      </c>
      <c r="B73" s="13">
        <v>8249</v>
      </c>
      <c r="C73" s="14">
        <f>(7001/B73*100)</f>
        <v>84.870893441629292</v>
      </c>
      <c r="D73" s="15">
        <v>1248</v>
      </c>
      <c r="E73" s="14">
        <v>23.139062039999999</v>
      </c>
      <c r="F73" s="16">
        <v>1.52919867</v>
      </c>
      <c r="G73" s="14">
        <v>76.860937960000001</v>
      </c>
      <c r="H73" s="16">
        <v>1.52919867</v>
      </c>
      <c r="I73" s="14" t="s">
        <v>139</v>
      </c>
      <c r="J73" s="16" t="s">
        <v>139</v>
      </c>
      <c r="K73" s="14">
        <v>0</v>
      </c>
      <c r="L73" s="16">
        <v>0</v>
      </c>
      <c r="M73" s="14">
        <v>0</v>
      </c>
      <c r="N73" s="16">
        <v>0</v>
      </c>
      <c r="O73" s="14">
        <v>0</v>
      </c>
      <c r="P73" s="16">
        <v>0</v>
      </c>
      <c r="Q73" s="14">
        <v>0</v>
      </c>
      <c r="R73" s="16">
        <v>0</v>
      </c>
    </row>
    <row r="74" spans="1:18" x14ac:dyDescent="0.25">
      <c r="A74" s="11" t="s">
        <v>207</v>
      </c>
      <c r="B74" s="17" t="s">
        <v>154</v>
      </c>
      <c r="C74" s="17" t="s">
        <v>154</v>
      </c>
      <c r="D74" s="18" t="s">
        <v>154</v>
      </c>
      <c r="E74" s="17" t="s">
        <v>154</v>
      </c>
      <c r="F74" s="18" t="s">
        <v>154</v>
      </c>
      <c r="G74" s="17" t="s">
        <v>154</v>
      </c>
      <c r="H74" s="18" t="s">
        <v>154</v>
      </c>
      <c r="I74" s="17" t="s">
        <v>154</v>
      </c>
      <c r="J74" s="18" t="s">
        <v>154</v>
      </c>
      <c r="K74" s="17" t="s">
        <v>154</v>
      </c>
      <c r="L74" s="18" t="s">
        <v>154</v>
      </c>
      <c r="M74" s="17" t="s">
        <v>154</v>
      </c>
      <c r="N74" s="18" t="s">
        <v>154</v>
      </c>
      <c r="O74" s="17" t="s">
        <v>154</v>
      </c>
      <c r="P74" s="18" t="s">
        <v>154</v>
      </c>
      <c r="Q74" s="17" t="s">
        <v>154</v>
      </c>
      <c r="R74" s="18" t="s">
        <v>154</v>
      </c>
    </row>
    <row r="75" spans="1:18" x14ac:dyDescent="0.25">
      <c r="A75" s="11" t="s">
        <v>208</v>
      </c>
      <c r="B75" s="13">
        <v>5375</v>
      </c>
      <c r="C75" s="14">
        <f>(4571/B75*100)</f>
        <v>85.041860465116287</v>
      </c>
      <c r="D75" s="15">
        <v>804</v>
      </c>
      <c r="E75" s="14">
        <v>29.65933179</v>
      </c>
      <c r="F75" s="16">
        <v>1.6435105699999999</v>
      </c>
      <c r="G75" s="14">
        <v>70.340668210000004</v>
      </c>
      <c r="H75" s="16">
        <v>1.6435105699999999</v>
      </c>
      <c r="I75" s="14" t="s">
        <v>139</v>
      </c>
      <c r="J75" s="16" t="s">
        <v>139</v>
      </c>
      <c r="K75" s="14">
        <v>0</v>
      </c>
      <c r="L75" s="16">
        <v>0</v>
      </c>
      <c r="M75" s="14">
        <v>0</v>
      </c>
      <c r="N75" s="16">
        <v>0</v>
      </c>
      <c r="O75" s="14">
        <v>0</v>
      </c>
      <c r="P75" s="16">
        <v>0</v>
      </c>
      <c r="Q75" s="14">
        <v>0</v>
      </c>
      <c r="R75" s="16">
        <v>0</v>
      </c>
    </row>
    <row r="76" spans="1:18" x14ac:dyDescent="0.25">
      <c r="A76" s="11" t="s">
        <v>209</v>
      </c>
      <c r="B76" s="13">
        <v>14167</v>
      </c>
      <c r="C76" s="14">
        <f>(11809/B76*100)</f>
        <v>83.355685748570622</v>
      </c>
      <c r="D76" s="15">
        <v>2358</v>
      </c>
      <c r="E76" s="14">
        <v>20.26747155</v>
      </c>
      <c r="F76" s="16">
        <v>0.93295536000000001</v>
      </c>
      <c r="G76" s="14">
        <v>79.732528450000004</v>
      </c>
      <c r="H76" s="16">
        <v>0.93295536000000001</v>
      </c>
      <c r="I76" s="14" t="s">
        <v>139</v>
      </c>
      <c r="J76" s="16" t="s">
        <v>139</v>
      </c>
      <c r="K76" s="14">
        <v>0</v>
      </c>
      <c r="L76" s="16">
        <v>0</v>
      </c>
      <c r="M76" s="14">
        <v>0</v>
      </c>
      <c r="N76" s="16">
        <v>0</v>
      </c>
      <c r="O76" s="14">
        <v>0</v>
      </c>
      <c r="P76" s="16">
        <v>0</v>
      </c>
      <c r="Q76" s="14">
        <v>0</v>
      </c>
      <c r="R76" s="16">
        <v>0</v>
      </c>
    </row>
    <row r="77" spans="1:18" x14ac:dyDescent="0.25">
      <c r="A77" s="11" t="s">
        <v>210</v>
      </c>
      <c r="B77" s="13">
        <v>6062</v>
      </c>
      <c r="C77" s="14">
        <f>(5111/B77*100)</f>
        <v>84.312108215110527</v>
      </c>
      <c r="D77" s="15">
        <v>951</v>
      </c>
      <c r="E77" s="14">
        <v>14.92884954</v>
      </c>
      <c r="F77" s="16">
        <v>1.29017256</v>
      </c>
      <c r="G77" s="14">
        <v>85.071150459999998</v>
      </c>
      <c r="H77" s="16">
        <v>1.29017256</v>
      </c>
      <c r="I77" s="14" t="s">
        <v>139</v>
      </c>
      <c r="J77" s="16" t="s">
        <v>139</v>
      </c>
      <c r="K77" s="14">
        <v>0</v>
      </c>
      <c r="L77" s="16">
        <v>0</v>
      </c>
      <c r="M77" s="14">
        <v>0</v>
      </c>
      <c r="N77" s="16">
        <v>0</v>
      </c>
      <c r="O77" s="14">
        <v>0</v>
      </c>
      <c r="P77" s="16">
        <v>0</v>
      </c>
      <c r="Q77" s="14">
        <v>0</v>
      </c>
      <c r="R77" s="16">
        <v>0</v>
      </c>
    </row>
    <row r="78" spans="1:18" x14ac:dyDescent="0.25">
      <c r="A78" s="11" t="s">
        <v>211</v>
      </c>
      <c r="B78" s="17" t="s">
        <v>154</v>
      </c>
      <c r="C78" s="17" t="s">
        <v>154</v>
      </c>
      <c r="D78" s="18" t="s">
        <v>154</v>
      </c>
      <c r="E78" s="17" t="s">
        <v>154</v>
      </c>
      <c r="F78" s="18" t="s">
        <v>154</v>
      </c>
      <c r="G78" s="17" t="s">
        <v>154</v>
      </c>
      <c r="H78" s="18" t="s">
        <v>154</v>
      </c>
      <c r="I78" s="17" t="s">
        <v>154</v>
      </c>
      <c r="J78" s="18" t="s">
        <v>154</v>
      </c>
      <c r="K78" s="17" t="s">
        <v>154</v>
      </c>
      <c r="L78" s="18" t="s">
        <v>154</v>
      </c>
      <c r="M78" s="17" t="s">
        <v>154</v>
      </c>
      <c r="N78" s="18" t="s">
        <v>154</v>
      </c>
      <c r="O78" s="17" t="s">
        <v>154</v>
      </c>
      <c r="P78" s="18" t="s">
        <v>154</v>
      </c>
      <c r="Q78" s="17" t="s">
        <v>154</v>
      </c>
      <c r="R78" s="18" t="s">
        <v>154</v>
      </c>
    </row>
    <row r="79" spans="1:18" ht="24.95" customHeight="1" x14ac:dyDescent="0.25">
      <c r="A79" s="11" t="s">
        <v>212</v>
      </c>
      <c r="B79" s="17" t="s">
        <v>154</v>
      </c>
      <c r="C79" s="17" t="s">
        <v>154</v>
      </c>
      <c r="D79" s="18" t="s">
        <v>154</v>
      </c>
      <c r="E79" s="17" t="s">
        <v>154</v>
      </c>
      <c r="F79" s="18" t="s">
        <v>154</v>
      </c>
      <c r="G79" s="17" t="s">
        <v>154</v>
      </c>
      <c r="H79" s="18" t="s">
        <v>154</v>
      </c>
      <c r="I79" s="17" t="s">
        <v>154</v>
      </c>
      <c r="J79" s="18" t="s">
        <v>154</v>
      </c>
      <c r="K79" s="17" t="s">
        <v>154</v>
      </c>
      <c r="L79" s="18" t="s">
        <v>154</v>
      </c>
      <c r="M79" s="17" t="s">
        <v>154</v>
      </c>
      <c r="N79" s="18" t="s">
        <v>154</v>
      </c>
      <c r="O79" s="17" t="s">
        <v>154</v>
      </c>
      <c r="P79" s="18" t="s">
        <v>154</v>
      </c>
      <c r="Q79" s="17" t="s">
        <v>154</v>
      </c>
      <c r="R79" s="18" t="s">
        <v>154</v>
      </c>
    </row>
    <row r="80" spans="1:18" x14ac:dyDescent="0.25">
      <c r="A80" s="11" t="s">
        <v>213</v>
      </c>
      <c r="B80" s="17" t="s">
        <v>154</v>
      </c>
      <c r="C80" s="17" t="s">
        <v>154</v>
      </c>
      <c r="D80" s="18" t="s">
        <v>154</v>
      </c>
      <c r="E80" s="17" t="s">
        <v>154</v>
      </c>
      <c r="F80" s="18" t="s">
        <v>154</v>
      </c>
      <c r="G80" s="17" t="s">
        <v>154</v>
      </c>
      <c r="H80" s="18" t="s">
        <v>154</v>
      </c>
      <c r="I80" s="17" t="s">
        <v>154</v>
      </c>
      <c r="J80" s="18" t="s">
        <v>154</v>
      </c>
      <c r="K80" s="17" t="s">
        <v>154</v>
      </c>
      <c r="L80" s="18" t="s">
        <v>154</v>
      </c>
      <c r="M80" s="17" t="s">
        <v>154</v>
      </c>
      <c r="N80" s="18" t="s">
        <v>154</v>
      </c>
      <c r="O80" s="17" t="s">
        <v>154</v>
      </c>
      <c r="P80" s="18" t="s">
        <v>154</v>
      </c>
      <c r="Q80" s="17" t="s">
        <v>154</v>
      </c>
      <c r="R80" s="18" t="s">
        <v>154</v>
      </c>
    </row>
    <row r="81" spans="1:18" x14ac:dyDescent="0.25">
      <c r="A81" s="19" t="s">
        <v>214</v>
      </c>
      <c r="B81" s="13">
        <v>8861</v>
      </c>
      <c r="C81" s="14">
        <f>(7350/B81*100)</f>
        <v>82.947748561110473</v>
      </c>
      <c r="D81" s="15">
        <v>1511</v>
      </c>
      <c r="E81" s="14">
        <v>19.498151790000001</v>
      </c>
      <c r="F81" s="16">
        <v>1.2643272699999999</v>
      </c>
      <c r="G81" s="14">
        <v>80.501848210000006</v>
      </c>
      <c r="H81" s="16">
        <v>1.2643272699999999</v>
      </c>
      <c r="I81" s="14" t="s">
        <v>139</v>
      </c>
      <c r="J81" s="16" t="s">
        <v>139</v>
      </c>
      <c r="K81" s="14">
        <v>0</v>
      </c>
      <c r="L81" s="16">
        <v>0</v>
      </c>
      <c r="M81" s="14">
        <v>0</v>
      </c>
      <c r="N81" s="16">
        <v>0</v>
      </c>
      <c r="O81" s="14">
        <v>0</v>
      </c>
      <c r="P81" s="16">
        <v>0</v>
      </c>
      <c r="Q81" s="14">
        <v>0</v>
      </c>
      <c r="R81" s="16">
        <v>0</v>
      </c>
    </row>
    <row r="82" spans="1:18" x14ac:dyDescent="0.25">
      <c r="A82" s="20"/>
      <c r="B82" s="20" t="s">
        <v>215</v>
      </c>
      <c r="C82" s="20" t="s">
        <v>215</v>
      </c>
      <c r="D82" s="20" t="s">
        <v>215</v>
      </c>
      <c r="E82" s="20" t="s">
        <v>215</v>
      </c>
      <c r="F82" s="20" t="s">
        <v>215</v>
      </c>
      <c r="G82" s="20" t="s">
        <v>215</v>
      </c>
      <c r="H82" s="20" t="s">
        <v>215</v>
      </c>
      <c r="I82" s="20" t="s">
        <v>215</v>
      </c>
      <c r="J82" s="20" t="s">
        <v>215</v>
      </c>
      <c r="K82" s="20" t="s">
        <v>215</v>
      </c>
      <c r="L82" s="20" t="s">
        <v>215</v>
      </c>
      <c r="M82" s="20" t="s">
        <v>215</v>
      </c>
      <c r="N82" s="20" t="s">
        <v>215</v>
      </c>
      <c r="O82" s="20" t="s">
        <v>215</v>
      </c>
      <c r="P82" s="20" t="s">
        <v>215</v>
      </c>
      <c r="Q82" s="20" t="s">
        <v>215</v>
      </c>
      <c r="R82" s="20" t="s">
        <v>215</v>
      </c>
    </row>
    <row r="83" spans="1:18" x14ac:dyDescent="0.25">
      <c r="A83" s="3" t="s">
        <v>216</v>
      </c>
    </row>
    <row r="84" spans="1:18" x14ac:dyDescent="0.25">
      <c r="A84" s="22" t="s">
        <v>217</v>
      </c>
      <c r="B84" s="23"/>
      <c r="C84" s="23"/>
      <c r="D84" s="23"/>
      <c r="E84" s="23"/>
      <c r="F84" s="23"/>
      <c r="G84" s="23"/>
      <c r="H84" s="23"/>
      <c r="I84" s="23"/>
      <c r="J84" s="23"/>
      <c r="K84" s="23"/>
      <c r="L84" s="23"/>
      <c r="M84" s="23"/>
      <c r="N84" s="23"/>
      <c r="O84" s="23"/>
      <c r="P84" s="23"/>
      <c r="Q84" s="23"/>
      <c r="R84" s="23"/>
    </row>
    <row r="85" spans="1:18" x14ac:dyDescent="0.25">
      <c r="A85" s="22" t="s">
        <v>218</v>
      </c>
      <c r="B85" s="23"/>
      <c r="C85" s="23"/>
      <c r="D85" s="23"/>
      <c r="E85" s="23"/>
      <c r="F85" s="23"/>
      <c r="G85" s="23"/>
      <c r="H85" s="23"/>
      <c r="I85" s="23"/>
      <c r="J85" s="23"/>
      <c r="K85" s="23"/>
      <c r="L85" s="23"/>
      <c r="M85" s="23"/>
      <c r="N85" s="23"/>
      <c r="O85" s="23"/>
      <c r="P85" s="23"/>
      <c r="Q85" s="23"/>
      <c r="R85" s="23"/>
    </row>
    <row r="86" spans="1:18" ht="30" customHeight="1" x14ac:dyDescent="0.25">
      <c r="A86" s="22" t="s">
        <v>219</v>
      </c>
      <c r="B86" s="23"/>
      <c r="C86" s="23"/>
      <c r="D86" s="23"/>
      <c r="E86" s="23"/>
      <c r="F86" s="23"/>
      <c r="G86" s="23"/>
      <c r="H86" s="23"/>
      <c r="I86" s="23"/>
      <c r="J86" s="23"/>
      <c r="K86" s="23"/>
      <c r="L86" s="23"/>
      <c r="M86" s="23"/>
      <c r="N86" s="23"/>
      <c r="O86" s="23"/>
      <c r="P86" s="23"/>
      <c r="Q86" s="23"/>
      <c r="R86" s="23"/>
    </row>
    <row r="87" spans="1:18" ht="30" customHeight="1" x14ac:dyDescent="0.25">
      <c r="A87" s="22" t="s">
        <v>215</v>
      </c>
      <c r="B87" s="23"/>
      <c r="C87" s="23"/>
      <c r="D87" s="23"/>
      <c r="E87" s="23"/>
      <c r="F87" s="23"/>
      <c r="G87" s="23"/>
      <c r="H87" s="23"/>
      <c r="I87" s="23"/>
      <c r="J87" s="23"/>
      <c r="K87" s="23"/>
      <c r="L87" s="23"/>
      <c r="M87" s="23"/>
      <c r="N87" s="23"/>
      <c r="O87" s="23"/>
      <c r="P87" s="23"/>
      <c r="Q87" s="23"/>
      <c r="R87" s="23"/>
    </row>
    <row r="88" spans="1:18" ht="30" customHeight="1" x14ac:dyDescent="0.25">
      <c r="A88" s="22" t="s">
        <v>220</v>
      </c>
      <c r="B88" s="23"/>
      <c r="C88" s="23"/>
      <c r="D88" s="23"/>
      <c r="E88" s="23"/>
      <c r="F88" s="23"/>
      <c r="G88" s="23"/>
      <c r="H88" s="23"/>
      <c r="I88" s="23"/>
      <c r="J88" s="23"/>
      <c r="K88" s="23"/>
      <c r="L88" s="23"/>
      <c r="M88" s="23"/>
      <c r="N88" s="23"/>
      <c r="O88" s="23"/>
      <c r="P88" s="23"/>
      <c r="Q88" s="23"/>
      <c r="R88" s="23"/>
    </row>
    <row r="89" spans="1:18" ht="30" customHeight="1" x14ac:dyDescent="0.25">
      <c r="A89" s="22" t="s">
        <v>221</v>
      </c>
      <c r="B89" s="23"/>
      <c r="C89" s="23"/>
      <c r="D89" s="23"/>
      <c r="E89" s="23"/>
      <c r="F89" s="23"/>
      <c r="G89" s="23"/>
      <c r="H89" s="23"/>
      <c r="I89" s="23"/>
      <c r="J89" s="23"/>
      <c r="K89" s="23"/>
      <c r="L89" s="23"/>
      <c r="M89" s="23"/>
      <c r="N89" s="23"/>
      <c r="O89" s="23"/>
      <c r="P89" s="23"/>
      <c r="Q89" s="23"/>
      <c r="R89" s="23"/>
    </row>
    <row r="90" spans="1:18" ht="30" customHeight="1" x14ac:dyDescent="0.25">
      <c r="A90" s="22" t="s">
        <v>222</v>
      </c>
      <c r="B90" s="23"/>
      <c r="C90" s="23"/>
      <c r="D90" s="23"/>
      <c r="E90" s="23"/>
      <c r="F90" s="23"/>
      <c r="G90" s="23"/>
      <c r="H90" s="23"/>
      <c r="I90" s="23"/>
      <c r="J90" s="23"/>
      <c r="K90" s="23"/>
      <c r="L90" s="23"/>
      <c r="M90" s="23"/>
      <c r="N90" s="23"/>
      <c r="O90" s="23"/>
      <c r="P90" s="23"/>
      <c r="Q90" s="23"/>
      <c r="R90" s="23"/>
    </row>
    <row r="91" spans="1:18" ht="30" customHeight="1" x14ac:dyDescent="0.25">
      <c r="A91" s="22" t="s">
        <v>223</v>
      </c>
      <c r="B91" s="23"/>
      <c r="C91" s="23"/>
      <c r="D91" s="23"/>
      <c r="E91" s="23"/>
      <c r="F91" s="23"/>
      <c r="G91" s="23"/>
      <c r="H91" s="23"/>
      <c r="I91" s="23"/>
      <c r="J91" s="23"/>
      <c r="K91" s="23"/>
      <c r="L91" s="23"/>
      <c r="M91" s="23"/>
      <c r="N91" s="23"/>
      <c r="O91" s="23"/>
      <c r="P91" s="23"/>
      <c r="Q91" s="23"/>
      <c r="R91" s="23"/>
    </row>
    <row r="92" spans="1:18" ht="30" customHeight="1" x14ac:dyDescent="0.25">
      <c r="A92" s="22" t="s">
        <v>224</v>
      </c>
      <c r="B92" s="23"/>
      <c r="C92" s="23"/>
      <c r="D92" s="23"/>
      <c r="E92" s="23"/>
      <c r="F92" s="23"/>
      <c r="G92" s="23"/>
      <c r="H92" s="23"/>
      <c r="I92" s="23"/>
      <c r="J92" s="23"/>
      <c r="K92" s="23"/>
      <c r="L92" s="23"/>
      <c r="M92" s="23"/>
      <c r="N92" s="23"/>
      <c r="O92" s="23"/>
      <c r="P92" s="23"/>
      <c r="Q92" s="23"/>
      <c r="R92" s="23"/>
    </row>
    <row r="93" spans="1:18" ht="30" customHeight="1" x14ac:dyDescent="0.25">
      <c r="A93" s="22" t="s">
        <v>225</v>
      </c>
      <c r="B93" s="23"/>
      <c r="C93" s="23"/>
      <c r="D93" s="23"/>
      <c r="E93" s="23"/>
      <c r="F93" s="23"/>
      <c r="G93" s="23"/>
      <c r="H93" s="23"/>
      <c r="I93" s="23"/>
      <c r="J93" s="23"/>
      <c r="K93" s="23"/>
      <c r="L93" s="23"/>
      <c r="M93" s="23"/>
      <c r="N93" s="23"/>
      <c r="O93" s="23"/>
      <c r="P93" s="23"/>
      <c r="Q93" s="23"/>
      <c r="R93" s="23"/>
    </row>
    <row r="94" spans="1:18" ht="30" customHeight="1" x14ac:dyDescent="0.25">
      <c r="A94" s="22" t="s">
        <v>226</v>
      </c>
      <c r="B94" s="23"/>
      <c r="C94" s="23"/>
      <c r="D94" s="23"/>
      <c r="E94" s="23"/>
      <c r="F94" s="23"/>
      <c r="G94" s="23"/>
      <c r="H94" s="23"/>
      <c r="I94" s="23"/>
      <c r="J94" s="23"/>
      <c r="K94" s="23"/>
      <c r="L94" s="23"/>
      <c r="M94" s="23"/>
      <c r="N94" s="23"/>
      <c r="O94" s="23"/>
      <c r="P94" s="23"/>
      <c r="Q94" s="23"/>
      <c r="R94" s="23"/>
    </row>
    <row r="95" spans="1:18" ht="30" customHeight="1" x14ac:dyDescent="0.25">
      <c r="A95" s="22" t="s">
        <v>227</v>
      </c>
      <c r="B95" s="23"/>
      <c r="C95" s="23"/>
      <c r="D95" s="23"/>
      <c r="E95" s="23"/>
      <c r="F95" s="23"/>
      <c r="G95" s="23"/>
      <c r="H95" s="23"/>
      <c r="I95" s="23"/>
      <c r="J95" s="23"/>
      <c r="K95" s="23"/>
      <c r="L95" s="23"/>
      <c r="M95" s="23"/>
      <c r="N95" s="23"/>
      <c r="O95" s="23"/>
      <c r="P95" s="23"/>
      <c r="Q95" s="23"/>
      <c r="R95" s="23"/>
    </row>
    <row r="96" spans="1:18" ht="30" customHeight="1" x14ac:dyDescent="0.25">
      <c r="A96" s="22" t="s">
        <v>228</v>
      </c>
      <c r="B96" s="23"/>
      <c r="C96" s="23"/>
      <c r="D96" s="23"/>
      <c r="E96" s="23"/>
      <c r="F96" s="23"/>
      <c r="G96" s="23"/>
      <c r="H96" s="23"/>
      <c r="I96" s="23"/>
      <c r="J96" s="23"/>
      <c r="K96" s="23"/>
      <c r="L96" s="23"/>
      <c r="M96" s="23"/>
      <c r="N96" s="23"/>
      <c r="O96" s="23"/>
      <c r="P96" s="23"/>
      <c r="Q96" s="23"/>
      <c r="R96" s="23"/>
    </row>
  </sheetData>
  <mergeCells count="22">
    <mergeCell ref="O4:P4"/>
    <mergeCell ref="Q4:R4"/>
    <mergeCell ref="A1:R1"/>
    <mergeCell ref="A2:R2"/>
    <mergeCell ref="A84:R84"/>
    <mergeCell ref="E4:F4"/>
    <mergeCell ref="G4:H4"/>
    <mergeCell ref="I4:J4"/>
    <mergeCell ref="K4:L4"/>
    <mergeCell ref="M4:N4"/>
    <mergeCell ref="A85:R85"/>
    <mergeCell ref="A86:R86"/>
    <mergeCell ref="A87:R87"/>
    <mergeCell ref="A88:R88"/>
    <mergeCell ref="A89:R89"/>
    <mergeCell ref="A95:R95"/>
    <mergeCell ref="A96:R96"/>
    <mergeCell ref="A90:R90"/>
    <mergeCell ref="A91:R91"/>
    <mergeCell ref="A92:R92"/>
    <mergeCell ref="A93:R93"/>
    <mergeCell ref="A94:R94"/>
  </mergeCells>
  <pageMargins left="0.75" right="0.75" top="1" bottom="1" header="0.5" footer="0.5"/>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4"/>
  <dimension ref="A1:T96"/>
  <sheetViews>
    <sheetView zoomScale="80" workbookViewId="0">
      <pane xSplit="4" topLeftCell="E1" activePane="topRight" state="frozen"/>
      <selection sqref="A1:R1"/>
      <selection pane="topRight" sqref="A1:T1"/>
    </sheetView>
  </sheetViews>
  <sheetFormatPr defaultColWidth="11.42578125" defaultRowHeight="15" x14ac:dyDescent="0.25"/>
  <cols>
    <col min="1" max="1" width="50" customWidth="1"/>
  </cols>
  <sheetData>
    <row r="1" spans="1:20" x14ac:dyDescent="0.25">
      <c r="A1" s="26" t="s">
        <v>122</v>
      </c>
      <c r="B1" s="23"/>
      <c r="C1" s="23"/>
      <c r="D1" s="23"/>
      <c r="E1" s="23"/>
      <c r="F1" s="23"/>
      <c r="G1" s="23"/>
      <c r="H1" s="23"/>
      <c r="I1" s="23"/>
      <c r="J1" s="23"/>
      <c r="K1" s="23"/>
      <c r="L1" s="23"/>
      <c r="M1" s="23"/>
      <c r="N1" s="23"/>
      <c r="O1" s="23"/>
      <c r="P1" s="23"/>
      <c r="Q1" s="23"/>
      <c r="R1" s="23"/>
      <c r="S1" s="23"/>
      <c r="T1" s="23"/>
    </row>
    <row r="2" spans="1:20" x14ac:dyDescent="0.25">
      <c r="A2" s="27" t="s">
        <v>270</v>
      </c>
      <c r="B2" s="23"/>
      <c r="C2" s="23"/>
      <c r="D2" s="23"/>
      <c r="E2" s="23"/>
      <c r="F2" s="23"/>
      <c r="G2" s="23"/>
      <c r="H2" s="23"/>
      <c r="I2" s="23"/>
      <c r="J2" s="23"/>
      <c r="K2" s="23"/>
      <c r="L2" s="23"/>
      <c r="M2" s="23"/>
      <c r="N2" s="23"/>
      <c r="O2" s="23"/>
      <c r="P2" s="23"/>
      <c r="Q2" s="23"/>
      <c r="R2" s="23"/>
      <c r="S2" s="23"/>
      <c r="T2" s="23"/>
    </row>
    <row r="4" spans="1:20" ht="30" customHeight="1" x14ac:dyDescent="0.25">
      <c r="A4" s="4"/>
      <c r="B4" s="5" t="s">
        <v>123</v>
      </c>
      <c r="C4" s="5" t="s">
        <v>124</v>
      </c>
      <c r="D4" s="6" t="s">
        <v>123</v>
      </c>
      <c r="E4" s="24" t="s">
        <v>125</v>
      </c>
      <c r="F4" s="25"/>
      <c r="G4" s="24" t="s">
        <v>233</v>
      </c>
      <c r="H4" s="25"/>
      <c r="I4" s="24" t="s">
        <v>234</v>
      </c>
      <c r="J4" s="25"/>
      <c r="K4" s="24" t="s">
        <v>127</v>
      </c>
      <c r="L4" s="25"/>
      <c r="M4" s="24" t="s">
        <v>128</v>
      </c>
      <c r="N4" s="25"/>
      <c r="O4" s="24" t="s">
        <v>129</v>
      </c>
      <c r="P4" s="25"/>
      <c r="Q4" s="24" t="s">
        <v>130</v>
      </c>
      <c r="R4" s="25"/>
      <c r="S4" s="24" t="s">
        <v>131</v>
      </c>
      <c r="T4" s="25"/>
    </row>
    <row r="5" spans="1:20" x14ac:dyDescent="0.25">
      <c r="A5" s="7"/>
      <c r="B5" s="8" t="s">
        <v>132</v>
      </c>
      <c r="C5" s="8" t="s">
        <v>133</v>
      </c>
      <c r="D5" s="7" t="s">
        <v>134</v>
      </c>
      <c r="E5" s="8" t="s">
        <v>135</v>
      </c>
      <c r="F5" s="7" t="s">
        <v>136</v>
      </c>
      <c r="G5" s="8" t="s">
        <v>135</v>
      </c>
      <c r="H5" s="7" t="s">
        <v>136</v>
      </c>
      <c r="I5" s="8" t="s">
        <v>135</v>
      </c>
      <c r="J5" s="7" t="s">
        <v>136</v>
      </c>
      <c r="K5" s="8" t="s">
        <v>135</v>
      </c>
      <c r="L5" s="7" t="s">
        <v>136</v>
      </c>
      <c r="M5" s="8" t="s">
        <v>135</v>
      </c>
      <c r="N5" s="7" t="s">
        <v>136</v>
      </c>
      <c r="O5" s="8" t="s">
        <v>135</v>
      </c>
      <c r="P5" s="7" t="s">
        <v>136</v>
      </c>
      <c r="Q5" s="8" t="s">
        <v>135</v>
      </c>
      <c r="R5" s="7" t="s">
        <v>136</v>
      </c>
      <c r="S5" s="8" t="s">
        <v>135</v>
      </c>
      <c r="T5" s="7" t="s">
        <v>136</v>
      </c>
    </row>
    <row r="6" spans="1:20" x14ac:dyDescent="0.25">
      <c r="A6" s="9" t="s">
        <v>137</v>
      </c>
      <c r="B6" s="10"/>
      <c r="C6" s="10"/>
      <c r="D6" s="11"/>
      <c r="E6" s="10"/>
      <c r="F6" s="11"/>
      <c r="G6" s="10"/>
      <c r="H6" s="11"/>
      <c r="I6" s="10"/>
      <c r="J6" s="11"/>
      <c r="K6" s="10"/>
      <c r="L6" s="11"/>
      <c r="M6" s="10"/>
      <c r="N6" s="11"/>
      <c r="O6" s="10"/>
      <c r="P6" s="11"/>
      <c r="Q6" s="10"/>
      <c r="R6" s="11"/>
      <c r="S6" s="10"/>
      <c r="T6" s="12"/>
    </row>
    <row r="7" spans="1:20" x14ac:dyDescent="0.25">
      <c r="A7" s="11" t="s">
        <v>138</v>
      </c>
      <c r="B7" s="13">
        <v>14530</v>
      </c>
      <c r="C7" s="14">
        <f>(12186/B7*100)</f>
        <v>83.867859600825881</v>
      </c>
      <c r="D7" s="15">
        <v>2344</v>
      </c>
      <c r="E7" s="14">
        <v>17.516506159999999</v>
      </c>
      <c r="F7" s="16">
        <v>0.83694915999999997</v>
      </c>
      <c r="G7" s="14">
        <v>21.665703610000001</v>
      </c>
      <c r="H7" s="16">
        <v>1.07930912</v>
      </c>
      <c r="I7" s="14">
        <v>60.81779023</v>
      </c>
      <c r="J7" s="16">
        <v>1.2547518499999999</v>
      </c>
      <c r="K7" s="14" t="s">
        <v>139</v>
      </c>
      <c r="L7" s="16" t="s">
        <v>139</v>
      </c>
      <c r="M7" s="14">
        <v>0</v>
      </c>
      <c r="N7" s="16">
        <v>0</v>
      </c>
      <c r="O7" s="14">
        <v>0</v>
      </c>
      <c r="P7" s="16">
        <v>0</v>
      </c>
      <c r="Q7" s="14">
        <v>0</v>
      </c>
      <c r="R7" s="16">
        <v>0</v>
      </c>
      <c r="S7" s="14">
        <v>0</v>
      </c>
      <c r="T7" s="16">
        <v>0</v>
      </c>
    </row>
    <row r="8" spans="1:20" x14ac:dyDescent="0.25">
      <c r="A8" s="11" t="s">
        <v>140</v>
      </c>
      <c r="B8" s="13">
        <v>7007</v>
      </c>
      <c r="C8" s="14">
        <f>(5832/B8*100)</f>
        <v>83.231054659626096</v>
      </c>
      <c r="D8" s="15">
        <v>1175</v>
      </c>
      <c r="E8" s="14">
        <v>23.73337712</v>
      </c>
      <c r="F8" s="16">
        <v>1.2634381400000001</v>
      </c>
      <c r="G8" s="14">
        <v>26.78822899</v>
      </c>
      <c r="H8" s="16">
        <v>1.3644379099999999</v>
      </c>
      <c r="I8" s="14">
        <v>49.47839389</v>
      </c>
      <c r="J8" s="16">
        <v>1.6727882999999999</v>
      </c>
      <c r="K8" s="14" t="s">
        <v>139</v>
      </c>
      <c r="L8" s="16" t="s">
        <v>139</v>
      </c>
      <c r="M8" s="14">
        <v>0</v>
      </c>
      <c r="N8" s="16">
        <v>0</v>
      </c>
      <c r="O8" s="14">
        <v>0</v>
      </c>
      <c r="P8" s="16">
        <v>0</v>
      </c>
      <c r="Q8" s="14">
        <v>0</v>
      </c>
      <c r="R8" s="16">
        <v>0</v>
      </c>
      <c r="S8" s="14">
        <v>0</v>
      </c>
      <c r="T8" s="16">
        <v>0</v>
      </c>
    </row>
    <row r="9" spans="1:20" x14ac:dyDescent="0.25">
      <c r="A9" s="11" t="s">
        <v>141</v>
      </c>
      <c r="B9" s="13">
        <v>9651</v>
      </c>
      <c r="C9" s="14">
        <f>(8126/B9*100)</f>
        <v>84.198528649880842</v>
      </c>
      <c r="D9" s="15">
        <v>1525</v>
      </c>
      <c r="E9" s="14">
        <v>25.05408839</v>
      </c>
      <c r="F9" s="16">
        <v>1.0599789100000001</v>
      </c>
      <c r="G9" s="14">
        <v>27.744268210000001</v>
      </c>
      <c r="H9" s="16">
        <v>1.1320027399999999</v>
      </c>
      <c r="I9" s="14">
        <v>47.201643400000002</v>
      </c>
      <c r="J9" s="16">
        <v>1.3768778800000001</v>
      </c>
      <c r="K9" s="14" t="s">
        <v>139</v>
      </c>
      <c r="L9" s="16" t="s">
        <v>139</v>
      </c>
      <c r="M9" s="14">
        <v>0</v>
      </c>
      <c r="N9" s="16">
        <v>0</v>
      </c>
      <c r="O9" s="14">
        <v>0</v>
      </c>
      <c r="P9" s="16">
        <v>0</v>
      </c>
      <c r="Q9" s="14">
        <v>0</v>
      </c>
      <c r="R9" s="16">
        <v>0</v>
      </c>
      <c r="S9" s="14">
        <v>0</v>
      </c>
      <c r="T9" s="16">
        <v>0</v>
      </c>
    </row>
    <row r="10" spans="1:20" x14ac:dyDescent="0.25">
      <c r="A10" s="11" t="s">
        <v>142</v>
      </c>
      <c r="B10" s="13">
        <v>20058</v>
      </c>
      <c r="C10" s="14">
        <f>(16663/B10*100)</f>
        <v>83.074085153056132</v>
      </c>
      <c r="D10" s="15">
        <v>3395</v>
      </c>
      <c r="E10" s="14">
        <v>17.861650210000001</v>
      </c>
      <c r="F10" s="16">
        <v>0.98378427000000002</v>
      </c>
      <c r="G10" s="14">
        <v>20.382096709999999</v>
      </c>
      <c r="H10" s="16">
        <v>0.75913841999999998</v>
      </c>
      <c r="I10" s="14">
        <v>61.756253090000001</v>
      </c>
      <c r="J10" s="16">
        <v>1.09464294</v>
      </c>
      <c r="K10" s="14" t="s">
        <v>139</v>
      </c>
      <c r="L10" s="16" t="s">
        <v>139</v>
      </c>
      <c r="M10" s="14">
        <v>0</v>
      </c>
      <c r="N10" s="16">
        <v>0</v>
      </c>
      <c r="O10" s="14">
        <v>0</v>
      </c>
      <c r="P10" s="16">
        <v>0</v>
      </c>
      <c r="Q10" s="14">
        <v>0</v>
      </c>
      <c r="R10" s="16">
        <v>0</v>
      </c>
      <c r="S10" s="14">
        <v>0</v>
      </c>
      <c r="T10" s="16">
        <v>0</v>
      </c>
    </row>
    <row r="11" spans="1:20" x14ac:dyDescent="0.25">
      <c r="A11" s="11" t="s">
        <v>143</v>
      </c>
      <c r="B11" s="13">
        <v>7053</v>
      </c>
      <c r="C11" s="14">
        <f>(5925/B11*100)</f>
        <v>84.006805614632071</v>
      </c>
      <c r="D11" s="15">
        <v>1128</v>
      </c>
      <c r="E11" s="14">
        <v>38.356715250000001</v>
      </c>
      <c r="F11" s="16">
        <v>1.7879792699999999</v>
      </c>
      <c r="G11" s="14">
        <v>25.782121419999999</v>
      </c>
      <c r="H11" s="16">
        <v>1.5377921299999999</v>
      </c>
      <c r="I11" s="14">
        <v>35.861163329999997</v>
      </c>
      <c r="J11" s="16">
        <v>1.56583797</v>
      </c>
      <c r="K11" s="14" t="s">
        <v>139</v>
      </c>
      <c r="L11" s="16" t="s">
        <v>139</v>
      </c>
      <c r="M11" s="14">
        <v>0</v>
      </c>
      <c r="N11" s="16">
        <v>0</v>
      </c>
      <c r="O11" s="14">
        <v>0</v>
      </c>
      <c r="P11" s="16">
        <v>0</v>
      </c>
      <c r="Q11" s="14">
        <v>0</v>
      </c>
      <c r="R11" s="16">
        <v>0</v>
      </c>
      <c r="S11" s="14">
        <v>0</v>
      </c>
      <c r="T11" s="16">
        <v>0</v>
      </c>
    </row>
    <row r="12" spans="1:20" x14ac:dyDescent="0.25">
      <c r="A12" s="11" t="s">
        <v>144</v>
      </c>
      <c r="B12" s="13">
        <v>6894</v>
      </c>
      <c r="C12" s="14">
        <f>(5770/B12*100)</f>
        <v>83.695967507977954</v>
      </c>
      <c r="D12" s="15">
        <v>1124</v>
      </c>
      <c r="E12" s="14">
        <v>26.147777470000001</v>
      </c>
      <c r="F12" s="16">
        <v>1.62873519</v>
      </c>
      <c r="G12" s="14">
        <v>28.083711770000001</v>
      </c>
      <c r="H12" s="16">
        <v>1.3388381199999999</v>
      </c>
      <c r="I12" s="14">
        <v>45.768510769999999</v>
      </c>
      <c r="J12" s="16">
        <v>1.6710912899999999</v>
      </c>
      <c r="K12" s="14" t="s">
        <v>139</v>
      </c>
      <c r="L12" s="16" t="s">
        <v>139</v>
      </c>
      <c r="M12" s="14">
        <v>0</v>
      </c>
      <c r="N12" s="16">
        <v>0</v>
      </c>
      <c r="O12" s="14">
        <v>0</v>
      </c>
      <c r="P12" s="16">
        <v>0</v>
      </c>
      <c r="Q12" s="14">
        <v>0</v>
      </c>
      <c r="R12" s="16">
        <v>0</v>
      </c>
      <c r="S12" s="14">
        <v>0</v>
      </c>
      <c r="T12" s="16">
        <v>0</v>
      </c>
    </row>
    <row r="13" spans="1:20" x14ac:dyDescent="0.25">
      <c r="A13" s="11" t="s">
        <v>145</v>
      </c>
      <c r="B13" s="13">
        <v>7161</v>
      </c>
      <c r="C13" s="14">
        <f>(6035/B13*100)</f>
        <v>84.275939114648793</v>
      </c>
      <c r="D13" s="15">
        <v>1126</v>
      </c>
      <c r="E13" s="14">
        <v>20.388925879999999</v>
      </c>
      <c r="F13" s="16">
        <v>1.3416482199999999</v>
      </c>
      <c r="G13" s="14">
        <v>23.188072810000001</v>
      </c>
      <c r="H13" s="16">
        <v>1.3923848299999999</v>
      </c>
      <c r="I13" s="14">
        <v>56.423001309999997</v>
      </c>
      <c r="J13" s="16">
        <v>1.6801342500000001</v>
      </c>
      <c r="K13" s="14" t="s">
        <v>139</v>
      </c>
      <c r="L13" s="16" t="s">
        <v>139</v>
      </c>
      <c r="M13" s="14">
        <v>0</v>
      </c>
      <c r="N13" s="16">
        <v>0</v>
      </c>
      <c r="O13" s="14">
        <v>0</v>
      </c>
      <c r="P13" s="16">
        <v>0</v>
      </c>
      <c r="Q13" s="14">
        <v>0</v>
      </c>
      <c r="R13" s="16">
        <v>0</v>
      </c>
      <c r="S13" s="14">
        <v>0</v>
      </c>
      <c r="T13" s="16">
        <v>0</v>
      </c>
    </row>
    <row r="14" spans="1:20" x14ac:dyDescent="0.25">
      <c r="A14" s="11" t="s">
        <v>146</v>
      </c>
      <c r="B14" s="13">
        <v>5587</v>
      </c>
      <c r="C14" s="14">
        <f>(4647/B14*100)</f>
        <v>83.175228208340783</v>
      </c>
      <c r="D14" s="15">
        <v>940</v>
      </c>
      <c r="E14" s="14">
        <v>23.597401680000001</v>
      </c>
      <c r="F14" s="16">
        <v>1.6922155800000001</v>
      </c>
      <c r="G14" s="14">
        <v>31.995191179999999</v>
      </c>
      <c r="H14" s="16">
        <v>1.78323195</v>
      </c>
      <c r="I14" s="14">
        <v>44.407407139999997</v>
      </c>
      <c r="J14" s="16">
        <v>1.8271647900000001</v>
      </c>
      <c r="K14" s="14" t="s">
        <v>139</v>
      </c>
      <c r="L14" s="16" t="s">
        <v>139</v>
      </c>
      <c r="M14" s="14">
        <v>0</v>
      </c>
      <c r="N14" s="16">
        <v>0</v>
      </c>
      <c r="O14" s="14">
        <v>0</v>
      </c>
      <c r="P14" s="16">
        <v>0</v>
      </c>
      <c r="Q14" s="14">
        <v>0</v>
      </c>
      <c r="R14" s="16">
        <v>0</v>
      </c>
      <c r="S14" s="14">
        <v>0</v>
      </c>
      <c r="T14" s="16">
        <v>0</v>
      </c>
    </row>
    <row r="15" spans="1:20" x14ac:dyDescent="0.25">
      <c r="A15" s="11" t="s">
        <v>147</v>
      </c>
      <c r="B15" s="13">
        <v>5882</v>
      </c>
      <c r="C15" s="14">
        <f>(4921/B15*100)</f>
        <v>83.66201972118327</v>
      </c>
      <c r="D15" s="15">
        <v>961</v>
      </c>
      <c r="E15" s="14">
        <v>19.81427386</v>
      </c>
      <c r="F15" s="16">
        <v>1.37601576</v>
      </c>
      <c r="G15" s="14">
        <v>18.494632039999999</v>
      </c>
      <c r="H15" s="16">
        <v>1.1195809000000001</v>
      </c>
      <c r="I15" s="14">
        <v>61.691094100000001</v>
      </c>
      <c r="J15" s="16">
        <v>1.4527242600000001</v>
      </c>
      <c r="K15" s="14" t="s">
        <v>139</v>
      </c>
      <c r="L15" s="16" t="s">
        <v>139</v>
      </c>
      <c r="M15" s="14">
        <v>0</v>
      </c>
      <c r="N15" s="16">
        <v>0</v>
      </c>
      <c r="O15" s="14">
        <v>0</v>
      </c>
      <c r="P15" s="16">
        <v>0</v>
      </c>
      <c r="Q15" s="14">
        <v>0</v>
      </c>
      <c r="R15" s="16">
        <v>0</v>
      </c>
      <c r="S15" s="14">
        <v>0</v>
      </c>
      <c r="T15" s="16">
        <v>0</v>
      </c>
    </row>
    <row r="16" spans="1:20" x14ac:dyDescent="0.25">
      <c r="A16" s="11" t="s">
        <v>148</v>
      </c>
      <c r="B16" s="13">
        <v>6108</v>
      </c>
      <c r="C16" s="14">
        <f>(5092/B16*100)</f>
        <v>83.366077275704001</v>
      </c>
      <c r="D16" s="15">
        <v>1016</v>
      </c>
      <c r="E16" s="14">
        <v>22.719204130000001</v>
      </c>
      <c r="F16" s="16">
        <v>1.3808272699999999</v>
      </c>
      <c r="G16" s="14">
        <v>24.33209454</v>
      </c>
      <c r="H16" s="16">
        <v>1.38566038</v>
      </c>
      <c r="I16" s="14">
        <v>52.948701329999999</v>
      </c>
      <c r="J16" s="16">
        <v>1.47311316</v>
      </c>
      <c r="K16" s="14" t="s">
        <v>139</v>
      </c>
      <c r="L16" s="16" t="s">
        <v>139</v>
      </c>
      <c r="M16" s="14">
        <v>0</v>
      </c>
      <c r="N16" s="16">
        <v>0</v>
      </c>
      <c r="O16" s="14">
        <v>0</v>
      </c>
      <c r="P16" s="16">
        <v>0</v>
      </c>
      <c r="Q16" s="14">
        <v>0</v>
      </c>
      <c r="R16" s="16">
        <v>0</v>
      </c>
      <c r="S16" s="14">
        <v>0</v>
      </c>
      <c r="T16" s="16">
        <v>0</v>
      </c>
    </row>
    <row r="17" spans="1:20" x14ac:dyDescent="0.25">
      <c r="A17" s="11" t="s">
        <v>149</v>
      </c>
      <c r="B17" s="13">
        <v>6504</v>
      </c>
      <c r="C17" s="14">
        <f>(5459/B17*100)</f>
        <v>83.932964329643298</v>
      </c>
      <c r="D17" s="15">
        <v>1045</v>
      </c>
      <c r="E17" s="14">
        <v>19.708619129999999</v>
      </c>
      <c r="F17" s="16">
        <v>1.2599362300000001</v>
      </c>
      <c r="G17" s="14">
        <v>26.749236119999999</v>
      </c>
      <c r="H17" s="16">
        <v>1.4639927699999999</v>
      </c>
      <c r="I17" s="14">
        <v>53.542144749999999</v>
      </c>
      <c r="J17" s="16">
        <v>1.6238792099999999</v>
      </c>
      <c r="K17" s="14" t="s">
        <v>139</v>
      </c>
      <c r="L17" s="16" t="s">
        <v>139</v>
      </c>
      <c r="M17" s="14">
        <v>0</v>
      </c>
      <c r="N17" s="16">
        <v>0</v>
      </c>
      <c r="O17" s="14">
        <v>0</v>
      </c>
      <c r="P17" s="16">
        <v>0</v>
      </c>
      <c r="Q17" s="14">
        <v>0</v>
      </c>
      <c r="R17" s="16">
        <v>0</v>
      </c>
      <c r="S17" s="14">
        <v>0</v>
      </c>
      <c r="T17" s="16">
        <v>0</v>
      </c>
    </row>
    <row r="18" spans="1:20" x14ac:dyDescent="0.25">
      <c r="A18" s="11" t="s">
        <v>150</v>
      </c>
      <c r="B18" s="13">
        <v>5532</v>
      </c>
      <c r="C18" s="14">
        <f>(4583/B18*100)</f>
        <v>82.845263919016631</v>
      </c>
      <c r="D18" s="15">
        <v>949</v>
      </c>
      <c r="E18" s="14">
        <v>40.336036659999998</v>
      </c>
      <c r="F18" s="16">
        <v>1.8426250399999999</v>
      </c>
      <c r="G18" s="14">
        <v>26.806828880000001</v>
      </c>
      <c r="H18" s="16">
        <v>1.54280572</v>
      </c>
      <c r="I18" s="14">
        <v>32.857134459999997</v>
      </c>
      <c r="J18" s="16">
        <v>1.59523276</v>
      </c>
      <c r="K18" s="14" t="s">
        <v>139</v>
      </c>
      <c r="L18" s="16" t="s">
        <v>139</v>
      </c>
      <c r="M18" s="14">
        <v>0</v>
      </c>
      <c r="N18" s="16">
        <v>0</v>
      </c>
      <c r="O18" s="14">
        <v>0</v>
      </c>
      <c r="P18" s="16">
        <v>0</v>
      </c>
      <c r="Q18" s="14">
        <v>0</v>
      </c>
      <c r="R18" s="16">
        <v>0</v>
      </c>
      <c r="S18" s="14">
        <v>0</v>
      </c>
      <c r="T18" s="16">
        <v>0</v>
      </c>
    </row>
    <row r="19" spans="1:20" x14ac:dyDescent="0.25">
      <c r="A19" s="11" t="s">
        <v>151</v>
      </c>
      <c r="B19" s="13">
        <v>5658</v>
      </c>
      <c r="C19" s="14">
        <f>(4745/B19*100)</f>
        <v>83.863556026864615</v>
      </c>
      <c r="D19" s="15">
        <v>913</v>
      </c>
      <c r="E19" s="14">
        <v>33.42897404</v>
      </c>
      <c r="F19" s="16">
        <v>1.81302816</v>
      </c>
      <c r="G19" s="14">
        <v>24.53116636</v>
      </c>
      <c r="H19" s="16">
        <v>1.1279117400000001</v>
      </c>
      <c r="I19" s="14">
        <v>42.0398596</v>
      </c>
      <c r="J19" s="16">
        <v>1.8267590899999999</v>
      </c>
      <c r="K19" s="14" t="s">
        <v>139</v>
      </c>
      <c r="L19" s="16" t="s">
        <v>139</v>
      </c>
      <c r="M19" s="14">
        <v>0</v>
      </c>
      <c r="N19" s="16">
        <v>0</v>
      </c>
      <c r="O19" s="14">
        <v>0</v>
      </c>
      <c r="P19" s="16">
        <v>0</v>
      </c>
      <c r="Q19" s="14">
        <v>0</v>
      </c>
      <c r="R19" s="16">
        <v>0</v>
      </c>
      <c r="S19" s="14">
        <v>0</v>
      </c>
      <c r="T19" s="16">
        <v>0</v>
      </c>
    </row>
    <row r="20" spans="1:20" x14ac:dyDescent="0.25">
      <c r="A20" s="11" t="s">
        <v>152</v>
      </c>
      <c r="B20" s="13">
        <v>3371</v>
      </c>
      <c r="C20" s="14">
        <f>(2820/B20*100)</f>
        <v>83.654701868881645</v>
      </c>
      <c r="D20" s="15">
        <v>551</v>
      </c>
      <c r="E20" s="14">
        <v>24.27934196</v>
      </c>
      <c r="F20" s="16">
        <v>1.79047443</v>
      </c>
      <c r="G20" s="14">
        <v>21.442291690000001</v>
      </c>
      <c r="H20" s="16">
        <v>1.9579458599999999</v>
      </c>
      <c r="I20" s="14">
        <v>54.278366349999999</v>
      </c>
      <c r="J20" s="16">
        <v>2.2178441100000001</v>
      </c>
      <c r="K20" s="14" t="s">
        <v>139</v>
      </c>
      <c r="L20" s="16" t="s">
        <v>139</v>
      </c>
      <c r="M20" s="14">
        <v>0</v>
      </c>
      <c r="N20" s="16">
        <v>0</v>
      </c>
      <c r="O20" s="14">
        <v>0</v>
      </c>
      <c r="P20" s="16">
        <v>0</v>
      </c>
      <c r="Q20" s="14">
        <v>0</v>
      </c>
      <c r="R20" s="16">
        <v>0</v>
      </c>
      <c r="S20" s="14">
        <v>0</v>
      </c>
      <c r="T20" s="16">
        <v>0</v>
      </c>
    </row>
    <row r="21" spans="1:20" x14ac:dyDescent="0.25">
      <c r="A21" s="11" t="s">
        <v>153</v>
      </c>
      <c r="B21" s="17" t="s">
        <v>154</v>
      </c>
      <c r="C21" s="17" t="s">
        <v>154</v>
      </c>
      <c r="D21" s="18" t="s">
        <v>154</v>
      </c>
      <c r="E21" s="17" t="s">
        <v>154</v>
      </c>
      <c r="F21" s="18" t="s">
        <v>154</v>
      </c>
      <c r="G21" s="17" t="s">
        <v>154</v>
      </c>
      <c r="H21" s="18" t="s">
        <v>154</v>
      </c>
      <c r="I21" s="17" t="s">
        <v>154</v>
      </c>
      <c r="J21" s="18" t="s">
        <v>154</v>
      </c>
      <c r="K21" s="17" t="s">
        <v>154</v>
      </c>
      <c r="L21" s="18" t="s">
        <v>154</v>
      </c>
      <c r="M21" s="17" t="s">
        <v>154</v>
      </c>
      <c r="N21" s="18" t="s">
        <v>154</v>
      </c>
      <c r="O21" s="17" t="s">
        <v>154</v>
      </c>
      <c r="P21" s="18" t="s">
        <v>154</v>
      </c>
      <c r="Q21" s="17" t="s">
        <v>154</v>
      </c>
      <c r="R21" s="18" t="s">
        <v>154</v>
      </c>
      <c r="S21" s="17" t="s">
        <v>154</v>
      </c>
      <c r="T21" s="18" t="s">
        <v>154</v>
      </c>
    </row>
    <row r="22" spans="1:20" x14ac:dyDescent="0.25">
      <c r="A22" s="11" t="s">
        <v>155</v>
      </c>
      <c r="B22" s="13">
        <v>6598</v>
      </c>
      <c r="C22" s="14">
        <f>(5607/B22*100)</f>
        <v>84.980297059715056</v>
      </c>
      <c r="D22" s="15">
        <v>991</v>
      </c>
      <c r="E22" s="14">
        <v>36.83039728</v>
      </c>
      <c r="F22" s="16">
        <v>1.7294179999999999</v>
      </c>
      <c r="G22" s="14">
        <v>22.84895109</v>
      </c>
      <c r="H22" s="16">
        <v>1.2952926600000001</v>
      </c>
      <c r="I22" s="14">
        <v>40.32065163</v>
      </c>
      <c r="J22" s="16">
        <v>1.58896294</v>
      </c>
      <c r="K22" s="14" t="s">
        <v>139</v>
      </c>
      <c r="L22" s="16" t="s">
        <v>139</v>
      </c>
      <c r="M22" s="14">
        <v>0</v>
      </c>
      <c r="N22" s="16">
        <v>0</v>
      </c>
      <c r="O22" s="14">
        <v>0</v>
      </c>
      <c r="P22" s="16">
        <v>0</v>
      </c>
      <c r="Q22" s="14">
        <v>0</v>
      </c>
      <c r="R22" s="16">
        <v>0</v>
      </c>
      <c r="S22" s="14">
        <v>0</v>
      </c>
      <c r="T22" s="16">
        <v>0</v>
      </c>
    </row>
    <row r="23" spans="1:20" x14ac:dyDescent="0.25">
      <c r="A23" s="11" t="s">
        <v>156</v>
      </c>
      <c r="B23" s="13">
        <v>11583</v>
      </c>
      <c r="C23" s="14">
        <f>(9661/B23*100)</f>
        <v>83.406716740050072</v>
      </c>
      <c r="D23" s="15">
        <v>1922</v>
      </c>
      <c r="E23" s="14">
        <v>31.666512619999999</v>
      </c>
      <c r="F23" s="16">
        <v>1.8749918699999999</v>
      </c>
      <c r="G23" s="14">
        <v>26.903242980000002</v>
      </c>
      <c r="H23" s="16">
        <v>1.34913525</v>
      </c>
      <c r="I23" s="14">
        <v>41.430244399999999</v>
      </c>
      <c r="J23" s="16">
        <v>2.0579809899999999</v>
      </c>
      <c r="K23" s="14" t="s">
        <v>139</v>
      </c>
      <c r="L23" s="16" t="s">
        <v>139</v>
      </c>
      <c r="M23" s="14">
        <v>0</v>
      </c>
      <c r="N23" s="16">
        <v>0</v>
      </c>
      <c r="O23" s="14">
        <v>0</v>
      </c>
      <c r="P23" s="16">
        <v>0</v>
      </c>
      <c r="Q23" s="14">
        <v>0</v>
      </c>
      <c r="R23" s="16">
        <v>0</v>
      </c>
      <c r="S23" s="14">
        <v>0</v>
      </c>
      <c r="T23" s="16">
        <v>0</v>
      </c>
    </row>
    <row r="24" spans="1:20" x14ac:dyDescent="0.25">
      <c r="A24" s="11" t="s">
        <v>157</v>
      </c>
      <c r="B24" s="13">
        <v>6647</v>
      </c>
      <c r="C24" s="14">
        <f>(5508/B24*100)</f>
        <v>82.864450127877248</v>
      </c>
      <c r="D24" s="15">
        <v>1139</v>
      </c>
      <c r="E24" s="14">
        <v>18.265630120000001</v>
      </c>
      <c r="F24" s="16">
        <v>1.29457369</v>
      </c>
      <c r="G24" s="14">
        <v>24.119788830000001</v>
      </c>
      <c r="H24" s="16">
        <v>1.2327729599999999</v>
      </c>
      <c r="I24" s="14">
        <v>57.614581049999998</v>
      </c>
      <c r="J24" s="16">
        <v>1.7648089499999999</v>
      </c>
      <c r="K24" s="14" t="s">
        <v>139</v>
      </c>
      <c r="L24" s="16" t="s">
        <v>139</v>
      </c>
      <c r="M24" s="14">
        <v>0</v>
      </c>
      <c r="N24" s="16">
        <v>0</v>
      </c>
      <c r="O24" s="14">
        <v>0</v>
      </c>
      <c r="P24" s="16">
        <v>0</v>
      </c>
      <c r="Q24" s="14">
        <v>0</v>
      </c>
      <c r="R24" s="16">
        <v>0</v>
      </c>
      <c r="S24" s="14">
        <v>0</v>
      </c>
      <c r="T24" s="16">
        <v>0</v>
      </c>
    </row>
    <row r="25" spans="1:20" x14ac:dyDescent="0.25">
      <c r="A25" s="11" t="s">
        <v>158</v>
      </c>
      <c r="B25" s="13">
        <v>5581</v>
      </c>
      <c r="C25" s="14">
        <f>(4617/B25*100)</f>
        <v>82.727109836946795</v>
      </c>
      <c r="D25" s="15">
        <v>964</v>
      </c>
      <c r="E25" s="14">
        <v>23.899890209999999</v>
      </c>
      <c r="F25" s="16">
        <v>1.5205312</v>
      </c>
      <c r="G25" s="14">
        <v>23.78510558</v>
      </c>
      <c r="H25" s="16">
        <v>1.49205053</v>
      </c>
      <c r="I25" s="14">
        <v>52.315004209999998</v>
      </c>
      <c r="J25" s="16">
        <v>1.45964585</v>
      </c>
      <c r="K25" s="14" t="s">
        <v>139</v>
      </c>
      <c r="L25" s="16" t="s">
        <v>139</v>
      </c>
      <c r="M25" s="14">
        <v>0</v>
      </c>
      <c r="N25" s="16">
        <v>0</v>
      </c>
      <c r="O25" s="14">
        <v>0</v>
      </c>
      <c r="P25" s="16">
        <v>0</v>
      </c>
      <c r="Q25" s="14">
        <v>0</v>
      </c>
      <c r="R25" s="16">
        <v>0</v>
      </c>
      <c r="S25" s="14">
        <v>0</v>
      </c>
      <c r="T25" s="16">
        <v>0</v>
      </c>
    </row>
    <row r="26" spans="1:20" x14ac:dyDescent="0.25">
      <c r="A26" s="11" t="s">
        <v>159</v>
      </c>
      <c r="B26" s="13">
        <v>4869</v>
      </c>
      <c r="C26" s="14">
        <f>(4025/B26*100)</f>
        <v>82.665845142739784</v>
      </c>
      <c r="D26" s="15">
        <v>844</v>
      </c>
      <c r="E26" s="14">
        <v>31.50765092</v>
      </c>
      <c r="F26" s="16">
        <v>1.6590204799999999</v>
      </c>
      <c r="G26" s="14">
        <v>30.63526207</v>
      </c>
      <c r="H26" s="16">
        <v>1.54181268</v>
      </c>
      <c r="I26" s="14">
        <v>37.857087010000001</v>
      </c>
      <c r="J26" s="16">
        <v>1.6779951799999999</v>
      </c>
      <c r="K26" s="14" t="s">
        <v>139</v>
      </c>
      <c r="L26" s="16" t="s">
        <v>139</v>
      </c>
      <c r="M26" s="14">
        <v>0</v>
      </c>
      <c r="N26" s="16">
        <v>0</v>
      </c>
      <c r="O26" s="14">
        <v>0</v>
      </c>
      <c r="P26" s="16">
        <v>0</v>
      </c>
      <c r="Q26" s="14">
        <v>0</v>
      </c>
      <c r="R26" s="16">
        <v>0</v>
      </c>
      <c r="S26" s="14">
        <v>0</v>
      </c>
      <c r="T26" s="16">
        <v>0</v>
      </c>
    </row>
    <row r="27" spans="1:20" x14ac:dyDescent="0.25">
      <c r="A27" s="11" t="s">
        <v>160</v>
      </c>
      <c r="B27" s="13">
        <v>5299</v>
      </c>
      <c r="C27" s="14">
        <f>(4441/B27*100)</f>
        <v>83.808265710511421</v>
      </c>
      <c r="D27" s="15">
        <v>858</v>
      </c>
      <c r="E27" s="14">
        <v>23.954752089999999</v>
      </c>
      <c r="F27" s="16">
        <v>1.4598697599999999</v>
      </c>
      <c r="G27" s="14">
        <v>27.775495509999999</v>
      </c>
      <c r="H27" s="16">
        <v>1.6015811499999999</v>
      </c>
      <c r="I27" s="14">
        <v>48.269752410000002</v>
      </c>
      <c r="J27" s="16">
        <v>1.4463635500000001</v>
      </c>
      <c r="K27" s="14" t="s">
        <v>139</v>
      </c>
      <c r="L27" s="16" t="s">
        <v>139</v>
      </c>
      <c r="M27" s="14">
        <v>0</v>
      </c>
      <c r="N27" s="16">
        <v>0</v>
      </c>
      <c r="O27" s="14">
        <v>0</v>
      </c>
      <c r="P27" s="16">
        <v>0</v>
      </c>
      <c r="Q27" s="14">
        <v>0</v>
      </c>
      <c r="R27" s="16">
        <v>0</v>
      </c>
      <c r="S27" s="14">
        <v>0</v>
      </c>
      <c r="T27" s="16">
        <v>0</v>
      </c>
    </row>
    <row r="28" spans="1:20" x14ac:dyDescent="0.25">
      <c r="A28" s="11" t="s">
        <v>161</v>
      </c>
      <c r="B28" s="13">
        <v>7568</v>
      </c>
      <c r="C28" s="14">
        <f>(6479/B28*100)</f>
        <v>85.610465116279073</v>
      </c>
      <c r="D28" s="15">
        <v>1089</v>
      </c>
      <c r="E28" s="14">
        <v>46.14996232</v>
      </c>
      <c r="F28" s="16">
        <v>1.6941978600000001</v>
      </c>
      <c r="G28" s="14">
        <v>23.383507170000001</v>
      </c>
      <c r="H28" s="16">
        <v>1.1402396100000001</v>
      </c>
      <c r="I28" s="14">
        <v>30.466530509999998</v>
      </c>
      <c r="J28" s="16">
        <v>1.67182276</v>
      </c>
      <c r="K28" s="14" t="s">
        <v>139</v>
      </c>
      <c r="L28" s="16" t="s">
        <v>139</v>
      </c>
      <c r="M28" s="14">
        <v>0</v>
      </c>
      <c r="N28" s="16">
        <v>0</v>
      </c>
      <c r="O28" s="14">
        <v>0</v>
      </c>
      <c r="P28" s="16">
        <v>0</v>
      </c>
      <c r="Q28" s="14">
        <v>0</v>
      </c>
      <c r="R28" s="16">
        <v>0</v>
      </c>
      <c r="S28" s="14">
        <v>0</v>
      </c>
      <c r="T28" s="16">
        <v>0</v>
      </c>
    </row>
    <row r="29" spans="1:20" x14ac:dyDescent="0.25">
      <c r="A29" s="11" t="s">
        <v>162</v>
      </c>
      <c r="B29" s="13">
        <v>5385</v>
      </c>
      <c r="C29" s="14">
        <f>(4470/B29*100)</f>
        <v>83.008356545961007</v>
      </c>
      <c r="D29" s="15">
        <v>915</v>
      </c>
      <c r="E29" s="14">
        <v>22.806917290000001</v>
      </c>
      <c r="F29" s="16">
        <v>1.44118115</v>
      </c>
      <c r="G29" s="14">
        <v>27.10588529</v>
      </c>
      <c r="H29" s="16">
        <v>1.55221309</v>
      </c>
      <c r="I29" s="14">
        <v>50.087197420000003</v>
      </c>
      <c r="J29" s="16">
        <v>1.63391592</v>
      </c>
      <c r="K29" s="14" t="s">
        <v>139</v>
      </c>
      <c r="L29" s="16" t="s">
        <v>139</v>
      </c>
      <c r="M29" s="14">
        <v>0</v>
      </c>
      <c r="N29" s="16">
        <v>0</v>
      </c>
      <c r="O29" s="14">
        <v>0</v>
      </c>
      <c r="P29" s="16">
        <v>0</v>
      </c>
      <c r="Q29" s="14">
        <v>0</v>
      </c>
      <c r="R29" s="16">
        <v>0</v>
      </c>
      <c r="S29" s="14">
        <v>0</v>
      </c>
      <c r="T29" s="16">
        <v>0</v>
      </c>
    </row>
    <row r="30" spans="1:20" x14ac:dyDescent="0.25">
      <c r="A30" s="11" t="s">
        <v>163</v>
      </c>
      <c r="B30" s="13">
        <v>4520</v>
      </c>
      <c r="C30" s="14">
        <f>(3779/B30*100)</f>
        <v>83.606194690265482</v>
      </c>
      <c r="D30" s="15">
        <v>741</v>
      </c>
      <c r="E30" s="14">
        <v>17.521885109999999</v>
      </c>
      <c r="F30" s="16">
        <v>1.41203857</v>
      </c>
      <c r="G30" s="14">
        <v>18.31075487</v>
      </c>
      <c r="H30" s="16">
        <v>1.46151666</v>
      </c>
      <c r="I30" s="14">
        <v>64.167360029999998</v>
      </c>
      <c r="J30" s="16">
        <v>2.09091023</v>
      </c>
      <c r="K30" s="14" t="s">
        <v>139</v>
      </c>
      <c r="L30" s="16" t="s">
        <v>139</v>
      </c>
      <c r="M30" s="14">
        <v>0</v>
      </c>
      <c r="N30" s="16">
        <v>0</v>
      </c>
      <c r="O30" s="14">
        <v>0</v>
      </c>
      <c r="P30" s="16">
        <v>0</v>
      </c>
      <c r="Q30" s="14">
        <v>0</v>
      </c>
      <c r="R30" s="16">
        <v>0</v>
      </c>
      <c r="S30" s="14">
        <v>0</v>
      </c>
      <c r="T30" s="16">
        <v>0</v>
      </c>
    </row>
    <row r="31" spans="1:20" x14ac:dyDescent="0.25">
      <c r="A31" s="11" t="s">
        <v>164</v>
      </c>
      <c r="B31" s="13">
        <v>5456</v>
      </c>
      <c r="C31" s="14">
        <f>(4579/B31*100)</f>
        <v>83.925953079178882</v>
      </c>
      <c r="D31" s="15">
        <v>877</v>
      </c>
      <c r="E31" s="14">
        <v>27.04788847</v>
      </c>
      <c r="F31" s="16">
        <v>1.55369892</v>
      </c>
      <c r="G31" s="14">
        <v>30.19367257</v>
      </c>
      <c r="H31" s="16">
        <v>1.69119091</v>
      </c>
      <c r="I31" s="14">
        <v>42.758438959999999</v>
      </c>
      <c r="J31" s="16">
        <v>1.6964874299999999</v>
      </c>
      <c r="K31" s="14" t="s">
        <v>139</v>
      </c>
      <c r="L31" s="16" t="s">
        <v>139</v>
      </c>
      <c r="M31" s="14">
        <v>0</v>
      </c>
      <c r="N31" s="16">
        <v>0</v>
      </c>
      <c r="O31" s="14">
        <v>0</v>
      </c>
      <c r="P31" s="16">
        <v>0</v>
      </c>
      <c r="Q31" s="14">
        <v>0</v>
      </c>
      <c r="R31" s="16">
        <v>0</v>
      </c>
      <c r="S31" s="14">
        <v>0</v>
      </c>
      <c r="T31" s="16">
        <v>0</v>
      </c>
    </row>
    <row r="32" spans="1:20" x14ac:dyDescent="0.25">
      <c r="A32" s="11" t="s">
        <v>165</v>
      </c>
      <c r="B32" s="17" t="s">
        <v>154</v>
      </c>
      <c r="C32" s="17" t="s">
        <v>154</v>
      </c>
      <c r="D32" s="18" t="s">
        <v>154</v>
      </c>
      <c r="E32" s="17" t="s">
        <v>154</v>
      </c>
      <c r="F32" s="18" t="s">
        <v>154</v>
      </c>
      <c r="G32" s="17" t="s">
        <v>154</v>
      </c>
      <c r="H32" s="18" t="s">
        <v>154</v>
      </c>
      <c r="I32" s="17" t="s">
        <v>154</v>
      </c>
      <c r="J32" s="18" t="s">
        <v>154</v>
      </c>
      <c r="K32" s="17" t="s">
        <v>154</v>
      </c>
      <c r="L32" s="18" t="s">
        <v>154</v>
      </c>
      <c r="M32" s="17" t="s">
        <v>154</v>
      </c>
      <c r="N32" s="18" t="s">
        <v>154</v>
      </c>
      <c r="O32" s="17" t="s">
        <v>154</v>
      </c>
      <c r="P32" s="18" t="s">
        <v>154</v>
      </c>
      <c r="Q32" s="17" t="s">
        <v>154</v>
      </c>
      <c r="R32" s="18" t="s">
        <v>154</v>
      </c>
      <c r="S32" s="17" t="s">
        <v>154</v>
      </c>
      <c r="T32" s="18" t="s">
        <v>154</v>
      </c>
    </row>
    <row r="33" spans="1:20" x14ac:dyDescent="0.25">
      <c r="A33" s="11" t="s">
        <v>166</v>
      </c>
      <c r="B33" s="13">
        <v>7325</v>
      </c>
      <c r="C33" s="14">
        <f>(6194/B33*100)</f>
        <v>84.559726962457333</v>
      </c>
      <c r="D33" s="15">
        <v>1131</v>
      </c>
      <c r="E33" s="14">
        <v>24.59349843</v>
      </c>
      <c r="F33" s="16">
        <v>1.3318142900000001</v>
      </c>
      <c r="G33" s="14">
        <v>27.98333847</v>
      </c>
      <c r="H33" s="16">
        <v>1.4116885299999999</v>
      </c>
      <c r="I33" s="14">
        <v>47.423163090000003</v>
      </c>
      <c r="J33" s="16">
        <v>1.53495917</v>
      </c>
      <c r="K33" s="14" t="s">
        <v>139</v>
      </c>
      <c r="L33" s="16" t="s">
        <v>139</v>
      </c>
      <c r="M33" s="14">
        <v>0</v>
      </c>
      <c r="N33" s="16">
        <v>0</v>
      </c>
      <c r="O33" s="14">
        <v>0</v>
      </c>
      <c r="P33" s="16">
        <v>0</v>
      </c>
      <c r="Q33" s="14">
        <v>0</v>
      </c>
      <c r="R33" s="16">
        <v>0</v>
      </c>
      <c r="S33" s="14">
        <v>0</v>
      </c>
      <c r="T33" s="16">
        <v>0</v>
      </c>
    </row>
    <row r="34" spans="1:20" x14ac:dyDescent="0.25">
      <c r="A34" s="11" t="s">
        <v>167</v>
      </c>
      <c r="B34" s="13">
        <v>6350</v>
      </c>
      <c r="C34" s="14">
        <f>(5345/B34*100)</f>
        <v>84.173228346456696</v>
      </c>
      <c r="D34" s="15">
        <v>1005</v>
      </c>
      <c r="E34" s="14">
        <v>33.66975308</v>
      </c>
      <c r="F34" s="16">
        <v>1.61767693</v>
      </c>
      <c r="G34" s="14">
        <v>27.556399500000001</v>
      </c>
      <c r="H34" s="16">
        <v>1.6400207499999999</v>
      </c>
      <c r="I34" s="14">
        <v>38.773847420000003</v>
      </c>
      <c r="J34" s="16">
        <v>1.6168976500000001</v>
      </c>
      <c r="K34" s="14" t="s">
        <v>139</v>
      </c>
      <c r="L34" s="16" t="s">
        <v>139</v>
      </c>
      <c r="M34" s="14">
        <v>0</v>
      </c>
      <c r="N34" s="16">
        <v>0</v>
      </c>
      <c r="O34" s="14">
        <v>0</v>
      </c>
      <c r="P34" s="16">
        <v>0</v>
      </c>
      <c r="Q34" s="14">
        <v>0</v>
      </c>
      <c r="R34" s="16">
        <v>0</v>
      </c>
      <c r="S34" s="14">
        <v>0</v>
      </c>
      <c r="T34" s="16">
        <v>0</v>
      </c>
    </row>
    <row r="35" spans="1:20" x14ac:dyDescent="0.25">
      <c r="A35" s="11" t="s">
        <v>168</v>
      </c>
      <c r="B35" s="13">
        <v>6406</v>
      </c>
      <c r="C35" s="14">
        <f>(5316/B35*100)</f>
        <v>82.9847018420231</v>
      </c>
      <c r="D35" s="15">
        <v>1090</v>
      </c>
      <c r="E35" s="14">
        <v>28.36846392</v>
      </c>
      <c r="F35" s="16">
        <v>1.6005523100000001</v>
      </c>
      <c r="G35" s="14">
        <v>32.452295360000001</v>
      </c>
      <c r="H35" s="16">
        <v>1.80699096</v>
      </c>
      <c r="I35" s="14">
        <v>39.179240729999997</v>
      </c>
      <c r="J35" s="16">
        <v>1.79025217</v>
      </c>
      <c r="K35" s="14" t="s">
        <v>139</v>
      </c>
      <c r="L35" s="16" t="s">
        <v>139</v>
      </c>
      <c r="M35" s="14">
        <v>0</v>
      </c>
      <c r="N35" s="16">
        <v>0</v>
      </c>
      <c r="O35" s="14">
        <v>0</v>
      </c>
      <c r="P35" s="16">
        <v>0</v>
      </c>
      <c r="Q35" s="14">
        <v>0</v>
      </c>
      <c r="R35" s="16">
        <v>0</v>
      </c>
      <c r="S35" s="14">
        <v>0</v>
      </c>
      <c r="T35" s="16">
        <v>0</v>
      </c>
    </row>
    <row r="36" spans="1:20" x14ac:dyDescent="0.25">
      <c r="A36" s="11" t="s">
        <v>169</v>
      </c>
      <c r="B36" s="13">
        <v>6736</v>
      </c>
      <c r="C36" s="14">
        <f>(5652/B36*100)</f>
        <v>83.907363420427544</v>
      </c>
      <c r="D36" s="15">
        <v>1084</v>
      </c>
      <c r="E36" s="14">
        <v>25.392297039999999</v>
      </c>
      <c r="F36" s="16">
        <v>1.6390832399999999</v>
      </c>
      <c r="G36" s="14">
        <v>25.375467650000001</v>
      </c>
      <c r="H36" s="16">
        <v>1.27570819</v>
      </c>
      <c r="I36" s="14">
        <v>49.232235320000001</v>
      </c>
      <c r="J36" s="16">
        <v>1.9009474399999999</v>
      </c>
      <c r="K36" s="14" t="s">
        <v>139</v>
      </c>
      <c r="L36" s="16" t="s">
        <v>139</v>
      </c>
      <c r="M36" s="14">
        <v>0</v>
      </c>
      <c r="N36" s="16">
        <v>0</v>
      </c>
      <c r="O36" s="14">
        <v>0</v>
      </c>
      <c r="P36" s="16">
        <v>0</v>
      </c>
      <c r="Q36" s="14">
        <v>0</v>
      </c>
      <c r="R36" s="16">
        <v>0</v>
      </c>
      <c r="S36" s="14">
        <v>0</v>
      </c>
      <c r="T36" s="16">
        <v>0</v>
      </c>
    </row>
    <row r="37" spans="1:20" x14ac:dyDescent="0.25">
      <c r="A37" s="11" t="s">
        <v>170</v>
      </c>
      <c r="B37" s="13">
        <v>5458</v>
      </c>
      <c r="C37" s="14">
        <f>(4608/B37*100)</f>
        <v>84.426529864419194</v>
      </c>
      <c r="D37" s="15">
        <v>850</v>
      </c>
      <c r="E37" s="14">
        <v>27.579356359999998</v>
      </c>
      <c r="F37" s="16">
        <v>1.6514596800000001</v>
      </c>
      <c r="G37" s="14">
        <v>28.840514209999998</v>
      </c>
      <c r="H37" s="16">
        <v>1.5942587100000001</v>
      </c>
      <c r="I37" s="14">
        <v>43.58012943</v>
      </c>
      <c r="J37" s="16">
        <v>1.9857179199999999</v>
      </c>
      <c r="K37" s="14" t="s">
        <v>139</v>
      </c>
      <c r="L37" s="16" t="s">
        <v>139</v>
      </c>
      <c r="M37" s="14">
        <v>0</v>
      </c>
      <c r="N37" s="16">
        <v>0</v>
      </c>
      <c r="O37" s="14">
        <v>0</v>
      </c>
      <c r="P37" s="16">
        <v>0</v>
      </c>
      <c r="Q37" s="14">
        <v>0</v>
      </c>
      <c r="R37" s="16">
        <v>0</v>
      </c>
      <c r="S37" s="14">
        <v>0</v>
      </c>
      <c r="T37" s="16">
        <v>0</v>
      </c>
    </row>
    <row r="38" spans="1:20" x14ac:dyDescent="0.25">
      <c r="A38" s="11" t="s">
        <v>171</v>
      </c>
      <c r="B38" s="17" t="s">
        <v>154</v>
      </c>
      <c r="C38" s="17" t="s">
        <v>154</v>
      </c>
      <c r="D38" s="18" t="s">
        <v>154</v>
      </c>
      <c r="E38" s="17" t="s">
        <v>154</v>
      </c>
      <c r="F38" s="18" t="s">
        <v>154</v>
      </c>
      <c r="G38" s="17" t="s">
        <v>154</v>
      </c>
      <c r="H38" s="18" t="s">
        <v>154</v>
      </c>
      <c r="I38" s="17" t="s">
        <v>154</v>
      </c>
      <c r="J38" s="18" t="s">
        <v>154</v>
      </c>
      <c r="K38" s="17" t="s">
        <v>154</v>
      </c>
      <c r="L38" s="18" t="s">
        <v>154</v>
      </c>
      <c r="M38" s="17" t="s">
        <v>154</v>
      </c>
      <c r="N38" s="18" t="s">
        <v>154</v>
      </c>
      <c r="O38" s="17" t="s">
        <v>154</v>
      </c>
      <c r="P38" s="18" t="s">
        <v>154</v>
      </c>
      <c r="Q38" s="17" t="s">
        <v>154</v>
      </c>
      <c r="R38" s="18" t="s">
        <v>154</v>
      </c>
      <c r="S38" s="17" t="s">
        <v>154</v>
      </c>
      <c r="T38" s="18" t="s">
        <v>154</v>
      </c>
    </row>
    <row r="39" spans="1:20" x14ac:dyDescent="0.25">
      <c r="A39" s="11" t="s">
        <v>172</v>
      </c>
      <c r="B39" s="13">
        <v>5895</v>
      </c>
      <c r="C39" s="14">
        <f>(4875/B39*100)</f>
        <v>82.697201017811707</v>
      </c>
      <c r="D39" s="15">
        <v>1020</v>
      </c>
      <c r="E39" s="14">
        <v>52.874833479999999</v>
      </c>
      <c r="F39" s="16">
        <v>1.49200249</v>
      </c>
      <c r="G39" s="14">
        <v>26.145960479999999</v>
      </c>
      <c r="H39" s="16">
        <v>1.3063998100000001</v>
      </c>
      <c r="I39" s="14">
        <v>20.979206040000001</v>
      </c>
      <c r="J39" s="16">
        <v>1.4292974700000001</v>
      </c>
      <c r="K39" s="14" t="s">
        <v>139</v>
      </c>
      <c r="L39" s="16" t="s">
        <v>139</v>
      </c>
      <c r="M39" s="14">
        <v>0</v>
      </c>
      <c r="N39" s="16">
        <v>0</v>
      </c>
      <c r="O39" s="14">
        <v>0</v>
      </c>
      <c r="P39" s="16">
        <v>0</v>
      </c>
      <c r="Q39" s="14">
        <v>0</v>
      </c>
      <c r="R39" s="16">
        <v>0</v>
      </c>
      <c r="S39" s="14">
        <v>0</v>
      </c>
      <c r="T39" s="16">
        <v>0</v>
      </c>
    </row>
    <row r="40" spans="1:20" x14ac:dyDescent="0.25">
      <c r="A40" s="11" t="s">
        <v>173</v>
      </c>
      <c r="B40" s="13">
        <v>14157</v>
      </c>
      <c r="C40" s="14">
        <f>(11677/B40*100)</f>
        <v>82.482164300346113</v>
      </c>
      <c r="D40" s="15">
        <v>2480</v>
      </c>
      <c r="E40" s="14">
        <v>20.182213059999999</v>
      </c>
      <c r="F40" s="16">
        <v>1.47837945</v>
      </c>
      <c r="G40" s="14">
        <v>25.994415249999999</v>
      </c>
      <c r="H40" s="16">
        <v>1.41969301</v>
      </c>
      <c r="I40" s="14">
        <v>53.823371690000002</v>
      </c>
      <c r="J40" s="16">
        <v>1.5254142799999999</v>
      </c>
      <c r="K40" s="14" t="s">
        <v>139</v>
      </c>
      <c r="L40" s="16" t="s">
        <v>139</v>
      </c>
      <c r="M40" s="14">
        <v>0</v>
      </c>
      <c r="N40" s="16">
        <v>0</v>
      </c>
      <c r="O40" s="14">
        <v>0</v>
      </c>
      <c r="P40" s="16">
        <v>0</v>
      </c>
      <c r="Q40" s="14">
        <v>0</v>
      </c>
      <c r="R40" s="16">
        <v>0</v>
      </c>
      <c r="S40" s="14">
        <v>0</v>
      </c>
      <c r="T40" s="16">
        <v>0</v>
      </c>
    </row>
    <row r="41" spans="1:20" x14ac:dyDescent="0.25">
      <c r="A41" s="11" t="s">
        <v>174</v>
      </c>
      <c r="B41" s="13">
        <v>5712</v>
      </c>
      <c r="C41" s="14">
        <f>(4807/B41*100)</f>
        <v>84.156162464985997</v>
      </c>
      <c r="D41" s="15">
        <v>905</v>
      </c>
      <c r="E41" s="14">
        <v>21.573920449999999</v>
      </c>
      <c r="F41" s="16">
        <v>1.3692882099999999</v>
      </c>
      <c r="G41" s="14">
        <v>22.723403380000001</v>
      </c>
      <c r="H41" s="16">
        <v>1.31670011</v>
      </c>
      <c r="I41" s="14">
        <v>55.702676169999997</v>
      </c>
      <c r="J41" s="16">
        <v>1.53057705</v>
      </c>
      <c r="K41" s="14" t="s">
        <v>139</v>
      </c>
      <c r="L41" s="16" t="s">
        <v>139</v>
      </c>
      <c r="M41" s="14">
        <v>0</v>
      </c>
      <c r="N41" s="16">
        <v>0</v>
      </c>
      <c r="O41" s="14">
        <v>0</v>
      </c>
      <c r="P41" s="16">
        <v>0</v>
      </c>
      <c r="Q41" s="14">
        <v>0</v>
      </c>
      <c r="R41" s="16">
        <v>0</v>
      </c>
      <c r="S41" s="14">
        <v>0</v>
      </c>
      <c r="T41" s="16">
        <v>0</v>
      </c>
    </row>
    <row r="42" spans="1:20" x14ac:dyDescent="0.25">
      <c r="A42" s="11" t="s">
        <v>175</v>
      </c>
      <c r="B42" s="13">
        <f>IF(COUNT(B7:B41) &gt; 0, AVERAGE(B7:B41), "\u2014")</f>
        <v>7266.90625</v>
      </c>
      <c r="C42" s="14">
        <f>IF(COUNT(C7:C41) &gt; 0, AVERAGE(C7:C41), "—")</f>
        <v>83.651274497460449</v>
      </c>
      <c r="D42" s="15">
        <f>IF(COUNT(D7:D41) &gt; 0, AVERAGE(D7:D41), "—")</f>
        <v>1190.53125</v>
      </c>
      <c r="E42" s="14">
        <f>IF(COUNT(E7:E41) &gt; 0, AVERAGE(E7:E41), "—")</f>
        <v>27.088397318437494</v>
      </c>
      <c r="F42" s="16">
        <f>IF(COUNT(F7:F41) &gt; 0, SQRT(SUMSQ(F7:F41)/(COUNT(F7:F41)*COUNT(F7:F41)) ), "—")</f>
        <v>0.26802797726643823</v>
      </c>
      <c r="G42" s="14">
        <f>IF(COUNT(G7:G41) &gt; 0, AVERAGE(G7:G41), "—")</f>
        <v>25.6287220184375</v>
      </c>
      <c r="H42" s="16">
        <f>IF(COUNT(H7:H41) &gt; 0, SQRT(SUMSQ(H7:H41)/(COUNT(H7:H41)*COUNT(H7:H41)) ), "—")</f>
        <v>0.25277290601947022</v>
      </c>
      <c r="I42" s="14">
        <f>IF(COUNT(I7:I41) &gt; 0, AVERAGE(I7:I41), "—")</f>
        <v>47.28288066468749</v>
      </c>
      <c r="J42" s="16">
        <f>IF(COUNT(J7:J41) &gt; 0, SQRT(SUMSQ(J7:J41)/(COUNT(J7:J41)*COUNT(J7:J41)) ), "—")</f>
        <v>0.29425257952737333</v>
      </c>
      <c r="K42" s="14" t="str">
        <f>IF(COUNT(K7:K41) &gt; 0, AVERAGE(K7:K41), "—")</f>
        <v>—</v>
      </c>
      <c r="L42" s="16" t="str">
        <f>IF(COUNT(L7:L41) &gt; 0, SQRT(SUMSQ(L7:L41)/(COUNT(L7:L41)*COUNT(L7:L41)) ), "—")</f>
        <v>—</v>
      </c>
      <c r="M42" s="14">
        <f>IF(COUNT(M7:M41) &gt; 0, AVERAGE(M7:M41), "—")</f>
        <v>0</v>
      </c>
      <c r="N42" s="16">
        <f>IF(COUNT(N7:N41) &gt; 0, SQRT(SUMSQ(N7:N41)/(COUNT(N7:N41)*COUNT(N7:N41)) ), "—")</f>
        <v>0</v>
      </c>
      <c r="O42" s="14">
        <f>IF(COUNT(O7:O41) &gt; 0, AVERAGE(O7:O41), "—")</f>
        <v>0</v>
      </c>
      <c r="P42" s="16">
        <f>IF(COUNT(P7:P41) &gt; 0, SQRT(SUMSQ(P7:P41)/(COUNT(P7:P41)*COUNT(P7:P41)) ), "—")</f>
        <v>0</v>
      </c>
      <c r="Q42" s="14">
        <f>IF(COUNT(Q7:Q41) &gt; 0, AVERAGE(Q7:Q41), "—")</f>
        <v>0</v>
      </c>
      <c r="R42" s="16">
        <f>IF(COUNT(R7:R41) &gt; 0, SQRT(SUMSQ(R7:R41)/(COUNT(R7:R41)*COUNT(R7:R41)) ), "—")</f>
        <v>0</v>
      </c>
      <c r="S42" s="14">
        <f>IF(COUNT(S7:S41) &gt; 0, AVERAGE(S7:S41), "—")</f>
        <v>0</v>
      </c>
      <c r="T42" s="16">
        <f>IF(COUNT(T7:T41) &gt; 0, SQRT(SUMSQ(T7:T41)/(COUNT(T7:T41)*COUNT(T7:T41)) ), "—")</f>
        <v>0</v>
      </c>
    </row>
    <row r="43" spans="1:20" x14ac:dyDescent="0.25">
      <c r="A43" s="9" t="s">
        <v>176</v>
      </c>
      <c r="B43" s="10"/>
      <c r="C43" s="10"/>
      <c r="D43" s="11"/>
      <c r="E43" s="10"/>
      <c r="F43" s="11"/>
      <c r="G43" s="10"/>
      <c r="H43" s="11"/>
      <c r="I43" s="10"/>
      <c r="J43" s="11"/>
      <c r="K43" s="10"/>
      <c r="L43" s="11"/>
      <c r="M43" s="10"/>
      <c r="N43" s="11"/>
      <c r="O43" s="10"/>
      <c r="P43" s="11"/>
      <c r="Q43" s="10"/>
      <c r="R43" s="11"/>
      <c r="S43" s="10"/>
      <c r="T43" s="12"/>
    </row>
    <row r="44" spans="1:20" x14ac:dyDescent="0.25">
      <c r="A44" s="11" t="s">
        <v>177</v>
      </c>
      <c r="B44" s="17" t="s">
        <v>154</v>
      </c>
      <c r="C44" s="17" t="s">
        <v>154</v>
      </c>
      <c r="D44" s="18" t="s">
        <v>154</v>
      </c>
      <c r="E44" s="17" t="s">
        <v>154</v>
      </c>
      <c r="F44" s="18" t="s">
        <v>154</v>
      </c>
      <c r="G44" s="17" t="s">
        <v>154</v>
      </c>
      <c r="H44" s="18" t="s">
        <v>154</v>
      </c>
      <c r="I44" s="17" t="s">
        <v>154</v>
      </c>
      <c r="J44" s="18" t="s">
        <v>154</v>
      </c>
      <c r="K44" s="17" t="s">
        <v>154</v>
      </c>
      <c r="L44" s="18" t="s">
        <v>154</v>
      </c>
      <c r="M44" s="17" t="s">
        <v>154</v>
      </c>
      <c r="N44" s="18" t="s">
        <v>154</v>
      </c>
      <c r="O44" s="17" t="s">
        <v>154</v>
      </c>
      <c r="P44" s="18" t="s">
        <v>154</v>
      </c>
      <c r="Q44" s="17" t="s">
        <v>154</v>
      </c>
      <c r="R44" s="18" t="s">
        <v>154</v>
      </c>
      <c r="S44" s="17" t="s">
        <v>154</v>
      </c>
      <c r="T44" s="18" t="s">
        <v>154</v>
      </c>
    </row>
    <row r="45" spans="1:20" x14ac:dyDescent="0.25">
      <c r="A45" s="11" t="s">
        <v>178</v>
      </c>
      <c r="B45" s="17" t="s">
        <v>154</v>
      </c>
      <c r="C45" s="17" t="s">
        <v>154</v>
      </c>
      <c r="D45" s="18" t="s">
        <v>154</v>
      </c>
      <c r="E45" s="17" t="s">
        <v>154</v>
      </c>
      <c r="F45" s="18" t="s">
        <v>154</v>
      </c>
      <c r="G45" s="17" t="s">
        <v>154</v>
      </c>
      <c r="H45" s="18" t="s">
        <v>154</v>
      </c>
      <c r="I45" s="17" t="s">
        <v>154</v>
      </c>
      <c r="J45" s="18" t="s">
        <v>154</v>
      </c>
      <c r="K45" s="17" t="s">
        <v>154</v>
      </c>
      <c r="L45" s="18" t="s">
        <v>154</v>
      </c>
      <c r="M45" s="17" t="s">
        <v>154</v>
      </c>
      <c r="N45" s="18" t="s">
        <v>154</v>
      </c>
      <c r="O45" s="17" t="s">
        <v>154</v>
      </c>
      <c r="P45" s="18" t="s">
        <v>154</v>
      </c>
      <c r="Q45" s="17" t="s">
        <v>154</v>
      </c>
      <c r="R45" s="18" t="s">
        <v>154</v>
      </c>
      <c r="S45" s="17" t="s">
        <v>154</v>
      </c>
      <c r="T45" s="18" t="s">
        <v>154</v>
      </c>
    </row>
    <row r="46" spans="1:20" x14ac:dyDescent="0.25">
      <c r="A46" s="11" t="s">
        <v>179</v>
      </c>
      <c r="B46" s="13">
        <v>23141</v>
      </c>
      <c r="C46" s="14">
        <f>(20519/B46*100)</f>
        <v>88.669461129596812</v>
      </c>
      <c r="D46" s="15">
        <v>2622</v>
      </c>
      <c r="E46" s="14">
        <v>50.725418769999997</v>
      </c>
      <c r="F46" s="16">
        <v>1.31349552</v>
      </c>
      <c r="G46" s="14">
        <v>21.66687537</v>
      </c>
      <c r="H46" s="16">
        <v>0.93161057000000003</v>
      </c>
      <c r="I46" s="14">
        <v>27.60770587</v>
      </c>
      <c r="J46" s="16">
        <v>1.1133172499999999</v>
      </c>
      <c r="K46" s="14" t="s">
        <v>139</v>
      </c>
      <c r="L46" s="16" t="s">
        <v>139</v>
      </c>
      <c r="M46" s="14">
        <v>0</v>
      </c>
      <c r="N46" s="16">
        <v>0</v>
      </c>
      <c r="O46" s="14">
        <v>0</v>
      </c>
      <c r="P46" s="16">
        <v>0</v>
      </c>
      <c r="Q46" s="14">
        <v>0</v>
      </c>
      <c r="R46" s="16">
        <v>0</v>
      </c>
      <c r="S46" s="14">
        <v>0</v>
      </c>
      <c r="T46" s="16">
        <v>0</v>
      </c>
    </row>
    <row r="47" spans="1:20" x14ac:dyDescent="0.25">
      <c r="A47" s="11" t="s">
        <v>180</v>
      </c>
      <c r="B47" s="13">
        <v>5928</v>
      </c>
      <c r="C47" s="14">
        <f>(4996/B47*100)</f>
        <v>84.278002699055335</v>
      </c>
      <c r="D47" s="15">
        <v>932</v>
      </c>
      <c r="E47" s="14">
        <v>41.02293427</v>
      </c>
      <c r="F47" s="16">
        <v>1.81321172</v>
      </c>
      <c r="G47" s="14">
        <v>27.27398539</v>
      </c>
      <c r="H47" s="16">
        <v>1.4408095999999999</v>
      </c>
      <c r="I47" s="14">
        <v>31.70308034</v>
      </c>
      <c r="J47" s="16">
        <v>1.4719946500000001</v>
      </c>
      <c r="K47" s="14" t="s">
        <v>139</v>
      </c>
      <c r="L47" s="16" t="s">
        <v>139</v>
      </c>
      <c r="M47" s="14">
        <v>0</v>
      </c>
      <c r="N47" s="16">
        <v>0</v>
      </c>
      <c r="O47" s="14">
        <v>0</v>
      </c>
      <c r="P47" s="16">
        <v>0</v>
      </c>
      <c r="Q47" s="14">
        <v>0</v>
      </c>
      <c r="R47" s="16">
        <v>0</v>
      </c>
      <c r="S47" s="14">
        <v>0</v>
      </c>
      <c r="T47" s="16">
        <v>0</v>
      </c>
    </row>
    <row r="48" spans="1:20" x14ac:dyDescent="0.25">
      <c r="A48" s="11" t="s">
        <v>181</v>
      </c>
      <c r="B48" s="13">
        <v>9841</v>
      </c>
      <c r="C48" s="14">
        <f>(8165/B48*100)</f>
        <v>82.969210446092873</v>
      </c>
      <c r="D48" s="15">
        <v>1676</v>
      </c>
      <c r="E48" s="14">
        <v>38.39293069</v>
      </c>
      <c r="F48" s="16">
        <v>1.89008496</v>
      </c>
      <c r="G48" s="14">
        <v>26.95037739</v>
      </c>
      <c r="H48" s="16">
        <v>1.5656453400000001</v>
      </c>
      <c r="I48" s="14">
        <v>34.656691930000001</v>
      </c>
      <c r="J48" s="16">
        <v>1.7823376799999999</v>
      </c>
      <c r="K48" s="14" t="s">
        <v>139</v>
      </c>
      <c r="L48" s="16" t="s">
        <v>139</v>
      </c>
      <c r="M48" s="14">
        <v>0</v>
      </c>
      <c r="N48" s="16">
        <v>0</v>
      </c>
      <c r="O48" s="14">
        <v>0</v>
      </c>
      <c r="P48" s="16">
        <v>0</v>
      </c>
      <c r="Q48" s="14">
        <v>0</v>
      </c>
      <c r="R48" s="16">
        <v>0</v>
      </c>
      <c r="S48" s="14">
        <v>0</v>
      </c>
      <c r="T48" s="16">
        <v>0</v>
      </c>
    </row>
    <row r="49" spans="1:20" x14ac:dyDescent="0.25">
      <c r="A49" s="11" t="s">
        <v>182</v>
      </c>
      <c r="B49" s="17" t="s">
        <v>154</v>
      </c>
      <c r="C49" s="17" t="s">
        <v>154</v>
      </c>
      <c r="D49" s="18" t="s">
        <v>154</v>
      </c>
      <c r="E49" s="17" t="s">
        <v>154</v>
      </c>
      <c r="F49" s="18" t="s">
        <v>154</v>
      </c>
      <c r="G49" s="17" t="s">
        <v>154</v>
      </c>
      <c r="H49" s="18" t="s">
        <v>154</v>
      </c>
      <c r="I49" s="17" t="s">
        <v>154</v>
      </c>
      <c r="J49" s="18" t="s">
        <v>154</v>
      </c>
      <c r="K49" s="17" t="s">
        <v>154</v>
      </c>
      <c r="L49" s="18" t="s">
        <v>154</v>
      </c>
      <c r="M49" s="17" t="s">
        <v>154</v>
      </c>
      <c r="N49" s="18" t="s">
        <v>154</v>
      </c>
      <c r="O49" s="17" t="s">
        <v>154</v>
      </c>
      <c r="P49" s="18" t="s">
        <v>154</v>
      </c>
      <c r="Q49" s="17" t="s">
        <v>154</v>
      </c>
      <c r="R49" s="18" t="s">
        <v>154</v>
      </c>
      <c r="S49" s="17" t="s">
        <v>154</v>
      </c>
      <c r="T49" s="18" t="s">
        <v>154</v>
      </c>
    </row>
    <row r="50" spans="1:20" x14ac:dyDescent="0.25">
      <c r="A50" s="11" t="s">
        <v>183</v>
      </c>
      <c r="B50" s="13">
        <v>11795</v>
      </c>
      <c r="C50" s="14">
        <f>(9985/B50*100)</f>
        <v>84.654514624841042</v>
      </c>
      <c r="D50" s="15">
        <v>1810</v>
      </c>
      <c r="E50" s="14">
        <v>53.585179779999997</v>
      </c>
      <c r="F50" s="16">
        <v>1.6819973500000001</v>
      </c>
      <c r="G50" s="14">
        <v>17.482499390000001</v>
      </c>
      <c r="H50" s="16">
        <v>1.0952411399999999</v>
      </c>
      <c r="I50" s="14">
        <v>28.932320820000001</v>
      </c>
      <c r="J50" s="16">
        <v>1.58357065</v>
      </c>
      <c r="K50" s="14" t="s">
        <v>139</v>
      </c>
      <c r="L50" s="16" t="s">
        <v>139</v>
      </c>
      <c r="M50" s="14">
        <v>0</v>
      </c>
      <c r="N50" s="16">
        <v>0</v>
      </c>
      <c r="O50" s="14">
        <v>0</v>
      </c>
      <c r="P50" s="16">
        <v>0</v>
      </c>
      <c r="Q50" s="14">
        <v>0</v>
      </c>
      <c r="R50" s="16">
        <v>0</v>
      </c>
      <c r="S50" s="14">
        <v>0</v>
      </c>
      <c r="T50" s="16">
        <v>0</v>
      </c>
    </row>
    <row r="51" spans="1:20" x14ac:dyDescent="0.25">
      <c r="A51" s="11" t="s">
        <v>184</v>
      </c>
      <c r="B51" s="13">
        <v>6866</v>
      </c>
      <c r="C51" s="14">
        <f>(5942/B51*100)</f>
        <v>86.542382755607335</v>
      </c>
      <c r="D51" s="15">
        <v>924</v>
      </c>
      <c r="E51" s="14">
        <v>49.912929519999999</v>
      </c>
      <c r="F51" s="16">
        <v>1.8883018199999999</v>
      </c>
      <c r="G51" s="14">
        <v>24.87247121</v>
      </c>
      <c r="H51" s="16">
        <v>1.3926738000000001</v>
      </c>
      <c r="I51" s="14">
        <v>25.214599270000001</v>
      </c>
      <c r="J51" s="16">
        <v>1.8006874100000001</v>
      </c>
      <c r="K51" s="14" t="s">
        <v>139</v>
      </c>
      <c r="L51" s="16" t="s">
        <v>139</v>
      </c>
      <c r="M51" s="14">
        <v>0</v>
      </c>
      <c r="N51" s="16">
        <v>0</v>
      </c>
      <c r="O51" s="14">
        <v>0</v>
      </c>
      <c r="P51" s="16">
        <v>0</v>
      </c>
      <c r="Q51" s="14">
        <v>0</v>
      </c>
      <c r="R51" s="16">
        <v>0</v>
      </c>
      <c r="S51" s="14">
        <v>0</v>
      </c>
      <c r="T51" s="16">
        <v>0</v>
      </c>
    </row>
    <row r="52" spans="1:20" x14ac:dyDescent="0.25">
      <c r="A52" s="11" t="s">
        <v>185</v>
      </c>
      <c r="B52" s="13">
        <v>5809</v>
      </c>
      <c r="C52" s="14">
        <f>(4824/B52*100)</f>
        <v>83.043553107247376</v>
      </c>
      <c r="D52" s="15">
        <v>985</v>
      </c>
      <c r="E52" s="14">
        <v>41.767436750000002</v>
      </c>
      <c r="F52" s="16">
        <v>1.8365923200000001</v>
      </c>
      <c r="G52" s="14">
        <v>28.789081599999999</v>
      </c>
      <c r="H52" s="16">
        <v>1.43146872</v>
      </c>
      <c r="I52" s="14">
        <v>29.443481649999999</v>
      </c>
      <c r="J52" s="16">
        <v>1.48720466</v>
      </c>
      <c r="K52" s="14" t="s">
        <v>139</v>
      </c>
      <c r="L52" s="16" t="s">
        <v>139</v>
      </c>
      <c r="M52" s="14">
        <v>0</v>
      </c>
      <c r="N52" s="16">
        <v>0</v>
      </c>
      <c r="O52" s="14">
        <v>0</v>
      </c>
      <c r="P52" s="16">
        <v>0</v>
      </c>
      <c r="Q52" s="14">
        <v>0</v>
      </c>
      <c r="R52" s="16">
        <v>0</v>
      </c>
      <c r="S52" s="14">
        <v>0</v>
      </c>
      <c r="T52" s="16">
        <v>0</v>
      </c>
    </row>
    <row r="53" spans="1:20" x14ac:dyDescent="0.25">
      <c r="A53" s="11" t="s">
        <v>186</v>
      </c>
      <c r="B53" s="13">
        <v>5571</v>
      </c>
      <c r="C53" s="14">
        <f>(4639/B53*100)</f>
        <v>83.270507987793934</v>
      </c>
      <c r="D53" s="15">
        <v>932</v>
      </c>
      <c r="E53" s="14">
        <v>38.147113339999997</v>
      </c>
      <c r="F53" s="16">
        <v>1.5901617100000001</v>
      </c>
      <c r="G53" s="14">
        <v>26.56733105</v>
      </c>
      <c r="H53" s="16">
        <v>1.41910892</v>
      </c>
      <c r="I53" s="14">
        <v>35.285555610000003</v>
      </c>
      <c r="J53" s="16">
        <v>1.5183980100000001</v>
      </c>
      <c r="K53" s="14" t="s">
        <v>139</v>
      </c>
      <c r="L53" s="16" t="s">
        <v>139</v>
      </c>
      <c r="M53" s="14">
        <v>0</v>
      </c>
      <c r="N53" s="16">
        <v>0</v>
      </c>
      <c r="O53" s="14">
        <v>0</v>
      </c>
      <c r="P53" s="16">
        <v>0</v>
      </c>
      <c r="Q53" s="14">
        <v>0</v>
      </c>
      <c r="R53" s="16">
        <v>0</v>
      </c>
      <c r="S53" s="14">
        <v>0</v>
      </c>
      <c r="T53" s="16">
        <v>0</v>
      </c>
    </row>
    <row r="54" spans="1:20" x14ac:dyDescent="0.25">
      <c r="A54" s="11" t="s">
        <v>187</v>
      </c>
      <c r="B54" s="17" t="s">
        <v>154</v>
      </c>
      <c r="C54" s="17" t="s">
        <v>154</v>
      </c>
      <c r="D54" s="18" t="s">
        <v>154</v>
      </c>
      <c r="E54" s="17" t="s">
        <v>154</v>
      </c>
      <c r="F54" s="18" t="s">
        <v>154</v>
      </c>
      <c r="G54" s="17" t="s">
        <v>154</v>
      </c>
      <c r="H54" s="18" t="s">
        <v>154</v>
      </c>
      <c r="I54" s="17" t="s">
        <v>154</v>
      </c>
      <c r="J54" s="18" t="s">
        <v>154</v>
      </c>
      <c r="K54" s="17" t="s">
        <v>154</v>
      </c>
      <c r="L54" s="18" t="s">
        <v>154</v>
      </c>
      <c r="M54" s="17" t="s">
        <v>154</v>
      </c>
      <c r="N54" s="18" t="s">
        <v>154</v>
      </c>
      <c r="O54" s="17" t="s">
        <v>154</v>
      </c>
      <c r="P54" s="18" t="s">
        <v>154</v>
      </c>
      <c r="Q54" s="17" t="s">
        <v>154</v>
      </c>
      <c r="R54" s="18" t="s">
        <v>154</v>
      </c>
      <c r="S54" s="17" t="s">
        <v>154</v>
      </c>
      <c r="T54" s="18" t="s">
        <v>154</v>
      </c>
    </row>
    <row r="55" spans="1:20" x14ac:dyDescent="0.25">
      <c r="A55" s="11" t="s">
        <v>188</v>
      </c>
      <c r="B55" s="17" t="s">
        <v>154</v>
      </c>
      <c r="C55" s="17" t="s">
        <v>154</v>
      </c>
      <c r="D55" s="18" t="s">
        <v>154</v>
      </c>
      <c r="E55" s="17" t="s">
        <v>154</v>
      </c>
      <c r="F55" s="18" t="s">
        <v>154</v>
      </c>
      <c r="G55" s="17" t="s">
        <v>154</v>
      </c>
      <c r="H55" s="18" t="s">
        <v>154</v>
      </c>
      <c r="I55" s="17" t="s">
        <v>154</v>
      </c>
      <c r="J55" s="18" t="s">
        <v>154</v>
      </c>
      <c r="K55" s="17" t="s">
        <v>154</v>
      </c>
      <c r="L55" s="18" t="s">
        <v>154</v>
      </c>
      <c r="M55" s="17" t="s">
        <v>154</v>
      </c>
      <c r="N55" s="18" t="s">
        <v>154</v>
      </c>
      <c r="O55" s="17" t="s">
        <v>154</v>
      </c>
      <c r="P55" s="18" t="s">
        <v>154</v>
      </c>
      <c r="Q55" s="17" t="s">
        <v>154</v>
      </c>
      <c r="R55" s="18" t="s">
        <v>154</v>
      </c>
      <c r="S55" s="17" t="s">
        <v>154</v>
      </c>
      <c r="T55" s="18" t="s">
        <v>154</v>
      </c>
    </row>
    <row r="56" spans="1:20" x14ac:dyDescent="0.25">
      <c r="A56" s="11" t="s">
        <v>189</v>
      </c>
      <c r="B56" s="13">
        <v>5359</v>
      </c>
      <c r="C56" s="14">
        <f>(4451/B56*100)</f>
        <v>83.056540399328242</v>
      </c>
      <c r="D56" s="15">
        <v>908</v>
      </c>
      <c r="E56" s="14">
        <v>14.221015339999999</v>
      </c>
      <c r="F56" s="16">
        <v>1.25463345</v>
      </c>
      <c r="G56" s="14">
        <v>32.054025090000003</v>
      </c>
      <c r="H56" s="16">
        <v>1.4812151</v>
      </c>
      <c r="I56" s="14">
        <v>53.724959570000003</v>
      </c>
      <c r="J56" s="16">
        <v>1.48680283</v>
      </c>
      <c r="K56" s="14" t="s">
        <v>139</v>
      </c>
      <c r="L56" s="16" t="s">
        <v>139</v>
      </c>
      <c r="M56" s="14">
        <v>0</v>
      </c>
      <c r="N56" s="16">
        <v>0</v>
      </c>
      <c r="O56" s="14">
        <v>0</v>
      </c>
      <c r="P56" s="16">
        <v>0</v>
      </c>
      <c r="Q56" s="14">
        <v>0</v>
      </c>
      <c r="R56" s="16">
        <v>0</v>
      </c>
      <c r="S56" s="14">
        <v>0</v>
      </c>
      <c r="T56" s="16">
        <v>0</v>
      </c>
    </row>
    <row r="57" spans="1:20" x14ac:dyDescent="0.25">
      <c r="A57" s="11" t="s">
        <v>190</v>
      </c>
      <c r="B57" s="17" t="s">
        <v>154</v>
      </c>
      <c r="C57" s="17" t="s">
        <v>154</v>
      </c>
      <c r="D57" s="18" t="s">
        <v>154</v>
      </c>
      <c r="E57" s="17" t="s">
        <v>154</v>
      </c>
      <c r="F57" s="18" t="s">
        <v>154</v>
      </c>
      <c r="G57" s="17" t="s">
        <v>154</v>
      </c>
      <c r="H57" s="18" t="s">
        <v>154</v>
      </c>
      <c r="I57" s="17" t="s">
        <v>154</v>
      </c>
      <c r="J57" s="18" t="s">
        <v>154</v>
      </c>
      <c r="K57" s="17" t="s">
        <v>154</v>
      </c>
      <c r="L57" s="18" t="s">
        <v>154</v>
      </c>
      <c r="M57" s="17" t="s">
        <v>154</v>
      </c>
      <c r="N57" s="18" t="s">
        <v>154</v>
      </c>
      <c r="O57" s="17" t="s">
        <v>154</v>
      </c>
      <c r="P57" s="18" t="s">
        <v>154</v>
      </c>
      <c r="Q57" s="17" t="s">
        <v>154</v>
      </c>
      <c r="R57" s="18" t="s">
        <v>154</v>
      </c>
      <c r="S57" s="17" t="s">
        <v>154</v>
      </c>
      <c r="T57" s="18" t="s">
        <v>154</v>
      </c>
    </row>
    <row r="58" spans="1:20" x14ac:dyDescent="0.25">
      <c r="A58" s="11" t="s">
        <v>191</v>
      </c>
      <c r="B58" s="17" t="s">
        <v>154</v>
      </c>
      <c r="C58" s="17" t="s">
        <v>154</v>
      </c>
      <c r="D58" s="18" t="s">
        <v>154</v>
      </c>
      <c r="E58" s="17" t="s">
        <v>154</v>
      </c>
      <c r="F58" s="18" t="s">
        <v>154</v>
      </c>
      <c r="G58" s="17" t="s">
        <v>154</v>
      </c>
      <c r="H58" s="18" t="s">
        <v>154</v>
      </c>
      <c r="I58" s="17" t="s">
        <v>154</v>
      </c>
      <c r="J58" s="18" t="s">
        <v>154</v>
      </c>
      <c r="K58" s="17" t="s">
        <v>154</v>
      </c>
      <c r="L58" s="18" t="s">
        <v>154</v>
      </c>
      <c r="M58" s="17" t="s">
        <v>154</v>
      </c>
      <c r="N58" s="18" t="s">
        <v>154</v>
      </c>
      <c r="O58" s="17" t="s">
        <v>154</v>
      </c>
      <c r="P58" s="18" t="s">
        <v>154</v>
      </c>
      <c r="Q58" s="17" t="s">
        <v>154</v>
      </c>
      <c r="R58" s="18" t="s">
        <v>154</v>
      </c>
      <c r="S58" s="17" t="s">
        <v>154</v>
      </c>
      <c r="T58" s="18" t="s">
        <v>154</v>
      </c>
    </row>
    <row r="59" spans="1:20" x14ac:dyDescent="0.25">
      <c r="A59" s="11" t="s">
        <v>192</v>
      </c>
      <c r="B59" s="17" t="s">
        <v>154</v>
      </c>
      <c r="C59" s="17" t="s">
        <v>154</v>
      </c>
      <c r="D59" s="18" t="s">
        <v>154</v>
      </c>
      <c r="E59" s="17" t="s">
        <v>154</v>
      </c>
      <c r="F59" s="18" t="s">
        <v>154</v>
      </c>
      <c r="G59" s="17" t="s">
        <v>154</v>
      </c>
      <c r="H59" s="18" t="s">
        <v>154</v>
      </c>
      <c r="I59" s="17" t="s">
        <v>154</v>
      </c>
      <c r="J59" s="18" t="s">
        <v>154</v>
      </c>
      <c r="K59" s="17" t="s">
        <v>154</v>
      </c>
      <c r="L59" s="18" t="s">
        <v>154</v>
      </c>
      <c r="M59" s="17" t="s">
        <v>154</v>
      </c>
      <c r="N59" s="18" t="s">
        <v>154</v>
      </c>
      <c r="O59" s="17" t="s">
        <v>154</v>
      </c>
      <c r="P59" s="18" t="s">
        <v>154</v>
      </c>
      <c r="Q59" s="17" t="s">
        <v>154</v>
      </c>
      <c r="R59" s="18" t="s">
        <v>154</v>
      </c>
      <c r="S59" s="17" t="s">
        <v>154</v>
      </c>
      <c r="T59" s="18" t="s">
        <v>154</v>
      </c>
    </row>
    <row r="60" spans="1:20" x14ac:dyDescent="0.25">
      <c r="A60" s="11" t="s">
        <v>193</v>
      </c>
      <c r="B60" s="17" t="s">
        <v>154</v>
      </c>
      <c r="C60" s="17" t="s">
        <v>154</v>
      </c>
      <c r="D60" s="18" t="s">
        <v>154</v>
      </c>
      <c r="E60" s="17" t="s">
        <v>154</v>
      </c>
      <c r="F60" s="18" t="s">
        <v>154</v>
      </c>
      <c r="G60" s="17" t="s">
        <v>154</v>
      </c>
      <c r="H60" s="18" t="s">
        <v>154</v>
      </c>
      <c r="I60" s="17" t="s">
        <v>154</v>
      </c>
      <c r="J60" s="18" t="s">
        <v>154</v>
      </c>
      <c r="K60" s="17" t="s">
        <v>154</v>
      </c>
      <c r="L60" s="18" t="s">
        <v>154</v>
      </c>
      <c r="M60" s="17" t="s">
        <v>154</v>
      </c>
      <c r="N60" s="18" t="s">
        <v>154</v>
      </c>
      <c r="O60" s="17" t="s">
        <v>154</v>
      </c>
      <c r="P60" s="18" t="s">
        <v>154</v>
      </c>
      <c r="Q60" s="17" t="s">
        <v>154</v>
      </c>
      <c r="R60" s="18" t="s">
        <v>154</v>
      </c>
      <c r="S60" s="17" t="s">
        <v>154</v>
      </c>
      <c r="T60" s="18" t="s">
        <v>154</v>
      </c>
    </row>
    <row r="61" spans="1:20" x14ac:dyDescent="0.25">
      <c r="A61" s="11" t="s">
        <v>194</v>
      </c>
      <c r="B61" s="13">
        <v>6525</v>
      </c>
      <c r="C61" s="14">
        <f>(5436/B61*100)</f>
        <v>83.310344827586206</v>
      </c>
      <c r="D61" s="15">
        <v>1089</v>
      </c>
      <c r="E61" s="14">
        <v>38.953928980000001</v>
      </c>
      <c r="F61" s="16">
        <v>1.72797201</v>
      </c>
      <c r="G61" s="14">
        <v>28.525818109999999</v>
      </c>
      <c r="H61" s="16">
        <v>1.5486450199999999</v>
      </c>
      <c r="I61" s="14">
        <v>32.520252910000004</v>
      </c>
      <c r="J61" s="16">
        <v>1.6220546</v>
      </c>
      <c r="K61" s="14" t="s">
        <v>139</v>
      </c>
      <c r="L61" s="16" t="s">
        <v>139</v>
      </c>
      <c r="M61" s="14">
        <v>0</v>
      </c>
      <c r="N61" s="16">
        <v>0</v>
      </c>
      <c r="O61" s="14">
        <v>0</v>
      </c>
      <c r="P61" s="16">
        <v>0</v>
      </c>
      <c r="Q61" s="14">
        <v>0</v>
      </c>
      <c r="R61" s="16">
        <v>0</v>
      </c>
      <c r="S61" s="14">
        <v>0</v>
      </c>
      <c r="T61" s="16">
        <v>0</v>
      </c>
    </row>
    <row r="62" spans="1:20" x14ac:dyDescent="0.25">
      <c r="A62" s="11" t="s">
        <v>195</v>
      </c>
      <c r="B62" s="13">
        <v>4476</v>
      </c>
      <c r="C62" s="14">
        <f>(3709/B62*100)</f>
        <v>82.864164432529037</v>
      </c>
      <c r="D62" s="15">
        <v>767</v>
      </c>
      <c r="E62" s="14">
        <v>18.845856179999998</v>
      </c>
      <c r="F62" s="16">
        <v>1.42452786</v>
      </c>
      <c r="G62" s="14">
        <v>32.071583439999998</v>
      </c>
      <c r="H62" s="16">
        <v>1.87738344</v>
      </c>
      <c r="I62" s="14">
        <v>49.082560389999998</v>
      </c>
      <c r="J62" s="16">
        <v>2.0084266300000002</v>
      </c>
      <c r="K62" s="14" t="s">
        <v>139</v>
      </c>
      <c r="L62" s="16" t="s">
        <v>139</v>
      </c>
      <c r="M62" s="14">
        <v>0</v>
      </c>
      <c r="N62" s="16">
        <v>0</v>
      </c>
      <c r="O62" s="14">
        <v>0</v>
      </c>
      <c r="P62" s="16">
        <v>0</v>
      </c>
      <c r="Q62" s="14">
        <v>0</v>
      </c>
      <c r="R62" s="16">
        <v>0</v>
      </c>
      <c r="S62" s="14">
        <v>0</v>
      </c>
      <c r="T62" s="16">
        <v>0</v>
      </c>
    </row>
    <row r="63" spans="1:20" x14ac:dyDescent="0.25">
      <c r="A63" s="11" t="s">
        <v>196</v>
      </c>
      <c r="B63" s="17" t="s">
        <v>154</v>
      </c>
      <c r="C63" s="17" t="s">
        <v>154</v>
      </c>
      <c r="D63" s="18" t="s">
        <v>154</v>
      </c>
      <c r="E63" s="17" t="s">
        <v>154</v>
      </c>
      <c r="F63" s="18" t="s">
        <v>154</v>
      </c>
      <c r="G63" s="17" t="s">
        <v>154</v>
      </c>
      <c r="H63" s="18" t="s">
        <v>154</v>
      </c>
      <c r="I63" s="17" t="s">
        <v>154</v>
      </c>
      <c r="J63" s="18" t="s">
        <v>154</v>
      </c>
      <c r="K63" s="17" t="s">
        <v>154</v>
      </c>
      <c r="L63" s="18" t="s">
        <v>154</v>
      </c>
      <c r="M63" s="17" t="s">
        <v>154</v>
      </c>
      <c r="N63" s="18" t="s">
        <v>154</v>
      </c>
      <c r="O63" s="17" t="s">
        <v>154</v>
      </c>
      <c r="P63" s="18" t="s">
        <v>154</v>
      </c>
      <c r="Q63" s="17" t="s">
        <v>154</v>
      </c>
      <c r="R63" s="18" t="s">
        <v>154</v>
      </c>
      <c r="S63" s="17" t="s">
        <v>154</v>
      </c>
      <c r="T63" s="18" t="s">
        <v>154</v>
      </c>
    </row>
    <row r="64" spans="1:20" x14ac:dyDescent="0.25">
      <c r="A64" s="11" t="s">
        <v>197</v>
      </c>
      <c r="B64" s="17" t="s">
        <v>154</v>
      </c>
      <c r="C64" s="17" t="s">
        <v>154</v>
      </c>
      <c r="D64" s="18" t="s">
        <v>154</v>
      </c>
      <c r="E64" s="17" t="s">
        <v>154</v>
      </c>
      <c r="F64" s="18" t="s">
        <v>154</v>
      </c>
      <c r="G64" s="17" t="s">
        <v>154</v>
      </c>
      <c r="H64" s="18" t="s">
        <v>154</v>
      </c>
      <c r="I64" s="17" t="s">
        <v>154</v>
      </c>
      <c r="J64" s="18" t="s">
        <v>154</v>
      </c>
      <c r="K64" s="17" t="s">
        <v>154</v>
      </c>
      <c r="L64" s="18" t="s">
        <v>154</v>
      </c>
      <c r="M64" s="17" t="s">
        <v>154</v>
      </c>
      <c r="N64" s="18" t="s">
        <v>154</v>
      </c>
      <c r="O64" s="17" t="s">
        <v>154</v>
      </c>
      <c r="P64" s="18" t="s">
        <v>154</v>
      </c>
      <c r="Q64" s="17" t="s">
        <v>154</v>
      </c>
      <c r="R64" s="18" t="s">
        <v>154</v>
      </c>
      <c r="S64" s="17" t="s">
        <v>154</v>
      </c>
      <c r="T64" s="18" t="s">
        <v>154</v>
      </c>
    </row>
    <row r="65" spans="1:20" x14ac:dyDescent="0.25">
      <c r="A65" s="11" t="s">
        <v>198</v>
      </c>
      <c r="B65" s="17" t="s">
        <v>154</v>
      </c>
      <c r="C65" s="17" t="s">
        <v>154</v>
      </c>
      <c r="D65" s="18" t="s">
        <v>154</v>
      </c>
      <c r="E65" s="17" t="s">
        <v>154</v>
      </c>
      <c r="F65" s="18" t="s">
        <v>154</v>
      </c>
      <c r="G65" s="17" t="s">
        <v>154</v>
      </c>
      <c r="H65" s="18" t="s">
        <v>154</v>
      </c>
      <c r="I65" s="17" t="s">
        <v>154</v>
      </c>
      <c r="J65" s="18" t="s">
        <v>154</v>
      </c>
      <c r="K65" s="17" t="s">
        <v>154</v>
      </c>
      <c r="L65" s="18" t="s">
        <v>154</v>
      </c>
      <c r="M65" s="17" t="s">
        <v>154</v>
      </c>
      <c r="N65" s="18" t="s">
        <v>154</v>
      </c>
      <c r="O65" s="17" t="s">
        <v>154</v>
      </c>
      <c r="P65" s="18" t="s">
        <v>154</v>
      </c>
      <c r="Q65" s="17" t="s">
        <v>154</v>
      </c>
      <c r="R65" s="18" t="s">
        <v>154</v>
      </c>
      <c r="S65" s="17" t="s">
        <v>154</v>
      </c>
      <c r="T65" s="18" t="s">
        <v>154</v>
      </c>
    </row>
    <row r="66" spans="1:20" x14ac:dyDescent="0.25">
      <c r="A66" s="11" t="s">
        <v>199</v>
      </c>
      <c r="B66" s="13">
        <v>5665</v>
      </c>
      <c r="C66" s="14">
        <f>(4753/B66*100)</f>
        <v>83.901147396293027</v>
      </c>
      <c r="D66" s="15">
        <v>912</v>
      </c>
      <c r="E66" s="14">
        <v>59.503348389999999</v>
      </c>
      <c r="F66" s="16">
        <v>1.62027517</v>
      </c>
      <c r="G66" s="14">
        <v>24.399193100000002</v>
      </c>
      <c r="H66" s="16">
        <v>1.4935094200000001</v>
      </c>
      <c r="I66" s="14">
        <v>16.097458509999999</v>
      </c>
      <c r="J66" s="16">
        <v>1.20831504</v>
      </c>
      <c r="K66" s="14" t="s">
        <v>139</v>
      </c>
      <c r="L66" s="16" t="s">
        <v>139</v>
      </c>
      <c r="M66" s="14">
        <v>0</v>
      </c>
      <c r="N66" s="16">
        <v>0</v>
      </c>
      <c r="O66" s="14">
        <v>0</v>
      </c>
      <c r="P66" s="16">
        <v>0</v>
      </c>
      <c r="Q66" s="14">
        <v>0</v>
      </c>
      <c r="R66" s="16">
        <v>0</v>
      </c>
      <c r="S66" s="14">
        <v>0</v>
      </c>
      <c r="T66" s="16">
        <v>0</v>
      </c>
    </row>
    <row r="67" spans="1:20" x14ac:dyDescent="0.25">
      <c r="A67" s="11" t="s">
        <v>200</v>
      </c>
      <c r="B67" s="13">
        <v>6971</v>
      </c>
      <c r="C67" s="14">
        <f>(6054/B67*100)</f>
        <v>86.845502797303112</v>
      </c>
      <c r="D67" s="15">
        <v>917</v>
      </c>
      <c r="E67" s="14">
        <v>55.605401919999998</v>
      </c>
      <c r="F67" s="16">
        <v>1.72011501</v>
      </c>
      <c r="G67" s="14">
        <v>19.177401669999998</v>
      </c>
      <c r="H67" s="16">
        <v>1.3127380099999999</v>
      </c>
      <c r="I67" s="14">
        <v>25.21719641</v>
      </c>
      <c r="J67" s="16">
        <v>1.5174010499999999</v>
      </c>
      <c r="K67" s="14" t="s">
        <v>139</v>
      </c>
      <c r="L67" s="16" t="s">
        <v>139</v>
      </c>
      <c r="M67" s="14">
        <v>0</v>
      </c>
      <c r="N67" s="16">
        <v>0</v>
      </c>
      <c r="O67" s="14">
        <v>0</v>
      </c>
      <c r="P67" s="16">
        <v>0</v>
      </c>
      <c r="Q67" s="14">
        <v>0</v>
      </c>
      <c r="R67" s="16">
        <v>0</v>
      </c>
      <c r="S67" s="14">
        <v>0</v>
      </c>
      <c r="T67" s="16">
        <v>0</v>
      </c>
    </row>
    <row r="68" spans="1:20" x14ac:dyDescent="0.25">
      <c r="A68" s="11" t="s">
        <v>201</v>
      </c>
      <c r="B68" s="17" t="s">
        <v>154</v>
      </c>
      <c r="C68" s="17" t="s">
        <v>154</v>
      </c>
      <c r="D68" s="18" t="s">
        <v>154</v>
      </c>
      <c r="E68" s="17" t="s">
        <v>154</v>
      </c>
      <c r="F68" s="18" t="s">
        <v>154</v>
      </c>
      <c r="G68" s="17" t="s">
        <v>154</v>
      </c>
      <c r="H68" s="18" t="s">
        <v>154</v>
      </c>
      <c r="I68" s="17" t="s">
        <v>154</v>
      </c>
      <c r="J68" s="18" t="s">
        <v>154</v>
      </c>
      <c r="K68" s="17" t="s">
        <v>154</v>
      </c>
      <c r="L68" s="18" t="s">
        <v>154</v>
      </c>
      <c r="M68" s="17" t="s">
        <v>154</v>
      </c>
      <c r="N68" s="18" t="s">
        <v>154</v>
      </c>
      <c r="O68" s="17" t="s">
        <v>154</v>
      </c>
      <c r="P68" s="18" t="s">
        <v>154</v>
      </c>
      <c r="Q68" s="17" t="s">
        <v>154</v>
      </c>
      <c r="R68" s="18" t="s">
        <v>154</v>
      </c>
      <c r="S68" s="17" t="s">
        <v>154</v>
      </c>
      <c r="T68" s="18" t="s">
        <v>154</v>
      </c>
    </row>
    <row r="69" spans="1:20" x14ac:dyDescent="0.25">
      <c r="A69" s="11" t="s">
        <v>202</v>
      </c>
      <c r="B69" s="17" t="s">
        <v>154</v>
      </c>
      <c r="C69" s="17" t="s">
        <v>154</v>
      </c>
      <c r="D69" s="18" t="s">
        <v>154</v>
      </c>
      <c r="E69" s="17" t="s">
        <v>154</v>
      </c>
      <c r="F69" s="18" t="s">
        <v>154</v>
      </c>
      <c r="G69" s="17" t="s">
        <v>154</v>
      </c>
      <c r="H69" s="18" t="s">
        <v>154</v>
      </c>
      <c r="I69" s="17" t="s">
        <v>154</v>
      </c>
      <c r="J69" s="18" t="s">
        <v>154</v>
      </c>
      <c r="K69" s="17" t="s">
        <v>154</v>
      </c>
      <c r="L69" s="18" t="s">
        <v>154</v>
      </c>
      <c r="M69" s="17" t="s">
        <v>154</v>
      </c>
      <c r="N69" s="18" t="s">
        <v>154</v>
      </c>
      <c r="O69" s="17" t="s">
        <v>154</v>
      </c>
      <c r="P69" s="18" t="s">
        <v>154</v>
      </c>
      <c r="Q69" s="17" t="s">
        <v>154</v>
      </c>
      <c r="R69" s="18" t="s">
        <v>154</v>
      </c>
      <c r="S69" s="17" t="s">
        <v>154</v>
      </c>
      <c r="T69" s="18" t="s">
        <v>154</v>
      </c>
    </row>
    <row r="70" spans="1:20" x14ac:dyDescent="0.25">
      <c r="A70" s="11" t="s">
        <v>203</v>
      </c>
      <c r="B70" s="13">
        <v>6036</v>
      </c>
      <c r="C70" s="14">
        <f>(5065/B70*100)</f>
        <v>83.913187541418154</v>
      </c>
      <c r="D70" s="15">
        <v>971</v>
      </c>
      <c r="E70" s="14">
        <v>36.104805229999997</v>
      </c>
      <c r="F70" s="16">
        <v>1.8164802900000001</v>
      </c>
      <c r="G70" s="14">
        <v>28.695560480000001</v>
      </c>
      <c r="H70" s="16">
        <v>1.7832447199999999</v>
      </c>
      <c r="I70" s="14">
        <v>35.199634289999999</v>
      </c>
      <c r="J70" s="16">
        <v>2.1946840999999999</v>
      </c>
      <c r="K70" s="14" t="s">
        <v>139</v>
      </c>
      <c r="L70" s="16" t="s">
        <v>139</v>
      </c>
      <c r="M70" s="14">
        <v>0</v>
      </c>
      <c r="N70" s="16">
        <v>0</v>
      </c>
      <c r="O70" s="14">
        <v>0</v>
      </c>
      <c r="P70" s="16">
        <v>0</v>
      </c>
      <c r="Q70" s="14">
        <v>0</v>
      </c>
      <c r="R70" s="16">
        <v>0</v>
      </c>
      <c r="S70" s="14">
        <v>0</v>
      </c>
      <c r="T70" s="16">
        <v>0</v>
      </c>
    </row>
    <row r="71" spans="1:20" x14ac:dyDescent="0.25">
      <c r="A71" s="11" t="s">
        <v>204</v>
      </c>
      <c r="B71" s="17" t="s">
        <v>154</v>
      </c>
      <c r="C71" s="17" t="s">
        <v>154</v>
      </c>
      <c r="D71" s="18" t="s">
        <v>154</v>
      </c>
      <c r="E71" s="17" t="s">
        <v>154</v>
      </c>
      <c r="F71" s="18" t="s">
        <v>154</v>
      </c>
      <c r="G71" s="17" t="s">
        <v>154</v>
      </c>
      <c r="H71" s="18" t="s">
        <v>154</v>
      </c>
      <c r="I71" s="17" t="s">
        <v>154</v>
      </c>
      <c r="J71" s="18" t="s">
        <v>154</v>
      </c>
      <c r="K71" s="17" t="s">
        <v>154</v>
      </c>
      <c r="L71" s="18" t="s">
        <v>154</v>
      </c>
      <c r="M71" s="17" t="s">
        <v>154</v>
      </c>
      <c r="N71" s="18" t="s">
        <v>154</v>
      </c>
      <c r="O71" s="17" t="s">
        <v>154</v>
      </c>
      <c r="P71" s="18" t="s">
        <v>154</v>
      </c>
      <c r="Q71" s="17" t="s">
        <v>154</v>
      </c>
      <c r="R71" s="18" t="s">
        <v>154</v>
      </c>
      <c r="S71" s="17" t="s">
        <v>154</v>
      </c>
      <c r="T71" s="18" t="s">
        <v>154</v>
      </c>
    </row>
    <row r="72" spans="1:20" x14ac:dyDescent="0.25">
      <c r="A72" s="11" t="s">
        <v>205</v>
      </c>
      <c r="B72" s="13">
        <v>7708</v>
      </c>
      <c r="C72" s="14">
        <f>(6396/B72*100)</f>
        <v>82.978723404255319</v>
      </c>
      <c r="D72" s="15">
        <v>1312</v>
      </c>
      <c r="E72" s="14">
        <v>24.105326430000002</v>
      </c>
      <c r="F72" s="16">
        <v>1.1136284400000001</v>
      </c>
      <c r="G72" s="14">
        <v>31.388200699999999</v>
      </c>
      <c r="H72" s="16">
        <v>1.46408056</v>
      </c>
      <c r="I72" s="14">
        <v>44.506472870000003</v>
      </c>
      <c r="J72" s="16">
        <v>1.46391396</v>
      </c>
      <c r="K72" s="14" t="s">
        <v>139</v>
      </c>
      <c r="L72" s="16" t="s">
        <v>139</v>
      </c>
      <c r="M72" s="14">
        <v>0</v>
      </c>
      <c r="N72" s="16">
        <v>0</v>
      </c>
      <c r="O72" s="14">
        <v>0</v>
      </c>
      <c r="P72" s="16">
        <v>0</v>
      </c>
      <c r="Q72" s="14">
        <v>0</v>
      </c>
      <c r="R72" s="16">
        <v>0</v>
      </c>
      <c r="S72" s="14">
        <v>0</v>
      </c>
      <c r="T72" s="16">
        <v>0</v>
      </c>
    </row>
    <row r="73" spans="1:20" x14ac:dyDescent="0.25">
      <c r="A73" s="11" t="s">
        <v>206</v>
      </c>
      <c r="B73" s="13">
        <v>8249</v>
      </c>
      <c r="C73" s="14">
        <f>(7001/B73*100)</f>
        <v>84.870893441629292</v>
      </c>
      <c r="D73" s="15">
        <v>1248</v>
      </c>
      <c r="E73" s="14">
        <v>59.611308110000003</v>
      </c>
      <c r="F73" s="16">
        <v>1.8022817600000001</v>
      </c>
      <c r="G73" s="14">
        <v>21.053799389999998</v>
      </c>
      <c r="H73" s="16">
        <v>1.1784511499999999</v>
      </c>
      <c r="I73" s="14">
        <v>19.334892499999999</v>
      </c>
      <c r="J73" s="16">
        <v>1.52483814</v>
      </c>
      <c r="K73" s="14" t="s">
        <v>139</v>
      </c>
      <c r="L73" s="16" t="s">
        <v>139</v>
      </c>
      <c r="M73" s="14">
        <v>0</v>
      </c>
      <c r="N73" s="16">
        <v>0</v>
      </c>
      <c r="O73" s="14">
        <v>0</v>
      </c>
      <c r="P73" s="16">
        <v>0</v>
      </c>
      <c r="Q73" s="14">
        <v>0</v>
      </c>
      <c r="R73" s="16">
        <v>0</v>
      </c>
      <c r="S73" s="14">
        <v>0</v>
      </c>
      <c r="T73" s="16">
        <v>0</v>
      </c>
    </row>
    <row r="74" spans="1:20" x14ac:dyDescent="0.25">
      <c r="A74" s="11" t="s">
        <v>207</v>
      </c>
      <c r="B74" s="17" t="s">
        <v>154</v>
      </c>
      <c r="C74" s="17" t="s">
        <v>154</v>
      </c>
      <c r="D74" s="18" t="s">
        <v>154</v>
      </c>
      <c r="E74" s="17" t="s">
        <v>154</v>
      </c>
      <c r="F74" s="18" t="s">
        <v>154</v>
      </c>
      <c r="G74" s="17" t="s">
        <v>154</v>
      </c>
      <c r="H74" s="18" t="s">
        <v>154</v>
      </c>
      <c r="I74" s="17" t="s">
        <v>154</v>
      </c>
      <c r="J74" s="18" t="s">
        <v>154</v>
      </c>
      <c r="K74" s="17" t="s">
        <v>154</v>
      </c>
      <c r="L74" s="18" t="s">
        <v>154</v>
      </c>
      <c r="M74" s="17" t="s">
        <v>154</v>
      </c>
      <c r="N74" s="18" t="s">
        <v>154</v>
      </c>
      <c r="O74" s="17" t="s">
        <v>154</v>
      </c>
      <c r="P74" s="18" t="s">
        <v>154</v>
      </c>
      <c r="Q74" s="17" t="s">
        <v>154</v>
      </c>
      <c r="R74" s="18" t="s">
        <v>154</v>
      </c>
      <c r="S74" s="17" t="s">
        <v>154</v>
      </c>
      <c r="T74" s="18" t="s">
        <v>154</v>
      </c>
    </row>
    <row r="75" spans="1:20" x14ac:dyDescent="0.25">
      <c r="A75" s="11" t="s">
        <v>208</v>
      </c>
      <c r="B75" s="13">
        <v>5375</v>
      </c>
      <c r="C75" s="14">
        <f>(4571/B75*100)</f>
        <v>85.041860465116287</v>
      </c>
      <c r="D75" s="15">
        <v>804</v>
      </c>
      <c r="E75" s="14">
        <v>65.882084050000003</v>
      </c>
      <c r="F75" s="16">
        <v>1.6477979199999999</v>
      </c>
      <c r="G75" s="14">
        <v>19.67815173</v>
      </c>
      <c r="H75" s="16">
        <v>1.3868467099999999</v>
      </c>
      <c r="I75" s="14">
        <v>14.439764220000001</v>
      </c>
      <c r="J75" s="16">
        <v>1.3421040900000001</v>
      </c>
      <c r="K75" s="14" t="s">
        <v>139</v>
      </c>
      <c r="L75" s="16" t="s">
        <v>139</v>
      </c>
      <c r="M75" s="14">
        <v>0</v>
      </c>
      <c r="N75" s="16">
        <v>0</v>
      </c>
      <c r="O75" s="14">
        <v>0</v>
      </c>
      <c r="P75" s="16">
        <v>0</v>
      </c>
      <c r="Q75" s="14">
        <v>0</v>
      </c>
      <c r="R75" s="16">
        <v>0</v>
      </c>
      <c r="S75" s="14">
        <v>0</v>
      </c>
      <c r="T75" s="16">
        <v>0</v>
      </c>
    </row>
    <row r="76" spans="1:20" x14ac:dyDescent="0.25">
      <c r="A76" s="11" t="s">
        <v>209</v>
      </c>
      <c r="B76" s="13">
        <v>14167</v>
      </c>
      <c r="C76" s="14">
        <f>(11809/B76*100)</f>
        <v>83.355685748570622</v>
      </c>
      <c r="D76" s="15">
        <v>2358</v>
      </c>
      <c r="E76" s="14">
        <v>42.50267083</v>
      </c>
      <c r="F76" s="16">
        <v>1.23767837</v>
      </c>
      <c r="G76" s="14">
        <v>25.220981030000001</v>
      </c>
      <c r="H76" s="16">
        <v>0.98722741000000003</v>
      </c>
      <c r="I76" s="14">
        <v>32.276348140000003</v>
      </c>
      <c r="J76" s="16">
        <v>1.1346101399999999</v>
      </c>
      <c r="K76" s="14" t="s">
        <v>139</v>
      </c>
      <c r="L76" s="16" t="s">
        <v>139</v>
      </c>
      <c r="M76" s="14">
        <v>0</v>
      </c>
      <c r="N76" s="16">
        <v>0</v>
      </c>
      <c r="O76" s="14">
        <v>0</v>
      </c>
      <c r="P76" s="16">
        <v>0</v>
      </c>
      <c r="Q76" s="14">
        <v>0</v>
      </c>
      <c r="R76" s="16">
        <v>0</v>
      </c>
      <c r="S76" s="14">
        <v>0</v>
      </c>
      <c r="T76" s="16">
        <v>0</v>
      </c>
    </row>
    <row r="77" spans="1:20" x14ac:dyDescent="0.25">
      <c r="A77" s="11" t="s">
        <v>210</v>
      </c>
      <c r="B77" s="13">
        <v>6062</v>
      </c>
      <c r="C77" s="14">
        <f>(5111/B77*100)</f>
        <v>84.312108215110527</v>
      </c>
      <c r="D77" s="15">
        <v>951</v>
      </c>
      <c r="E77" s="14">
        <v>44.355700069999997</v>
      </c>
      <c r="F77" s="16">
        <v>1.8310478800000001</v>
      </c>
      <c r="G77" s="14">
        <v>23.743247799999999</v>
      </c>
      <c r="H77" s="16">
        <v>1.34744639</v>
      </c>
      <c r="I77" s="14">
        <v>31.90105213</v>
      </c>
      <c r="J77" s="16">
        <v>1.6141603899999999</v>
      </c>
      <c r="K77" s="14" t="s">
        <v>139</v>
      </c>
      <c r="L77" s="16" t="s">
        <v>139</v>
      </c>
      <c r="M77" s="14">
        <v>0</v>
      </c>
      <c r="N77" s="16">
        <v>0</v>
      </c>
      <c r="O77" s="14">
        <v>0</v>
      </c>
      <c r="P77" s="16">
        <v>0</v>
      </c>
      <c r="Q77" s="14">
        <v>0</v>
      </c>
      <c r="R77" s="16">
        <v>0</v>
      </c>
      <c r="S77" s="14">
        <v>0</v>
      </c>
      <c r="T77" s="16">
        <v>0</v>
      </c>
    </row>
    <row r="78" spans="1:20" x14ac:dyDescent="0.25">
      <c r="A78" s="11" t="s">
        <v>211</v>
      </c>
      <c r="B78" s="17" t="s">
        <v>154</v>
      </c>
      <c r="C78" s="17" t="s">
        <v>154</v>
      </c>
      <c r="D78" s="18" t="s">
        <v>154</v>
      </c>
      <c r="E78" s="17" t="s">
        <v>154</v>
      </c>
      <c r="F78" s="18" t="s">
        <v>154</v>
      </c>
      <c r="G78" s="17" t="s">
        <v>154</v>
      </c>
      <c r="H78" s="18" t="s">
        <v>154</v>
      </c>
      <c r="I78" s="17" t="s">
        <v>154</v>
      </c>
      <c r="J78" s="18" t="s">
        <v>154</v>
      </c>
      <c r="K78" s="17" t="s">
        <v>154</v>
      </c>
      <c r="L78" s="18" t="s">
        <v>154</v>
      </c>
      <c r="M78" s="17" t="s">
        <v>154</v>
      </c>
      <c r="N78" s="18" t="s">
        <v>154</v>
      </c>
      <c r="O78" s="17" t="s">
        <v>154</v>
      </c>
      <c r="P78" s="18" t="s">
        <v>154</v>
      </c>
      <c r="Q78" s="17" t="s">
        <v>154</v>
      </c>
      <c r="R78" s="18" t="s">
        <v>154</v>
      </c>
      <c r="S78" s="17" t="s">
        <v>154</v>
      </c>
      <c r="T78" s="18" t="s">
        <v>154</v>
      </c>
    </row>
    <row r="79" spans="1:20" ht="24.95" customHeight="1" x14ac:dyDescent="0.25">
      <c r="A79" s="11" t="s">
        <v>212</v>
      </c>
      <c r="B79" s="17" t="s">
        <v>154</v>
      </c>
      <c r="C79" s="17" t="s">
        <v>154</v>
      </c>
      <c r="D79" s="18" t="s">
        <v>154</v>
      </c>
      <c r="E79" s="17" t="s">
        <v>154</v>
      </c>
      <c r="F79" s="18" t="s">
        <v>154</v>
      </c>
      <c r="G79" s="17" t="s">
        <v>154</v>
      </c>
      <c r="H79" s="18" t="s">
        <v>154</v>
      </c>
      <c r="I79" s="17" t="s">
        <v>154</v>
      </c>
      <c r="J79" s="18" t="s">
        <v>154</v>
      </c>
      <c r="K79" s="17" t="s">
        <v>154</v>
      </c>
      <c r="L79" s="18" t="s">
        <v>154</v>
      </c>
      <c r="M79" s="17" t="s">
        <v>154</v>
      </c>
      <c r="N79" s="18" t="s">
        <v>154</v>
      </c>
      <c r="O79" s="17" t="s">
        <v>154</v>
      </c>
      <c r="P79" s="18" t="s">
        <v>154</v>
      </c>
      <c r="Q79" s="17" t="s">
        <v>154</v>
      </c>
      <c r="R79" s="18" t="s">
        <v>154</v>
      </c>
      <c r="S79" s="17" t="s">
        <v>154</v>
      </c>
      <c r="T79" s="18" t="s">
        <v>154</v>
      </c>
    </row>
    <row r="80" spans="1:20" x14ac:dyDescent="0.25">
      <c r="A80" s="11" t="s">
        <v>213</v>
      </c>
      <c r="B80" s="17" t="s">
        <v>154</v>
      </c>
      <c r="C80" s="17" t="s">
        <v>154</v>
      </c>
      <c r="D80" s="18" t="s">
        <v>154</v>
      </c>
      <c r="E80" s="17" t="s">
        <v>154</v>
      </c>
      <c r="F80" s="18" t="s">
        <v>154</v>
      </c>
      <c r="G80" s="17" t="s">
        <v>154</v>
      </c>
      <c r="H80" s="18" t="s">
        <v>154</v>
      </c>
      <c r="I80" s="17" t="s">
        <v>154</v>
      </c>
      <c r="J80" s="18" t="s">
        <v>154</v>
      </c>
      <c r="K80" s="17" t="s">
        <v>154</v>
      </c>
      <c r="L80" s="18" t="s">
        <v>154</v>
      </c>
      <c r="M80" s="17" t="s">
        <v>154</v>
      </c>
      <c r="N80" s="18" t="s">
        <v>154</v>
      </c>
      <c r="O80" s="17" t="s">
        <v>154</v>
      </c>
      <c r="P80" s="18" t="s">
        <v>154</v>
      </c>
      <c r="Q80" s="17" t="s">
        <v>154</v>
      </c>
      <c r="R80" s="18" t="s">
        <v>154</v>
      </c>
      <c r="S80" s="17" t="s">
        <v>154</v>
      </c>
      <c r="T80" s="18" t="s">
        <v>154</v>
      </c>
    </row>
    <row r="81" spans="1:20" x14ac:dyDescent="0.25">
      <c r="A81" s="19" t="s">
        <v>214</v>
      </c>
      <c r="B81" s="13">
        <v>8861</v>
      </c>
      <c r="C81" s="14">
        <f>(7350/B81*100)</f>
        <v>82.947748561110473</v>
      </c>
      <c r="D81" s="15">
        <v>1511</v>
      </c>
      <c r="E81" s="14">
        <v>35.77339241</v>
      </c>
      <c r="F81" s="16">
        <v>1.65787514</v>
      </c>
      <c r="G81" s="14">
        <v>26.625915790000001</v>
      </c>
      <c r="H81" s="16">
        <v>1.3295747099999999</v>
      </c>
      <c r="I81" s="14">
        <v>37.6006918</v>
      </c>
      <c r="J81" s="16">
        <v>1.57282912</v>
      </c>
      <c r="K81" s="14" t="s">
        <v>139</v>
      </c>
      <c r="L81" s="16" t="s">
        <v>139</v>
      </c>
      <c r="M81" s="14">
        <v>0</v>
      </c>
      <c r="N81" s="16">
        <v>0</v>
      </c>
      <c r="O81" s="14">
        <v>0</v>
      </c>
      <c r="P81" s="16">
        <v>0</v>
      </c>
      <c r="Q81" s="14">
        <v>0</v>
      </c>
      <c r="R81" s="16">
        <v>0</v>
      </c>
      <c r="S81" s="14">
        <v>0</v>
      </c>
      <c r="T81" s="16">
        <v>0</v>
      </c>
    </row>
    <row r="82" spans="1:20" x14ac:dyDescent="0.25">
      <c r="A82" s="20"/>
      <c r="B82" s="20" t="s">
        <v>215</v>
      </c>
      <c r="C82" s="20" t="s">
        <v>215</v>
      </c>
      <c r="D82" s="20" t="s">
        <v>215</v>
      </c>
      <c r="E82" s="20" t="s">
        <v>215</v>
      </c>
      <c r="F82" s="20" t="s">
        <v>215</v>
      </c>
      <c r="G82" s="20" t="s">
        <v>215</v>
      </c>
      <c r="H82" s="20" t="s">
        <v>215</v>
      </c>
      <c r="I82" s="20" t="s">
        <v>215</v>
      </c>
      <c r="J82" s="20" t="s">
        <v>215</v>
      </c>
      <c r="K82" s="20" t="s">
        <v>215</v>
      </c>
      <c r="L82" s="20" t="s">
        <v>215</v>
      </c>
      <c r="M82" s="20" t="s">
        <v>215</v>
      </c>
      <c r="N82" s="20" t="s">
        <v>215</v>
      </c>
      <c r="O82" s="20" t="s">
        <v>215</v>
      </c>
      <c r="P82" s="20" t="s">
        <v>215</v>
      </c>
      <c r="Q82" s="20" t="s">
        <v>215</v>
      </c>
      <c r="R82" s="20" t="s">
        <v>215</v>
      </c>
      <c r="S82" s="20" t="s">
        <v>215</v>
      </c>
      <c r="T82" s="20" t="s">
        <v>215</v>
      </c>
    </row>
    <row r="83" spans="1:20" x14ac:dyDescent="0.25">
      <c r="A83" s="3" t="s">
        <v>216</v>
      </c>
    </row>
    <row r="84" spans="1:20" x14ac:dyDescent="0.25">
      <c r="A84" s="22" t="s">
        <v>217</v>
      </c>
      <c r="B84" s="23"/>
      <c r="C84" s="23"/>
      <c r="D84" s="23"/>
      <c r="E84" s="23"/>
      <c r="F84" s="23"/>
      <c r="G84" s="23"/>
      <c r="H84" s="23"/>
      <c r="I84" s="23"/>
      <c r="J84" s="23"/>
      <c r="K84" s="23"/>
      <c r="L84" s="23"/>
      <c r="M84" s="23"/>
      <c r="N84" s="23"/>
      <c r="O84" s="23"/>
      <c r="P84" s="23"/>
      <c r="Q84" s="23"/>
      <c r="R84" s="23"/>
      <c r="S84" s="23"/>
      <c r="T84" s="23"/>
    </row>
    <row r="85" spans="1:20" x14ac:dyDescent="0.25">
      <c r="A85" s="22" t="s">
        <v>218</v>
      </c>
      <c r="B85" s="23"/>
      <c r="C85" s="23"/>
      <c r="D85" s="23"/>
      <c r="E85" s="23"/>
      <c r="F85" s="23"/>
      <c r="G85" s="23"/>
      <c r="H85" s="23"/>
      <c r="I85" s="23"/>
      <c r="J85" s="23"/>
      <c r="K85" s="23"/>
      <c r="L85" s="23"/>
      <c r="M85" s="23"/>
      <c r="N85" s="23"/>
      <c r="O85" s="23"/>
      <c r="P85" s="23"/>
      <c r="Q85" s="23"/>
      <c r="R85" s="23"/>
      <c r="S85" s="23"/>
      <c r="T85" s="23"/>
    </row>
    <row r="86" spans="1:20" ht="30" customHeight="1" x14ac:dyDescent="0.25">
      <c r="A86" s="22" t="s">
        <v>219</v>
      </c>
      <c r="B86" s="23"/>
      <c r="C86" s="23"/>
      <c r="D86" s="23"/>
      <c r="E86" s="23"/>
      <c r="F86" s="23"/>
      <c r="G86" s="23"/>
      <c r="H86" s="23"/>
      <c r="I86" s="23"/>
      <c r="J86" s="23"/>
      <c r="K86" s="23"/>
      <c r="L86" s="23"/>
      <c r="M86" s="23"/>
      <c r="N86" s="23"/>
      <c r="O86" s="23"/>
      <c r="P86" s="23"/>
      <c r="Q86" s="23"/>
      <c r="R86" s="23"/>
      <c r="S86" s="23"/>
      <c r="T86" s="23"/>
    </row>
    <row r="87" spans="1:20" ht="30" customHeight="1" x14ac:dyDescent="0.25">
      <c r="A87" s="22" t="s">
        <v>215</v>
      </c>
      <c r="B87" s="23"/>
      <c r="C87" s="23"/>
      <c r="D87" s="23"/>
      <c r="E87" s="23"/>
      <c r="F87" s="23"/>
      <c r="G87" s="23"/>
      <c r="H87" s="23"/>
      <c r="I87" s="23"/>
      <c r="J87" s="23"/>
      <c r="K87" s="23"/>
      <c r="L87" s="23"/>
      <c r="M87" s="23"/>
      <c r="N87" s="23"/>
      <c r="O87" s="23"/>
      <c r="P87" s="23"/>
      <c r="Q87" s="23"/>
      <c r="R87" s="23"/>
      <c r="S87" s="23"/>
      <c r="T87" s="23"/>
    </row>
    <row r="88" spans="1:20" ht="30" customHeight="1" x14ac:dyDescent="0.25">
      <c r="A88" s="22" t="s">
        <v>220</v>
      </c>
      <c r="B88" s="23"/>
      <c r="C88" s="23"/>
      <c r="D88" s="23"/>
      <c r="E88" s="23"/>
      <c r="F88" s="23"/>
      <c r="G88" s="23"/>
      <c r="H88" s="23"/>
      <c r="I88" s="23"/>
      <c r="J88" s="23"/>
      <c r="K88" s="23"/>
      <c r="L88" s="23"/>
      <c r="M88" s="23"/>
      <c r="N88" s="23"/>
      <c r="O88" s="23"/>
      <c r="P88" s="23"/>
      <c r="Q88" s="23"/>
      <c r="R88" s="23"/>
      <c r="S88" s="23"/>
      <c r="T88" s="23"/>
    </row>
    <row r="89" spans="1:20" ht="30" customHeight="1" x14ac:dyDescent="0.25">
      <c r="A89" s="22" t="s">
        <v>221</v>
      </c>
      <c r="B89" s="23"/>
      <c r="C89" s="23"/>
      <c r="D89" s="23"/>
      <c r="E89" s="23"/>
      <c r="F89" s="23"/>
      <c r="G89" s="23"/>
      <c r="H89" s="23"/>
      <c r="I89" s="23"/>
      <c r="J89" s="23"/>
      <c r="K89" s="23"/>
      <c r="L89" s="23"/>
      <c r="M89" s="23"/>
      <c r="N89" s="23"/>
      <c r="O89" s="23"/>
      <c r="P89" s="23"/>
      <c r="Q89" s="23"/>
      <c r="R89" s="23"/>
      <c r="S89" s="23"/>
      <c r="T89" s="23"/>
    </row>
    <row r="90" spans="1:20" ht="30" customHeight="1" x14ac:dyDescent="0.25">
      <c r="A90" s="22" t="s">
        <v>222</v>
      </c>
      <c r="B90" s="23"/>
      <c r="C90" s="23"/>
      <c r="D90" s="23"/>
      <c r="E90" s="23"/>
      <c r="F90" s="23"/>
      <c r="G90" s="23"/>
      <c r="H90" s="23"/>
      <c r="I90" s="23"/>
      <c r="J90" s="23"/>
      <c r="K90" s="23"/>
      <c r="L90" s="23"/>
      <c r="M90" s="23"/>
      <c r="N90" s="23"/>
      <c r="O90" s="23"/>
      <c r="P90" s="23"/>
      <c r="Q90" s="23"/>
      <c r="R90" s="23"/>
      <c r="S90" s="23"/>
      <c r="T90" s="23"/>
    </row>
    <row r="91" spans="1:20" ht="30" customHeight="1" x14ac:dyDescent="0.25">
      <c r="A91" s="22" t="s">
        <v>223</v>
      </c>
      <c r="B91" s="23"/>
      <c r="C91" s="23"/>
      <c r="D91" s="23"/>
      <c r="E91" s="23"/>
      <c r="F91" s="23"/>
      <c r="G91" s="23"/>
      <c r="H91" s="23"/>
      <c r="I91" s="23"/>
      <c r="J91" s="23"/>
      <c r="K91" s="23"/>
      <c r="L91" s="23"/>
      <c r="M91" s="23"/>
      <c r="N91" s="23"/>
      <c r="O91" s="23"/>
      <c r="P91" s="23"/>
      <c r="Q91" s="23"/>
      <c r="R91" s="23"/>
      <c r="S91" s="23"/>
      <c r="T91" s="23"/>
    </row>
    <row r="92" spans="1:20" ht="30" customHeight="1" x14ac:dyDescent="0.25">
      <c r="A92" s="22" t="s">
        <v>224</v>
      </c>
      <c r="B92" s="23"/>
      <c r="C92" s="23"/>
      <c r="D92" s="23"/>
      <c r="E92" s="23"/>
      <c r="F92" s="23"/>
      <c r="G92" s="23"/>
      <c r="H92" s="23"/>
      <c r="I92" s="23"/>
      <c r="J92" s="23"/>
      <c r="K92" s="23"/>
      <c r="L92" s="23"/>
      <c r="M92" s="23"/>
      <c r="N92" s="23"/>
      <c r="O92" s="23"/>
      <c r="P92" s="23"/>
      <c r="Q92" s="23"/>
      <c r="R92" s="23"/>
      <c r="S92" s="23"/>
      <c r="T92" s="23"/>
    </row>
    <row r="93" spans="1:20" ht="30" customHeight="1" x14ac:dyDescent="0.25">
      <c r="A93" s="22" t="s">
        <v>225</v>
      </c>
      <c r="B93" s="23"/>
      <c r="C93" s="23"/>
      <c r="D93" s="23"/>
      <c r="E93" s="23"/>
      <c r="F93" s="23"/>
      <c r="G93" s="23"/>
      <c r="H93" s="23"/>
      <c r="I93" s="23"/>
      <c r="J93" s="23"/>
      <c r="K93" s="23"/>
      <c r="L93" s="23"/>
      <c r="M93" s="23"/>
      <c r="N93" s="23"/>
      <c r="O93" s="23"/>
      <c r="P93" s="23"/>
      <c r="Q93" s="23"/>
      <c r="R93" s="23"/>
      <c r="S93" s="23"/>
      <c r="T93" s="23"/>
    </row>
    <row r="94" spans="1:20" ht="30" customHeight="1" x14ac:dyDescent="0.25">
      <c r="A94" s="22" t="s">
        <v>226</v>
      </c>
      <c r="B94" s="23"/>
      <c r="C94" s="23"/>
      <c r="D94" s="23"/>
      <c r="E94" s="23"/>
      <c r="F94" s="23"/>
      <c r="G94" s="23"/>
      <c r="H94" s="23"/>
      <c r="I94" s="23"/>
      <c r="J94" s="23"/>
      <c r="K94" s="23"/>
      <c r="L94" s="23"/>
      <c r="M94" s="23"/>
      <c r="N94" s="23"/>
      <c r="O94" s="23"/>
      <c r="P94" s="23"/>
      <c r="Q94" s="23"/>
      <c r="R94" s="23"/>
      <c r="S94" s="23"/>
      <c r="T94" s="23"/>
    </row>
    <row r="95" spans="1:20" ht="30" customHeight="1" x14ac:dyDescent="0.25">
      <c r="A95" s="22" t="s">
        <v>227</v>
      </c>
      <c r="B95" s="23"/>
      <c r="C95" s="23"/>
      <c r="D95" s="23"/>
      <c r="E95" s="23"/>
      <c r="F95" s="23"/>
      <c r="G95" s="23"/>
      <c r="H95" s="23"/>
      <c r="I95" s="23"/>
      <c r="J95" s="23"/>
      <c r="K95" s="23"/>
      <c r="L95" s="23"/>
      <c r="M95" s="23"/>
      <c r="N95" s="23"/>
      <c r="O95" s="23"/>
      <c r="P95" s="23"/>
      <c r="Q95" s="23"/>
      <c r="R95" s="23"/>
      <c r="S95" s="23"/>
      <c r="T95" s="23"/>
    </row>
    <row r="96" spans="1:20" ht="30" customHeight="1" x14ac:dyDescent="0.25">
      <c r="A96" s="22" t="s">
        <v>228</v>
      </c>
      <c r="B96" s="23"/>
      <c r="C96" s="23"/>
      <c r="D96" s="23"/>
      <c r="E96" s="23"/>
      <c r="F96" s="23"/>
      <c r="G96" s="23"/>
      <c r="H96" s="23"/>
      <c r="I96" s="23"/>
      <c r="J96" s="23"/>
      <c r="K96" s="23"/>
      <c r="L96" s="23"/>
      <c r="M96" s="23"/>
      <c r="N96" s="23"/>
      <c r="O96" s="23"/>
      <c r="P96" s="23"/>
      <c r="Q96" s="23"/>
      <c r="R96" s="23"/>
      <c r="S96" s="23"/>
      <c r="T96" s="23"/>
    </row>
  </sheetData>
  <mergeCells count="23">
    <mergeCell ref="O4:P4"/>
    <mergeCell ref="Q4:R4"/>
    <mergeCell ref="S4:T4"/>
    <mergeCell ref="A1:T1"/>
    <mergeCell ref="A2:T2"/>
    <mergeCell ref="E4:F4"/>
    <mergeCell ref="G4:H4"/>
    <mergeCell ref="I4:J4"/>
    <mergeCell ref="K4:L4"/>
    <mergeCell ref="M4:N4"/>
    <mergeCell ref="A84:T84"/>
    <mergeCell ref="A85:T85"/>
    <mergeCell ref="A86:T86"/>
    <mergeCell ref="A87:T87"/>
    <mergeCell ref="A88:T88"/>
    <mergeCell ref="A94:T94"/>
    <mergeCell ref="A95:T95"/>
    <mergeCell ref="A96:T96"/>
    <mergeCell ref="A89:T89"/>
    <mergeCell ref="A90:T90"/>
    <mergeCell ref="A91:T91"/>
    <mergeCell ref="A92:T92"/>
    <mergeCell ref="A93:T93"/>
  </mergeCells>
  <pageMargins left="0.75" right="0.75" top="1" bottom="1" header="0.5" footer="0.5"/>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5"/>
  <dimension ref="A1:R96"/>
  <sheetViews>
    <sheetView zoomScale="80" workbookViewId="0">
      <pane xSplit="4" topLeftCell="E1" activePane="topRight" state="frozen"/>
      <selection sqref="A1:R1"/>
      <selection pane="topRight" sqref="A1:R1"/>
    </sheetView>
  </sheetViews>
  <sheetFormatPr defaultColWidth="11.42578125" defaultRowHeight="15" x14ac:dyDescent="0.25"/>
  <cols>
    <col min="1" max="1" width="50" customWidth="1"/>
  </cols>
  <sheetData>
    <row r="1" spans="1:18" x14ac:dyDescent="0.25">
      <c r="A1" s="26" t="s">
        <v>122</v>
      </c>
      <c r="B1" s="23"/>
      <c r="C1" s="23"/>
      <c r="D1" s="23"/>
      <c r="E1" s="23"/>
      <c r="F1" s="23"/>
      <c r="G1" s="23"/>
      <c r="H1" s="23"/>
      <c r="I1" s="23"/>
      <c r="J1" s="23"/>
      <c r="K1" s="23"/>
      <c r="L1" s="23"/>
      <c r="M1" s="23"/>
      <c r="N1" s="23"/>
      <c r="O1" s="23"/>
      <c r="P1" s="23"/>
      <c r="Q1" s="23"/>
      <c r="R1" s="23"/>
    </row>
    <row r="2" spans="1:18" x14ac:dyDescent="0.25">
      <c r="A2" s="27" t="s">
        <v>271</v>
      </c>
      <c r="B2" s="23"/>
      <c r="C2" s="23"/>
      <c r="D2" s="23"/>
      <c r="E2" s="23"/>
      <c r="F2" s="23"/>
      <c r="G2" s="23"/>
      <c r="H2" s="23"/>
      <c r="I2" s="23"/>
      <c r="J2" s="23"/>
      <c r="K2" s="23"/>
      <c r="L2" s="23"/>
      <c r="M2" s="23"/>
      <c r="N2" s="23"/>
      <c r="O2" s="23"/>
      <c r="P2" s="23"/>
      <c r="Q2" s="23"/>
      <c r="R2" s="23"/>
    </row>
    <row r="4" spans="1:18" ht="30" customHeight="1" x14ac:dyDescent="0.25">
      <c r="A4" s="4"/>
      <c r="B4" s="5" t="s">
        <v>123</v>
      </c>
      <c r="C4" s="5" t="s">
        <v>124</v>
      </c>
      <c r="D4" s="6" t="s">
        <v>123</v>
      </c>
      <c r="E4" s="24" t="s">
        <v>125</v>
      </c>
      <c r="F4" s="25"/>
      <c r="G4" s="24" t="s">
        <v>126</v>
      </c>
      <c r="H4" s="25"/>
      <c r="I4" s="24" t="s">
        <v>127</v>
      </c>
      <c r="J4" s="25"/>
      <c r="K4" s="24" t="s">
        <v>128</v>
      </c>
      <c r="L4" s="25"/>
      <c r="M4" s="24" t="s">
        <v>129</v>
      </c>
      <c r="N4" s="25"/>
      <c r="O4" s="24" t="s">
        <v>130</v>
      </c>
      <c r="P4" s="25"/>
      <c r="Q4" s="24" t="s">
        <v>131</v>
      </c>
      <c r="R4" s="25"/>
    </row>
    <row r="5" spans="1:18" x14ac:dyDescent="0.25">
      <c r="A5" s="7"/>
      <c r="B5" s="8" t="s">
        <v>132</v>
      </c>
      <c r="C5" s="8" t="s">
        <v>133</v>
      </c>
      <c r="D5" s="7" t="s">
        <v>134</v>
      </c>
      <c r="E5" s="8" t="s">
        <v>135</v>
      </c>
      <c r="F5" s="7" t="s">
        <v>136</v>
      </c>
      <c r="G5" s="8" t="s">
        <v>135</v>
      </c>
      <c r="H5" s="7" t="s">
        <v>136</v>
      </c>
      <c r="I5" s="8" t="s">
        <v>135</v>
      </c>
      <c r="J5" s="7" t="s">
        <v>136</v>
      </c>
      <c r="K5" s="8" t="s">
        <v>135</v>
      </c>
      <c r="L5" s="7" t="s">
        <v>136</v>
      </c>
      <c r="M5" s="8" t="s">
        <v>135</v>
      </c>
      <c r="N5" s="7" t="s">
        <v>136</v>
      </c>
      <c r="O5" s="8" t="s">
        <v>135</v>
      </c>
      <c r="P5" s="7" t="s">
        <v>136</v>
      </c>
      <c r="Q5" s="8" t="s">
        <v>135</v>
      </c>
      <c r="R5" s="7" t="s">
        <v>136</v>
      </c>
    </row>
    <row r="6" spans="1:18" x14ac:dyDescent="0.25">
      <c r="A6" s="9" t="s">
        <v>137</v>
      </c>
      <c r="B6" s="10"/>
      <c r="C6" s="10"/>
      <c r="D6" s="11"/>
      <c r="E6" s="10"/>
      <c r="F6" s="11"/>
      <c r="G6" s="10"/>
      <c r="H6" s="11"/>
      <c r="I6" s="10"/>
      <c r="J6" s="11"/>
      <c r="K6" s="10"/>
      <c r="L6" s="11"/>
      <c r="M6" s="10"/>
      <c r="N6" s="11"/>
      <c r="O6" s="10"/>
      <c r="P6" s="11"/>
      <c r="Q6" s="10"/>
      <c r="R6" s="12"/>
    </row>
    <row r="7" spans="1:18" x14ac:dyDescent="0.25">
      <c r="A7" s="11" t="s">
        <v>138</v>
      </c>
      <c r="B7" s="13">
        <v>14530</v>
      </c>
      <c r="C7" s="14">
        <f>(12281/B7*100)</f>
        <v>84.521679284239497</v>
      </c>
      <c r="D7" s="15">
        <v>2249</v>
      </c>
      <c r="E7" s="14">
        <v>38.294148440000001</v>
      </c>
      <c r="F7" s="16">
        <v>1.3193106699999999</v>
      </c>
      <c r="G7" s="14">
        <v>61.705851559999999</v>
      </c>
      <c r="H7" s="16">
        <v>1.3193106699999999</v>
      </c>
      <c r="I7" s="14" t="s">
        <v>139</v>
      </c>
      <c r="J7" s="16" t="s">
        <v>139</v>
      </c>
      <c r="K7" s="14">
        <v>0</v>
      </c>
      <c r="L7" s="16">
        <v>0</v>
      </c>
      <c r="M7" s="14">
        <v>0</v>
      </c>
      <c r="N7" s="16">
        <v>0</v>
      </c>
      <c r="O7" s="14">
        <v>0</v>
      </c>
      <c r="P7" s="16">
        <v>0</v>
      </c>
      <c r="Q7" s="14">
        <v>0</v>
      </c>
      <c r="R7" s="16">
        <v>0</v>
      </c>
    </row>
    <row r="8" spans="1:18" x14ac:dyDescent="0.25">
      <c r="A8" s="11" t="s">
        <v>140</v>
      </c>
      <c r="B8" s="13">
        <v>7007</v>
      </c>
      <c r="C8" s="14">
        <f>(5875/B8*100)</f>
        <v>83.844726701869547</v>
      </c>
      <c r="D8" s="15">
        <v>1132</v>
      </c>
      <c r="E8" s="14">
        <v>54.852518240000002</v>
      </c>
      <c r="F8" s="16">
        <v>1.53237405</v>
      </c>
      <c r="G8" s="14">
        <v>45.147481759999998</v>
      </c>
      <c r="H8" s="16">
        <v>1.53237405</v>
      </c>
      <c r="I8" s="14" t="s">
        <v>139</v>
      </c>
      <c r="J8" s="16" t="s">
        <v>139</v>
      </c>
      <c r="K8" s="14">
        <v>0</v>
      </c>
      <c r="L8" s="16">
        <v>0</v>
      </c>
      <c r="M8" s="14">
        <v>0</v>
      </c>
      <c r="N8" s="16">
        <v>0</v>
      </c>
      <c r="O8" s="14">
        <v>0</v>
      </c>
      <c r="P8" s="16">
        <v>0</v>
      </c>
      <c r="Q8" s="14">
        <v>0</v>
      </c>
      <c r="R8" s="16">
        <v>0</v>
      </c>
    </row>
    <row r="9" spans="1:18" x14ac:dyDescent="0.25">
      <c r="A9" s="11" t="s">
        <v>141</v>
      </c>
      <c r="B9" s="13">
        <v>9651</v>
      </c>
      <c r="C9" s="14">
        <f>(8203/B9*100)</f>
        <v>84.996373432804901</v>
      </c>
      <c r="D9" s="15">
        <v>1448</v>
      </c>
      <c r="E9" s="14">
        <v>45.618904540000003</v>
      </c>
      <c r="F9" s="16">
        <v>1.15463899</v>
      </c>
      <c r="G9" s="14">
        <v>54.381095459999997</v>
      </c>
      <c r="H9" s="16">
        <v>1.15463899</v>
      </c>
      <c r="I9" s="14" t="s">
        <v>139</v>
      </c>
      <c r="J9" s="16" t="s">
        <v>139</v>
      </c>
      <c r="K9" s="14">
        <v>0</v>
      </c>
      <c r="L9" s="16">
        <v>0</v>
      </c>
      <c r="M9" s="14">
        <v>0</v>
      </c>
      <c r="N9" s="16">
        <v>0</v>
      </c>
      <c r="O9" s="14">
        <v>0</v>
      </c>
      <c r="P9" s="16">
        <v>0</v>
      </c>
      <c r="Q9" s="14">
        <v>0</v>
      </c>
      <c r="R9" s="16">
        <v>0</v>
      </c>
    </row>
    <row r="10" spans="1:18" x14ac:dyDescent="0.25">
      <c r="A10" s="11" t="s">
        <v>142</v>
      </c>
      <c r="B10" s="13">
        <v>20058</v>
      </c>
      <c r="C10" s="14">
        <f>(16721/B10*100)</f>
        <v>83.363246584903777</v>
      </c>
      <c r="D10" s="15">
        <v>3337</v>
      </c>
      <c r="E10" s="14">
        <v>38.20813158</v>
      </c>
      <c r="F10" s="16">
        <v>1.2162528100000001</v>
      </c>
      <c r="G10" s="14">
        <v>61.79186842</v>
      </c>
      <c r="H10" s="16">
        <v>1.2162528100000001</v>
      </c>
      <c r="I10" s="14" t="s">
        <v>139</v>
      </c>
      <c r="J10" s="16" t="s">
        <v>139</v>
      </c>
      <c r="K10" s="14">
        <v>0</v>
      </c>
      <c r="L10" s="16">
        <v>0</v>
      </c>
      <c r="M10" s="14">
        <v>0</v>
      </c>
      <c r="N10" s="16">
        <v>0</v>
      </c>
      <c r="O10" s="14">
        <v>0</v>
      </c>
      <c r="P10" s="16">
        <v>0</v>
      </c>
      <c r="Q10" s="14">
        <v>0</v>
      </c>
      <c r="R10" s="16">
        <v>0</v>
      </c>
    </row>
    <row r="11" spans="1:18" x14ac:dyDescent="0.25">
      <c r="A11" s="11" t="s">
        <v>143</v>
      </c>
      <c r="B11" s="13">
        <v>7053</v>
      </c>
      <c r="C11" s="14">
        <f>(5995/B11*100)</f>
        <v>84.999291081809162</v>
      </c>
      <c r="D11" s="15">
        <v>1058</v>
      </c>
      <c r="E11" s="14">
        <v>66.067146620000003</v>
      </c>
      <c r="F11" s="16">
        <v>1.8016384599999999</v>
      </c>
      <c r="G11" s="14">
        <v>33.932853379999997</v>
      </c>
      <c r="H11" s="16">
        <v>1.8016384599999999</v>
      </c>
      <c r="I11" s="14" t="s">
        <v>139</v>
      </c>
      <c r="J11" s="16" t="s">
        <v>139</v>
      </c>
      <c r="K11" s="14">
        <v>0</v>
      </c>
      <c r="L11" s="16">
        <v>0</v>
      </c>
      <c r="M11" s="14">
        <v>0</v>
      </c>
      <c r="N11" s="16">
        <v>0</v>
      </c>
      <c r="O11" s="14">
        <v>0</v>
      </c>
      <c r="P11" s="16">
        <v>0</v>
      </c>
      <c r="Q11" s="14">
        <v>0</v>
      </c>
      <c r="R11" s="16">
        <v>0</v>
      </c>
    </row>
    <row r="12" spans="1:18" x14ac:dyDescent="0.25">
      <c r="A12" s="11" t="s">
        <v>144</v>
      </c>
      <c r="B12" s="13">
        <v>6894</v>
      </c>
      <c r="C12" s="14">
        <f>(5821/B12*100)</f>
        <v>84.435741224252965</v>
      </c>
      <c r="D12" s="15">
        <v>1073</v>
      </c>
      <c r="E12" s="14">
        <v>51.958216030000003</v>
      </c>
      <c r="F12" s="16">
        <v>1.6629520600000001</v>
      </c>
      <c r="G12" s="14">
        <v>48.041783969999997</v>
      </c>
      <c r="H12" s="16">
        <v>1.6629520600000001</v>
      </c>
      <c r="I12" s="14" t="s">
        <v>139</v>
      </c>
      <c r="J12" s="16" t="s">
        <v>139</v>
      </c>
      <c r="K12" s="14">
        <v>0</v>
      </c>
      <c r="L12" s="16">
        <v>0</v>
      </c>
      <c r="M12" s="14">
        <v>0</v>
      </c>
      <c r="N12" s="16">
        <v>0</v>
      </c>
      <c r="O12" s="14">
        <v>0</v>
      </c>
      <c r="P12" s="16">
        <v>0</v>
      </c>
      <c r="Q12" s="14">
        <v>0</v>
      </c>
      <c r="R12" s="16">
        <v>0</v>
      </c>
    </row>
    <row r="13" spans="1:18" x14ac:dyDescent="0.25">
      <c r="A13" s="11" t="s">
        <v>145</v>
      </c>
      <c r="B13" s="13">
        <v>7161</v>
      </c>
      <c r="C13" s="14">
        <f>(6079/B13*100)</f>
        <v>84.890378438765538</v>
      </c>
      <c r="D13" s="15">
        <v>1082</v>
      </c>
      <c r="E13" s="14">
        <v>44.216357330000001</v>
      </c>
      <c r="F13" s="16">
        <v>1.78121241</v>
      </c>
      <c r="G13" s="14">
        <v>55.783642669999999</v>
      </c>
      <c r="H13" s="16">
        <v>1.78121241</v>
      </c>
      <c r="I13" s="14" t="s">
        <v>139</v>
      </c>
      <c r="J13" s="16" t="s">
        <v>139</v>
      </c>
      <c r="K13" s="14">
        <v>0</v>
      </c>
      <c r="L13" s="16">
        <v>0</v>
      </c>
      <c r="M13" s="14">
        <v>0</v>
      </c>
      <c r="N13" s="16">
        <v>0</v>
      </c>
      <c r="O13" s="14">
        <v>0</v>
      </c>
      <c r="P13" s="16">
        <v>0</v>
      </c>
      <c r="Q13" s="14">
        <v>0</v>
      </c>
      <c r="R13" s="16">
        <v>0</v>
      </c>
    </row>
    <row r="14" spans="1:18" x14ac:dyDescent="0.25">
      <c r="A14" s="11" t="s">
        <v>146</v>
      </c>
      <c r="B14" s="13">
        <v>5587</v>
      </c>
      <c r="C14" s="14">
        <f>(4678/B14*100)</f>
        <v>83.730087703597633</v>
      </c>
      <c r="D14" s="15">
        <v>909</v>
      </c>
      <c r="E14" s="14">
        <v>56.54587926</v>
      </c>
      <c r="F14" s="16">
        <v>1.7788497400000001</v>
      </c>
      <c r="G14" s="14">
        <v>43.45412074</v>
      </c>
      <c r="H14" s="16">
        <v>1.7788497400000001</v>
      </c>
      <c r="I14" s="14" t="s">
        <v>139</v>
      </c>
      <c r="J14" s="16" t="s">
        <v>139</v>
      </c>
      <c r="K14" s="14">
        <v>0</v>
      </c>
      <c r="L14" s="16">
        <v>0</v>
      </c>
      <c r="M14" s="14">
        <v>0</v>
      </c>
      <c r="N14" s="16">
        <v>0</v>
      </c>
      <c r="O14" s="14">
        <v>0</v>
      </c>
      <c r="P14" s="16">
        <v>0</v>
      </c>
      <c r="Q14" s="14">
        <v>0</v>
      </c>
      <c r="R14" s="16">
        <v>0</v>
      </c>
    </row>
    <row r="15" spans="1:18" x14ac:dyDescent="0.25">
      <c r="A15" s="11" t="s">
        <v>147</v>
      </c>
      <c r="B15" s="13">
        <v>5882</v>
      </c>
      <c r="C15" s="14">
        <f>(4957/B15*100)</f>
        <v>84.274056443386598</v>
      </c>
      <c r="D15" s="15">
        <v>925</v>
      </c>
      <c r="E15" s="14">
        <v>36.540822439999999</v>
      </c>
      <c r="F15" s="16">
        <v>1.6118045599999999</v>
      </c>
      <c r="G15" s="14">
        <v>63.459177560000001</v>
      </c>
      <c r="H15" s="16">
        <v>1.6118045599999999</v>
      </c>
      <c r="I15" s="14" t="s">
        <v>139</v>
      </c>
      <c r="J15" s="16" t="s">
        <v>139</v>
      </c>
      <c r="K15" s="14">
        <v>0</v>
      </c>
      <c r="L15" s="16">
        <v>0</v>
      </c>
      <c r="M15" s="14">
        <v>0</v>
      </c>
      <c r="N15" s="16">
        <v>0</v>
      </c>
      <c r="O15" s="14">
        <v>0</v>
      </c>
      <c r="P15" s="16">
        <v>0</v>
      </c>
      <c r="Q15" s="14">
        <v>0</v>
      </c>
      <c r="R15" s="16">
        <v>0</v>
      </c>
    </row>
    <row r="16" spans="1:18" x14ac:dyDescent="0.25">
      <c r="A16" s="11" t="s">
        <v>148</v>
      </c>
      <c r="B16" s="13">
        <v>6108</v>
      </c>
      <c r="C16" s="14">
        <f>(5144/B16*100)</f>
        <v>84.217419777341192</v>
      </c>
      <c r="D16" s="15">
        <v>964</v>
      </c>
      <c r="E16" s="14">
        <v>47.988930259999997</v>
      </c>
      <c r="F16" s="16">
        <v>1.84202753</v>
      </c>
      <c r="G16" s="14">
        <v>52.011069740000003</v>
      </c>
      <c r="H16" s="16">
        <v>1.84202753</v>
      </c>
      <c r="I16" s="14" t="s">
        <v>139</v>
      </c>
      <c r="J16" s="16" t="s">
        <v>139</v>
      </c>
      <c r="K16" s="14">
        <v>0</v>
      </c>
      <c r="L16" s="16">
        <v>0</v>
      </c>
      <c r="M16" s="14">
        <v>0</v>
      </c>
      <c r="N16" s="16">
        <v>0</v>
      </c>
      <c r="O16" s="14">
        <v>0</v>
      </c>
      <c r="P16" s="16">
        <v>0</v>
      </c>
      <c r="Q16" s="14">
        <v>0</v>
      </c>
      <c r="R16" s="16">
        <v>0</v>
      </c>
    </row>
    <row r="17" spans="1:18" x14ac:dyDescent="0.25">
      <c r="A17" s="11" t="s">
        <v>149</v>
      </c>
      <c r="B17" s="13">
        <v>6504</v>
      </c>
      <c r="C17" s="14">
        <f>(5504/B17*100)</f>
        <v>84.624846248462475</v>
      </c>
      <c r="D17" s="15">
        <v>1000</v>
      </c>
      <c r="E17" s="14">
        <v>43.437216399999997</v>
      </c>
      <c r="F17" s="16">
        <v>1.5154243700000001</v>
      </c>
      <c r="G17" s="14">
        <v>56.562783600000003</v>
      </c>
      <c r="H17" s="16">
        <v>1.5154243700000001</v>
      </c>
      <c r="I17" s="14" t="s">
        <v>139</v>
      </c>
      <c r="J17" s="16" t="s">
        <v>139</v>
      </c>
      <c r="K17" s="14">
        <v>0</v>
      </c>
      <c r="L17" s="16">
        <v>0</v>
      </c>
      <c r="M17" s="14">
        <v>0</v>
      </c>
      <c r="N17" s="16">
        <v>0</v>
      </c>
      <c r="O17" s="14">
        <v>0</v>
      </c>
      <c r="P17" s="16">
        <v>0</v>
      </c>
      <c r="Q17" s="14">
        <v>0</v>
      </c>
      <c r="R17" s="16">
        <v>0</v>
      </c>
    </row>
    <row r="18" spans="1:18" x14ac:dyDescent="0.25">
      <c r="A18" s="11" t="s">
        <v>150</v>
      </c>
      <c r="B18" s="13">
        <v>5532</v>
      </c>
      <c r="C18" s="14">
        <f>(4604/B18*100)</f>
        <v>83.224873463485167</v>
      </c>
      <c r="D18" s="15">
        <v>928</v>
      </c>
      <c r="E18" s="14">
        <v>69.176632920000003</v>
      </c>
      <c r="F18" s="16">
        <v>1.6164973899999999</v>
      </c>
      <c r="G18" s="14">
        <v>30.823367080000001</v>
      </c>
      <c r="H18" s="16">
        <v>1.6164973899999999</v>
      </c>
      <c r="I18" s="14" t="s">
        <v>139</v>
      </c>
      <c r="J18" s="16" t="s">
        <v>139</v>
      </c>
      <c r="K18" s="14">
        <v>0</v>
      </c>
      <c r="L18" s="16">
        <v>0</v>
      </c>
      <c r="M18" s="14">
        <v>0</v>
      </c>
      <c r="N18" s="16">
        <v>0</v>
      </c>
      <c r="O18" s="14">
        <v>0</v>
      </c>
      <c r="P18" s="16">
        <v>0</v>
      </c>
      <c r="Q18" s="14">
        <v>0</v>
      </c>
      <c r="R18" s="16">
        <v>0</v>
      </c>
    </row>
    <row r="19" spans="1:18" x14ac:dyDescent="0.25">
      <c r="A19" s="11" t="s">
        <v>151</v>
      </c>
      <c r="B19" s="13">
        <v>5658</v>
      </c>
      <c r="C19" s="14">
        <f>(4793/B19*100)</f>
        <v>84.711912336514672</v>
      </c>
      <c r="D19" s="15">
        <v>865</v>
      </c>
      <c r="E19" s="14">
        <v>63.418799509999999</v>
      </c>
      <c r="F19" s="16">
        <v>1.7712807800000001</v>
      </c>
      <c r="G19" s="14">
        <v>36.581200490000001</v>
      </c>
      <c r="H19" s="16">
        <v>1.7712807800000001</v>
      </c>
      <c r="I19" s="14" t="s">
        <v>139</v>
      </c>
      <c r="J19" s="16" t="s">
        <v>139</v>
      </c>
      <c r="K19" s="14">
        <v>0</v>
      </c>
      <c r="L19" s="16">
        <v>0</v>
      </c>
      <c r="M19" s="14">
        <v>0</v>
      </c>
      <c r="N19" s="16">
        <v>0</v>
      </c>
      <c r="O19" s="14">
        <v>0</v>
      </c>
      <c r="P19" s="16">
        <v>0</v>
      </c>
      <c r="Q19" s="14">
        <v>0</v>
      </c>
      <c r="R19" s="16">
        <v>0</v>
      </c>
    </row>
    <row r="20" spans="1:18" x14ac:dyDescent="0.25">
      <c r="A20" s="11" t="s">
        <v>152</v>
      </c>
      <c r="B20" s="13">
        <v>3371</v>
      </c>
      <c r="C20" s="14">
        <f>(2842/B20*100)</f>
        <v>84.307327202610509</v>
      </c>
      <c r="D20" s="15">
        <v>529</v>
      </c>
      <c r="E20" s="14">
        <v>54.745168159999999</v>
      </c>
      <c r="F20" s="16">
        <v>2.3074393799999999</v>
      </c>
      <c r="G20" s="14">
        <v>45.254831840000001</v>
      </c>
      <c r="H20" s="16">
        <v>2.3074393799999999</v>
      </c>
      <c r="I20" s="14" t="s">
        <v>139</v>
      </c>
      <c r="J20" s="16" t="s">
        <v>139</v>
      </c>
      <c r="K20" s="14">
        <v>0</v>
      </c>
      <c r="L20" s="16">
        <v>0</v>
      </c>
      <c r="M20" s="14">
        <v>0</v>
      </c>
      <c r="N20" s="16">
        <v>0</v>
      </c>
      <c r="O20" s="14">
        <v>0</v>
      </c>
      <c r="P20" s="16">
        <v>0</v>
      </c>
      <c r="Q20" s="14">
        <v>0</v>
      </c>
      <c r="R20" s="16">
        <v>0</v>
      </c>
    </row>
    <row r="21" spans="1:18" x14ac:dyDescent="0.25">
      <c r="A21" s="11" t="s">
        <v>153</v>
      </c>
      <c r="B21" s="17" t="s">
        <v>154</v>
      </c>
      <c r="C21" s="17" t="s">
        <v>154</v>
      </c>
      <c r="D21" s="18" t="s">
        <v>154</v>
      </c>
      <c r="E21" s="17" t="s">
        <v>154</v>
      </c>
      <c r="F21" s="18" t="s">
        <v>154</v>
      </c>
      <c r="G21" s="17" t="s">
        <v>154</v>
      </c>
      <c r="H21" s="18" t="s">
        <v>154</v>
      </c>
      <c r="I21" s="17" t="s">
        <v>154</v>
      </c>
      <c r="J21" s="18" t="s">
        <v>154</v>
      </c>
      <c r="K21" s="17" t="s">
        <v>154</v>
      </c>
      <c r="L21" s="18" t="s">
        <v>154</v>
      </c>
      <c r="M21" s="17" t="s">
        <v>154</v>
      </c>
      <c r="N21" s="18" t="s">
        <v>154</v>
      </c>
      <c r="O21" s="17" t="s">
        <v>154</v>
      </c>
      <c r="P21" s="18" t="s">
        <v>154</v>
      </c>
      <c r="Q21" s="17" t="s">
        <v>154</v>
      </c>
      <c r="R21" s="18" t="s">
        <v>154</v>
      </c>
    </row>
    <row r="22" spans="1:18" x14ac:dyDescent="0.25">
      <c r="A22" s="11" t="s">
        <v>155</v>
      </c>
      <c r="B22" s="13">
        <v>6598</v>
      </c>
      <c r="C22" s="14">
        <f>(5639/B22*100)</f>
        <v>85.465292512882698</v>
      </c>
      <c r="D22" s="15">
        <v>959</v>
      </c>
      <c r="E22" s="14">
        <v>64.53642619</v>
      </c>
      <c r="F22" s="16">
        <v>1.4657913300000001</v>
      </c>
      <c r="G22" s="14">
        <v>35.46357381</v>
      </c>
      <c r="H22" s="16">
        <v>1.4657913300000001</v>
      </c>
      <c r="I22" s="14" t="s">
        <v>139</v>
      </c>
      <c r="J22" s="16" t="s">
        <v>139</v>
      </c>
      <c r="K22" s="14">
        <v>0</v>
      </c>
      <c r="L22" s="16">
        <v>0</v>
      </c>
      <c r="M22" s="14">
        <v>0</v>
      </c>
      <c r="N22" s="16">
        <v>0</v>
      </c>
      <c r="O22" s="14">
        <v>0</v>
      </c>
      <c r="P22" s="16">
        <v>0</v>
      </c>
      <c r="Q22" s="14">
        <v>0</v>
      </c>
      <c r="R22" s="16">
        <v>0</v>
      </c>
    </row>
    <row r="23" spans="1:18" x14ac:dyDescent="0.25">
      <c r="A23" s="11" t="s">
        <v>156</v>
      </c>
      <c r="B23" s="13">
        <v>11583</v>
      </c>
      <c r="C23" s="14">
        <f>(9722/B23*100)</f>
        <v>83.933350600017263</v>
      </c>
      <c r="D23" s="15">
        <v>1861</v>
      </c>
      <c r="E23" s="14">
        <v>59.131732450000001</v>
      </c>
      <c r="F23" s="16">
        <v>1.51333541</v>
      </c>
      <c r="G23" s="14">
        <v>40.868267549999999</v>
      </c>
      <c r="H23" s="16">
        <v>1.51333541</v>
      </c>
      <c r="I23" s="14" t="s">
        <v>139</v>
      </c>
      <c r="J23" s="16" t="s">
        <v>139</v>
      </c>
      <c r="K23" s="14">
        <v>0</v>
      </c>
      <c r="L23" s="16">
        <v>0</v>
      </c>
      <c r="M23" s="14">
        <v>0</v>
      </c>
      <c r="N23" s="16">
        <v>0</v>
      </c>
      <c r="O23" s="14">
        <v>0</v>
      </c>
      <c r="P23" s="16">
        <v>0</v>
      </c>
      <c r="Q23" s="14">
        <v>0</v>
      </c>
      <c r="R23" s="16">
        <v>0</v>
      </c>
    </row>
    <row r="24" spans="1:18" x14ac:dyDescent="0.25">
      <c r="A24" s="11" t="s">
        <v>157</v>
      </c>
      <c r="B24" s="13">
        <v>6647</v>
      </c>
      <c r="C24" s="14">
        <f>(5539/B24*100)</f>
        <v>83.33082593651271</v>
      </c>
      <c r="D24" s="15">
        <v>1108</v>
      </c>
      <c r="E24" s="14">
        <v>21.870711050000001</v>
      </c>
      <c r="F24" s="16">
        <v>1.5301201799999999</v>
      </c>
      <c r="G24" s="14">
        <v>78.129288950000003</v>
      </c>
      <c r="H24" s="16">
        <v>1.5301201799999999</v>
      </c>
      <c r="I24" s="14" t="s">
        <v>139</v>
      </c>
      <c r="J24" s="16" t="s">
        <v>139</v>
      </c>
      <c r="K24" s="14">
        <v>0</v>
      </c>
      <c r="L24" s="16">
        <v>0</v>
      </c>
      <c r="M24" s="14">
        <v>0</v>
      </c>
      <c r="N24" s="16">
        <v>0</v>
      </c>
      <c r="O24" s="14">
        <v>0</v>
      </c>
      <c r="P24" s="16">
        <v>0</v>
      </c>
      <c r="Q24" s="14">
        <v>0</v>
      </c>
      <c r="R24" s="16">
        <v>0</v>
      </c>
    </row>
    <row r="25" spans="1:18" x14ac:dyDescent="0.25">
      <c r="A25" s="11" t="s">
        <v>158</v>
      </c>
      <c r="B25" s="13">
        <v>5581</v>
      </c>
      <c r="C25" s="14">
        <f>(4619/B25*100)</f>
        <v>82.762945708654371</v>
      </c>
      <c r="D25" s="15">
        <v>962</v>
      </c>
      <c r="E25" s="14">
        <v>34.74357578</v>
      </c>
      <c r="F25" s="16">
        <v>1.3805173900000001</v>
      </c>
      <c r="G25" s="14">
        <v>65.25642422</v>
      </c>
      <c r="H25" s="16">
        <v>1.3805173900000001</v>
      </c>
      <c r="I25" s="14" t="s">
        <v>139</v>
      </c>
      <c r="J25" s="16" t="s">
        <v>139</v>
      </c>
      <c r="K25" s="14">
        <v>0</v>
      </c>
      <c r="L25" s="16">
        <v>0</v>
      </c>
      <c r="M25" s="14">
        <v>0</v>
      </c>
      <c r="N25" s="16">
        <v>0</v>
      </c>
      <c r="O25" s="14">
        <v>0</v>
      </c>
      <c r="P25" s="16">
        <v>0</v>
      </c>
      <c r="Q25" s="14">
        <v>0</v>
      </c>
      <c r="R25" s="16">
        <v>0</v>
      </c>
    </row>
    <row r="26" spans="1:18" x14ac:dyDescent="0.25">
      <c r="A26" s="11" t="s">
        <v>159</v>
      </c>
      <c r="B26" s="13">
        <v>4869</v>
      </c>
      <c r="C26" s="14">
        <f>(4044/B26*100)</f>
        <v>83.056069008009857</v>
      </c>
      <c r="D26" s="15">
        <v>825</v>
      </c>
      <c r="E26" s="14">
        <v>58.34876877</v>
      </c>
      <c r="F26" s="16">
        <v>1.76556526</v>
      </c>
      <c r="G26" s="14">
        <v>41.65123123</v>
      </c>
      <c r="H26" s="16">
        <v>1.76556526</v>
      </c>
      <c r="I26" s="14" t="s">
        <v>139</v>
      </c>
      <c r="J26" s="16" t="s">
        <v>139</v>
      </c>
      <c r="K26" s="14">
        <v>0</v>
      </c>
      <c r="L26" s="16">
        <v>0</v>
      </c>
      <c r="M26" s="14">
        <v>0</v>
      </c>
      <c r="N26" s="16">
        <v>0</v>
      </c>
      <c r="O26" s="14">
        <v>0</v>
      </c>
      <c r="P26" s="16">
        <v>0</v>
      </c>
      <c r="Q26" s="14">
        <v>0</v>
      </c>
      <c r="R26" s="16">
        <v>0</v>
      </c>
    </row>
    <row r="27" spans="1:18" x14ac:dyDescent="0.25">
      <c r="A27" s="11" t="s">
        <v>160</v>
      </c>
      <c r="B27" s="13">
        <v>5299</v>
      </c>
      <c r="C27" s="14">
        <f>(4485/B27*100)</f>
        <v>84.638611058690316</v>
      </c>
      <c r="D27" s="15">
        <v>814</v>
      </c>
      <c r="E27" s="14">
        <v>51.356531840000002</v>
      </c>
      <c r="F27" s="16">
        <v>1.8422604</v>
      </c>
      <c r="G27" s="14">
        <v>48.643468159999998</v>
      </c>
      <c r="H27" s="16">
        <v>1.8422604</v>
      </c>
      <c r="I27" s="14" t="s">
        <v>139</v>
      </c>
      <c r="J27" s="16" t="s">
        <v>139</v>
      </c>
      <c r="K27" s="14">
        <v>0</v>
      </c>
      <c r="L27" s="16">
        <v>0</v>
      </c>
      <c r="M27" s="14">
        <v>0</v>
      </c>
      <c r="N27" s="16">
        <v>0</v>
      </c>
      <c r="O27" s="14">
        <v>0</v>
      </c>
      <c r="P27" s="16">
        <v>0</v>
      </c>
      <c r="Q27" s="14">
        <v>0</v>
      </c>
      <c r="R27" s="16">
        <v>0</v>
      </c>
    </row>
    <row r="28" spans="1:18" x14ac:dyDescent="0.25">
      <c r="A28" s="11" t="s">
        <v>161</v>
      </c>
      <c r="B28" s="13">
        <v>7568</v>
      </c>
      <c r="C28" s="14">
        <f>(6565/B28*100)</f>
        <v>86.746828752642699</v>
      </c>
      <c r="D28" s="15">
        <v>1003</v>
      </c>
      <c r="E28" s="14">
        <v>79.863562810000005</v>
      </c>
      <c r="F28" s="16">
        <v>1.5016840600000001</v>
      </c>
      <c r="G28" s="14">
        <v>20.136437189999999</v>
      </c>
      <c r="H28" s="16">
        <v>1.5016840600000001</v>
      </c>
      <c r="I28" s="14" t="s">
        <v>139</v>
      </c>
      <c r="J28" s="16" t="s">
        <v>139</v>
      </c>
      <c r="K28" s="14">
        <v>0</v>
      </c>
      <c r="L28" s="16">
        <v>0</v>
      </c>
      <c r="M28" s="14">
        <v>0</v>
      </c>
      <c r="N28" s="16">
        <v>0</v>
      </c>
      <c r="O28" s="14">
        <v>0</v>
      </c>
      <c r="P28" s="16">
        <v>0</v>
      </c>
      <c r="Q28" s="14">
        <v>0</v>
      </c>
      <c r="R28" s="16">
        <v>0</v>
      </c>
    </row>
    <row r="29" spans="1:18" x14ac:dyDescent="0.25">
      <c r="A29" s="11" t="s">
        <v>162</v>
      </c>
      <c r="B29" s="13">
        <v>5385</v>
      </c>
      <c r="C29" s="14">
        <f>(4470/B29*100)</f>
        <v>83.008356545961007</v>
      </c>
      <c r="D29" s="15">
        <v>915</v>
      </c>
      <c r="E29" s="14">
        <v>42.317120359999997</v>
      </c>
      <c r="F29" s="16">
        <v>1.8482666299999999</v>
      </c>
      <c r="G29" s="14">
        <v>57.682879640000003</v>
      </c>
      <c r="H29" s="16">
        <v>1.8482666299999999</v>
      </c>
      <c r="I29" s="14" t="s">
        <v>139</v>
      </c>
      <c r="J29" s="16" t="s">
        <v>139</v>
      </c>
      <c r="K29" s="14">
        <v>0</v>
      </c>
      <c r="L29" s="16">
        <v>0</v>
      </c>
      <c r="M29" s="14">
        <v>0</v>
      </c>
      <c r="N29" s="16">
        <v>0</v>
      </c>
      <c r="O29" s="14">
        <v>0</v>
      </c>
      <c r="P29" s="16">
        <v>0</v>
      </c>
      <c r="Q29" s="14">
        <v>0</v>
      </c>
      <c r="R29" s="16">
        <v>0</v>
      </c>
    </row>
    <row r="30" spans="1:18" x14ac:dyDescent="0.25">
      <c r="A30" s="11" t="s">
        <v>163</v>
      </c>
      <c r="B30" s="13">
        <v>4520</v>
      </c>
      <c r="C30" s="14">
        <f>(3802/B30*100)</f>
        <v>84.115044247787608</v>
      </c>
      <c r="D30" s="15">
        <v>718</v>
      </c>
      <c r="E30" s="14">
        <v>36.425740130000001</v>
      </c>
      <c r="F30" s="16">
        <v>2.0400279700000001</v>
      </c>
      <c r="G30" s="14">
        <v>63.574259869999999</v>
      </c>
      <c r="H30" s="16">
        <v>2.0400279700000001</v>
      </c>
      <c r="I30" s="14" t="s">
        <v>139</v>
      </c>
      <c r="J30" s="16" t="s">
        <v>139</v>
      </c>
      <c r="K30" s="14">
        <v>0</v>
      </c>
      <c r="L30" s="16">
        <v>0</v>
      </c>
      <c r="M30" s="14">
        <v>0</v>
      </c>
      <c r="N30" s="16">
        <v>0</v>
      </c>
      <c r="O30" s="14">
        <v>0</v>
      </c>
      <c r="P30" s="16">
        <v>0</v>
      </c>
      <c r="Q30" s="14">
        <v>0</v>
      </c>
      <c r="R30" s="16">
        <v>0</v>
      </c>
    </row>
    <row r="31" spans="1:18" x14ac:dyDescent="0.25">
      <c r="A31" s="11" t="s">
        <v>164</v>
      </c>
      <c r="B31" s="13">
        <v>5456</v>
      </c>
      <c r="C31" s="14">
        <f>(4603/B31*100)</f>
        <v>84.365835777126094</v>
      </c>
      <c r="D31" s="15">
        <v>853</v>
      </c>
      <c r="E31" s="14">
        <v>43.573052990000001</v>
      </c>
      <c r="F31" s="16">
        <v>1.6910319300000001</v>
      </c>
      <c r="G31" s="14">
        <v>56.426947009999999</v>
      </c>
      <c r="H31" s="16">
        <v>1.6910319300000001</v>
      </c>
      <c r="I31" s="14" t="s">
        <v>139</v>
      </c>
      <c r="J31" s="16" t="s">
        <v>139</v>
      </c>
      <c r="K31" s="14">
        <v>0</v>
      </c>
      <c r="L31" s="16">
        <v>0</v>
      </c>
      <c r="M31" s="14">
        <v>0</v>
      </c>
      <c r="N31" s="16">
        <v>0</v>
      </c>
      <c r="O31" s="14">
        <v>0</v>
      </c>
      <c r="P31" s="16">
        <v>0</v>
      </c>
      <c r="Q31" s="14">
        <v>0</v>
      </c>
      <c r="R31" s="16">
        <v>0</v>
      </c>
    </row>
    <row r="32" spans="1:18" x14ac:dyDescent="0.25">
      <c r="A32" s="11" t="s">
        <v>165</v>
      </c>
      <c r="B32" s="17" t="s">
        <v>154</v>
      </c>
      <c r="C32" s="17" t="s">
        <v>154</v>
      </c>
      <c r="D32" s="18" t="s">
        <v>154</v>
      </c>
      <c r="E32" s="17" t="s">
        <v>154</v>
      </c>
      <c r="F32" s="18" t="s">
        <v>154</v>
      </c>
      <c r="G32" s="17" t="s">
        <v>154</v>
      </c>
      <c r="H32" s="18" t="s">
        <v>154</v>
      </c>
      <c r="I32" s="17" t="s">
        <v>154</v>
      </c>
      <c r="J32" s="18" t="s">
        <v>154</v>
      </c>
      <c r="K32" s="17" t="s">
        <v>154</v>
      </c>
      <c r="L32" s="18" t="s">
        <v>154</v>
      </c>
      <c r="M32" s="17" t="s">
        <v>154</v>
      </c>
      <c r="N32" s="18" t="s">
        <v>154</v>
      </c>
      <c r="O32" s="17" t="s">
        <v>154</v>
      </c>
      <c r="P32" s="18" t="s">
        <v>154</v>
      </c>
      <c r="Q32" s="17" t="s">
        <v>154</v>
      </c>
      <c r="R32" s="18" t="s">
        <v>154</v>
      </c>
    </row>
    <row r="33" spans="1:18" x14ac:dyDescent="0.25">
      <c r="A33" s="11" t="s">
        <v>166</v>
      </c>
      <c r="B33" s="13">
        <v>7325</v>
      </c>
      <c r="C33" s="14">
        <f>(6254/B33*100)</f>
        <v>85.37883959044369</v>
      </c>
      <c r="D33" s="15">
        <v>1071</v>
      </c>
      <c r="E33" s="14">
        <v>60.637938060000003</v>
      </c>
      <c r="F33" s="16">
        <v>2.00256342</v>
      </c>
      <c r="G33" s="14">
        <v>39.362061939999997</v>
      </c>
      <c r="H33" s="16">
        <v>2.00256342</v>
      </c>
      <c r="I33" s="14" t="s">
        <v>139</v>
      </c>
      <c r="J33" s="16" t="s">
        <v>139</v>
      </c>
      <c r="K33" s="14">
        <v>0</v>
      </c>
      <c r="L33" s="16">
        <v>0</v>
      </c>
      <c r="M33" s="14">
        <v>0</v>
      </c>
      <c r="N33" s="16">
        <v>0</v>
      </c>
      <c r="O33" s="14">
        <v>0</v>
      </c>
      <c r="P33" s="16">
        <v>0</v>
      </c>
      <c r="Q33" s="14">
        <v>0</v>
      </c>
      <c r="R33" s="16">
        <v>0</v>
      </c>
    </row>
    <row r="34" spans="1:18" x14ac:dyDescent="0.25">
      <c r="A34" s="11" t="s">
        <v>167</v>
      </c>
      <c r="B34" s="13">
        <v>6350</v>
      </c>
      <c r="C34" s="14">
        <f>(5401/B34*100)</f>
        <v>85.055118110236222</v>
      </c>
      <c r="D34" s="15">
        <v>949</v>
      </c>
      <c r="E34" s="14">
        <v>56.633788619999997</v>
      </c>
      <c r="F34" s="16">
        <v>1.9985162599999999</v>
      </c>
      <c r="G34" s="14">
        <v>43.366211380000003</v>
      </c>
      <c r="H34" s="16">
        <v>1.9985162599999999</v>
      </c>
      <c r="I34" s="14" t="s">
        <v>139</v>
      </c>
      <c r="J34" s="16" t="s">
        <v>139</v>
      </c>
      <c r="K34" s="14">
        <v>0</v>
      </c>
      <c r="L34" s="16">
        <v>0</v>
      </c>
      <c r="M34" s="14">
        <v>0</v>
      </c>
      <c r="N34" s="16">
        <v>0</v>
      </c>
      <c r="O34" s="14">
        <v>0</v>
      </c>
      <c r="P34" s="16">
        <v>0</v>
      </c>
      <c r="Q34" s="14">
        <v>0</v>
      </c>
      <c r="R34" s="16">
        <v>0</v>
      </c>
    </row>
    <row r="35" spans="1:18" x14ac:dyDescent="0.25">
      <c r="A35" s="11" t="s">
        <v>168</v>
      </c>
      <c r="B35" s="13">
        <v>6406</v>
      </c>
      <c r="C35" s="14">
        <f>(5331/B35*100)</f>
        <v>83.218857321261325</v>
      </c>
      <c r="D35" s="15">
        <v>1075</v>
      </c>
      <c r="E35" s="14">
        <v>45.399735219999997</v>
      </c>
      <c r="F35" s="16">
        <v>1.90733241</v>
      </c>
      <c r="G35" s="14">
        <v>54.600264780000003</v>
      </c>
      <c r="H35" s="16">
        <v>1.90733241</v>
      </c>
      <c r="I35" s="14" t="s">
        <v>139</v>
      </c>
      <c r="J35" s="16" t="s">
        <v>139</v>
      </c>
      <c r="K35" s="14">
        <v>0</v>
      </c>
      <c r="L35" s="16">
        <v>0</v>
      </c>
      <c r="M35" s="14">
        <v>0</v>
      </c>
      <c r="N35" s="16">
        <v>0</v>
      </c>
      <c r="O35" s="14">
        <v>0</v>
      </c>
      <c r="P35" s="16">
        <v>0</v>
      </c>
      <c r="Q35" s="14">
        <v>0</v>
      </c>
      <c r="R35" s="16">
        <v>0</v>
      </c>
    </row>
    <row r="36" spans="1:18" x14ac:dyDescent="0.25">
      <c r="A36" s="11" t="s">
        <v>169</v>
      </c>
      <c r="B36" s="13">
        <v>6736</v>
      </c>
      <c r="C36" s="14">
        <f>(5718/B36*100)</f>
        <v>84.887173396674584</v>
      </c>
      <c r="D36" s="15">
        <v>1018</v>
      </c>
      <c r="E36" s="14">
        <v>51.270491679999999</v>
      </c>
      <c r="F36" s="16">
        <v>1.4078970099999999</v>
      </c>
      <c r="G36" s="14">
        <v>48.729508320000001</v>
      </c>
      <c r="H36" s="16">
        <v>1.4078970099999999</v>
      </c>
      <c r="I36" s="14" t="s">
        <v>139</v>
      </c>
      <c r="J36" s="16" t="s">
        <v>139</v>
      </c>
      <c r="K36" s="14">
        <v>0</v>
      </c>
      <c r="L36" s="16">
        <v>0</v>
      </c>
      <c r="M36" s="14">
        <v>0</v>
      </c>
      <c r="N36" s="16">
        <v>0</v>
      </c>
      <c r="O36" s="14">
        <v>0</v>
      </c>
      <c r="P36" s="16">
        <v>0</v>
      </c>
      <c r="Q36" s="14">
        <v>0</v>
      </c>
      <c r="R36" s="16">
        <v>0</v>
      </c>
    </row>
    <row r="37" spans="1:18" x14ac:dyDescent="0.25">
      <c r="A37" s="11" t="s">
        <v>170</v>
      </c>
      <c r="B37" s="13">
        <v>5458</v>
      </c>
      <c r="C37" s="14">
        <f>(4647/B37*100)</f>
        <v>85.141077317698787</v>
      </c>
      <c r="D37" s="15">
        <v>811</v>
      </c>
      <c r="E37" s="14">
        <v>44.974621929999998</v>
      </c>
      <c r="F37" s="16">
        <v>1.93929876</v>
      </c>
      <c r="G37" s="14">
        <v>55.025378070000002</v>
      </c>
      <c r="H37" s="16">
        <v>1.93929876</v>
      </c>
      <c r="I37" s="14" t="s">
        <v>139</v>
      </c>
      <c r="J37" s="16" t="s">
        <v>139</v>
      </c>
      <c r="K37" s="14">
        <v>0</v>
      </c>
      <c r="L37" s="16">
        <v>0</v>
      </c>
      <c r="M37" s="14">
        <v>0</v>
      </c>
      <c r="N37" s="16">
        <v>0</v>
      </c>
      <c r="O37" s="14">
        <v>0</v>
      </c>
      <c r="P37" s="16">
        <v>0</v>
      </c>
      <c r="Q37" s="14">
        <v>0</v>
      </c>
      <c r="R37" s="16">
        <v>0</v>
      </c>
    </row>
    <row r="38" spans="1:18" x14ac:dyDescent="0.25">
      <c r="A38" s="11" t="s">
        <v>171</v>
      </c>
      <c r="B38" s="17" t="s">
        <v>154</v>
      </c>
      <c r="C38" s="17" t="s">
        <v>154</v>
      </c>
      <c r="D38" s="18" t="s">
        <v>154</v>
      </c>
      <c r="E38" s="17" t="s">
        <v>154</v>
      </c>
      <c r="F38" s="18" t="s">
        <v>154</v>
      </c>
      <c r="G38" s="17" t="s">
        <v>154</v>
      </c>
      <c r="H38" s="18" t="s">
        <v>154</v>
      </c>
      <c r="I38" s="17" t="s">
        <v>154</v>
      </c>
      <c r="J38" s="18" t="s">
        <v>154</v>
      </c>
      <c r="K38" s="17" t="s">
        <v>154</v>
      </c>
      <c r="L38" s="18" t="s">
        <v>154</v>
      </c>
      <c r="M38" s="17" t="s">
        <v>154</v>
      </c>
      <c r="N38" s="18" t="s">
        <v>154</v>
      </c>
      <c r="O38" s="17" t="s">
        <v>154</v>
      </c>
      <c r="P38" s="18" t="s">
        <v>154</v>
      </c>
      <c r="Q38" s="17" t="s">
        <v>154</v>
      </c>
      <c r="R38" s="18" t="s">
        <v>154</v>
      </c>
    </row>
    <row r="39" spans="1:18" x14ac:dyDescent="0.25">
      <c r="A39" s="11" t="s">
        <v>172</v>
      </c>
      <c r="B39" s="13">
        <v>5895</v>
      </c>
      <c r="C39" s="14">
        <f>(4878/B39*100)</f>
        <v>82.748091603053425</v>
      </c>
      <c r="D39" s="15">
        <v>1017</v>
      </c>
      <c r="E39" s="14">
        <v>71.198980390000003</v>
      </c>
      <c r="F39" s="16">
        <v>1.7676237800000001</v>
      </c>
      <c r="G39" s="14">
        <v>28.801019610000001</v>
      </c>
      <c r="H39" s="16">
        <v>1.7676237800000001</v>
      </c>
      <c r="I39" s="14" t="s">
        <v>139</v>
      </c>
      <c r="J39" s="16" t="s">
        <v>139</v>
      </c>
      <c r="K39" s="14">
        <v>0</v>
      </c>
      <c r="L39" s="16">
        <v>0</v>
      </c>
      <c r="M39" s="14">
        <v>0</v>
      </c>
      <c r="N39" s="16">
        <v>0</v>
      </c>
      <c r="O39" s="14">
        <v>0</v>
      </c>
      <c r="P39" s="16">
        <v>0</v>
      </c>
      <c r="Q39" s="14">
        <v>0</v>
      </c>
      <c r="R39" s="16">
        <v>0</v>
      </c>
    </row>
    <row r="40" spans="1:18" x14ac:dyDescent="0.25">
      <c r="A40" s="11" t="s">
        <v>173</v>
      </c>
      <c r="B40" s="13">
        <v>14157</v>
      </c>
      <c r="C40" s="14">
        <f>(11712/B40*100)</f>
        <v>82.729391820300918</v>
      </c>
      <c r="D40" s="15">
        <v>2445</v>
      </c>
      <c r="E40" s="14">
        <v>42.78768565</v>
      </c>
      <c r="F40" s="16">
        <v>1.6923915</v>
      </c>
      <c r="G40" s="14">
        <v>57.21231435</v>
      </c>
      <c r="H40" s="16">
        <v>1.6923915</v>
      </c>
      <c r="I40" s="14" t="s">
        <v>139</v>
      </c>
      <c r="J40" s="16" t="s">
        <v>139</v>
      </c>
      <c r="K40" s="14">
        <v>0</v>
      </c>
      <c r="L40" s="16">
        <v>0</v>
      </c>
      <c r="M40" s="14">
        <v>0</v>
      </c>
      <c r="N40" s="16">
        <v>0</v>
      </c>
      <c r="O40" s="14">
        <v>0</v>
      </c>
      <c r="P40" s="16">
        <v>0</v>
      </c>
      <c r="Q40" s="14">
        <v>0</v>
      </c>
      <c r="R40" s="16">
        <v>0</v>
      </c>
    </row>
    <row r="41" spans="1:18" x14ac:dyDescent="0.25">
      <c r="A41" s="11" t="s">
        <v>174</v>
      </c>
      <c r="B41" s="13">
        <v>5712</v>
      </c>
      <c r="C41" s="14">
        <f>(4835/B41*100)</f>
        <v>84.646358543417364</v>
      </c>
      <c r="D41" s="15">
        <v>877</v>
      </c>
      <c r="E41" s="14">
        <v>43.733317339999999</v>
      </c>
      <c r="F41" s="16">
        <v>1.8074956099999999</v>
      </c>
      <c r="G41" s="14">
        <v>56.266682660000001</v>
      </c>
      <c r="H41" s="16">
        <v>1.8074956099999999</v>
      </c>
      <c r="I41" s="14" t="s">
        <v>139</v>
      </c>
      <c r="J41" s="16" t="s">
        <v>139</v>
      </c>
      <c r="K41" s="14">
        <v>0</v>
      </c>
      <c r="L41" s="16">
        <v>0</v>
      </c>
      <c r="M41" s="14">
        <v>0</v>
      </c>
      <c r="N41" s="16">
        <v>0</v>
      </c>
      <c r="O41" s="14">
        <v>0</v>
      </c>
      <c r="P41" s="16">
        <v>0</v>
      </c>
      <c r="Q41" s="14">
        <v>0</v>
      </c>
      <c r="R41" s="16">
        <v>0</v>
      </c>
    </row>
    <row r="42" spans="1:18" x14ac:dyDescent="0.25">
      <c r="A42" s="11" t="s">
        <v>175</v>
      </c>
      <c r="B42" s="13">
        <f>IF(COUNT(B7:B41) &gt; 0, AVERAGE(B7:B41), "\u2014")</f>
        <v>7266.90625</v>
      </c>
      <c r="C42" s="14">
        <f>IF(COUNT(C7:C41) &gt; 0, AVERAGE(C7:C41), "—")</f>
        <v>84.230313367981722</v>
      </c>
      <c r="D42" s="15">
        <f>IF(COUNT(D7:D41) &gt; 0, AVERAGE(D7:D41), "—")</f>
        <v>1149.375</v>
      </c>
      <c r="E42" s="14">
        <f>IF(COUNT(E7:E41) &gt; 0, AVERAGE(E7:E41), "—")</f>
        <v>50.621020405937493</v>
      </c>
      <c r="F42" s="16">
        <f>IF(COUNT(F7:F41) &gt; 0, SQRT(SUMSQ(F7:F41)/(COUNT(F7:F41)*COUNT(F7:F41)) ), "—")</f>
        <v>0.30159447907411269</v>
      </c>
      <c r="G42" s="14">
        <f>IF(COUNT(G7:G41) &gt; 0, AVERAGE(G7:G41), "—")</f>
        <v>49.378979594062507</v>
      </c>
      <c r="H42" s="16">
        <f>IF(COUNT(H7:H41) &gt; 0, SQRT(SUMSQ(H7:H41)/(COUNT(H7:H41)*COUNT(H7:H41)) ), "—")</f>
        <v>0.30159447907411269</v>
      </c>
      <c r="I42" s="14" t="str">
        <f>IF(COUNT(I7:I41) &gt; 0, AVERAGE(I7:I41), "—")</f>
        <v>—</v>
      </c>
      <c r="J42" s="16" t="str">
        <f>IF(COUNT(J7:J41) &gt; 0, SQRT(SUMSQ(J7:J41)/(COUNT(J7:J41)*COUNT(J7:J41)) ), "—")</f>
        <v>—</v>
      </c>
      <c r="K42" s="14">
        <f>IF(COUNT(K7:K41) &gt; 0, AVERAGE(K7:K41), "—")</f>
        <v>0</v>
      </c>
      <c r="L42" s="16">
        <f>IF(COUNT(L7:L41) &gt; 0, SQRT(SUMSQ(L7:L41)/(COUNT(L7:L41)*COUNT(L7:L41)) ), "—")</f>
        <v>0</v>
      </c>
      <c r="M42" s="14">
        <f>IF(COUNT(M7:M41) &gt; 0, AVERAGE(M7:M41), "—")</f>
        <v>0</v>
      </c>
      <c r="N42" s="16">
        <f>IF(COUNT(N7:N41) &gt; 0, SQRT(SUMSQ(N7:N41)/(COUNT(N7:N41)*COUNT(N7:N41)) ), "—")</f>
        <v>0</v>
      </c>
      <c r="O42" s="14">
        <f>IF(COUNT(O7:O41) &gt; 0, AVERAGE(O7:O41), "—")</f>
        <v>0</v>
      </c>
      <c r="P42" s="16">
        <f>IF(COUNT(P7:P41) &gt; 0, SQRT(SUMSQ(P7:P41)/(COUNT(P7:P41)*COUNT(P7:P41)) ), "—")</f>
        <v>0</v>
      </c>
      <c r="Q42" s="14">
        <f>IF(COUNT(Q7:Q41) &gt; 0, AVERAGE(Q7:Q41), "—")</f>
        <v>0</v>
      </c>
      <c r="R42" s="16">
        <f>IF(COUNT(R7:R41) &gt; 0, SQRT(SUMSQ(R7:R41)/(COUNT(R7:R41)*COUNT(R7:R41)) ), "—")</f>
        <v>0</v>
      </c>
    </row>
    <row r="43" spans="1:18" x14ac:dyDescent="0.25">
      <c r="A43" s="9" t="s">
        <v>176</v>
      </c>
      <c r="B43" s="10"/>
      <c r="C43" s="10"/>
      <c r="D43" s="11"/>
      <c r="E43" s="10"/>
      <c r="F43" s="11"/>
      <c r="G43" s="10"/>
      <c r="H43" s="11"/>
      <c r="I43" s="10"/>
      <c r="J43" s="11"/>
      <c r="K43" s="10"/>
      <c r="L43" s="11"/>
      <c r="M43" s="10"/>
      <c r="N43" s="11"/>
      <c r="O43" s="10"/>
      <c r="P43" s="11"/>
      <c r="Q43" s="10"/>
      <c r="R43" s="12"/>
    </row>
    <row r="44" spans="1:18" x14ac:dyDescent="0.25">
      <c r="A44" s="11" t="s">
        <v>177</v>
      </c>
      <c r="B44" s="17" t="s">
        <v>154</v>
      </c>
      <c r="C44" s="17" t="s">
        <v>154</v>
      </c>
      <c r="D44" s="18" t="s">
        <v>154</v>
      </c>
      <c r="E44" s="17" t="s">
        <v>154</v>
      </c>
      <c r="F44" s="18" t="s">
        <v>154</v>
      </c>
      <c r="G44" s="17" t="s">
        <v>154</v>
      </c>
      <c r="H44" s="18" t="s">
        <v>154</v>
      </c>
      <c r="I44" s="17" t="s">
        <v>154</v>
      </c>
      <c r="J44" s="18" t="s">
        <v>154</v>
      </c>
      <c r="K44" s="17" t="s">
        <v>154</v>
      </c>
      <c r="L44" s="18" t="s">
        <v>154</v>
      </c>
      <c r="M44" s="17" t="s">
        <v>154</v>
      </c>
      <c r="N44" s="18" t="s">
        <v>154</v>
      </c>
      <c r="O44" s="17" t="s">
        <v>154</v>
      </c>
      <c r="P44" s="18" t="s">
        <v>154</v>
      </c>
      <c r="Q44" s="17" t="s">
        <v>154</v>
      </c>
      <c r="R44" s="18" t="s">
        <v>154</v>
      </c>
    </row>
    <row r="45" spans="1:18" x14ac:dyDescent="0.25">
      <c r="A45" s="11" t="s">
        <v>178</v>
      </c>
      <c r="B45" s="17" t="s">
        <v>154</v>
      </c>
      <c r="C45" s="17" t="s">
        <v>154</v>
      </c>
      <c r="D45" s="18" t="s">
        <v>154</v>
      </c>
      <c r="E45" s="17" t="s">
        <v>154</v>
      </c>
      <c r="F45" s="18" t="s">
        <v>154</v>
      </c>
      <c r="G45" s="17" t="s">
        <v>154</v>
      </c>
      <c r="H45" s="18" t="s">
        <v>154</v>
      </c>
      <c r="I45" s="17" t="s">
        <v>154</v>
      </c>
      <c r="J45" s="18" t="s">
        <v>154</v>
      </c>
      <c r="K45" s="17" t="s">
        <v>154</v>
      </c>
      <c r="L45" s="18" t="s">
        <v>154</v>
      </c>
      <c r="M45" s="17" t="s">
        <v>154</v>
      </c>
      <c r="N45" s="18" t="s">
        <v>154</v>
      </c>
      <c r="O45" s="17" t="s">
        <v>154</v>
      </c>
      <c r="P45" s="18" t="s">
        <v>154</v>
      </c>
      <c r="Q45" s="17" t="s">
        <v>154</v>
      </c>
      <c r="R45" s="18" t="s">
        <v>154</v>
      </c>
    </row>
    <row r="46" spans="1:18" x14ac:dyDescent="0.25">
      <c r="A46" s="11" t="s">
        <v>179</v>
      </c>
      <c r="B46" s="13">
        <v>23141</v>
      </c>
      <c r="C46" s="14">
        <f>(20786/B46*100)</f>
        <v>89.823257421891881</v>
      </c>
      <c r="D46" s="15">
        <v>2355</v>
      </c>
      <c r="E46" s="14">
        <v>73.271768820000005</v>
      </c>
      <c r="F46" s="16">
        <v>1.2862392499999999</v>
      </c>
      <c r="G46" s="14">
        <v>26.728231180000002</v>
      </c>
      <c r="H46" s="16">
        <v>1.2862392499999999</v>
      </c>
      <c r="I46" s="14" t="s">
        <v>139</v>
      </c>
      <c r="J46" s="16" t="s">
        <v>139</v>
      </c>
      <c r="K46" s="14">
        <v>0</v>
      </c>
      <c r="L46" s="16">
        <v>0</v>
      </c>
      <c r="M46" s="14">
        <v>0</v>
      </c>
      <c r="N46" s="16">
        <v>0</v>
      </c>
      <c r="O46" s="14">
        <v>0</v>
      </c>
      <c r="P46" s="16">
        <v>0</v>
      </c>
      <c r="Q46" s="14">
        <v>0</v>
      </c>
      <c r="R46" s="16">
        <v>0</v>
      </c>
    </row>
    <row r="47" spans="1:18" x14ac:dyDescent="0.25">
      <c r="A47" s="11" t="s">
        <v>180</v>
      </c>
      <c r="B47" s="13">
        <v>5928</v>
      </c>
      <c r="C47" s="14">
        <f>(5048/B47*100)</f>
        <v>85.155195681511472</v>
      </c>
      <c r="D47" s="15">
        <v>880</v>
      </c>
      <c r="E47" s="14">
        <v>62.645048090000003</v>
      </c>
      <c r="F47" s="16">
        <v>1.8273941</v>
      </c>
      <c r="G47" s="14">
        <v>37.354951909999997</v>
      </c>
      <c r="H47" s="16">
        <v>1.8273941</v>
      </c>
      <c r="I47" s="14" t="s">
        <v>139</v>
      </c>
      <c r="J47" s="16" t="s">
        <v>139</v>
      </c>
      <c r="K47" s="14">
        <v>0</v>
      </c>
      <c r="L47" s="16">
        <v>0</v>
      </c>
      <c r="M47" s="14">
        <v>0</v>
      </c>
      <c r="N47" s="16">
        <v>0</v>
      </c>
      <c r="O47" s="14">
        <v>0</v>
      </c>
      <c r="P47" s="16">
        <v>0</v>
      </c>
      <c r="Q47" s="14">
        <v>0</v>
      </c>
      <c r="R47" s="16">
        <v>0</v>
      </c>
    </row>
    <row r="48" spans="1:18" x14ac:dyDescent="0.25">
      <c r="A48" s="11" t="s">
        <v>181</v>
      </c>
      <c r="B48" s="13">
        <v>9841</v>
      </c>
      <c r="C48" s="14">
        <f>(8186/B48*100)</f>
        <v>83.18260339396403</v>
      </c>
      <c r="D48" s="15">
        <v>1655</v>
      </c>
      <c r="E48" s="14">
        <v>47.590819410000002</v>
      </c>
      <c r="F48" s="16">
        <v>1.90880673</v>
      </c>
      <c r="G48" s="14">
        <v>52.409180589999998</v>
      </c>
      <c r="H48" s="16">
        <v>1.90880673</v>
      </c>
      <c r="I48" s="14" t="s">
        <v>139</v>
      </c>
      <c r="J48" s="16" t="s">
        <v>139</v>
      </c>
      <c r="K48" s="14">
        <v>0</v>
      </c>
      <c r="L48" s="16">
        <v>0</v>
      </c>
      <c r="M48" s="14">
        <v>0</v>
      </c>
      <c r="N48" s="16">
        <v>0</v>
      </c>
      <c r="O48" s="14">
        <v>0</v>
      </c>
      <c r="P48" s="16">
        <v>0</v>
      </c>
      <c r="Q48" s="14">
        <v>0</v>
      </c>
      <c r="R48" s="16">
        <v>0</v>
      </c>
    </row>
    <row r="49" spans="1:18" x14ac:dyDescent="0.25">
      <c r="A49" s="11" t="s">
        <v>182</v>
      </c>
      <c r="B49" s="17" t="s">
        <v>154</v>
      </c>
      <c r="C49" s="17" t="s">
        <v>154</v>
      </c>
      <c r="D49" s="18" t="s">
        <v>154</v>
      </c>
      <c r="E49" s="17" t="s">
        <v>154</v>
      </c>
      <c r="F49" s="18" t="s">
        <v>154</v>
      </c>
      <c r="G49" s="17" t="s">
        <v>154</v>
      </c>
      <c r="H49" s="18" t="s">
        <v>154</v>
      </c>
      <c r="I49" s="17" t="s">
        <v>154</v>
      </c>
      <c r="J49" s="18" t="s">
        <v>154</v>
      </c>
      <c r="K49" s="17" t="s">
        <v>154</v>
      </c>
      <c r="L49" s="18" t="s">
        <v>154</v>
      </c>
      <c r="M49" s="17" t="s">
        <v>154</v>
      </c>
      <c r="N49" s="18" t="s">
        <v>154</v>
      </c>
      <c r="O49" s="17" t="s">
        <v>154</v>
      </c>
      <c r="P49" s="18" t="s">
        <v>154</v>
      </c>
      <c r="Q49" s="17" t="s">
        <v>154</v>
      </c>
      <c r="R49" s="18" t="s">
        <v>154</v>
      </c>
    </row>
    <row r="50" spans="1:18" x14ac:dyDescent="0.25">
      <c r="A50" s="11" t="s">
        <v>183</v>
      </c>
      <c r="B50" s="13">
        <v>11795</v>
      </c>
      <c r="C50" s="14">
        <f>(10063/B50*100)</f>
        <v>85.315811784654514</v>
      </c>
      <c r="D50" s="15">
        <v>1732</v>
      </c>
      <c r="E50" s="14">
        <v>75.455790030000003</v>
      </c>
      <c r="F50" s="16">
        <v>1.4084207799999999</v>
      </c>
      <c r="G50" s="14">
        <v>24.544209970000001</v>
      </c>
      <c r="H50" s="16">
        <v>1.4084207799999999</v>
      </c>
      <c r="I50" s="14" t="s">
        <v>139</v>
      </c>
      <c r="J50" s="16" t="s">
        <v>139</v>
      </c>
      <c r="K50" s="14">
        <v>0</v>
      </c>
      <c r="L50" s="16">
        <v>0</v>
      </c>
      <c r="M50" s="14">
        <v>0</v>
      </c>
      <c r="N50" s="16">
        <v>0</v>
      </c>
      <c r="O50" s="14">
        <v>0</v>
      </c>
      <c r="P50" s="16">
        <v>0</v>
      </c>
      <c r="Q50" s="14">
        <v>0</v>
      </c>
      <c r="R50" s="16">
        <v>0</v>
      </c>
    </row>
    <row r="51" spans="1:18" x14ac:dyDescent="0.25">
      <c r="A51" s="11" t="s">
        <v>184</v>
      </c>
      <c r="B51" s="13">
        <v>6866</v>
      </c>
      <c r="C51" s="14">
        <f>(6010/B51*100)</f>
        <v>87.532770171861344</v>
      </c>
      <c r="D51" s="15">
        <v>856</v>
      </c>
      <c r="E51" s="14">
        <v>72.710332550000004</v>
      </c>
      <c r="F51" s="16">
        <v>1.7257393000000001</v>
      </c>
      <c r="G51" s="14">
        <v>27.28966745</v>
      </c>
      <c r="H51" s="16">
        <v>1.7257393000000001</v>
      </c>
      <c r="I51" s="14" t="s">
        <v>139</v>
      </c>
      <c r="J51" s="16" t="s">
        <v>139</v>
      </c>
      <c r="K51" s="14">
        <v>0</v>
      </c>
      <c r="L51" s="16">
        <v>0</v>
      </c>
      <c r="M51" s="14">
        <v>0</v>
      </c>
      <c r="N51" s="16">
        <v>0</v>
      </c>
      <c r="O51" s="14">
        <v>0</v>
      </c>
      <c r="P51" s="16">
        <v>0</v>
      </c>
      <c r="Q51" s="14">
        <v>0</v>
      </c>
      <c r="R51" s="16">
        <v>0</v>
      </c>
    </row>
    <row r="52" spans="1:18" x14ac:dyDescent="0.25">
      <c r="A52" s="11" t="s">
        <v>185</v>
      </c>
      <c r="B52" s="13">
        <v>5809</v>
      </c>
      <c r="C52" s="14">
        <f>(4849/B52*100)</f>
        <v>83.473919779652263</v>
      </c>
      <c r="D52" s="15">
        <v>960</v>
      </c>
      <c r="E52" s="14">
        <v>61.804510800000003</v>
      </c>
      <c r="F52" s="16">
        <v>1.6238770499999999</v>
      </c>
      <c r="G52" s="14">
        <v>38.195489199999997</v>
      </c>
      <c r="H52" s="16">
        <v>1.6238770499999999</v>
      </c>
      <c r="I52" s="14" t="s">
        <v>139</v>
      </c>
      <c r="J52" s="16" t="s">
        <v>139</v>
      </c>
      <c r="K52" s="14">
        <v>0</v>
      </c>
      <c r="L52" s="16">
        <v>0</v>
      </c>
      <c r="M52" s="14">
        <v>0</v>
      </c>
      <c r="N52" s="16">
        <v>0</v>
      </c>
      <c r="O52" s="14">
        <v>0</v>
      </c>
      <c r="P52" s="16">
        <v>0</v>
      </c>
      <c r="Q52" s="14">
        <v>0</v>
      </c>
      <c r="R52" s="16">
        <v>0</v>
      </c>
    </row>
    <row r="53" spans="1:18" x14ac:dyDescent="0.25">
      <c r="A53" s="11" t="s">
        <v>186</v>
      </c>
      <c r="B53" s="13">
        <v>5571</v>
      </c>
      <c r="C53" s="14">
        <f>(4676/B53*100)</f>
        <v>83.934661640639021</v>
      </c>
      <c r="D53" s="15">
        <v>895</v>
      </c>
      <c r="E53" s="14">
        <v>64.370293500000002</v>
      </c>
      <c r="F53" s="16">
        <v>1.6486199100000001</v>
      </c>
      <c r="G53" s="14">
        <v>35.629706499999998</v>
      </c>
      <c r="H53" s="16">
        <v>1.6486199100000001</v>
      </c>
      <c r="I53" s="14" t="s">
        <v>139</v>
      </c>
      <c r="J53" s="16" t="s">
        <v>139</v>
      </c>
      <c r="K53" s="14">
        <v>0</v>
      </c>
      <c r="L53" s="16">
        <v>0</v>
      </c>
      <c r="M53" s="14">
        <v>0</v>
      </c>
      <c r="N53" s="16">
        <v>0</v>
      </c>
      <c r="O53" s="14">
        <v>0</v>
      </c>
      <c r="P53" s="16">
        <v>0</v>
      </c>
      <c r="Q53" s="14">
        <v>0</v>
      </c>
      <c r="R53" s="16">
        <v>0</v>
      </c>
    </row>
    <row r="54" spans="1:18" x14ac:dyDescent="0.25">
      <c r="A54" s="11" t="s">
        <v>187</v>
      </c>
      <c r="B54" s="17" t="s">
        <v>154</v>
      </c>
      <c r="C54" s="17" t="s">
        <v>154</v>
      </c>
      <c r="D54" s="18" t="s">
        <v>154</v>
      </c>
      <c r="E54" s="17" t="s">
        <v>154</v>
      </c>
      <c r="F54" s="18" t="s">
        <v>154</v>
      </c>
      <c r="G54" s="17" t="s">
        <v>154</v>
      </c>
      <c r="H54" s="18" t="s">
        <v>154</v>
      </c>
      <c r="I54" s="17" t="s">
        <v>154</v>
      </c>
      <c r="J54" s="18" t="s">
        <v>154</v>
      </c>
      <c r="K54" s="17" t="s">
        <v>154</v>
      </c>
      <c r="L54" s="18" t="s">
        <v>154</v>
      </c>
      <c r="M54" s="17" t="s">
        <v>154</v>
      </c>
      <c r="N54" s="18" t="s">
        <v>154</v>
      </c>
      <c r="O54" s="17" t="s">
        <v>154</v>
      </c>
      <c r="P54" s="18" t="s">
        <v>154</v>
      </c>
      <c r="Q54" s="17" t="s">
        <v>154</v>
      </c>
      <c r="R54" s="18" t="s">
        <v>154</v>
      </c>
    </row>
    <row r="55" spans="1:18" x14ac:dyDescent="0.25">
      <c r="A55" s="11" t="s">
        <v>188</v>
      </c>
      <c r="B55" s="17" t="s">
        <v>154</v>
      </c>
      <c r="C55" s="17" t="s">
        <v>154</v>
      </c>
      <c r="D55" s="18" t="s">
        <v>154</v>
      </c>
      <c r="E55" s="17" t="s">
        <v>154</v>
      </c>
      <c r="F55" s="18" t="s">
        <v>154</v>
      </c>
      <c r="G55" s="17" t="s">
        <v>154</v>
      </c>
      <c r="H55" s="18" t="s">
        <v>154</v>
      </c>
      <c r="I55" s="17" t="s">
        <v>154</v>
      </c>
      <c r="J55" s="18" t="s">
        <v>154</v>
      </c>
      <c r="K55" s="17" t="s">
        <v>154</v>
      </c>
      <c r="L55" s="18" t="s">
        <v>154</v>
      </c>
      <c r="M55" s="17" t="s">
        <v>154</v>
      </c>
      <c r="N55" s="18" t="s">
        <v>154</v>
      </c>
      <c r="O55" s="17" t="s">
        <v>154</v>
      </c>
      <c r="P55" s="18" t="s">
        <v>154</v>
      </c>
      <c r="Q55" s="17" t="s">
        <v>154</v>
      </c>
      <c r="R55" s="18" t="s">
        <v>154</v>
      </c>
    </row>
    <row r="56" spans="1:18" x14ac:dyDescent="0.25">
      <c r="A56" s="11" t="s">
        <v>189</v>
      </c>
      <c r="B56" s="13">
        <v>5359</v>
      </c>
      <c r="C56" s="14">
        <f>(4457/B56*100)</f>
        <v>83.168501586116818</v>
      </c>
      <c r="D56" s="15">
        <v>902</v>
      </c>
      <c r="E56" s="14">
        <v>56.272574589999998</v>
      </c>
      <c r="F56" s="16">
        <v>1.8414479500000001</v>
      </c>
      <c r="G56" s="14">
        <v>43.727425410000002</v>
      </c>
      <c r="H56" s="16">
        <v>1.8414479500000001</v>
      </c>
      <c r="I56" s="14" t="s">
        <v>139</v>
      </c>
      <c r="J56" s="16" t="s">
        <v>139</v>
      </c>
      <c r="K56" s="14">
        <v>0</v>
      </c>
      <c r="L56" s="16">
        <v>0</v>
      </c>
      <c r="M56" s="14">
        <v>0</v>
      </c>
      <c r="N56" s="16">
        <v>0</v>
      </c>
      <c r="O56" s="14">
        <v>0</v>
      </c>
      <c r="P56" s="16">
        <v>0</v>
      </c>
      <c r="Q56" s="14">
        <v>0</v>
      </c>
      <c r="R56" s="16">
        <v>0</v>
      </c>
    </row>
    <row r="57" spans="1:18" x14ac:dyDescent="0.25">
      <c r="A57" s="11" t="s">
        <v>190</v>
      </c>
      <c r="B57" s="17" t="s">
        <v>154</v>
      </c>
      <c r="C57" s="17" t="s">
        <v>154</v>
      </c>
      <c r="D57" s="18" t="s">
        <v>154</v>
      </c>
      <c r="E57" s="17" t="s">
        <v>154</v>
      </c>
      <c r="F57" s="18" t="s">
        <v>154</v>
      </c>
      <c r="G57" s="17" t="s">
        <v>154</v>
      </c>
      <c r="H57" s="18" t="s">
        <v>154</v>
      </c>
      <c r="I57" s="17" t="s">
        <v>154</v>
      </c>
      <c r="J57" s="18" t="s">
        <v>154</v>
      </c>
      <c r="K57" s="17" t="s">
        <v>154</v>
      </c>
      <c r="L57" s="18" t="s">
        <v>154</v>
      </c>
      <c r="M57" s="17" t="s">
        <v>154</v>
      </c>
      <c r="N57" s="18" t="s">
        <v>154</v>
      </c>
      <c r="O57" s="17" t="s">
        <v>154</v>
      </c>
      <c r="P57" s="18" t="s">
        <v>154</v>
      </c>
      <c r="Q57" s="17" t="s">
        <v>154</v>
      </c>
      <c r="R57" s="18" t="s">
        <v>154</v>
      </c>
    </row>
    <row r="58" spans="1:18" x14ac:dyDescent="0.25">
      <c r="A58" s="11" t="s">
        <v>191</v>
      </c>
      <c r="B58" s="17" t="s">
        <v>154</v>
      </c>
      <c r="C58" s="17" t="s">
        <v>154</v>
      </c>
      <c r="D58" s="18" t="s">
        <v>154</v>
      </c>
      <c r="E58" s="17" t="s">
        <v>154</v>
      </c>
      <c r="F58" s="18" t="s">
        <v>154</v>
      </c>
      <c r="G58" s="17" t="s">
        <v>154</v>
      </c>
      <c r="H58" s="18" t="s">
        <v>154</v>
      </c>
      <c r="I58" s="17" t="s">
        <v>154</v>
      </c>
      <c r="J58" s="18" t="s">
        <v>154</v>
      </c>
      <c r="K58" s="17" t="s">
        <v>154</v>
      </c>
      <c r="L58" s="18" t="s">
        <v>154</v>
      </c>
      <c r="M58" s="17" t="s">
        <v>154</v>
      </c>
      <c r="N58" s="18" t="s">
        <v>154</v>
      </c>
      <c r="O58" s="17" t="s">
        <v>154</v>
      </c>
      <c r="P58" s="18" t="s">
        <v>154</v>
      </c>
      <c r="Q58" s="17" t="s">
        <v>154</v>
      </c>
      <c r="R58" s="18" t="s">
        <v>154</v>
      </c>
    </row>
    <row r="59" spans="1:18" x14ac:dyDescent="0.25">
      <c r="A59" s="11" t="s">
        <v>192</v>
      </c>
      <c r="B59" s="17" t="s">
        <v>154</v>
      </c>
      <c r="C59" s="17" t="s">
        <v>154</v>
      </c>
      <c r="D59" s="18" t="s">
        <v>154</v>
      </c>
      <c r="E59" s="17" t="s">
        <v>154</v>
      </c>
      <c r="F59" s="18" t="s">
        <v>154</v>
      </c>
      <c r="G59" s="17" t="s">
        <v>154</v>
      </c>
      <c r="H59" s="18" t="s">
        <v>154</v>
      </c>
      <c r="I59" s="17" t="s">
        <v>154</v>
      </c>
      <c r="J59" s="18" t="s">
        <v>154</v>
      </c>
      <c r="K59" s="17" t="s">
        <v>154</v>
      </c>
      <c r="L59" s="18" t="s">
        <v>154</v>
      </c>
      <c r="M59" s="17" t="s">
        <v>154</v>
      </c>
      <c r="N59" s="18" t="s">
        <v>154</v>
      </c>
      <c r="O59" s="17" t="s">
        <v>154</v>
      </c>
      <c r="P59" s="18" t="s">
        <v>154</v>
      </c>
      <c r="Q59" s="17" t="s">
        <v>154</v>
      </c>
      <c r="R59" s="18" t="s">
        <v>154</v>
      </c>
    </row>
    <row r="60" spans="1:18" x14ac:dyDescent="0.25">
      <c r="A60" s="11" t="s">
        <v>193</v>
      </c>
      <c r="B60" s="17" t="s">
        <v>154</v>
      </c>
      <c r="C60" s="17" t="s">
        <v>154</v>
      </c>
      <c r="D60" s="18" t="s">
        <v>154</v>
      </c>
      <c r="E60" s="17" t="s">
        <v>154</v>
      </c>
      <c r="F60" s="18" t="s">
        <v>154</v>
      </c>
      <c r="G60" s="17" t="s">
        <v>154</v>
      </c>
      <c r="H60" s="18" t="s">
        <v>154</v>
      </c>
      <c r="I60" s="17" t="s">
        <v>154</v>
      </c>
      <c r="J60" s="18" t="s">
        <v>154</v>
      </c>
      <c r="K60" s="17" t="s">
        <v>154</v>
      </c>
      <c r="L60" s="18" t="s">
        <v>154</v>
      </c>
      <c r="M60" s="17" t="s">
        <v>154</v>
      </c>
      <c r="N60" s="18" t="s">
        <v>154</v>
      </c>
      <c r="O60" s="17" t="s">
        <v>154</v>
      </c>
      <c r="P60" s="18" t="s">
        <v>154</v>
      </c>
      <c r="Q60" s="17" t="s">
        <v>154</v>
      </c>
      <c r="R60" s="18" t="s">
        <v>154</v>
      </c>
    </row>
    <row r="61" spans="1:18" x14ac:dyDescent="0.25">
      <c r="A61" s="11" t="s">
        <v>194</v>
      </c>
      <c r="B61" s="13">
        <v>6525</v>
      </c>
      <c r="C61" s="14">
        <f>(5462/B61*100)</f>
        <v>83.708812260536405</v>
      </c>
      <c r="D61" s="15">
        <v>1063</v>
      </c>
      <c r="E61" s="14">
        <v>64.855711360000001</v>
      </c>
      <c r="F61" s="16">
        <v>1.84917976</v>
      </c>
      <c r="G61" s="14">
        <v>35.144288639999999</v>
      </c>
      <c r="H61" s="16">
        <v>1.84917976</v>
      </c>
      <c r="I61" s="14" t="s">
        <v>139</v>
      </c>
      <c r="J61" s="16" t="s">
        <v>139</v>
      </c>
      <c r="K61" s="14">
        <v>0</v>
      </c>
      <c r="L61" s="16">
        <v>0</v>
      </c>
      <c r="M61" s="14">
        <v>0</v>
      </c>
      <c r="N61" s="16">
        <v>0</v>
      </c>
      <c r="O61" s="14">
        <v>0</v>
      </c>
      <c r="P61" s="16">
        <v>0</v>
      </c>
      <c r="Q61" s="14">
        <v>0</v>
      </c>
      <c r="R61" s="16">
        <v>0</v>
      </c>
    </row>
    <row r="62" spans="1:18" x14ac:dyDescent="0.25">
      <c r="A62" s="11" t="s">
        <v>195</v>
      </c>
      <c r="B62" s="13">
        <v>4476</v>
      </c>
      <c r="C62" s="14">
        <f>(3738/B62*100)</f>
        <v>83.512064343163544</v>
      </c>
      <c r="D62" s="15">
        <v>738</v>
      </c>
      <c r="E62" s="14">
        <v>47.68936557</v>
      </c>
      <c r="F62" s="16">
        <v>2.0127620799999999</v>
      </c>
      <c r="G62" s="14">
        <v>52.31063443</v>
      </c>
      <c r="H62" s="16">
        <v>2.0127620799999999</v>
      </c>
      <c r="I62" s="14" t="s">
        <v>139</v>
      </c>
      <c r="J62" s="16" t="s">
        <v>139</v>
      </c>
      <c r="K62" s="14">
        <v>0</v>
      </c>
      <c r="L62" s="16">
        <v>0</v>
      </c>
      <c r="M62" s="14">
        <v>0</v>
      </c>
      <c r="N62" s="16">
        <v>0</v>
      </c>
      <c r="O62" s="14">
        <v>0</v>
      </c>
      <c r="P62" s="16">
        <v>0</v>
      </c>
      <c r="Q62" s="14">
        <v>0</v>
      </c>
      <c r="R62" s="16">
        <v>0</v>
      </c>
    </row>
    <row r="63" spans="1:18" x14ac:dyDescent="0.25">
      <c r="A63" s="11" t="s">
        <v>196</v>
      </c>
      <c r="B63" s="17" t="s">
        <v>154</v>
      </c>
      <c r="C63" s="17" t="s">
        <v>154</v>
      </c>
      <c r="D63" s="18" t="s">
        <v>154</v>
      </c>
      <c r="E63" s="17" t="s">
        <v>154</v>
      </c>
      <c r="F63" s="18" t="s">
        <v>154</v>
      </c>
      <c r="G63" s="17" t="s">
        <v>154</v>
      </c>
      <c r="H63" s="18" t="s">
        <v>154</v>
      </c>
      <c r="I63" s="17" t="s">
        <v>154</v>
      </c>
      <c r="J63" s="18" t="s">
        <v>154</v>
      </c>
      <c r="K63" s="17" t="s">
        <v>154</v>
      </c>
      <c r="L63" s="18" t="s">
        <v>154</v>
      </c>
      <c r="M63" s="17" t="s">
        <v>154</v>
      </c>
      <c r="N63" s="18" t="s">
        <v>154</v>
      </c>
      <c r="O63" s="17" t="s">
        <v>154</v>
      </c>
      <c r="P63" s="18" t="s">
        <v>154</v>
      </c>
      <c r="Q63" s="17" t="s">
        <v>154</v>
      </c>
      <c r="R63" s="18" t="s">
        <v>154</v>
      </c>
    </row>
    <row r="64" spans="1:18" x14ac:dyDescent="0.25">
      <c r="A64" s="11" t="s">
        <v>197</v>
      </c>
      <c r="B64" s="17" t="s">
        <v>154</v>
      </c>
      <c r="C64" s="17" t="s">
        <v>154</v>
      </c>
      <c r="D64" s="18" t="s">
        <v>154</v>
      </c>
      <c r="E64" s="17" t="s">
        <v>154</v>
      </c>
      <c r="F64" s="18" t="s">
        <v>154</v>
      </c>
      <c r="G64" s="17" t="s">
        <v>154</v>
      </c>
      <c r="H64" s="18" t="s">
        <v>154</v>
      </c>
      <c r="I64" s="17" t="s">
        <v>154</v>
      </c>
      <c r="J64" s="18" t="s">
        <v>154</v>
      </c>
      <c r="K64" s="17" t="s">
        <v>154</v>
      </c>
      <c r="L64" s="18" t="s">
        <v>154</v>
      </c>
      <c r="M64" s="17" t="s">
        <v>154</v>
      </c>
      <c r="N64" s="18" t="s">
        <v>154</v>
      </c>
      <c r="O64" s="17" t="s">
        <v>154</v>
      </c>
      <c r="P64" s="18" t="s">
        <v>154</v>
      </c>
      <c r="Q64" s="17" t="s">
        <v>154</v>
      </c>
      <c r="R64" s="18" t="s">
        <v>154</v>
      </c>
    </row>
    <row r="65" spans="1:18" x14ac:dyDescent="0.25">
      <c r="A65" s="11" t="s">
        <v>198</v>
      </c>
      <c r="B65" s="17" t="s">
        <v>154</v>
      </c>
      <c r="C65" s="17" t="s">
        <v>154</v>
      </c>
      <c r="D65" s="18" t="s">
        <v>154</v>
      </c>
      <c r="E65" s="17" t="s">
        <v>154</v>
      </c>
      <c r="F65" s="18" t="s">
        <v>154</v>
      </c>
      <c r="G65" s="17" t="s">
        <v>154</v>
      </c>
      <c r="H65" s="18" t="s">
        <v>154</v>
      </c>
      <c r="I65" s="17" t="s">
        <v>154</v>
      </c>
      <c r="J65" s="18" t="s">
        <v>154</v>
      </c>
      <c r="K65" s="17" t="s">
        <v>154</v>
      </c>
      <c r="L65" s="18" t="s">
        <v>154</v>
      </c>
      <c r="M65" s="17" t="s">
        <v>154</v>
      </c>
      <c r="N65" s="18" t="s">
        <v>154</v>
      </c>
      <c r="O65" s="17" t="s">
        <v>154</v>
      </c>
      <c r="P65" s="18" t="s">
        <v>154</v>
      </c>
      <c r="Q65" s="17" t="s">
        <v>154</v>
      </c>
      <c r="R65" s="18" t="s">
        <v>154</v>
      </c>
    </row>
    <row r="66" spans="1:18" x14ac:dyDescent="0.25">
      <c r="A66" s="11" t="s">
        <v>199</v>
      </c>
      <c r="B66" s="13">
        <v>5665</v>
      </c>
      <c r="C66" s="14">
        <f>(4788/B66*100)</f>
        <v>84.518976169461595</v>
      </c>
      <c r="D66" s="15">
        <v>877</v>
      </c>
      <c r="E66" s="14">
        <v>74.938597569999999</v>
      </c>
      <c r="F66" s="16">
        <v>1.3511345699999999</v>
      </c>
      <c r="G66" s="14">
        <v>25.061402430000001</v>
      </c>
      <c r="H66" s="16">
        <v>1.3511345699999999</v>
      </c>
      <c r="I66" s="14" t="s">
        <v>139</v>
      </c>
      <c r="J66" s="16" t="s">
        <v>139</v>
      </c>
      <c r="K66" s="14">
        <v>0</v>
      </c>
      <c r="L66" s="16">
        <v>0</v>
      </c>
      <c r="M66" s="14">
        <v>0</v>
      </c>
      <c r="N66" s="16">
        <v>0</v>
      </c>
      <c r="O66" s="14">
        <v>0</v>
      </c>
      <c r="P66" s="16">
        <v>0</v>
      </c>
      <c r="Q66" s="14">
        <v>0</v>
      </c>
      <c r="R66" s="16">
        <v>0</v>
      </c>
    </row>
    <row r="67" spans="1:18" x14ac:dyDescent="0.25">
      <c r="A67" s="11" t="s">
        <v>200</v>
      </c>
      <c r="B67" s="13">
        <v>6971</v>
      </c>
      <c r="C67" s="14">
        <f>(6151/B67*100)</f>
        <v>88.236981781666898</v>
      </c>
      <c r="D67" s="15">
        <v>820</v>
      </c>
      <c r="E67" s="14">
        <v>76.653701069999997</v>
      </c>
      <c r="F67" s="16">
        <v>1.4624664700000001</v>
      </c>
      <c r="G67" s="14">
        <v>23.34629893</v>
      </c>
      <c r="H67" s="16">
        <v>1.4624664700000001</v>
      </c>
      <c r="I67" s="14" t="s">
        <v>139</v>
      </c>
      <c r="J67" s="16" t="s">
        <v>139</v>
      </c>
      <c r="K67" s="14">
        <v>0</v>
      </c>
      <c r="L67" s="16">
        <v>0</v>
      </c>
      <c r="M67" s="14">
        <v>0</v>
      </c>
      <c r="N67" s="16">
        <v>0</v>
      </c>
      <c r="O67" s="14">
        <v>0</v>
      </c>
      <c r="P67" s="16">
        <v>0</v>
      </c>
      <c r="Q67" s="14">
        <v>0</v>
      </c>
      <c r="R67" s="16">
        <v>0</v>
      </c>
    </row>
    <row r="68" spans="1:18" x14ac:dyDescent="0.25">
      <c r="A68" s="11" t="s">
        <v>201</v>
      </c>
      <c r="B68" s="17" t="s">
        <v>154</v>
      </c>
      <c r="C68" s="17" t="s">
        <v>154</v>
      </c>
      <c r="D68" s="18" t="s">
        <v>154</v>
      </c>
      <c r="E68" s="17" t="s">
        <v>154</v>
      </c>
      <c r="F68" s="18" t="s">
        <v>154</v>
      </c>
      <c r="G68" s="17" t="s">
        <v>154</v>
      </c>
      <c r="H68" s="18" t="s">
        <v>154</v>
      </c>
      <c r="I68" s="17" t="s">
        <v>154</v>
      </c>
      <c r="J68" s="18" t="s">
        <v>154</v>
      </c>
      <c r="K68" s="17" t="s">
        <v>154</v>
      </c>
      <c r="L68" s="18" t="s">
        <v>154</v>
      </c>
      <c r="M68" s="17" t="s">
        <v>154</v>
      </c>
      <c r="N68" s="18" t="s">
        <v>154</v>
      </c>
      <c r="O68" s="17" t="s">
        <v>154</v>
      </c>
      <c r="P68" s="18" t="s">
        <v>154</v>
      </c>
      <c r="Q68" s="17" t="s">
        <v>154</v>
      </c>
      <c r="R68" s="18" t="s">
        <v>154</v>
      </c>
    </row>
    <row r="69" spans="1:18" x14ac:dyDescent="0.25">
      <c r="A69" s="11" t="s">
        <v>202</v>
      </c>
      <c r="B69" s="17" t="s">
        <v>154</v>
      </c>
      <c r="C69" s="17" t="s">
        <v>154</v>
      </c>
      <c r="D69" s="18" t="s">
        <v>154</v>
      </c>
      <c r="E69" s="17" t="s">
        <v>154</v>
      </c>
      <c r="F69" s="18" t="s">
        <v>154</v>
      </c>
      <c r="G69" s="17" t="s">
        <v>154</v>
      </c>
      <c r="H69" s="18" t="s">
        <v>154</v>
      </c>
      <c r="I69" s="17" t="s">
        <v>154</v>
      </c>
      <c r="J69" s="18" t="s">
        <v>154</v>
      </c>
      <c r="K69" s="17" t="s">
        <v>154</v>
      </c>
      <c r="L69" s="18" t="s">
        <v>154</v>
      </c>
      <c r="M69" s="17" t="s">
        <v>154</v>
      </c>
      <c r="N69" s="18" t="s">
        <v>154</v>
      </c>
      <c r="O69" s="17" t="s">
        <v>154</v>
      </c>
      <c r="P69" s="18" t="s">
        <v>154</v>
      </c>
      <c r="Q69" s="17" t="s">
        <v>154</v>
      </c>
      <c r="R69" s="18" t="s">
        <v>154</v>
      </c>
    </row>
    <row r="70" spans="1:18" x14ac:dyDescent="0.25">
      <c r="A70" s="11" t="s">
        <v>203</v>
      </c>
      <c r="B70" s="13">
        <v>6036</v>
      </c>
      <c r="C70" s="14">
        <f>(5110/B70*100)</f>
        <v>84.658714380384353</v>
      </c>
      <c r="D70" s="15">
        <v>926</v>
      </c>
      <c r="E70" s="14">
        <v>67.093349970000006</v>
      </c>
      <c r="F70" s="16">
        <v>1.80403486</v>
      </c>
      <c r="G70" s="14">
        <v>32.906650030000002</v>
      </c>
      <c r="H70" s="16">
        <v>1.80403486</v>
      </c>
      <c r="I70" s="14" t="s">
        <v>139</v>
      </c>
      <c r="J70" s="16" t="s">
        <v>139</v>
      </c>
      <c r="K70" s="14">
        <v>0</v>
      </c>
      <c r="L70" s="16">
        <v>0</v>
      </c>
      <c r="M70" s="14">
        <v>0</v>
      </c>
      <c r="N70" s="16">
        <v>0</v>
      </c>
      <c r="O70" s="14">
        <v>0</v>
      </c>
      <c r="P70" s="16">
        <v>0</v>
      </c>
      <c r="Q70" s="14">
        <v>0</v>
      </c>
      <c r="R70" s="16">
        <v>0</v>
      </c>
    </row>
    <row r="71" spans="1:18" x14ac:dyDescent="0.25">
      <c r="A71" s="11" t="s">
        <v>204</v>
      </c>
      <c r="B71" s="17" t="s">
        <v>154</v>
      </c>
      <c r="C71" s="17" t="s">
        <v>154</v>
      </c>
      <c r="D71" s="18" t="s">
        <v>154</v>
      </c>
      <c r="E71" s="17" t="s">
        <v>154</v>
      </c>
      <c r="F71" s="18" t="s">
        <v>154</v>
      </c>
      <c r="G71" s="17" t="s">
        <v>154</v>
      </c>
      <c r="H71" s="18" t="s">
        <v>154</v>
      </c>
      <c r="I71" s="17" t="s">
        <v>154</v>
      </c>
      <c r="J71" s="18" t="s">
        <v>154</v>
      </c>
      <c r="K71" s="17" t="s">
        <v>154</v>
      </c>
      <c r="L71" s="18" t="s">
        <v>154</v>
      </c>
      <c r="M71" s="17" t="s">
        <v>154</v>
      </c>
      <c r="N71" s="18" t="s">
        <v>154</v>
      </c>
      <c r="O71" s="17" t="s">
        <v>154</v>
      </c>
      <c r="P71" s="18" t="s">
        <v>154</v>
      </c>
      <c r="Q71" s="17" t="s">
        <v>154</v>
      </c>
      <c r="R71" s="18" t="s">
        <v>154</v>
      </c>
    </row>
    <row r="72" spans="1:18" x14ac:dyDescent="0.25">
      <c r="A72" s="11" t="s">
        <v>205</v>
      </c>
      <c r="B72" s="13">
        <v>7708</v>
      </c>
      <c r="C72" s="14">
        <f>(6405/B72*100)</f>
        <v>83.095485210171248</v>
      </c>
      <c r="D72" s="15">
        <v>1303</v>
      </c>
      <c r="E72" s="14">
        <v>35.384244359999997</v>
      </c>
      <c r="F72" s="16">
        <v>1.5775448299999999</v>
      </c>
      <c r="G72" s="14">
        <v>64.615755640000003</v>
      </c>
      <c r="H72" s="16">
        <v>1.5775448299999999</v>
      </c>
      <c r="I72" s="14" t="s">
        <v>139</v>
      </c>
      <c r="J72" s="16" t="s">
        <v>139</v>
      </c>
      <c r="K72" s="14">
        <v>0</v>
      </c>
      <c r="L72" s="16">
        <v>0</v>
      </c>
      <c r="M72" s="14">
        <v>0</v>
      </c>
      <c r="N72" s="16">
        <v>0</v>
      </c>
      <c r="O72" s="14">
        <v>0</v>
      </c>
      <c r="P72" s="16">
        <v>0</v>
      </c>
      <c r="Q72" s="14">
        <v>0</v>
      </c>
      <c r="R72" s="16">
        <v>0</v>
      </c>
    </row>
    <row r="73" spans="1:18" x14ac:dyDescent="0.25">
      <c r="A73" s="11" t="s">
        <v>206</v>
      </c>
      <c r="B73" s="13">
        <v>8249</v>
      </c>
      <c r="C73" s="14">
        <f>(7077/B73*100)</f>
        <v>85.792217238453148</v>
      </c>
      <c r="D73" s="15">
        <v>1172</v>
      </c>
      <c r="E73" s="14">
        <v>71.252510290000004</v>
      </c>
      <c r="F73" s="16">
        <v>1.43401446</v>
      </c>
      <c r="G73" s="14">
        <v>28.74748971</v>
      </c>
      <c r="H73" s="16">
        <v>1.43401446</v>
      </c>
      <c r="I73" s="14" t="s">
        <v>139</v>
      </c>
      <c r="J73" s="16" t="s">
        <v>139</v>
      </c>
      <c r="K73" s="14">
        <v>0</v>
      </c>
      <c r="L73" s="16">
        <v>0</v>
      </c>
      <c r="M73" s="14">
        <v>0</v>
      </c>
      <c r="N73" s="16">
        <v>0</v>
      </c>
      <c r="O73" s="14">
        <v>0</v>
      </c>
      <c r="P73" s="16">
        <v>0</v>
      </c>
      <c r="Q73" s="14">
        <v>0</v>
      </c>
      <c r="R73" s="16">
        <v>0</v>
      </c>
    </row>
    <row r="74" spans="1:18" x14ac:dyDescent="0.25">
      <c r="A74" s="11" t="s">
        <v>207</v>
      </c>
      <c r="B74" s="17" t="s">
        <v>154</v>
      </c>
      <c r="C74" s="17" t="s">
        <v>154</v>
      </c>
      <c r="D74" s="18" t="s">
        <v>154</v>
      </c>
      <c r="E74" s="17" t="s">
        <v>154</v>
      </c>
      <c r="F74" s="18" t="s">
        <v>154</v>
      </c>
      <c r="G74" s="17" t="s">
        <v>154</v>
      </c>
      <c r="H74" s="18" t="s">
        <v>154</v>
      </c>
      <c r="I74" s="17" t="s">
        <v>154</v>
      </c>
      <c r="J74" s="18" t="s">
        <v>154</v>
      </c>
      <c r="K74" s="17" t="s">
        <v>154</v>
      </c>
      <c r="L74" s="18" t="s">
        <v>154</v>
      </c>
      <c r="M74" s="17" t="s">
        <v>154</v>
      </c>
      <c r="N74" s="18" t="s">
        <v>154</v>
      </c>
      <c r="O74" s="17" t="s">
        <v>154</v>
      </c>
      <c r="P74" s="18" t="s">
        <v>154</v>
      </c>
      <c r="Q74" s="17" t="s">
        <v>154</v>
      </c>
      <c r="R74" s="18" t="s">
        <v>154</v>
      </c>
    </row>
    <row r="75" spans="1:18" x14ac:dyDescent="0.25">
      <c r="A75" s="11" t="s">
        <v>208</v>
      </c>
      <c r="B75" s="13">
        <v>5375</v>
      </c>
      <c r="C75" s="14">
        <f>(4594/B75*100)</f>
        <v>85.469767441860469</v>
      </c>
      <c r="D75" s="15">
        <v>781</v>
      </c>
      <c r="E75" s="14">
        <v>82.344438389999993</v>
      </c>
      <c r="F75" s="16">
        <v>1.4603969800000001</v>
      </c>
      <c r="G75" s="14">
        <v>17.655561609999999</v>
      </c>
      <c r="H75" s="16">
        <v>1.4603969800000001</v>
      </c>
      <c r="I75" s="14" t="s">
        <v>139</v>
      </c>
      <c r="J75" s="16" t="s">
        <v>139</v>
      </c>
      <c r="K75" s="14">
        <v>0</v>
      </c>
      <c r="L75" s="16">
        <v>0</v>
      </c>
      <c r="M75" s="14">
        <v>0</v>
      </c>
      <c r="N75" s="16">
        <v>0</v>
      </c>
      <c r="O75" s="14">
        <v>0</v>
      </c>
      <c r="P75" s="16">
        <v>0</v>
      </c>
      <c r="Q75" s="14">
        <v>0</v>
      </c>
      <c r="R75" s="16">
        <v>0</v>
      </c>
    </row>
    <row r="76" spans="1:18" x14ac:dyDescent="0.25">
      <c r="A76" s="11" t="s">
        <v>209</v>
      </c>
      <c r="B76" s="13">
        <v>14167</v>
      </c>
      <c r="C76" s="14">
        <f>(11823/B76*100)</f>
        <v>83.454506952777592</v>
      </c>
      <c r="D76" s="15">
        <v>2344</v>
      </c>
      <c r="E76" s="14">
        <v>70.154065610000004</v>
      </c>
      <c r="F76" s="16">
        <v>1.2954557099999999</v>
      </c>
      <c r="G76" s="14">
        <v>29.84593439</v>
      </c>
      <c r="H76" s="16">
        <v>1.2954557099999999</v>
      </c>
      <c r="I76" s="14" t="s">
        <v>139</v>
      </c>
      <c r="J76" s="16" t="s">
        <v>139</v>
      </c>
      <c r="K76" s="14">
        <v>0</v>
      </c>
      <c r="L76" s="16">
        <v>0</v>
      </c>
      <c r="M76" s="14">
        <v>0</v>
      </c>
      <c r="N76" s="16">
        <v>0</v>
      </c>
      <c r="O76" s="14">
        <v>0</v>
      </c>
      <c r="P76" s="16">
        <v>0</v>
      </c>
      <c r="Q76" s="14">
        <v>0</v>
      </c>
      <c r="R76" s="16">
        <v>0</v>
      </c>
    </row>
    <row r="77" spans="1:18" x14ac:dyDescent="0.25">
      <c r="A77" s="11" t="s">
        <v>210</v>
      </c>
      <c r="B77" s="13">
        <v>6062</v>
      </c>
      <c r="C77" s="14">
        <f>(5164/B77*100)</f>
        <v>85.186407126360947</v>
      </c>
      <c r="D77" s="15">
        <v>898</v>
      </c>
      <c r="E77" s="14">
        <v>66.977055050000004</v>
      </c>
      <c r="F77" s="16">
        <v>1.6287587800000001</v>
      </c>
      <c r="G77" s="14">
        <v>33.022944950000003</v>
      </c>
      <c r="H77" s="16">
        <v>1.6287587800000001</v>
      </c>
      <c r="I77" s="14" t="s">
        <v>139</v>
      </c>
      <c r="J77" s="16" t="s">
        <v>139</v>
      </c>
      <c r="K77" s="14">
        <v>0</v>
      </c>
      <c r="L77" s="16">
        <v>0</v>
      </c>
      <c r="M77" s="14">
        <v>0</v>
      </c>
      <c r="N77" s="16">
        <v>0</v>
      </c>
      <c r="O77" s="14">
        <v>0</v>
      </c>
      <c r="P77" s="16">
        <v>0</v>
      </c>
      <c r="Q77" s="14">
        <v>0</v>
      </c>
      <c r="R77" s="16">
        <v>0</v>
      </c>
    </row>
    <row r="78" spans="1:18" x14ac:dyDescent="0.25">
      <c r="A78" s="11" t="s">
        <v>211</v>
      </c>
      <c r="B78" s="17" t="s">
        <v>154</v>
      </c>
      <c r="C78" s="17" t="s">
        <v>154</v>
      </c>
      <c r="D78" s="18" t="s">
        <v>154</v>
      </c>
      <c r="E78" s="17" t="s">
        <v>154</v>
      </c>
      <c r="F78" s="18" t="s">
        <v>154</v>
      </c>
      <c r="G78" s="17" t="s">
        <v>154</v>
      </c>
      <c r="H78" s="18" t="s">
        <v>154</v>
      </c>
      <c r="I78" s="17" t="s">
        <v>154</v>
      </c>
      <c r="J78" s="18" t="s">
        <v>154</v>
      </c>
      <c r="K78" s="17" t="s">
        <v>154</v>
      </c>
      <c r="L78" s="18" t="s">
        <v>154</v>
      </c>
      <c r="M78" s="17" t="s">
        <v>154</v>
      </c>
      <c r="N78" s="18" t="s">
        <v>154</v>
      </c>
      <c r="O78" s="17" t="s">
        <v>154</v>
      </c>
      <c r="P78" s="18" t="s">
        <v>154</v>
      </c>
      <c r="Q78" s="17" t="s">
        <v>154</v>
      </c>
      <c r="R78" s="18" t="s">
        <v>154</v>
      </c>
    </row>
    <row r="79" spans="1:18" ht="24.95" customHeight="1" x14ac:dyDescent="0.25">
      <c r="A79" s="11" t="s">
        <v>212</v>
      </c>
      <c r="B79" s="17" t="s">
        <v>154</v>
      </c>
      <c r="C79" s="17" t="s">
        <v>154</v>
      </c>
      <c r="D79" s="18" t="s">
        <v>154</v>
      </c>
      <c r="E79" s="17" t="s">
        <v>154</v>
      </c>
      <c r="F79" s="18" t="s">
        <v>154</v>
      </c>
      <c r="G79" s="17" t="s">
        <v>154</v>
      </c>
      <c r="H79" s="18" t="s">
        <v>154</v>
      </c>
      <c r="I79" s="17" t="s">
        <v>154</v>
      </c>
      <c r="J79" s="18" t="s">
        <v>154</v>
      </c>
      <c r="K79" s="17" t="s">
        <v>154</v>
      </c>
      <c r="L79" s="18" t="s">
        <v>154</v>
      </c>
      <c r="M79" s="17" t="s">
        <v>154</v>
      </c>
      <c r="N79" s="18" t="s">
        <v>154</v>
      </c>
      <c r="O79" s="17" t="s">
        <v>154</v>
      </c>
      <c r="P79" s="18" t="s">
        <v>154</v>
      </c>
      <c r="Q79" s="17" t="s">
        <v>154</v>
      </c>
      <c r="R79" s="18" t="s">
        <v>154</v>
      </c>
    </row>
    <row r="80" spans="1:18" x14ac:dyDescent="0.25">
      <c r="A80" s="11" t="s">
        <v>213</v>
      </c>
      <c r="B80" s="17" t="s">
        <v>154</v>
      </c>
      <c r="C80" s="17" t="s">
        <v>154</v>
      </c>
      <c r="D80" s="18" t="s">
        <v>154</v>
      </c>
      <c r="E80" s="17" t="s">
        <v>154</v>
      </c>
      <c r="F80" s="18" t="s">
        <v>154</v>
      </c>
      <c r="G80" s="17" t="s">
        <v>154</v>
      </c>
      <c r="H80" s="18" t="s">
        <v>154</v>
      </c>
      <c r="I80" s="17" t="s">
        <v>154</v>
      </c>
      <c r="J80" s="18" t="s">
        <v>154</v>
      </c>
      <c r="K80" s="17" t="s">
        <v>154</v>
      </c>
      <c r="L80" s="18" t="s">
        <v>154</v>
      </c>
      <c r="M80" s="17" t="s">
        <v>154</v>
      </c>
      <c r="N80" s="18" t="s">
        <v>154</v>
      </c>
      <c r="O80" s="17" t="s">
        <v>154</v>
      </c>
      <c r="P80" s="18" t="s">
        <v>154</v>
      </c>
      <c r="Q80" s="17" t="s">
        <v>154</v>
      </c>
      <c r="R80" s="18" t="s">
        <v>154</v>
      </c>
    </row>
    <row r="81" spans="1:18" x14ac:dyDescent="0.25">
      <c r="A81" s="19" t="s">
        <v>214</v>
      </c>
      <c r="B81" s="13">
        <v>8861</v>
      </c>
      <c r="C81" s="14">
        <f>(7383/B81*100)</f>
        <v>83.320167024037914</v>
      </c>
      <c r="D81" s="15">
        <v>1478</v>
      </c>
      <c r="E81" s="14">
        <v>72.751562750000005</v>
      </c>
      <c r="F81" s="16">
        <v>1.48454687</v>
      </c>
      <c r="G81" s="14">
        <v>27.248437249999998</v>
      </c>
      <c r="H81" s="16">
        <v>1.48454687</v>
      </c>
      <c r="I81" s="14" t="s">
        <v>139</v>
      </c>
      <c r="J81" s="16" t="s">
        <v>139</v>
      </c>
      <c r="K81" s="14">
        <v>0</v>
      </c>
      <c r="L81" s="16">
        <v>0</v>
      </c>
      <c r="M81" s="14">
        <v>0</v>
      </c>
      <c r="N81" s="16">
        <v>0</v>
      </c>
      <c r="O81" s="14">
        <v>0</v>
      </c>
      <c r="P81" s="16">
        <v>0</v>
      </c>
      <c r="Q81" s="14">
        <v>0</v>
      </c>
      <c r="R81" s="16">
        <v>0</v>
      </c>
    </row>
    <row r="82" spans="1:18" x14ac:dyDescent="0.25">
      <c r="A82" s="20"/>
      <c r="B82" s="20" t="s">
        <v>215</v>
      </c>
      <c r="C82" s="20" t="s">
        <v>215</v>
      </c>
      <c r="D82" s="20" t="s">
        <v>215</v>
      </c>
      <c r="E82" s="20" t="s">
        <v>215</v>
      </c>
      <c r="F82" s="20" t="s">
        <v>215</v>
      </c>
      <c r="G82" s="20" t="s">
        <v>215</v>
      </c>
      <c r="H82" s="20" t="s">
        <v>215</v>
      </c>
      <c r="I82" s="20" t="s">
        <v>215</v>
      </c>
      <c r="J82" s="20" t="s">
        <v>215</v>
      </c>
      <c r="K82" s="20" t="s">
        <v>215</v>
      </c>
      <c r="L82" s="20" t="s">
        <v>215</v>
      </c>
      <c r="M82" s="20" t="s">
        <v>215</v>
      </c>
      <c r="N82" s="20" t="s">
        <v>215</v>
      </c>
      <c r="O82" s="20" t="s">
        <v>215</v>
      </c>
      <c r="P82" s="20" t="s">
        <v>215</v>
      </c>
      <c r="Q82" s="20" t="s">
        <v>215</v>
      </c>
      <c r="R82" s="20" t="s">
        <v>215</v>
      </c>
    </row>
    <row r="83" spans="1:18" x14ac:dyDescent="0.25">
      <c r="A83" s="3" t="s">
        <v>216</v>
      </c>
    </row>
    <row r="84" spans="1:18" x14ac:dyDescent="0.25">
      <c r="A84" s="22" t="s">
        <v>217</v>
      </c>
      <c r="B84" s="23"/>
      <c r="C84" s="23"/>
      <c r="D84" s="23"/>
      <c r="E84" s="23"/>
      <c r="F84" s="23"/>
      <c r="G84" s="23"/>
      <c r="H84" s="23"/>
      <c r="I84" s="23"/>
      <c r="J84" s="23"/>
      <c r="K84" s="23"/>
      <c r="L84" s="23"/>
      <c r="M84" s="23"/>
      <c r="N84" s="23"/>
      <c r="O84" s="23"/>
      <c r="P84" s="23"/>
      <c r="Q84" s="23"/>
      <c r="R84" s="23"/>
    </row>
    <row r="85" spans="1:18" x14ac:dyDescent="0.25">
      <c r="A85" s="22" t="s">
        <v>218</v>
      </c>
      <c r="B85" s="23"/>
      <c r="C85" s="23"/>
      <c r="D85" s="23"/>
      <c r="E85" s="23"/>
      <c r="F85" s="23"/>
      <c r="G85" s="23"/>
      <c r="H85" s="23"/>
      <c r="I85" s="23"/>
      <c r="J85" s="23"/>
      <c r="K85" s="23"/>
      <c r="L85" s="23"/>
      <c r="M85" s="23"/>
      <c r="N85" s="23"/>
      <c r="O85" s="23"/>
      <c r="P85" s="23"/>
      <c r="Q85" s="23"/>
      <c r="R85" s="23"/>
    </row>
    <row r="86" spans="1:18" ht="30" customHeight="1" x14ac:dyDescent="0.25">
      <c r="A86" s="22" t="s">
        <v>219</v>
      </c>
      <c r="B86" s="23"/>
      <c r="C86" s="23"/>
      <c r="D86" s="23"/>
      <c r="E86" s="23"/>
      <c r="F86" s="23"/>
      <c r="G86" s="23"/>
      <c r="H86" s="23"/>
      <c r="I86" s="23"/>
      <c r="J86" s="23"/>
      <c r="K86" s="23"/>
      <c r="L86" s="23"/>
      <c r="M86" s="23"/>
      <c r="N86" s="23"/>
      <c r="O86" s="23"/>
      <c r="P86" s="23"/>
      <c r="Q86" s="23"/>
      <c r="R86" s="23"/>
    </row>
    <row r="87" spans="1:18" ht="30" customHeight="1" x14ac:dyDescent="0.25">
      <c r="A87" s="22" t="s">
        <v>215</v>
      </c>
      <c r="B87" s="23"/>
      <c r="C87" s="23"/>
      <c r="D87" s="23"/>
      <c r="E87" s="23"/>
      <c r="F87" s="23"/>
      <c r="G87" s="23"/>
      <c r="H87" s="23"/>
      <c r="I87" s="23"/>
      <c r="J87" s="23"/>
      <c r="K87" s="23"/>
      <c r="L87" s="23"/>
      <c r="M87" s="23"/>
      <c r="N87" s="23"/>
      <c r="O87" s="23"/>
      <c r="P87" s="23"/>
      <c r="Q87" s="23"/>
      <c r="R87" s="23"/>
    </row>
    <row r="88" spans="1:18" ht="30" customHeight="1" x14ac:dyDescent="0.25">
      <c r="A88" s="22" t="s">
        <v>220</v>
      </c>
      <c r="B88" s="23"/>
      <c r="C88" s="23"/>
      <c r="D88" s="23"/>
      <c r="E88" s="23"/>
      <c r="F88" s="23"/>
      <c r="G88" s="23"/>
      <c r="H88" s="23"/>
      <c r="I88" s="23"/>
      <c r="J88" s="23"/>
      <c r="K88" s="23"/>
      <c r="L88" s="23"/>
      <c r="M88" s="23"/>
      <c r="N88" s="23"/>
      <c r="O88" s="23"/>
      <c r="P88" s="23"/>
      <c r="Q88" s="23"/>
      <c r="R88" s="23"/>
    </row>
    <row r="89" spans="1:18" ht="30" customHeight="1" x14ac:dyDescent="0.25">
      <c r="A89" s="22" t="s">
        <v>221</v>
      </c>
      <c r="B89" s="23"/>
      <c r="C89" s="23"/>
      <c r="D89" s="23"/>
      <c r="E89" s="23"/>
      <c r="F89" s="23"/>
      <c r="G89" s="23"/>
      <c r="H89" s="23"/>
      <c r="I89" s="23"/>
      <c r="J89" s="23"/>
      <c r="K89" s="23"/>
      <c r="L89" s="23"/>
      <c r="M89" s="23"/>
      <c r="N89" s="23"/>
      <c r="O89" s="23"/>
      <c r="P89" s="23"/>
      <c r="Q89" s="23"/>
      <c r="R89" s="23"/>
    </row>
    <row r="90" spans="1:18" ht="30" customHeight="1" x14ac:dyDescent="0.25">
      <c r="A90" s="22" t="s">
        <v>222</v>
      </c>
      <c r="B90" s="23"/>
      <c r="C90" s="23"/>
      <c r="D90" s="23"/>
      <c r="E90" s="23"/>
      <c r="F90" s="23"/>
      <c r="G90" s="23"/>
      <c r="H90" s="23"/>
      <c r="I90" s="23"/>
      <c r="J90" s="23"/>
      <c r="K90" s="23"/>
      <c r="L90" s="23"/>
      <c r="M90" s="23"/>
      <c r="N90" s="23"/>
      <c r="O90" s="23"/>
      <c r="P90" s="23"/>
      <c r="Q90" s="23"/>
      <c r="R90" s="23"/>
    </row>
    <row r="91" spans="1:18" ht="30" customHeight="1" x14ac:dyDescent="0.25">
      <c r="A91" s="22" t="s">
        <v>223</v>
      </c>
      <c r="B91" s="23"/>
      <c r="C91" s="23"/>
      <c r="D91" s="23"/>
      <c r="E91" s="23"/>
      <c r="F91" s="23"/>
      <c r="G91" s="23"/>
      <c r="H91" s="23"/>
      <c r="I91" s="23"/>
      <c r="J91" s="23"/>
      <c r="K91" s="23"/>
      <c r="L91" s="23"/>
      <c r="M91" s="23"/>
      <c r="N91" s="23"/>
      <c r="O91" s="23"/>
      <c r="P91" s="23"/>
      <c r="Q91" s="23"/>
      <c r="R91" s="23"/>
    </row>
    <row r="92" spans="1:18" ht="30" customHeight="1" x14ac:dyDescent="0.25">
      <c r="A92" s="22" t="s">
        <v>224</v>
      </c>
      <c r="B92" s="23"/>
      <c r="C92" s="23"/>
      <c r="D92" s="23"/>
      <c r="E92" s="23"/>
      <c r="F92" s="23"/>
      <c r="G92" s="23"/>
      <c r="H92" s="23"/>
      <c r="I92" s="23"/>
      <c r="J92" s="23"/>
      <c r="K92" s="23"/>
      <c r="L92" s="23"/>
      <c r="M92" s="23"/>
      <c r="N92" s="23"/>
      <c r="O92" s="23"/>
      <c r="P92" s="23"/>
      <c r="Q92" s="23"/>
      <c r="R92" s="23"/>
    </row>
    <row r="93" spans="1:18" ht="30" customHeight="1" x14ac:dyDescent="0.25">
      <c r="A93" s="22" t="s">
        <v>225</v>
      </c>
      <c r="B93" s="23"/>
      <c r="C93" s="23"/>
      <c r="D93" s="23"/>
      <c r="E93" s="23"/>
      <c r="F93" s="23"/>
      <c r="G93" s="23"/>
      <c r="H93" s="23"/>
      <c r="I93" s="23"/>
      <c r="J93" s="23"/>
      <c r="K93" s="23"/>
      <c r="L93" s="23"/>
      <c r="M93" s="23"/>
      <c r="N93" s="23"/>
      <c r="O93" s="23"/>
      <c r="P93" s="23"/>
      <c r="Q93" s="23"/>
      <c r="R93" s="23"/>
    </row>
    <row r="94" spans="1:18" ht="30" customHeight="1" x14ac:dyDescent="0.25">
      <c r="A94" s="22" t="s">
        <v>226</v>
      </c>
      <c r="B94" s="23"/>
      <c r="C94" s="23"/>
      <c r="D94" s="23"/>
      <c r="E94" s="23"/>
      <c r="F94" s="23"/>
      <c r="G94" s="23"/>
      <c r="H94" s="23"/>
      <c r="I94" s="23"/>
      <c r="J94" s="23"/>
      <c r="K94" s="23"/>
      <c r="L94" s="23"/>
      <c r="M94" s="23"/>
      <c r="N94" s="23"/>
      <c r="O94" s="23"/>
      <c r="P94" s="23"/>
      <c r="Q94" s="23"/>
      <c r="R94" s="23"/>
    </row>
    <row r="95" spans="1:18" ht="30" customHeight="1" x14ac:dyDescent="0.25">
      <c r="A95" s="22" t="s">
        <v>227</v>
      </c>
      <c r="B95" s="23"/>
      <c r="C95" s="23"/>
      <c r="D95" s="23"/>
      <c r="E95" s="23"/>
      <c r="F95" s="23"/>
      <c r="G95" s="23"/>
      <c r="H95" s="23"/>
      <c r="I95" s="23"/>
      <c r="J95" s="23"/>
      <c r="K95" s="23"/>
      <c r="L95" s="23"/>
      <c r="M95" s="23"/>
      <c r="N95" s="23"/>
      <c r="O95" s="23"/>
      <c r="P95" s="23"/>
      <c r="Q95" s="23"/>
      <c r="R95" s="23"/>
    </row>
    <row r="96" spans="1:18" ht="30" customHeight="1" x14ac:dyDescent="0.25">
      <c r="A96" s="22" t="s">
        <v>228</v>
      </c>
      <c r="B96" s="23"/>
      <c r="C96" s="23"/>
      <c r="D96" s="23"/>
      <c r="E96" s="23"/>
      <c r="F96" s="23"/>
      <c r="G96" s="23"/>
      <c r="H96" s="23"/>
      <c r="I96" s="23"/>
      <c r="J96" s="23"/>
      <c r="K96" s="23"/>
      <c r="L96" s="23"/>
      <c r="M96" s="23"/>
      <c r="N96" s="23"/>
      <c r="O96" s="23"/>
      <c r="P96" s="23"/>
      <c r="Q96" s="23"/>
      <c r="R96" s="23"/>
    </row>
  </sheetData>
  <mergeCells count="22">
    <mergeCell ref="O4:P4"/>
    <mergeCell ref="Q4:R4"/>
    <mergeCell ref="A1:R1"/>
    <mergeCell ref="A2:R2"/>
    <mergeCell ref="A84:R84"/>
    <mergeCell ref="E4:F4"/>
    <mergeCell ref="G4:H4"/>
    <mergeCell ref="I4:J4"/>
    <mergeCell ref="K4:L4"/>
    <mergeCell ref="M4:N4"/>
    <mergeCell ref="A85:R85"/>
    <mergeCell ref="A86:R86"/>
    <mergeCell ref="A87:R87"/>
    <mergeCell ref="A88:R88"/>
    <mergeCell ref="A89:R89"/>
    <mergeCell ref="A95:R95"/>
    <mergeCell ref="A96:R96"/>
    <mergeCell ref="A90:R90"/>
    <mergeCell ref="A91:R91"/>
    <mergeCell ref="A92:R92"/>
    <mergeCell ref="A93:R93"/>
    <mergeCell ref="A94:R94"/>
  </mergeCells>
  <pageMargins left="0.75" right="0.75" top="1" bottom="1" header="0.5" footer="0.5"/>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6"/>
  <dimension ref="A1:R96"/>
  <sheetViews>
    <sheetView zoomScale="80" workbookViewId="0">
      <pane xSplit="4" topLeftCell="E1" activePane="topRight" state="frozen"/>
      <selection sqref="A1:R1"/>
      <selection pane="topRight" sqref="A1:R1"/>
    </sheetView>
  </sheetViews>
  <sheetFormatPr defaultColWidth="11.42578125" defaultRowHeight="15" x14ac:dyDescent="0.25"/>
  <cols>
    <col min="1" max="1" width="50" customWidth="1"/>
  </cols>
  <sheetData>
    <row r="1" spans="1:18" x14ac:dyDescent="0.25">
      <c r="A1" s="26" t="s">
        <v>122</v>
      </c>
      <c r="B1" s="23"/>
      <c r="C1" s="23"/>
      <c r="D1" s="23"/>
      <c r="E1" s="23"/>
      <c r="F1" s="23"/>
      <c r="G1" s="23"/>
      <c r="H1" s="23"/>
      <c r="I1" s="23"/>
      <c r="J1" s="23"/>
      <c r="K1" s="23"/>
      <c r="L1" s="23"/>
      <c r="M1" s="23"/>
      <c r="N1" s="23"/>
      <c r="O1" s="23"/>
      <c r="P1" s="23"/>
      <c r="Q1" s="23"/>
      <c r="R1" s="23"/>
    </row>
    <row r="2" spans="1:18" x14ac:dyDescent="0.25">
      <c r="A2" s="27" t="s">
        <v>272</v>
      </c>
      <c r="B2" s="23"/>
      <c r="C2" s="23"/>
      <c r="D2" s="23"/>
      <c r="E2" s="23"/>
      <c r="F2" s="23"/>
      <c r="G2" s="23"/>
      <c r="H2" s="23"/>
      <c r="I2" s="23"/>
      <c r="J2" s="23"/>
      <c r="K2" s="23"/>
      <c r="L2" s="23"/>
      <c r="M2" s="23"/>
      <c r="N2" s="23"/>
      <c r="O2" s="23"/>
      <c r="P2" s="23"/>
      <c r="Q2" s="23"/>
      <c r="R2" s="23"/>
    </row>
    <row r="4" spans="1:18" ht="30" customHeight="1" x14ac:dyDescent="0.25">
      <c r="A4" s="4"/>
      <c r="B4" s="5" t="s">
        <v>123</v>
      </c>
      <c r="C4" s="5" t="s">
        <v>124</v>
      </c>
      <c r="D4" s="6" t="s">
        <v>123</v>
      </c>
      <c r="E4" s="24" t="s">
        <v>125</v>
      </c>
      <c r="F4" s="25"/>
      <c r="G4" s="24" t="s">
        <v>126</v>
      </c>
      <c r="H4" s="25"/>
      <c r="I4" s="24" t="s">
        <v>127</v>
      </c>
      <c r="J4" s="25"/>
      <c r="K4" s="24" t="s">
        <v>128</v>
      </c>
      <c r="L4" s="25"/>
      <c r="M4" s="24" t="s">
        <v>129</v>
      </c>
      <c r="N4" s="25"/>
      <c r="O4" s="24" t="s">
        <v>130</v>
      </c>
      <c r="P4" s="25"/>
      <c r="Q4" s="24" t="s">
        <v>131</v>
      </c>
      <c r="R4" s="25"/>
    </row>
    <row r="5" spans="1:18" x14ac:dyDescent="0.25">
      <c r="A5" s="7"/>
      <c r="B5" s="8" t="s">
        <v>132</v>
      </c>
      <c r="C5" s="8" t="s">
        <v>133</v>
      </c>
      <c r="D5" s="7" t="s">
        <v>134</v>
      </c>
      <c r="E5" s="8" t="s">
        <v>135</v>
      </c>
      <c r="F5" s="7" t="s">
        <v>136</v>
      </c>
      <c r="G5" s="8" t="s">
        <v>135</v>
      </c>
      <c r="H5" s="7" t="s">
        <v>136</v>
      </c>
      <c r="I5" s="8" t="s">
        <v>135</v>
      </c>
      <c r="J5" s="7" t="s">
        <v>136</v>
      </c>
      <c r="K5" s="8" t="s">
        <v>135</v>
      </c>
      <c r="L5" s="7" t="s">
        <v>136</v>
      </c>
      <c r="M5" s="8" t="s">
        <v>135</v>
      </c>
      <c r="N5" s="7" t="s">
        <v>136</v>
      </c>
      <c r="O5" s="8" t="s">
        <v>135</v>
      </c>
      <c r="P5" s="7" t="s">
        <v>136</v>
      </c>
      <c r="Q5" s="8" t="s">
        <v>135</v>
      </c>
      <c r="R5" s="7" t="s">
        <v>136</v>
      </c>
    </row>
    <row r="6" spans="1:18" x14ac:dyDescent="0.25">
      <c r="A6" s="9" t="s">
        <v>137</v>
      </c>
      <c r="B6" s="10"/>
      <c r="C6" s="10"/>
      <c r="D6" s="11"/>
      <c r="E6" s="10"/>
      <c r="F6" s="11"/>
      <c r="G6" s="10"/>
      <c r="H6" s="11"/>
      <c r="I6" s="10"/>
      <c r="J6" s="11"/>
      <c r="K6" s="10"/>
      <c r="L6" s="11"/>
      <c r="M6" s="10"/>
      <c r="N6" s="11"/>
      <c r="O6" s="10"/>
      <c r="P6" s="11"/>
      <c r="Q6" s="10"/>
      <c r="R6" s="12"/>
    </row>
    <row r="7" spans="1:18" x14ac:dyDescent="0.25">
      <c r="A7" s="11" t="s">
        <v>138</v>
      </c>
      <c r="B7" s="13">
        <v>14530</v>
      </c>
      <c r="C7" s="14">
        <f>(12281/B7*100)</f>
        <v>84.521679284239497</v>
      </c>
      <c r="D7" s="15">
        <v>2249</v>
      </c>
      <c r="E7" s="14">
        <v>37.615766800000003</v>
      </c>
      <c r="F7" s="16">
        <v>1.0998705</v>
      </c>
      <c r="G7" s="14">
        <v>62.384233199999997</v>
      </c>
      <c r="H7" s="16">
        <v>1.0998705</v>
      </c>
      <c r="I7" s="14" t="s">
        <v>139</v>
      </c>
      <c r="J7" s="16" t="s">
        <v>139</v>
      </c>
      <c r="K7" s="14">
        <v>0</v>
      </c>
      <c r="L7" s="16">
        <v>0</v>
      </c>
      <c r="M7" s="14">
        <v>0</v>
      </c>
      <c r="N7" s="16">
        <v>0</v>
      </c>
      <c r="O7" s="14">
        <v>0</v>
      </c>
      <c r="P7" s="16">
        <v>0</v>
      </c>
      <c r="Q7" s="14">
        <v>0</v>
      </c>
      <c r="R7" s="16">
        <v>0</v>
      </c>
    </row>
    <row r="8" spans="1:18" x14ac:dyDescent="0.25">
      <c r="A8" s="11" t="s">
        <v>140</v>
      </c>
      <c r="B8" s="13">
        <v>7007</v>
      </c>
      <c r="C8" s="14">
        <f>(5875/B8*100)</f>
        <v>83.844726701869547</v>
      </c>
      <c r="D8" s="15">
        <v>1132</v>
      </c>
      <c r="E8" s="14">
        <v>47.398942259999998</v>
      </c>
      <c r="F8" s="16">
        <v>1.7288062200000001</v>
      </c>
      <c r="G8" s="14">
        <v>52.601057740000002</v>
      </c>
      <c r="H8" s="16">
        <v>1.7288062200000001</v>
      </c>
      <c r="I8" s="14" t="s">
        <v>139</v>
      </c>
      <c r="J8" s="16" t="s">
        <v>139</v>
      </c>
      <c r="K8" s="14">
        <v>0</v>
      </c>
      <c r="L8" s="16">
        <v>0</v>
      </c>
      <c r="M8" s="14">
        <v>0</v>
      </c>
      <c r="N8" s="16">
        <v>0</v>
      </c>
      <c r="O8" s="14">
        <v>0</v>
      </c>
      <c r="P8" s="16">
        <v>0</v>
      </c>
      <c r="Q8" s="14">
        <v>0</v>
      </c>
      <c r="R8" s="16">
        <v>0</v>
      </c>
    </row>
    <row r="9" spans="1:18" x14ac:dyDescent="0.25">
      <c r="A9" s="11" t="s">
        <v>141</v>
      </c>
      <c r="B9" s="13">
        <v>9651</v>
      </c>
      <c r="C9" s="14">
        <f>(8203/B9*100)</f>
        <v>84.996373432804901</v>
      </c>
      <c r="D9" s="15">
        <v>1448</v>
      </c>
      <c r="E9" s="14">
        <v>46.194682370000002</v>
      </c>
      <c r="F9" s="16">
        <v>1.3533979</v>
      </c>
      <c r="G9" s="14">
        <v>53.805317629999998</v>
      </c>
      <c r="H9" s="16">
        <v>1.3533979</v>
      </c>
      <c r="I9" s="14" t="s">
        <v>139</v>
      </c>
      <c r="J9" s="16" t="s">
        <v>139</v>
      </c>
      <c r="K9" s="14">
        <v>0</v>
      </c>
      <c r="L9" s="16">
        <v>0</v>
      </c>
      <c r="M9" s="14">
        <v>0</v>
      </c>
      <c r="N9" s="16">
        <v>0</v>
      </c>
      <c r="O9" s="14">
        <v>0</v>
      </c>
      <c r="P9" s="16">
        <v>0</v>
      </c>
      <c r="Q9" s="14">
        <v>0</v>
      </c>
      <c r="R9" s="16">
        <v>0</v>
      </c>
    </row>
    <row r="10" spans="1:18" x14ac:dyDescent="0.25">
      <c r="A10" s="11" t="s">
        <v>142</v>
      </c>
      <c r="B10" s="13">
        <v>20058</v>
      </c>
      <c r="C10" s="14">
        <f>(16721/B10*100)</f>
        <v>83.363246584903777</v>
      </c>
      <c r="D10" s="15">
        <v>3337</v>
      </c>
      <c r="E10" s="14">
        <v>36.94291862</v>
      </c>
      <c r="F10" s="16">
        <v>1.29430738</v>
      </c>
      <c r="G10" s="14">
        <v>63.05708138</v>
      </c>
      <c r="H10" s="16">
        <v>1.29430738</v>
      </c>
      <c r="I10" s="14" t="s">
        <v>139</v>
      </c>
      <c r="J10" s="16" t="s">
        <v>139</v>
      </c>
      <c r="K10" s="14">
        <v>0</v>
      </c>
      <c r="L10" s="16">
        <v>0</v>
      </c>
      <c r="M10" s="14">
        <v>0</v>
      </c>
      <c r="N10" s="16">
        <v>0</v>
      </c>
      <c r="O10" s="14">
        <v>0</v>
      </c>
      <c r="P10" s="16">
        <v>0</v>
      </c>
      <c r="Q10" s="14">
        <v>0</v>
      </c>
      <c r="R10" s="16">
        <v>0</v>
      </c>
    </row>
    <row r="11" spans="1:18" x14ac:dyDescent="0.25">
      <c r="A11" s="11" t="s">
        <v>143</v>
      </c>
      <c r="B11" s="13">
        <v>7053</v>
      </c>
      <c r="C11" s="14">
        <f>(5995/B11*100)</f>
        <v>84.999291081809162</v>
      </c>
      <c r="D11" s="15">
        <v>1058</v>
      </c>
      <c r="E11" s="14">
        <v>63.30992577</v>
      </c>
      <c r="F11" s="16">
        <v>1.69502737</v>
      </c>
      <c r="G11" s="14">
        <v>36.69007423</v>
      </c>
      <c r="H11" s="16">
        <v>1.69502737</v>
      </c>
      <c r="I11" s="14" t="s">
        <v>139</v>
      </c>
      <c r="J11" s="16" t="s">
        <v>139</v>
      </c>
      <c r="K11" s="14">
        <v>0</v>
      </c>
      <c r="L11" s="16">
        <v>0</v>
      </c>
      <c r="M11" s="14">
        <v>0</v>
      </c>
      <c r="N11" s="16">
        <v>0</v>
      </c>
      <c r="O11" s="14">
        <v>0</v>
      </c>
      <c r="P11" s="16">
        <v>0</v>
      </c>
      <c r="Q11" s="14">
        <v>0</v>
      </c>
      <c r="R11" s="16">
        <v>0</v>
      </c>
    </row>
    <row r="12" spans="1:18" x14ac:dyDescent="0.25">
      <c r="A12" s="11" t="s">
        <v>144</v>
      </c>
      <c r="B12" s="13">
        <v>6894</v>
      </c>
      <c r="C12" s="14">
        <f>(5821/B12*100)</f>
        <v>84.435741224252965</v>
      </c>
      <c r="D12" s="15">
        <v>1073</v>
      </c>
      <c r="E12" s="14">
        <v>56.262584439999998</v>
      </c>
      <c r="F12" s="16">
        <v>1.64096485</v>
      </c>
      <c r="G12" s="14">
        <v>43.737415560000002</v>
      </c>
      <c r="H12" s="16">
        <v>1.64096485</v>
      </c>
      <c r="I12" s="14" t="s">
        <v>139</v>
      </c>
      <c r="J12" s="16" t="s">
        <v>139</v>
      </c>
      <c r="K12" s="14">
        <v>0</v>
      </c>
      <c r="L12" s="16">
        <v>0</v>
      </c>
      <c r="M12" s="14">
        <v>0</v>
      </c>
      <c r="N12" s="16">
        <v>0</v>
      </c>
      <c r="O12" s="14">
        <v>0</v>
      </c>
      <c r="P12" s="16">
        <v>0</v>
      </c>
      <c r="Q12" s="14">
        <v>0</v>
      </c>
      <c r="R12" s="16">
        <v>0</v>
      </c>
    </row>
    <row r="13" spans="1:18" x14ac:dyDescent="0.25">
      <c r="A13" s="11" t="s">
        <v>145</v>
      </c>
      <c r="B13" s="13">
        <v>7161</v>
      </c>
      <c r="C13" s="14">
        <f>(6079/B13*100)</f>
        <v>84.890378438765538</v>
      </c>
      <c r="D13" s="15">
        <v>1082</v>
      </c>
      <c r="E13" s="14">
        <v>53.855498300000001</v>
      </c>
      <c r="F13" s="16">
        <v>1.8733040999999999</v>
      </c>
      <c r="G13" s="14">
        <v>46.144501699999999</v>
      </c>
      <c r="H13" s="16">
        <v>1.8733040999999999</v>
      </c>
      <c r="I13" s="14" t="s">
        <v>139</v>
      </c>
      <c r="J13" s="16" t="s">
        <v>139</v>
      </c>
      <c r="K13" s="14">
        <v>0</v>
      </c>
      <c r="L13" s="16">
        <v>0</v>
      </c>
      <c r="M13" s="14">
        <v>0</v>
      </c>
      <c r="N13" s="16">
        <v>0</v>
      </c>
      <c r="O13" s="14">
        <v>0</v>
      </c>
      <c r="P13" s="16">
        <v>0</v>
      </c>
      <c r="Q13" s="14">
        <v>0</v>
      </c>
      <c r="R13" s="16">
        <v>0</v>
      </c>
    </row>
    <row r="14" spans="1:18" x14ac:dyDescent="0.25">
      <c r="A14" s="11" t="s">
        <v>146</v>
      </c>
      <c r="B14" s="13">
        <v>5587</v>
      </c>
      <c r="C14" s="14">
        <f>(4678/B14*100)</f>
        <v>83.730087703597633</v>
      </c>
      <c r="D14" s="15">
        <v>909</v>
      </c>
      <c r="E14" s="14">
        <v>46.423142949999999</v>
      </c>
      <c r="F14" s="16">
        <v>1.8006379699999999</v>
      </c>
      <c r="G14" s="14">
        <v>53.576857050000001</v>
      </c>
      <c r="H14" s="16">
        <v>1.8006379699999999</v>
      </c>
      <c r="I14" s="14" t="s">
        <v>139</v>
      </c>
      <c r="J14" s="16" t="s">
        <v>139</v>
      </c>
      <c r="K14" s="14">
        <v>0</v>
      </c>
      <c r="L14" s="16">
        <v>0</v>
      </c>
      <c r="M14" s="14">
        <v>0</v>
      </c>
      <c r="N14" s="16">
        <v>0</v>
      </c>
      <c r="O14" s="14">
        <v>0</v>
      </c>
      <c r="P14" s="16">
        <v>0</v>
      </c>
      <c r="Q14" s="14">
        <v>0</v>
      </c>
      <c r="R14" s="16">
        <v>0</v>
      </c>
    </row>
    <row r="15" spans="1:18" x14ac:dyDescent="0.25">
      <c r="A15" s="11" t="s">
        <v>147</v>
      </c>
      <c r="B15" s="13">
        <v>5882</v>
      </c>
      <c r="C15" s="14">
        <f>(4957/B15*100)</f>
        <v>84.274056443386598</v>
      </c>
      <c r="D15" s="15">
        <v>925</v>
      </c>
      <c r="E15" s="14">
        <v>44.609479450000002</v>
      </c>
      <c r="F15" s="16">
        <v>1.6445215799999999</v>
      </c>
      <c r="G15" s="14">
        <v>55.390520549999998</v>
      </c>
      <c r="H15" s="16">
        <v>1.6445215799999999</v>
      </c>
      <c r="I15" s="14" t="s">
        <v>139</v>
      </c>
      <c r="J15" s="16" t="s">
        <v>139</v>
      </c>
      <c r="K15" s="14">
        <v>0</v>
      </c>
      <c r="L15" s="16">
        <v>0</v>
      </c>
      <c r="M15" s="14">
        <v>0</v>
      </c>
      <c r="N15" s="16">
        <v>0</v>
      </c>
      <c r="O15" s="14">
        <v>0</v>
      </c>
      <c r="P15" s="16">
        <v>0</v>
      </c>
      <c r="Q15" s="14">
        <v>0</v>
      </c>
      <c r="R15" s="16">
        <v>0</v>
      </c>
    </row>
    <row r="16" spans="1:18" x14ac:dyDescent="0.25">
      <c r="A16" s="11" t="s">
        <v>148</v>
      </c>
      <c r="B16" s="13">
        <v>6108</v>
      </c>
      <c r="C16" s="14">
        <f>(5144/B16*100)</f>
        <v>84.217419777341192</v>
      </c>
      <c r="D16" s="15">
        <v>964</v>
      </c>
      <c r="E16" s="14">
        <v>53.353162820000001</v>
      </c>
      <c r="F16" s="16">
        <v>1.6941947399999999</v>
      </c>
      <c r="G16" s="14">
        <v>46.646837179999999</v>
      </c>
      <c r="H16" s="16">
        <v>1.6941947399999999</v>
      </c>
      <c r="I16" s="14" t="s">
        <v>139</v>
      </c>
      <c r="J16" s="16" t="s">
        <v>139</v>
      </c>
      <c r="K16" s="14">
        <v>0</v>
      </c>
      <c r="L16" s="16">
        <v>0</v>
      </c>
      <c r="M16" s="14">
        <v>0</v>
      </c>
      <c r="N16" s="16">
        <v>0</v>
      </c>
      <c r="O16" s="14">
        <v>0</v>
      </c>
      <c r="P16" s="16">
        <v>0</v>
      </c>
      <c r="Q16" s="14">
        <v>0</v>
      </c>
      <c r="R16" s="16">
        <v>0</v>
      </c>
    </row>
    <row r="17" spans="1:18" x14ac:dyDescent="0.25">
      <c r="A17" s="11" t="s">
        <v>149</v>
      </c>
      <c r="B17" s="13">
        <v>6504</v>
      </c>
      <c r="C17" s="14">
        <f>(5504/B17*100)</f>
        <v>84.624846248462475</v>
      </c>
      <c r="D17" s="15">
        <v>1000</v>
      </c>
      <c r="E17" s="14">
        <v>48.929652789999999</v>
      </c>
      <c r="F17" s="16">
        <v>1.5820184500000001</v>
      </c>
      <c r="G17" s="14">
        <v>51.070347210000001</v>
      </c>
      <c r="H17" s="16">
        <v>1.5820184500000001</v>
      </c>
      <c r="I17" s="14" t="s">
        <v>139</v>
      </c>
      <c r="J17" s="16" t="s">
        <v>139</v>
      </c>
      <c r="K17" s="14">
        <v>0</v>
      </c>
      <c r="L17" s="16">
        <v>0</v>
      </c>
      <c r="M17" s="14">
        <v>0</v>
      </c>
      <c r="N17" s="16">
        <v>0</v>
      </c>
      <c r="O17" s="14">
        <v>0</v>
      </c>
      <c r="P17" s="16">
        <v>0</v>
      </c>
      <c r="Q17" s="14">
        <v>0</v>
      </c>
      <c r="R17" s="16">
        <v>0</v>
      </c>
    </row>
    <row r="18" spans="1:18" x14ac:dyDescent="0.25">
      <c r="A18" s="11" t="s">
        <v>150</v>
      </c>
      <c r="B18" s="13">
        <v>5532</v>
      </c>
      <c r="C18" s="14">
        <f>(4604/B18*100)</f>
        <v>83.224873463485167</v>
      </c>
      <c r="D18" s="15">
        <v>928</v>
      </c>
      <c r="E18" s="14">
        <v>58.319607599999998</v>
      </c>
      <c r="F18" s="16">
        <v>1.6263287799999999</v>
      </c>
      <c r="G18" s="14">
        <v>41.680392400000002</v>
      </c>
      <c r="H18" s="16">
        <v>1.6263287799999999</v>
      </c>
      <c r="I18" s="14" t="s">
        <v>139</v>
      </c>
      <c r="J18" s="16" t="s">
        <v>139</v>
      </c>
      <c r="K18" s="14">
        <v>0</v>
      </c>
      <c r="L18" s="16">
        <v>0</v>
      </c>
      <c r="M18" s="14">
        <v>0</v>
      </c>
      <c r="N18" s="16">
        <v>0</v>
      </c>
      <c r="O18" s="14">
        <v>0</v>
      </c>
      <c r="P18" s="16">
        <v>0</v>
      </c>
      <c r="Q18" s="14">
        <v>0</v>
      </c>
      <c r="R18" s="16">
        <v>0</v>
      </c>
    </row>
    <row r="19" spans="1:18" x14ac:dyDescent="0.25">
      <c r="A19" s="11" t="s">
        <v>151</v>
      </c>
      <c r="B19" s="13">
        <v>5658</v>
      </c>
      <c r="C19" s="14">
        <f>(4793/B19*100)</f>
        <v>84.711912336514672</v>
      </c>
      <c r="D19" s="15">
        <v>865</v>
      </c>
      <c r="E19" s="14">
        <v>57.610566519999999</v>
      </c>
      <c r="F19" s="16">
        <v>1.75122179</v>
      </c>
      <c r="G19" s="14">
        <v>42.389433480000001</v>
      </c>
      <c r="H19" s="16">
        <v>1.75122179</v>
      </c>
      <c r="I19" s="14" t="s">
        <v>139</v>
      </c>
      <c r="J19" s="16" t="s">
        <v>139</v>
      </c>
      <c r="K19" s="14">
        <v>0</v>
      </c>
      <c r="L19" s="16">
        <v>0</v>
      </c>
      <c r="M19" s="14">
        <v>0</v>
      </c>
      <c r="N19" s="16">
        <v>0</v>
      </c>
      <c r="O19" s="14">
        <v>0</v>
      </c>
      <c r="P19" s="16">
        <v>0</v>
      </c>
      <c r="Q19" s="14">
        <v>0</v>
      </c>
      <c r="R19" s="16">
        <v>0</v>
      </c>
    </row>
    <row r="20" spans="1:18" x14ac:dyDescent="0.25">
      <c r="A20" s="11" t="s">
        <v>152</v>
      </c>
      <c r="B20" s="13">
        <v>3371</v>
      </c>
      <c r="C20" s="14">
        <f>(2842/B20*100)</f>
        <v>84.307327202610509</v>
      </c>
      <c r="D20" s="15">
        <v>529</v>
      </c>
      <c r="E20" s="14">
        <v>46.419839170000003</v>
      </c>
      <c r="F20" s="16">
        <v>2.4532847499999999</v>
      </c>
      <c r="G20" s="14">
        <v>53.580160829999997</v>
      </c>
      <c r="H20" s="16">
        <v>2.4532847499999999</v>
      </c>
      <c r="I20" s="14" t="s">
        <v>139</v>
      </c>
      <c r="J20" s="16" t="s">
        <v>139</v>
      </c>
      <c r="K20" s="14">
        <v>0</v>
      </c>
      <c r="L20" s="16">
        <v>0</v>
      </c>
      <c r="M20" s="14">
        <v>0</v>
      </c>
      <c r="N20" s="16">
        <v>0</v>
      </c>
      <c r="O20" s="14">
        <v>0</v>
      </c>
      <c r="P20" s="16">
        <v>0</v>
      </c>
      <c r="Q20" s="14">
        <v>0</v>
      </c>
      <c r="R20" s="16">
        <v>0</v>
      </c>
    </row>
    <row r="21" spans="1:18" x14ac:dyDescent="0.25">
      <c r="A21" s="11" t="s">
        <v>153</v>
      </c>
      <c r="B21" s="17" t="s">
        <v>154</v>
      </c>
      <c r="C21" s="17" t="s">
        <v>154</v>
      </c>
      <c r="D21" s="18" t="s">
        <v>154</v>
      </c>
      <c r="E21" s="17" t="s">
        <v>154</v>
      </c>
      <c r="F21" s="18" t="s">
        <v>154</v>
      </c>
      <c r="G21" s="17" t="s">
        <v>154</v>
      </c>
      <c r="H21" s="18" t="s">
        <v>154</v>
      </c>
      <c r="I21" s="17" t="s">
        <v>154</v>
      </c>
      <c r="J21" s="18" t="s">
        <v>154</v>
      </c>
      <c r="K21" s="17" t="s">
        <v>154</v>
      </c>
      <c r="L21" s="18" t="s">
        <v>154</v>
      </c>
      <c r="M21" s="17" t="s">
        <v>154</v>
      </c>
      <c r="N21" s="18" t="s">
        <v>154</v>
      </c>
      <c r="O21" s="17" t="s">
        <v>154</v>
      </c>
      <c r="P21" s="18" t="s">
        <v>154</v>
      </c>
      <c r="Q21" s="17" t="s">
        <v>154</v>
      </c>
      <c r="R21" s="18" t="s">
        <v>154</v>
      </c>
    </row>
    <row r="22" spans="1:18" x14ac:dyDescent="0.25">
      <c r="A22" s="11" t="s">
        <v>155</v>
      </c>
      <c r="B22" s="13">
        <v>6598</v>
      </c>
      <c r="C22" s="14">
        <f>(5639/B22*100)</f>
        <v>85.465292512882698</v>
      </c>
      <c r="D22" s="15">
        <v>959</v>
      </c>
      <c r="E22" s="14">
        <v>60.688177840000002</v>
      </c>
      <c r="F22" s="16">
        <v>1.80514291</v>
      </c>
      <c r="G22" s="14">
        <v>39.311822159999998</v>
      </c>
      <c r="H22" s="16">
        <v>1.80514291</v>
      </c>
      <c r="I22" s="14" t="s">
        <v>139</v>
      </c>
      <c r="J22" s="16" t="s">
        <v>139</v>
      </c>
      <c r="K22" s="14">
        <v>0</v>
      </c>
      <c r="L22" s="16">
        <v>0</v>
      </c>
      <c r="M22" s="14">
        <v>0</v>
      </c>
      <c r="N22" s="16">
        <v>0</v>
      </c>
      <c r="O22" s="14">
        <v>0</v>
      </c>
      <c r="P22" s="16">
        <v>0</v>
      </c>
      <c r="Q22" s="14">
        <v>0</v>
      </c>
      <c r="R22" s="16">
        <v>0</v>
      </c>
    </row>
    <row r="23" spans="1:18" x14ac:dyDescent="0.25">
      <c r="A23" s="11" t="s">
        <v>156</v>
      </c>
      <c r="B23" s="13">
        <v>11583</v>
      </c>
      <c r="C23" s="14">
        <f>(9722/B23*100)</f>
        <v>83.933350600017263</v>
      </c>
      <c r="D23" s="15">
        <v>1861</v>
      </c>
      <c r="E23" s="14">
        <v>56.606199609999997</v>
      </c>
      <c r="F23" s="16">
        <v>1.5789742899999999</v>
      </c>
      <c r="G23" s="14">
        <v>43.393800390000003</v>
      </c>
      <c r="H23" s="16">
        <v>1.5789742899999999</v>
      </c>
      <c r="I23" s="14" t="s">
        <v>139</v>
      </c>
      <c r="J23" s="16" t="s">
        <v>139</v>
      </c>
      <c r="K23" s="14">
        <v>0</v>
      </c>
      <c r="L23" s="16">
        <v>0</v>
      </c>
      <c r="M23" s="14">
        <v>0</v>
      </c>
      <c r="N23" s="16">
        <v>0</v>
      </c>
      <c r="O23" s="14">
        <v>0</v>
      </c>
      <c r="P23" s="16">
        <v>0</v>
      </c>
      <c r="Q23" s="14">
        <v>0</v>
      </c>
      <c r="R23" s="16">
        <v>0</v>
      </c>
    </row>
    <row r="24" spans="1:18" x14ac:dyDescent="0.25">
      <c r="A24" s="11" t="s">
        <v>157</v>
      </c>
      <c r="B24" s="13">
        <v>6647</v>
      </c>
      <c r="C24" s="14">
        <f>(5539/B24*100)</f>
        <v>83.33082593651271</v>
      </c>
      <c r="D24" s="15">
        <v>1108</v>
      </c>
      <c r="E24" s="14">
        <v>32.478336249999998</v>
      </c>
      <c r="F24" s="16">
        <v>1.5320382800000001</v>
      </c>
      <c r="G24" s="14">
        <v>67.521663750000002</v>
      </c>
      <c r="H24" s="16">
        <v>1.5320382800000001</v>
      </c>
      <c r="I24" s="14" t="s">
        <v>139</v>
      </c>
      <c r="J24" s="16" t="s">
        <v>139</v>
      </c>
      <c r="K24" s="14">
        <v>0</v>
      </c>
      <c r="L24" s="16">
        <v>0</v>
      </c>
      <c r="M24" s="14">
        <v>0</v>
      </c>
      <c r="N24" s="16">
        <v>0</v>
      </c>
      <c r="O24" s="14">
        <v>0</v>
      </c>
      <c r="P24" s="16">
        <v>0</v>
      </c>
      <c r="Q24" s="14">
        <v>0</v>
      </c>
      <c r="R24" s="16">
        <v>0</v>
      </c>
    </row>
    <row r="25" spans="1:18" x14ac:dyDescent="0.25">
      <c r="A25" s="11" t="s">
        <v>158</v>
      </c>
      <c r="B25" s="13">
        <v>5581</v>
      </c>
      <c r="C25" s="14">
        <f>(4619/B25*100)</f>
        <v>82.762945708654371</v>
      </c>
      <c r="D25" s="15">
        <v>962</v>
      </c>
      <c r="E25" s="14">
        <v>25.382330530000001</v>
      </c>
      <c r="F25" s="16">
        <v>1.3955206</v>
      </c>
      <c r="G25" s="14">
        <v>74.617669469999996</v>
      </c>
      <c r="H25" s="16">
        <v>1.3955206</v>
      </c>
      <c r="I25" s="14" t="s">
        <v>139</v>
      </c>
      <c r="J25" s="16" t="s">
        <v>139</v>
      </c>
      <c r="K25" s="14">
        <v>0</v>
      </c>
      <c r="L25" s="16">
        <v>0</v>
      </c>
      <c r="M25" s="14">
        <v>0</v>
      </c>
      <c r="N25" s="16">
        <v>0</v>
      </c>
      <c r="O25" s="14">
        <v>0</v>
      </c>
      <c r="P25" s="16">
        <v>0</v>
      </c>
      <c r="Q25" s="14">
        <v>0</v>
      </c>
      <c r="R25" s="16">
        <v>0</v>
      </c>
    </row>
    <row r="26" spans="1:18" x14ac:dyDescent="0.25">
      <c r="A26" s="11" t="s">
        <v>159</v>
      </c>
      <c r="B26" s="13">
        <v>4869</v>
      </c>
      <c r="C26" s="14">
        <f>(4044/B26*100)</f>
        <v>83.056069008009857</v>
      </c>
      <c r="D26" s="15">
        <v>825</v>
      </c>
      <c r="E26" s="14">
        <v>52.961039730000003</v>
      </c>
      <c r="F26" s="16">
        <v>1.9818118</v>
      </c>
      <c r="G26" s="14">
        <v>47.038960269999997</v>
      </c>
      <c r="H26" s="16">
        <v>1.9818118</v>
      </c>
      <c r="I26" s="14" t="s">
        <v>139</v>
      </c>
      <c r="J26" s="16" t="s">
        <v>139</v>
      </c>
      <c r="K26" s="14">
        <v>0</v>
      </c>
      <c r="L26" s="16">
        <v>0</v>
      </c>
      <c r="M26" s="14">
        <v>0</v>
      </c>
      <c r="N26" s="16">
        <v>0</v>
      </c>
      <c r="O26" s="14">
        <v>0</v>
      </c>
      <c r="P26" s="16">
        <v>0</v>
      </c>
      <c r="Q26" s="14">
        <v>0</v>
      </c>
      <c r="R26" s="16">
        <v>0</v>
      </c>
    </row>
    <row r="27" spans="1:18" x14ac:dyDescent="0.25">
      <c r="A27" s="11" t="s">
        <v>160</v>
      </c>
      <c r="B27" s="13">
        <v>5299</v>
      </c>
      <c r="C27" s="14">
        <f>(4485/B27*100)</f>
        <v>84.638611058690316</v>
      </c>
      <c r="D27" s="15">
        <v>814</v>
      </c>
      <c r="E27" s="14">
        <v>54.065697970000002</v>
      </c>
      <c r="F27" s="16">
        <v>1.60014707</v>
      </c>
      <c r="G27" s="14">
        <v>45.934302029999998</v>
      </c>
      <c r="H27" s="16">
        <v>1.60014707</v>
      </c>
      <c r="I27" s="14" t="s">
        <v>139</v>
      </c>
      <c r="J27" s="16" t="s">
        <v>139</v>
      </c>
      <c r="K27" s="14">
        <v>0</v>
      </c>
      <c r="L27" s="16">
        <v>0</v>
      </c>
      <c r="M27" s="14">
        <v>0</v>
      </c>
      <c r="N27" s="16">
        <v>0</v>
      </c>
      <c r="O27" s="14">
        <v>0</v>
      </c>
      <c r="P27" s="16">
        <v>0</v>
      </c>
      <c r="Q27" s="14">
        <v>0</v>
      </c>
      <c r="R27" s="16">
        <v>0</v>
      </c>
    </row>
    <row r="28" spans="1:18" x14ac:dyDescent="0.25">
      <c r="A28" s="11" t="s">
        <v>161</v>
      </c>
      <c r="B28" s="13">
        <v>7568</v>
      </c>
      <c r="C28" s="14">
        <f>(6565/B28*100)</f>
        <v>86.746828752642699</v>
      </c>
      <c r="D28" s="15">
        <v>1003</v>
      </c>
      <c r="E28" s="14">
        <v>73.219031099999995</v>
      </c>
      <c r="F28" s="16">
        <v>1.4916684899999999</v>
      </c>
      <c r="G28" s="14">
        <v>26.780968900000001</v>
      </c>
      <c r="H28" s="16">
        <v>1.4916684899999999</v>
      </c>
      <c r="I28" s="14" t="s">
        <v>139</v>
      </c>
      <c r="J28" s="16" t="s">
        <v>139</v>
      </c>
      <c r="K28" s="14">
        <v>0</v>
      </c>
      <c r="L28" s="16">
        <v>0</v>
      </c>
      <c r="M28" s="14">
        <v>0</v>
      </c>
      <c r="N28" s="16">
        <v>0</v>
      </c>
      <c r="O28" s="14">
        <v>0</v>
      </c>
      <c r="P28" s="16">
        <v>0</v>
      </c>
      <c r="Q28" s="14">
        <v>0</v>
      </c>
      <c r="R28" s="16">
        <v>0</v>
      </c>
    </row>
    <row r="29" spans="1:18" x14ac:dyDescent="0.25">
      <c r="A29" s="11" t="s">
        <v>162</v>
      </c>
      <c r="B29" s="13">
        <v>5385</v>
      </c>
      <c r="C29" s="14">
        <f>(4470/B29*100)</f>
        <v>83.008356545961007</v>
      </c>
      <c r="D29" s="15">
        <v>915</v>
      </c>
      <c r="E29" s="14">
        <v>52.696816779999999</v>
      </c>
      <c r="F29" s="16">
        <v>1.44999634</v>
      </c>
      <c r="G29" s="14">
        <v>47.303183220000001</v>
      </c>
      <c r="H29" s="16">
        <v>1.44999634</v>
      </c>
      <c r="I29" s="14" t="s">
        <v>139</v>
      </c>
      <c r="J29" s="16" t="s">
        <v>139</v>
      </c>
      <c r="K29" s="14">
        <v>0</v>
      </c>
      <c r="L29" s="16">
        <v>0</v>
      </c>
      <c r="M29" s="14">
        <v>0</v>
      </c>
      <c r="N29" s="16">
        <v>0</v>
      </c>
      <c r="O29" s="14">
        <v>0</v>
      </c>
      <c r="P29" s="16">
        <v>0</v>
      </c>
      <c r="Q29" s="14">
        <v>0</v>
      </c>
      <c r="R29" s="16">
        <v>0</v>
      </c>
    </row>
    <row r="30" spans="1:18" x14ac:dyDescent="0.25">
      <c r="A30" s="11" t="s">
        <v>163</v>
      </c>
      <c r="B30" s="13">
        <v>4520</v>
      </c>
      <c r="C30" s="14">
        <f>(3802/B30*100)</f>
        <v>84.115044247787608</v>
      </c>
      <c r="D30" s="15">
        <v>718</v>
      </c>
      <c r="E30" s="14">
        <v>37.63213769</v>
      </c>
      <c r="F30" s="16">
        <v>1.60459431</v>
      </c>
      <c r="G30" s="14">
        <v>62.36786231</v>
      </c>
      <c r="H30" s="16">
        <v>1.60459431</v>
      </c>
      <c r="I30" s="14" t="s">
        <v>139</v>
      </c>
      <c r="J30" s="16" t="s">
        <v>139</v>
      </c>
      <c r="K30" s="14">
        <v>0</v>
      </c>
      <c r="L30" s="16">
        <v>0</v>
      </c>
      <c r="M30" s="14">
        <v>0</v>
      </c>
      <c r="N30" s="16">
        <v>0</v>
      </c>
      <c r="O30" s="14">
        <v>0</v>
      </c>
      <c r="P30" s="16">
        <v>0</v>
      </c>
      <c r="Q30" s="14">
        <v>0</v>
      </c>
      <c r="R30" s="16">
        <v>0</v>
      </c>
    </row>
    <row r="31" spans="1:18" x14ac:dyDescent="0.25">
      <c r="A31" s="11" t="s">
        <v>164</v>
      </c>
      <c r="B31" s="13">
        <v>5456</v>
      </c>
      <c r="C31" s="14">
        <f>(4603/B31*100)</f>
        <v>84.365835777126094</v>
      </c>
      <c r="D31" s="15">
        <v>853</v>
      </c>
      <c r="E31" s="14">
        <v>46.666553110000002</v>
      </c>
      <c r="F31" s="16">
        <v>1.6872971000000001</v>
      </c>
      <c r="G31" s="14">
        <v>53.333446889999998</v>
      </c>
      <c r="H31" s="16">
        <v>1.6872971000000001</v>
      </c>
      <c r="I31" s="14" t="s">
        <v>139</v>
      </c>
      <c r="J31" s="16" t="s">
        <v>139</v>
      </c>
      <c r="K31" s="14">
        <v>0</v>
      </c>
      <c r="L31" s="16">
        <v>0</v>
      </c>
      <c r="M31" s="14">
        <v>0</v>
      </c>
      <c r="N31" s="16">
        <v>0</v>
      </c>
      <c r="O31" s="14">
        <v>0</v>
      </c>
      <c r="P31" s="16">
        <v>0</v>
      </c>
      <c r="Q31" s="14">
        <v>0</v>
      </c>
      <c r="R31" s="16">
        <v>0</v>
      </c>
    </row>
    <row r="32" spans="1:18" x14ac:dyDescent="0.25">
      <c r="A32" s="11" t="s">
        <v>165</v>
      </c>
      <c r="B32" s="17" t="s">
        <v>154</v>
      </c>
      <c r="C32" s="17" t="s">
        <v>154</v>
      </c>
      <c r="D32" s="18" t="s">
        <v>154</v>
      </c>
      <c r="E32" s="17" t="s">
        <v>154</v>
      </c>
      <c r="F32" s="18" t="s">
        <v>154</v>
      </c>
      <c r="G32" s="17" t="s">
        <v>154</v>
      </c>
      <c r="H32" s="18" t="s">
        <v>154</v>
      </c>
      <c r="I32" s="17" t="s">
        <v>154</v>
      </c>
      <c r="J32" s="18" t="s">
        <v>154</v>
      </c>
      <c r="K32" s="17" t="s">
        <v>154</v>
      </c>
      <c r="L32" s="18" t="s">
        <v>154</v>
      </c>
      <c r="M32" s="17" t="s">
        <v>154</v>
      </c>
      <c r="N32" s="18" t="s">
        <v>154</v>
      </c>
      <c r="O32" s="17" t="s">
        <v>154</v>
      </c>
      <c r="P32" s="18" t="s">
        <v>154</v>
      </c>
      <c r="Q32" s="17" t="s">
        <v>154</v>
      </c>
      <c r="R32" s="18" t="s">
        <v>154</v>
      </c>
    </row>
    <row r="33" spans="1:18" x14ac:dyDescent="0.25">
      <c r="A33" s="11" t="s">
        <v>166</v>
      </c>
      <c r="B33" s="13">
        <v>7325</v>
      </c>
      <c r="C33" s="14">
        <f>(6254/B33*100)</f>
        <v>85.37883959044369</v>
      </c>
      <c r="D33" s="15">
        <v>1071</v>
      </c>
      <c r="E33" s="14">
        <v>60.17796431</v>
      </c>
      <c r="F33" s="16">
        <v>1.5047169499999999</v>
      </c>
      <c r="G33" s="14">
        <v>39.82203569</v>
      </c>
      <c r="H33" s="16">
        <v>1.5047169499999999</v>
      </c>
      <c r="I33" s="14" t="s">
        <v>139</v>
      </c>
      <c r="J33" s="16" t="s">
        <v>139</v>
      </c>
      <c r="K33" s="14">
        <v>0</v>
      </c>
      <c r="L33" s="16">
        <v>0</v>
      </c>
      <c r="M33" s="14">
        <v>0</v>
      </c>
      <c r="N33" s="16">
        <v>0</v>
      </c>
      <c r="O33" s="14">
        <v>0</v>
      </c>
      <c r="P33" s="16">
        <v>0</v>
      </c>
      <c r="Q33" s="14">
        <v>0</v>
      </c>
      <c r="R33" s="16">
        <v>0</v>
      </c>
    </row>
    <row r="34" spans="1:18" x14ac:dyDescent="0.25">
      <c r="A34" s="11" t="s">
        <v>167</v>
      </c>
      <c r="B34" s="13">
        <v>6350</v>
      </c>
      <c r="C34" s="14">
        <f>(5401/B34*100)</f>
        <v>85.055118110236222</v>
      </c>
      <c r="D34" s="15">
        <v>949</v>
      </c>
      <c r="E34" s="14">
        <v>71.094259309999998</v>
      </c>
      <c r="F34" s="16">
        <v>1.5917281999999999</v>
      </c>
      <c r="G34" s="14">
        <v>28.905740689999998</v>
      </c>
      <c r="H34" s="16">
        <v>1.5917281999999999</v>
      </c>
      <c r="I34" s="14" t="s">
        <v>139</v>
      </c>
      <c r="J34" s="16" t="s">
        <v>139</v>
      </c>
      <c r="K34" s="14">
        <v>0</v>
      </c>
      <c r="L34" s="16">
        <v>0</v>
      </c>
      <c r="M34" s="14">
        <v>0</v>
      </c>
      <c r="N34" s="16">
        <v>0</v>
      </c>
      <c r="O34" s="14">
        <v>0</v>
      </c>
      <c r="P34" s="16">
        <v>0</v>
      </c>
      <c r="Q34" s="14">
        <v>0</v>
      </c>
      <c r="R34" s="16">
        <v>0</v>
      </c>
    </row>
    <row r="35" spans="1:18" x14ac:dyDescent="0.25">
      <c r="A35" s="11" t="s">
        <v>168</v>
      </c>
      <c r="B35" s="13">
        <v>6406</v>
      </c>
      <c r="C35" s="14">
        <f>(5331/B35*100)</f>
        <v>83.218857321261325</v>
      </c>
      <c r="D35" s="15">
        <v>1075</v>
      </c>
      <c r="E35" s="14">
        <v>46.928265469999999</v>
      </c>
      <c r="F35" s="16">
        <v>1.7872029199999999</v>
      </c>
      <c r="G35" s="14">
        <v>53.071734530000001</v>
      </c>
      <c r="H35" s="16">
        <v>1.7872029199999999</v>
      </c>
      <c r="I35" s="14" t="s">
        <v>139</v>
      </c>
      <c r="J35" s="16" t="s">
        <v>139</v>
      </c>
      <c r="K35" s="14">
        <v>0</v>
      </c>
      <c r="L35" s="16">
        <v>0</v>
      </c>
      <c r="M35" s="14">
        <v>0</v>
      </c>
      <c r="N35" s="16">
        <v>0</v>
      </c>
      <c r="O35" s="14">
        <v>0</v>
      </c>
      <c r="P35" s="16">
        <v>0</v>
      </c>
      <c r="Q35" s="14">
        <v>0</v>
      </c>
      <c r="R35" s="16">
        <v>0</v>
      </c>
    </row>
    <row r="36" spans="1:18" x14ac:dyDescent="0.25">
      <c r="A36" s="11" t="s">
        <v>169</v>
      </c>
      <c r="B36" s="13">
        <v>6736</v>
      </c>
      <c r="C36" s="14">
        <f>(5718/B36*100)</f>
        <v>84.887173396674584</v>
      </c>
      <c r="D36" s="15">
        <v>1018</v>
      </c>
      <c r="E36" s="14">
        <v>45.897958350000003</v>
      </c>
      <c r="F36" s="16">
        <v>1.5614649</v>
      </c>
      <c r="G36" s="14">
        <v>54.102041649999997</v>
      </c>
      <c r="H36" s="16">
        <v>1.5614649</v>
      </c>
      <c r="I36" s="14" t="s">
        <v>139</v>
      </c>
      <c r="J36" s="16" t="s">
        <v>139</v>
      </c>
      <c r="K36" s="14">
        <v>0</v>
      </c>
      <c r="L36" s="16">
        <v>0</v>
      </c>
      <c r="M36" s="14">
        <v>0</v>
      </c>
      <c r="N36" s="16">
        <v>0</v>
      </c>
      <c r="O36" s="14">
        <v>0</v>
      </c>
      <c r="P36" s="16">
        <v>0</v>
      </c>
      <c r="Q36" s="14">
        <v>0</v>
      </c>
      <c r="R36" s="16">
        <v>0</v>
      </c>
    </row>
    <row r="37" spans="1:18" x14ac:dyDescent="0.25">
      <c r="A37" s="11" t="s">
        <v>170</v>
      </c>
      <c r="B37" s="13">
        <v>5458</v>
      </c>
      <c r="C37" s="14">
        <f>(4647/B37*100)</f>
        <v>85.141077317698787</v>
      </c>
      <c r="D37" s="15">
        <v>811</v>
      </c>
      <c r="E37" s="14">
        <v>51.6448848</v>
      </c>
      <c r="F37" s="16">
        <v>1.82241052</v>
      </c>
      <c r="G37" s="14">
        <v>48.3551152</v>
      </c>
      <c r="H37" s="16">
        <v>1.82241052</v>
      </c>
      <c r="I37" s="14" t="s">
        <v>139</v>
      </c>
      <c r="J37" s="16" t="s">
        <v>139</v>
      </c>
      <c r="K37" s="14">
        <v>0</v>
      </c>
      <c r="L37" s="16">
        <v>0</v>
      </c>
      <c r="M37" s="14">
        <v>0</v>
      </c>
      <c r="N37" s="16">
        <v>0</v>
      </c>
      <c r="O37" s="14">
        <v>0</v>
      </c>
      <c r="P37" s="16">
        <v>0</v>
      </c>
      <c r="Q37" s="14">
        <v>0</v>
      </c>
      <c r="R37" s="16">
        <v>0</v>
      </c>
    </row>
    <row r="38" spans="1:18" x14ac:dyDescent="0.25">
      <c r="A38" s="11" t="s">
        <v>171</v>
      </c>
      <c r="B38" s="17" t="s">
        <v>154</v>
      </c>
      <c r="C38" s="17" t="s">
        <v>154</v>
      </c>
      <c r="D38" s="18" t="s">
        <v>154</v>
      </c>
      <c r="E38" s="17" t="s">
        <v>154</v>
      </c>
      <c r="F38" s="18" t="s">
        <v>154</v>
      </c>
      <c r="G38" s="17" t="s">
        <v>154</v>
      </c>
      <c r="H38" s="18" t="s">
        <v>154</v>
      </c>
      <c r="I38" s="17" t="s">
        <v>154</v>
      </c>
      <c r="J38" s="18" t="s">
        <v>154</v>
      </c>
      <c r="K38" s="17" t="s">
        <v>154</v>
      </c>
      <c r="L38" s="18" t="s">
        <v>154</v>
      </c>
      <c r="M38" s="17" t="s">
        <v>154</v>
      </c>
      <c r="N38" s="18" t="s">
        <v>154</v>
      </c>
      <c r="O38" s="17" t="s">
        <v>154</v>
      </c>
      <c r="P38" s="18" t="s">
        <v>154</v>
      </c>
      <c r="Q38" s="17" t="s">
        <v>154</v>
      </c>
      <c r="R38" s="18" t="s">
        <v>154</v>
      </c>
    </row>
    <row r="39" spans="1:18" x14ac:dyDescent="0.25">
      <c r="A39" s="11" t="s">
        <v>172</v>
      </c>
      <c r="B39" s="13">
        <v>5895</v>
      </c>
      <c r="C39" s="14">
        <f>(4878/B39*100)</f>
        <v>82.748091603053425</v>
      </c>
      <c r="D39" s="15">
        <v>1017</v>
      </c>
      <c r="E39" s="14">
        <v>60.624715479999999</v>
      </c>
      <c r="F39" s="16">
        <v>1.8720234899999999</v>
      </c>
      <c r="G39" s="14">
        <v>39.375284520000001</v>
      </c>
      <c r="H39" s="16">
        <v>1.8720234899999999</v>
      </c>
      <c r="I39" s="14" t="s">
        <v>139</v>
      </c>
      <c r="J39" s="16" t="s">
        <v>139</v>
      </c>
      <c r="K39" s="14">
        <v>0</v>
      </c>
      <c r="L39" s="16">
        <v>0</v>
      </c>
      <c r="M39" s="14">
        <v>0</v>
      </c>
      <c r="N39" s="16">
        <v>0</v>
      </c>
      <c r="O39" s="14">
        <v>0</v>
      </c>
      <c r="P39" s="16">
        <v>0</v>
      </c>
      <c r="Q39" s="14">
        <v>0</v>
      </c>
      <c r="R39" s="16">
        <v>0</v>
      </c>
    </row>
    <row r="40" spans="1:18" x14ac:dyDescent="0.25">
      <c r="A40" s="11" t="s">
        <v>173</v>
      </c>
      <c r="B40" s="13">
        <v>14157</v>
      </c>
      <c r="C40" s="14">
        <f>(11712/B40*100)</f>
        <v>82.729391820300918</v>
      </c>
      <c r="D40" s="15">
        <v>2445</v>
      </c>
      <c r="E40" s="14">
        <v>39.658893159999998</v>
      </c>
      <c r="F40" s="16">
        <v>1.6526915799999999</v>
      </c>
      <c r="G40" s="14">
        <v>60.341106840000002</v>
      </c>
      <c r="H40" s="16">
        <v>1.6526915799999999</v>
      </c>
      <c r="I40" s="14" t="s">
        <v>139</v>
      </c>
      <c r="J40" s="16" t="s">
        <v>139</v>
      </c>
      <c r="K40" s="14">
        <v>0</v>
      </c>
      <c r="L40" s="16">
        <v>0</v>
      </c>
      <c r="M40" s="14">
        <v>0</v>
      </c>
      <c r="N40" s="16">
        <v>0</v>
      </c>
      <c r="O40" s="14">
        <v>0</v>
      </c>
      <c r="P40" s="16">
        <v>0</v>
      </c>
      <c r="Q40" s="14">
        <v>0</v>
      </c>
      <c r="R40" s="16">
        <v>0</v>
      </c>
    </row>
    <row r="41" spans="1:18" x14ac:dyDescent="0.25">
      <c r="A41" s="11" t="s">
        <v>174</v>
      </c>
      <c r="B41" s="13">
        <v>5712</v>
      </c>
      <c r="C41" s="14">
        <f>(4835/B41*100)</f>
        <v>84.646358543417364</v>
      </c>
      <c r="D41" s="15">
        <v>877</v>
      </c>
      <c r="E41" s="14">
        <v>40.477234799999998</v>
      </c>
      <c r="F41" s="16">
        <v>1.9642472200000001</v>
      </c>
      <c r="G41" s="14">
        <v>59.522765200000002</v>
      </c>
      <c r="H41" s="16">
        <v>1.9642472200000001</v>
      </c>
      <c r="I41" s="14" t="s">
        <v>139</v>
      </c>
      <c r="J41" s="16" t="s">
        <v>139</v>
      </c>
      <c r="K41" s="14">
        <v>0</v>
      </c>
      <c r="L41" s="16">
        <v>0</v>
      </c>
      <c r="M41" s="14">
        <v>0</v>
      </c>
      <c r="N41" s="16">
        <v>0</v>
      </c>
      <c r="O41" s="14">
        <v>0</v>
      </c>
      <c r="P41" s="16">
        <v>0</v>
      </c>
      <c r="Q41" s="14">
        <v>0</v>
      </c>
      <c r="R41" s="16">
        <v>0</v>
      </c>
    </row>
    <row r="42" spans="1:18" x14ac:dyDescent="0.25">
      <c r="A42" s="11" t="s">
        <v>175</v>
      </c>
      <c r="B42" s="13">
        <f>IF(COUNT(B7:B41) &gt; 0, AVERAGE(B7:B41), "\u2014")</f>
        <v>7266.90625</v>
      </c>
      <c r="C42" s="14">
        <f>IF(COUNT(C7:C41) &gt; 0, AVERAGE(C7:C41), "—")</f>
        <v>84.230313367981722</v>
      </c>
      <c r="D42" s="15">
        <f>IF(COUNT(D7:D41) &gt; 0, AVERAGE(D7:D41), "—")</f>
        <v>1149.375</v>
      </c>
      <c r="E42" s="14">
        <f>IF(COUNT(E7:E41) &gt; 0, AVERAGE(E7:E41), "—")</f>
        <v>50.192070817187506</v>
      </c>
      <c r="F42" s="16">
        <f>IF(COUNT(F7:F41) &gt; 0, SQRT(SUMSQ(F7:F41)/(COUNT(F7:F41)*COUNT(F7:F41)) ), "—")</f>
        <v>0.29639712405897611</v>
      </c>
      <c r="G42" s="14">
        <f>IF(COUNT(G7:G41) &gt; 0, AVERAGE(G7:G41), "—")</f>
        <v>49.807929182812494</v>
      </c>
      <c r="H42" s="16">
        <f>IF(COUNT(H7:H41) &gt; 0, SQRT(SUMSQ(H7:H41)/(COUNT(H7:H41)*COUNT(H7:H41)) ), "—")</f>
        <v>0.29639712405897611</v>
      </c>
      <c r="I42" s="14" t="str">
        <f>IF(COUNT(I7:I41) &gt; 0, AVERAGE(I7:I41), "—")</f>
        <v>—</v>
      </c>
      <c r="J42" s="16" t="str">
        <f>IF(COUNT(J7:J41) &gt; 0, SQRT(SUMSQ(J7:J41)/(COUNT(J7:J41)*COUNT(J7:J41)) ), "—")</f>
        <v>—</v>
      </c>
      <c r="K42" s="14">
        <f>IF(COUNT(K7:K41) &gt; 0, AVERAGE(K7:K41), "—")</f>
        <v>0</v>
      </c>
      <c r="L42" s="16">
        <f>IF(COUNT(L7:L41) &gt; 0, SQRT(SUMSQ(L7:L41)/(COUNT(L7:L41)*COUNT(L7:L41)) ), "—")</f>
        <v>0</v>
      </c>
      <c r="M42" s="14">
        <f>IF(COUNT(M7:M41) &gt; 0, AVERAGE(M7:M41), "—")</f>
        <v>0</v>
      </c>
      <c r="N42" s="16">
        <f>IF(COUNT(N7:N41) &gt; 0, SQRT(SUMSQ(N7:N41)/(COUNT(N7:N41)*COUNT(N7:N41)) ), "—")</f>
        <v>0</v>
      </c>
      <c r="O42" s="14">
        <f>IF(COUNT(O7:O41) &gt; 0, AVERAGE(O7:O41), "—")</f>
        <v>0</v>
      </c>
      <c r="P42" s="16">
        <f>IF(COUNT(P7:P41) &gt; 0, SQRT(SUMSQ(P7:P41)/(COUNT(P7:P41)*COUNT(P7:P41)) ), "—")</f>
        <v>0</v>
      </c>
      <c r="Q42" s="14">
        <f>IF(COUNT(Q7:Q41) &gt; 0, AVERAGE(Q7:Q41), "—")</f>
        <v>0</v>
      </c>
      <c r="R42" s="16">
        <f>IF(COUNT(R7:R41) &gt; 0, SQRT(SUMSQ(R7:R41)/(COUNT(R7:R41)*COUNT(R7:R41)) ), "—")</f>
        <v>0</v>
      </c>
    </row>
    <row r="43" spans="1:18" x14ac:dyDescent="0.25">
      <c r="A43" s="9" t="s">
        <v>176</v>
      </c>
      <c r="B43" s="10"/>
      <c r="C43" s="10"/>
      <c r="D43" s="11"/>
      <c r="E43" s="10"/>
      <c r="F43" s="11"/>
      <c r="G43" s="10"/>
      <c r="H43" s="11"/>
      <c r="I43" s="10"/>
      <c r="J43" s="11"/>
      <c r="K43" s="10"/>
      <c r="L43" s="11"/>
      <c r="M43" s="10"/>
      <c r="N43" s="11"/>
      <c r="O43" s="10"/>
      <c r="P43" s="11"/>
      <c r="Q43" s="10"/>
      <c r="R43" s="12"/>
    </row>
    <row r="44" spans="1:18" x14ac:dyDescent="0.25">
      <c r="A44" s="11" t="s">
        <v>177</v>
      </c>
      <c r="B44" s="17" t="s">
        <v>154</v>
      </c>
      <c r="C44" s="17" t="s">
        <v>154</v>
      </c>
      <c r="D44" s="18" t="s">
        <v>154</v>
      </c>
      <c r="E44" s="17" t="s">
        <v>154</v>
      </c>
      <c r="F44" s="18" t="s">
        <v>154</v>
      </c>
      <c r="G44" s="17" t="s">
        <v>154</v>
      </c>
      <c r="H44" s="18" t="s">
        <v>154</v>
      </c>
      <c r="I44" s="17" t="s">
        <v>154</v>
      </c>
      <c r="J44" s="18" t="s">
        <v>154</v>
      </c>
      <c r="K44" s="17" t="s">
        <v>154</v>
      </c>
      <c r="L44" s="18" t="s">
        <v>154</v>
      </c>
      <c r="M44" s="17" t="s">
        <v>154</v>
      </c>
      <c r="N44" s="18" t="s">
        <v>154</v>
      </c>
      <c r="O44" s="17" t="s">
        <v>154</v>
      </c>
      <c r="P44" s="18" t="s">
        <v>154</v>
      </c>
      <c r="Q44" s="17" t="s">
        <v>154</v>
      </c>
      <c r="R44" s="18" t="s">
        <v>154</v>
      </c>
    </row>
    <row r="45" spans="1:18" x14ac:dyDescent="0.25">
      <c r="A45" s="11" t="s">
        <v>178</v>
      </c>
      <c r="B45" s="17" t="s">
        <v>154</v>
      </c>
      <c r="C45" s="17" t="s">
        <v>154</v>
      </c>
      <c r="D45" s="18" t="s">
        <v>154</v>
      </c>
      <c r="E45" s="17" t="s">
        <v>154</v>
      </c>
      <c r="F45" s="18" t="s">
        <v>154</v>
      </c>
      <c r="G45" s="17" t="s">
        <v>154</v>
      </c>
      <c r="H45" s="18" t="s">
        <v>154</v>
      </c>
      <c r="I45" s="17" t="s">
        <v>154</v>
      </c>
      <c r="J45" s="18" t="s">
        <v>154</v>
      </c>
      <c r="K45" s="17" t="s">
        <v>154</v>
      </c>
      <c r="L45" s="18" t="s">
        <v>154</v>
      </c>
      <c r="M45" s="17" t="s">
        <v>154</v>
      </c>
      <c r="N45" s="18" t="s">
        <v>154</v>
      </c>
      <c r="O45" s="17" t="s">
        <v>154</v>
      </c>
      <c r="P45" s="18" t="s">
        <v>154</v>
      </c>
      <c r="Q45" s="17" t="s">
        <v>154</v>
      </c>
      <c r="R45" s="18" t="s">
        <v>154</v>
      </c>
    </row>
    <row r="46" spans="1:18" x14ac:dyDescent="0.25">
      <c r="A46" s="11" t="s">
        <v>179</v>
      </c>
      <c r="B46" s="13">
        <v>23141</v>
      </c>
      <c r="C46" s="14">
        <f>(20786/B46*100)</f>
        <v>89.823257421891881</v>
      </c>
      <c r="D46" s="15">
        <v>2355</v>
      </c>
      <c r="E46" s="14">
        <v>69.692371089999995</v>
      </c>
      <c r="F46" s="16">
        <v>1.2671627700000001</v>
      </c>
      <c r="G46" s="14">
        <v>30.307628909999998</v>
      </c>
      <c r="H46" s="16">
        <v>1.2671627700000001</v>
      </c>
      <c r="I46" s="14" t="s">
        <v>139</v>
      </c>
      <c r="J46" s="16" t="s">
        <v>139</v>
      </c>
      <c r="K46" s="14">
        <v>0</v>
      </c>
      <c r="L46" s="16">
        <v>0</v>
      </c>
      <c r="M46" s="14">
        <v>0</v>
      </c>
      <c r="N46" s="16">
        <v>0</v>
      </c>
      <c r="O46" s="14">
        <v>0</v>
      </c>
      <c r="P46" s="16">
        <v>0</v>
      </c>
      <c r="Q46" s="14">
        <v>0</v>
      </c>
      <c r="R46" s="16">
        <v>0</v>
      </c>
    </row>
    <row r="47" spans="1:18" x14ac:dyDescent="0.25">
      <c r="A47" s="11" t="s">
        <v>180</v>
      </c>
      <c r="B47" s="13">
        <v>5928</v>
      </c>
      <c r="C47" s="14">
        <f>(5048/B47*100)</f>
        <v>85.155195681511472</v>
      </c>
      <c r="D47" s="15">
        <v>880</v>
      </c>
      <c r="E47" s="14">
        <v>66.148890170000001</v>
      </c>
      <c r="F47" s="16">
        <v>1.84602146</v>
      </c>
      <c r="G47" s="14">
        <v>33.851109829999999</v>
      </c>
      <c r="H47" s="16">
        <v>1.84602146</v>
      </c>
      <c r="I47" s="14" t="s">
        <v>139</v>
      </c>
      <c r="J47" s="16" t="s">
        <v>139</v>
      </c>
      <c r="K47" s="14">
        <v>0</v>
      </c>
      <c r="L47" s="16">
        <v>0</v>
      </c>
      <c r="M47" s="14">
        <v>0</v>
      </c>
      <c r="N47" s="16">
        <v>0</v>
      </c>
      <c r="O47" s="14">
        <v>0</v>
      </c>
      <c r="P47" s="16">
        <v>0</v>
      </c>
      <c r="Q47" s="14">
        <v>0</v>
      </c>
      <c r="R47" s="16">
        <v>0</v>
      </c>
    </row>
    <row r="48" spans="1:18" x14ac:dyDescent="0.25">
      <c r="A48" s="11" t="s">
        <v>181</v>
      </c>
      <c r="B48" s="13">
        <v>9841</v>
      </c>
      <c r="C48" s="14">
        <f>(8186/B48*100)</f>
        <v>83.18260339396403</v>
      </c>
      <c r="D48" s="15">
        <v>1655</v>
      </c>
      <c r="E48" s="14">
        <v>54.521816809999997</v>
      </c>
      <c r="F48" s="16">
        <v>1.90362253</v>
      </c>
      <c r="G48" s="14">
        <v>45.478183190000003</v>
      </c>
      <c r="H48" s="16">
        <v>1.90362253</v>
      </c>
      <c r="I48" s="14" t="s">
        <v>139</v>
      </c>
      <c r="J48" s="16" t="s">
        <v>139</v>
      </c>
      <c r="K48" s="14">
        <v>0</v>
      </c>
      <c r="L48" s="16">
        <v>0</v>
      </c>
      <c r="M48" s="14">
        <v>0</v>
      </c>
      <c r="N48" s="16">
        <v>0</v>
      </c>
      <c r="O48" s="14">
        <v>0</v>
      </c>
      <c r="P48" s="16">
        <v>0</v>
      </c>
      <c r="Q48" s="14">
        <v>0</v>
      </c>
      <c r="R48" s="16">
        <v>0</v>
      </c>
    </row>
    <row r="49" spans="1:18" x14ac:dyDescent="0.25">
      <c r="A49" s="11" t="s">
        <v>182</v>
      </c>
      <c r="B49" s="17" t="s">
        <v>154</v>
      </c>
      <c r="C49" s="17" t="s">
        <v>154</v>
      </c>
      <c r="D49" s="18" t="s">
        <v>154</v>
      </c>
      <c r="E49" s="17" t="s">
        <v>154</v>
      </c>
      <c r="F49" s="18" t="s">
        <v>154</v>
      </c>
      <c r="G49" s="17" t="s">
        <v>154</v>
      </c>
      <c r="H49" s="18" t="s">
        <v>154</v>
      </c>
      <c r="I49" s="17" t="s">
        <v>154</v>
      </c>
      <c r="J49" s="18" t="s">
        <v>154</v>
      </c>
      <c r="K49" s="17" t="s">
        <v>154</v>
      </c>
      <c r="L49" s="18" t="s">
        <v>154</v>
      </c>
      <c r="M49" s="17" t="s">
        <v>154</v>
      </c>
      <c r="N49" s="18" t="s">
        <v>154</v>
      </c>
      <c r="O49" s="17" t="s">
        <v>154</v>
      </c>
      <c r="P49" s="18" t="s">
        <v>154</v>
      </c>
      <c r="Q49" s="17" t="s">
        <v>154</v>
      </c>
      <c r="R49" s="18" t="s">
        <v>154</v>
      </c>
    </row>
    <row r="50" spans="1:18" x14ac:dyDescent="0.25">
      <c r="A50" s="11" t="s">
        <v>183</v>
      </c>
      <c r="B50" s="13">
        <v>11795</v>
      </c>
      <c r="C50" s="14">
        <f>(10063/B50*100)</f>
        <v>85.315811784654514</v>
      </c>
      <c r="D50" s="15">
        <v>1732</v>
      </c>
      <c r="E50" s="14">
        <v>68.739335310000001</v>
      </c>
      <c r="F50" s="16">
        <v>1.6746282400000001</v>
      </c>
      <c r="G50" s="14">
        <v>31.260664689999999</v>
      </c>
      <c r="H50" s="16">
        <v>1.6746282400000001</v>
      </c>
      <c r="I50" s="14" t="s">
        <v>139</v>
      </c>
      <c r="J50" s="16" t="s">
        <v>139</v>
      </c>
      <c r="K50" s="14">
        <v>0</v>
      </c>
      <c r="L50" s="16">
        <v>0</v>
      </c>
      <c r="M50" s="14">
        <v>0</v>
      </c>
      <c r="N50" s="16">
        <v>0</v>
      </c>
      <c r="O50" s="14">
        <v>0</v>
      </c>
      <c r="P50" s="16">
        <v>0</v>
      </c>
      <c r="Q50" s="14">
        <v>0</v>
      </c>
      <c r="R50" s="16">
        <v>0</v>
      </c>
    </row>
    <row r="51" spans="1:18" x14ac:dyDescent="0.25">
      <c r="A51" s="11" t="s">
        <v>184</v>
      </c>
      <c r="B51" s="13">
        <v>6866</v>
      </c>
      <c r="C51" s="14">
        <f>(6010/B51*100)</f>
        <v>87.532770171861344</v>
      </c>
      <c r="D51" s="15">
        <v>856</v>
      </c>
      <c r="E51" s="14">
        <v>65.402584349999998</v>
      </c>
      <c r="F51" s="16">
        <v>1.57820122</v>
      </c>
      <c r="G51" s="14">
        <v>34.597415650000002</v>
      </c>
      <c r="H51" s="16">
        <v>1.57820122</v>
      </c>
      <c r="I51" s="14" t="s">
        <v>139</v>
      </c>
      <c r="J51" s="16" t="s">
        <v>139</v>
      </c>
      <c r="K51" s="14">
        <v>0</v>
      </c>
      <c r="L51" s="16">
        <v>0</v>
      </c>
      <c r="M51" s="14">
        <v>0</v>
      </c>
      <c r="N51" s="16">
        <v>0</v>
      </c>
      <c r="O51" s="14">
        <v>0</v>
      </c>
      <c r="P51" s="16">
        <v>0</v>
      </c>
      <c r="Q51" s="14">
        <v>0</v>
      </c>
      <c r="R51" s="16">
        <v>0</v>
      </c>
    </row>
    <row r="52" spans="1:18" x14ac:dyDescent="0.25">
      <c r="A52" s="11" t="s">
        <v>185</v>
      </c>
      <c r="B52" s="13">
        <v>5809</v>
      </c>
      <c r="C52" s="14">
        <f>(4849/B52*100)</f>
        <v>83.473919779652263</v>
      </c>
      <c r="D52" s="15">
        <v>960</v>
      </c>
      <c r="E52" s="14">
        <v>50.070584840000002</v>
      </c>
      <c r="F52" s="16">
        <v>1.61470238</v>
      </c>
      <c r="G52" s="14">
        <v>49.929415159999998</v>
      </c>
      <c r="H52" s="16">
        <v>1.61470238</v>
      </c>
      <c r="I52" s="14" t="s">
        <v>139</v>
      </c>
      <c r="J52" s="16" t="s">
        <v>139</v>
      </c>
      <c r="K52" s="14">
        <v>0</v>
      </c>
      <c r="L52" s="16">
        <v>0</v>
      </c>
      <c r="M52" s="14">
        <v>0</v>
      </c>
      <c r="N52" s="16">
        <v>0</v>
      </c>
      <c r="O52" s="14">
        <v>0</v>
      </c>
      <c r="P52" s="16">
        <v>0</v>
      </c>
      <c r="Q52" s="14">
        <v>0</v>
      </c>
      <c r="R52" s="16">
        <v>0</v>
      </c>
    </row>
    <row r="53" spans="1:18" x14ac:dyDescent="0.25">
      <c r="A53" s="11" t="s">
        <v>186</v>
      </c>
      <c r="B53" s="13">
        <v>5571</v>
      </c>
      <c r="C53" s="14">
        <f>(4676/B53*100)</f>
        <v>83.934661640639021</v>
      </c>
      <c r="D53" s="15">
        <v>895</v>
      </c>
      <c r="E53" s="14">
        <v>57.207610440000003</v>
      </c>
      <c r="F53" s="16">
        <v>1.56373308</v>
      </c>
      <c r="G53" s="14">
        <v>42.792389559999997</v>
      </c>
      <c r="H53" s="16">
        <v>1.56373308</v>
      </c>
      <c r="I53" s="14" t="s">
        <v>139</v>
      </c>
      <c r="J53" s="16" t="s">
        <v>139</v>
      </c>
      <c r="K53" s="14">
        <v>0</v>
      </c>
      <c r="L53" s="16">
        <v>0</v>
      </c>
      <c r="M53" s="14">
        <v>0</v>
      </c>
      <c r="N53" s="16">
        <v>0</v>
      </c>
      <c r="O53" s="14">
        <v>0</v>
      </c>
      <c r="P53" s="16">
        <v>0</v>
      </c>
      <c r="Q53" s="14">
        <v>0</v>
      </c>
      <c r="R53" s="16">
        <v>0</v>
      </c>
    </row>
    <row r="54" spans="1:18" x14ac:dyDescent="0.25">
      <c r="A54" s="11" t="s">
        <v>187</v>
      </c>
      <c r="B54" s="17" t="s">
        <v>154</v>
      </c>
      <c r="C54" s="17" t="s">
        <v>154</v>
      </c>
      <c r="D54" s="18" t="s">
        <v>154</v>
      </c>
      <c r="E54" s="17" t="s">
        <v>154</v>
      </c>
      <c r="F54" s="18" t="s">
        <v>154</v>
      </c>
      <c r="G54" s="17" t="s">
        <v>154</v>
      </c>
      <c r="H54" s="18" t="s">
        <v>154</v>
      </c>
      <c r="I54" s="17" t="s">
        <v>154</v>
      </c>
      <c r="J54" s="18" t="s">
        <v>154</v>
      </c>
      <c r="K54" s="17" t="s">
        <v>154</v>
      </c>
      <c r="L54" s="18" t="s">
        <v>154</v>
      </c>
      <c r="M54" s="17" t="s">
        <v>154</v>
      </c>
      <c r="N54" s="18" t="s">
        <v>154</v>
      </c>
      <c r="O54" s="17" t="s">
        <v>154</v>
      </c>
      <c r="P54" s="18" t="s">
        <v>154</v>
      </c>
      <c r="Q54" s="17" t="s">
        <v>154</v>
      </c>
      <c r="R54" s="18" t="s">
        <v>154</v>
      </c>
    </row>
    <row r="55" spans="1:18" x14ac:dyDescent="0.25">
      <c r="A55" s="11" t="s">
        <v>188</v>
      </c>
      <c r="B55" s="17" t="s">
        <v>154</v>
      </c>
      <c r="C55" s="17" t="s">
        <v>154</v>
      </c>
      <c r="D55" s="18" t="s">
        <v>154</v>
      </c>
      <c r="E55" s="17" t="s">
        <v>154</v>
      </c>
      <c r="F55" s="18" t="s">
        <v>154</v>
      </c>
      <c r="G55" s="17" t="s">
        <v>154</v>
      </c>
      <c r="H55" s="18" t="s">
        <v>154</v>
      </c>
      <c r="I55" s="17" t="s">
        <v>154</v>
      </c>
      <c r="J55" s="18" t="s">
        <v>154</v>
      </c>
      <c r="K55" s="17" t="s">
        <v>154</v>
      </c>
      <c r="L55" s="18" t="s">
        <v>154</v>
      </c>
      <c r="M55" s="17" t="s">
        <v>154</v>
      </c>
      <c r="N55" s="18" t="s">
        <v>154</v>
      </c>
      <c r="O55" s="17" t="s">
        <v>154</v>
      </c>
      <c r="P55" s="18" t="s">
        <v>154</v>
      </c>
      <c r="Q55" s="17" t="s">
        <v>154</v>
      </c>
      <c r="R55" s="18" t="s">
        <v>154</v>
      </c>
    </row>
    <row r="56" spans="1:18" x14ac:dyDescent="0.25">
      <c r="A56" s="11" t="s">
        <v>189</v>
      </c>
      <c r="B56" s="13">
        <v>5359</v>
      </c>
      <c r="C56" s="14">
        <f>(4457/B56*100)</f>
        <v>83.168501586116818</v>
      </c>
      <c r="D56" s="15">
        <v>902</v>
      </c>
      <c r="E56" s="14">
        <v>32.272997830000001</v>
      </c>
      <c r="F56" s="16">
        <v>1.6731479300000001</v>
      </c>
      <c r="G56" s="14">
        <v>67.727002170000006</v>
      </c>
      <c r="H56" s="16">
        <v>1.6731479300000001</v>
      </c>
      <c r="I56" s="14" t="s">
        <v>139</v>
      </c>
      <c r="J56" s="16" t="s">
        <v>139</v>
      </c>
      <c r="K56" s="14">
        <v>0</v>
      </c>
      <c r="L56" s="16">
        <v>0</v>
      </c>
      <c r="M56" s="14">
        <v>0</v>
      </c>
      <c r="N56" s="16">
        <v>0</v>
      </c>
      <c r="O56" s="14">
        <v>0</v>
      </c>
      <c r="P56" s="16">
        <v>0</v>
      </c>
      <c r="Q56" s="14">
        <v>0</v>
      </c>
      <c r="R56" s="16">
        <v>0</v>
      </c>
    </row>
    <row r="57" spans="1:18" x14ac:dyDescent="0.25">
      <c r="A57" s="11" t="s">
        <v>190</v>
      </c>
      <c r="B57" s="17" t="s">
        <v>154</v>
      </c>
      <c r="C57" s="17" t="s">
        <v>154</v>
      </c>
      <c r="D57" s="18" t="s">
        <v>154</v>
      </c>
      <c r="E57" s="17" t="s">
        <v>154</v>
      </c>
      <c r="F57" s="18" t="s">
        <v>154</v>
      </c>
      <c r="G57" s="17" t="s">
        <v>154</v>
      </c>
      <c r="H57" s="18" t="s">
        <v>154</v>
      </c>
      <c r="I57" s="17" t="s">
        <v>154</v>
      </c>
      <c r="J57" s="18" t="s">
        <v>154</v>
      </c>
      <c r="K57" s="17" t="s">
        <v>154</v>
      </c>
      <c r="L57" s="18" t="s">
        <v>154</v>
      </c>
      <c r="M57" s="17" t="s">
        <v>154</v>
      </c>
      <c r="N57" s="18" t="s">
        <v>154</v>
      </c>
      <c r="O57" s="17" t="s">
        <v>154</v>
      </c>
      <c r="P57" s="18" t="s">
        <v>154</v>
      </c>
      <c r="Q57" s="17" t="s">
        <v>154</v>
      </c>
      <c r="R57" s="18" t="s">
        <v>154</v>
      </c>
    </row>
    <row r="58" spans="1:18" x14ac:dyDescent="0.25">
      <c r="A58" s="11" t="s">
        <v>191</v>
      </c>
      <c r="B58" s="17" t="s">
        <v>154</v>
      </c>
      <c r="C58" s="17" t="s">
        <v>154</v>
      </c>
      <c r="D58" s="18" t="s">
        <v>154</v>
      </c>
      <c r="E58" s="17" t="s">
        <v>154</v>
      </c>
      <c r="F58" s="18" t="s">
        <v>154</v>
      </c>
      <c r="G58" s="17" t="s">
        <v>154</v>
      </c>
      <c r="H58" s="18" t="s">
        <v>154</v>
      </c>
      <c r="I58" s="17" t="s">
        <v>154</v>
      </c>
      <c r="J58" s="18" t="s">
        <v>154</v>
      </c>
      <c r="K58" s="17" t="s">
        <v>154</v>
      </c>
      <c r="L58" s="18" t="s">
        <v>154</v>
      </c>
      <c r="M58" s="17" t="s">
        <v>154</v>
      </c>
      <c r="N58" s="18" t="s">
        <v>154</v>
      </c>
      <c r="O58" s="17" t="s">
        <v>154</v>
      </c>
      <c r="P58" s="18" t="s">
        <v>154</v>
      </c>
      <c r="Q58" s="17" t="s">
        <v>154</v>
      </c>
      <c r="R58" s="18" t="s">
        <v>154</v>
      </c>
    </row>
    <row r="59" spans="1:18" x14ac:dyDescent="0.25">
      <c r="A59" s="11" t="s">
        <v>192</v>
      </c>
      <c r="B59" s="17" t="s">
        <v>154</v>
      </c>
      <c r="C59" s="17" t="s">
        <v>154</v>
      </c>
      <c r="D59" s="18" t="s">
        <v>154</v>
      </c>
      <c r="E59" s="17" t="s">
        <v>154</v>
      </c>
      <c r="F59" s="18" t="s">
        <v>154</v>
      </c>
      <c r="G59" s="17" t="s">
        <v>154</v>
      </c>
      <c r="H59" s="18" t="s">
        <v>154</v>
      </c>
      <c r="I59" s="17" t="s">
        <v>154</v>
      </c>
      <c r="J59" s="18" t="s">
        <v>154</v>
      </c>
      <c r="K59" s="17" t="s">
        <v>154</v>
      </c>
      <c r="L59" s="18" t="s">
        <v>154</v>
      </c>
      <c r="M59" s="17" t="s">
        <v>154</v>
      </c>
      <c r="N59" s="18" t="s">
        <v>154</v>
      </c>
      <c r="O59" s="17" t="s">
        <v>154</v>
      </c>
      <c r="P59" s="18" t="s">
        <v>154</v>
      </c>
      <c r="Q59" s="17" t="s">
        <v>154</v>
      </c>
      <c r="R59" s="18" t="s">
        <v>154</v>
      </c>
    </row>
    <row r="60" spans="1:18" x14ac:dyDescent="0.25">
      <c r="A60" s="11" t="s">
        <v>193</v>
      </c>
      <c r="B60" s="17" t="s">
        <v>154</v>
      </c>
      <c r="C60" s="17" t="s">
        <v>154</v>
      </c>
      <c r="D60" s="18" t="s">
        <v>154</v>
      </c>
      <c r="E60" s="17" t="s">
        <v>154</v>
      </c>
      <c r="F60" s="18" t="s">
        <v>154</v>
      </c>
      <c r="G60" s="17" t="s">
        <v>154</v>
      </c>
      <c r="H60" s="18" t="s">
        <v>154</v>
      </c>
      <c r="I60" s="17" t="s">
        <v>154</v>
      </c>
      <c r="J60" s="18" t="s">
        <v>154</v>
      </c>
      <c r="K60" s="17" t="s">
        <v>154</v>
      </c>
      <c r="L60" s="18" t="s">
        <v>154</v>
      </c>
      <c r="M60" s="17" t="s">
        <v>154</v>
      </c>
      <c r="N60" s="18" t="s">
        <v>154</v>
      </c>
      <c r="O60" s="17" t="s">
        <v>154</v>
      </c>
      <c r="P60" s="18" t="s">
        <v>154</v>
      </c>
      <c r="Q60" s="17" t="s">
        <v>154</v>
      </c>
      <c r="R60" s="18" t="s">
        <v>154</v>
      </c>
    </row>
    <row r="61" spans="1:18" x14ac:dyDescent="0.25">
      <c r="A61" s="11" t="s">
        <v>194</v>
      </c>
      <c r="B61" s="13">
        <v>6525</v>
      </c>
      <c r="C61" s="14">
        <f>(5462/B61*100)</f>
        <v>83.708812260536405</v>
      </c>
      <c r="D61" s="15">
        <v>1063</v>
      </c>
      <c r="E61" s="14">
        <v>62.533167519999999</v>
      </c>
      <c r="F61" s="16">
        <v>1.32624122</v>
      </c>
      <c r="G61" s="14">
        <v>37.466832480000001</v>
      </c>
      <c r="H61" s="16">
        <v>1.32624122</v>
      </c>
      <c r="I61" s="14" t="s">
        <v>139</v>
      </c>
      <c r="J61" s="16" t="s">
        <v>139</v>
      </c>
      <c r="K61" s="14">
        <v>0</v>
      </c>
      <c r="L61" s="16">
        <v>0</v>
      </c>
      <c r="M61" s="14">
        <v>0</v>
      </c>
      <c r="N61" s="16">
        <v>0</v>
      </c>
      <c r="O61" s="14">
        <v>0</v>
      </c>
      <c r="P61" s="16">
        <v>0</v>
      </c>
      <c r="Q61" s="14">
        <v>0</v>
      </c>
      <c r="R61" s="16">
        <v>0</v>
      </c>
    </row>
    <row r="62" spans="1:18" x14ac:dyDescent="0.25">
      <c r="A62" s="11" t="s">
        <v>195</v>
      </c>
      <c r="B62" s="13">
        <v>4476</v>
      </c>
      <c r="C62" s="14">
        <f>(3738/B62*100)</f>
        <v>83.512064343163544</v>
      </c>
      <c r="D62" s="15">
        <v>738</v>
      </c>
      <c r="E62" s="14">
        <v>38.354346759999999</v>
      </c>
      <c r="F62" s="16">
        <v>1.75716838</v>
      </c>
      <c r="G62" s="14">
        <v>61.645653240000001</v>
      </c>
      <c r="H62" s="16">
        <v>1.75716838</v>
      </c>
      <c r="I62" s="14" t="s">
        <v>139</v>
      </c>
      <c r="J62" s="16" t="s">
        <v>139</v>
      </c>
      <c r="K62" s="14">
        <v>0</v>
      </c>
      <c r="L62" s="16">
        <v>0</v>
      </c>
      <c r="M62" s="14">
        <v>0</v>
      </c>
      <c r="N62" s="16">
        <v>0</v>
      </c>
      <c r="O62" s="14">
        <v>0</v>
      </c>
      <c r="P62" s="16">
        <v>0</v>
      </c>
      <c r="Q62" s="14">
        <v>0</v>
      </c>
      <c r="R62" s="16">
        <v>0</v>
      </c>
    </row>
    <row r="63" spans="1:18" x14ac:dyDescent="0.25">
      <c r="A63" s="11" t="s">
        <v>196</v>
      </c>
      <c r="B63" s="17" t="s">
        <v>154</v>
      </c>
      <c r="C63" s="17" t="s">
        <v>154</v>
      </c>
      <c r="D63" s="18" t="s">
        <v>154</v>
      </c>
      <c r="E63" s="17" t="s">
        <v>154</v>
      </c>
      <c r="F63" s="18" t="s">
        <v>154</v>
      </c>
      <c r="G63" s="17" t="s">
        <v>154</v>
      </c>
      <c r="H63" s="18" t="s">
        <v>154</v>
      </c>
      <c r="I63" s="17" t="s">
        <v>154</v>
      </c>
      <c r="J63" s="18" t="s">
        <v>154</v>
      </c>
      <c r="K63" s="17" t="s">
        <v>154</v>
      </c>
      <c r="L63" s="18" t="s">
        <v>154</v>
      </c>
      <c r="M63" s="17" t="s">
        <v>154</v>
      </c>
      <c r="N63" s="18" t="s">
        <v>154</v>
      </c>
      <c r="O63" s="17" t="s">
        <v>154</v>
      </c>
      <c r="P63" s="18" t="s">
        <v>154</v>
      </c>
      <c r="Q63" s="17" t="s">
        <v>154</v>
      </c>
      <c r="R63" s="18" t="s">
        <v>154</v>
      </c>
    </row>
    <row r="64" spans="1:18" x14ac:dyDescent="0.25">
      <c r="A64" s="11" t="s">
        <v>197</v>
      </c>
      <c r="B64" s="17" t="s">
        <v>154</v>
      </c>
      <c r="C64" s="17" t="s">
        <v>154</v>
      </c>
      <c r="D64" s="18" t="s">
        <v>154</v>
      </c>
      <c r="E64" s="17" t="s">
        <v>154</v>
      </c>
      <c r="F64" s="18" t="s">
        <v>154</v>
      </c>
      <c r="G64" s="17" t="s">
        <v>154</v>
      </c>
      <c r="H64" s="18" t="s">
        <v>154</v>
      </c>
      <c r="I64" s="17" t="s">
        <v>154</v>
      </c>
      <c r="J64" s="18" t="s">
        <v>154</v>
      </c>
      <c r="K64" s="17" t="s">
        <v>154</v>
      </c>
      <c r="L64" s="18" t="s">
        <v>154</v>
      </c>
      <c r="M64" s="17" t="s">
        <v>154</v>
      </c>
      <c r="N64" s="18" t="s">
        <v>154</v>
      </c>
      <c r="O64" s="17" t="s">
        <v>154</v>
      </c>
      <c r="P64" s="18" t="s">
        <v>154</v>
      </c>
      <c r="Q64" s="17" t="s">
        <v>154</v>
      </c>
      <c r="R64" s="18" t="s">
        <v>154</v>
      </c>
    </row>
    <row r="65" spans="1:18" x14ac:dyDescent="0.25">
      <c r="A65" s="11" t="s">
        <v>198</v>
      </c>
      <c r="B65" s="17" t="s">
        <v>154</v>
      </c>
      <c r="C65" s="17" t="s">
        <v>154</v>
      </c>
      <c r="D65" s="18" t="s">
        <v>154</v>
      </c>
      <c r="E65" s="17" t="s">
        <v>154</v>
      </c>
      <c r="F65" s="18" t="s">
        <v>154</v>
      </c>
      <c r="G65" s="17" t="s">
        <v>154</v>
      </c>
      <c r="H65" s="18" t="s">
        <v>154</v>
      </c>
      <c r="I65" s="17" t="s">
        <v>154</v>
      </c>
      <c r="J65" s="18" t="s">
        <v>154</v>
      </c>
      <c r="K65" s="17" t="s">
        <v>154</v>
      </c>
      <c r="L65" s="18" t="s">
        <v>154</v>
      </c>
      <c r="M65" s="17" t="s">
        <v>154</v>
      </c>
      <c r="N65" s="18" t="s">
        <v>154</v>
      </c>
      <c r="O65" s="17" t="s">
        <v>154</v>
      </c>
      <c r="P65" s="18" t="s">
        <v>154</v>
      </c>
      <c r="Q65" s="17" t="s">
        <v>154</v>
      </c>
      <c r="R65" s="18" t="s">
        <v>154</v>
      </c>
    </row>
    <row r="66" spans="1:18" x14ac:dyDescent="0.25">
      <c r="A66" s="11" t="s">
        <v>199</v>
      </c>
      <c r="B66" s="13">
        <v>5665</v>
      </c>
      <c r="C66" s="14">
        <f>(4788/B66*100)</f>
        <v>84.518976169461595</v>
      </c>
      <c r="D66" s="15">
        <v>877</v>
      </c>
      <c r="E66" s="14">
        <v>66.682324739999999</v>
      </c>
      <c r="F66" s="16">
        <v>1.8665703499999999</v>
      </c>
      <c r="G66" s="14">
        <v>33.317675260000001</v>
      </c>
      <c r="H66" s="16">
        <v>1.8665703499999999</v>
      </c>
      <c r="I66" s="14" t="s">
        <v>139</v>
      </c>
      <c r="J66" s="16" t="s">
        <v>139</v>
      </c>
      <c r="K66" s="14">
        <v>0</v>
      </c>
      <c r="L66" s="16">
        <v>0</v>
      </c>
      <c r="M66" s="14">
        <v>0</v>
      </c>
      <c r="N66" s="16">
        <v>0</v>
      </c>
      <c r="O66" s="14">
        <v>0</v>
      </c>
      <c r="P66" s="16">
        <v>0</v>
      </c>
      <c r="Q66" s="14">
        <v>0</v>
      </c>
      <c r="R66" s="16">
        <v>0</v>
      </c>
    </row>
    <row r="67" spans="1:18" x14ac:dyDescent="0.25">
      <c r="A67" s="11" t="s">
        <v>200</v>
      </c>
      <c r="B67" s="13">
        <v>6971</v>
      </c>
      <c r="C67" s="14">
        <f>(6151/B67*100)</f>
        <v>88.236981781666898</v>
      </c>
      <c r="D67" s="15">
        <v>820</v>
      </c>
      <c r="E67" s="14">
        <v>73.713172029999996</v>
      </c>
      <c r="F67" s="16">
        <v>1.6449222699999999</v>
      </c>
      <c r="G67" s="14">
        <v>26.286827970000001</v>
      </c>
      <c r="H67" s="16">
        <v>1.6449222699999999</v>
      </c>
      <c r="I67" s="14" t="s">
        <v>139</v>
      </c>
      <c r="J67" s="16" t="s">
        <v>139</v>
      </c>
      <c r="K67" s="14">
        <v>0</v>
      </c>
      <c r="L67" s="16">
        <v>0</v>
      </c>
      <c r="M67" s="14">
        <v>0</v>
      </c>
      <c r="N67" s="16">
        <v>0</v>
      </c>
      <c r="O67" s="14">
        <v>0</v>
      </c>
      <c r="P67" s="16">
        <v>0</v>
      </c>
      <c r="Q67" s="14">
        <v>0</v>
      </c>
      <c r="R67" s="16">
        <v>0</v>
      </c>
    </row>
    <row r="68" spans="1:18" x14ac:dyDescent="0.25">
      <c r="A68" s="11" t="s">
        <v>201</v>
      </c>
      <c r="B68" s="17" t="s">
        <v>154</v>
      </c>
      <c r="C68" s="17" t="s">
        <v>154</v>
      </c>
      <c r="D68" s="18" t="s">
        <v>154</v>
      </c>
      <c r="E68" s="17" t="s">
        <v>154</v>
      </c>
      <c r="F68" s="18" t="s">
        <v>154</v>
      </c>
      <c r="G68" s="17" t="s">
        <v>154</v>
      </c>
      <c r="H68" s="18" t="s">
        <v>154</v>
      </c>
      <c r="I68" s="17" t="s">
        <v>154</v>
      </c>
      <c r="J68" s="18" t="s">
        <v>154</v>
      </c>
      <c r="K68" s="17" t="s">
        <v>154</v>
      </c>
      <c r="L68" s="18" t="s">
        <v>154</v>
      </c>
      <c r="M68" s="17" t="s">
        <v>154</v>
      </c>
      <c r="N68" s="18" t="s">
        <v>154</v>
      </c>
      <c r="O68" s="17" t="s">
        <v>154</v>
      </c>
      <c r="P68" s="18" t="s">
        <v>154</v>
      </c>
      <c r="Q68" s="17" t="s">
        <v>154</v>
      </c>
      <c r="R68" s="18" t="s">
        <v>154</v>
      </c>
    </row>
    <row r="69" spans="1:18" x14ac:dyDescent="0.25">
      <c r="A69" s="11" t="s">
        <v>202</v>
      </c>
      <c r="B69" s="17" t="s">
        <v>154</v>
      </c>
      <c r="C69" s="17" t="s">
        <v>154</v>
      </c>
      <c r="D69" s="18" t="s">
        <v>154</v>
      </c>
      <c r="E69" s="17" t="s">
        <v>154</v>
      </c>
      <c r="F69" s="18" t="s">
        <v>154</v>
      </c>
      <c r="G69" s="17" t="s">
        <v>154</v>
      </c>
      <c r="H69" s="18" t="s">
        <v>154</v>
      </c>
      <c r="I69" s="17" t="s">
        <v>154</v>
      </c>
      <c r="J69" s="18" t="s">
        <v>154</v>
      </c>
      <c r="K69" s="17" t="s">
        <v>154</v>
      </c>
      <c r="L69" s="18" t="s">
        <v>154</v>
      </c>
      <c r="M69" s="17" t="s">
        <v>154</v>
      </c>
      <c r="N69" s="18" t="s">
        <v>154</v>
      </c>
      <c r="O69" s="17" t="s">
        <v>154</v>
      </c>
      <c r="P69" s="18" t="s">
        <v>154</v>
      </c>
      <c r="Q69" s="17" t="s">
        <v>154</v>
      </c>
      <c r="R69" s="18" t="s">
        <v>154</v>
      </c>
    </row>
    <row r="70" spans="1:18" x14ac:dyDescent="0.25">
      <c r="A70" s="11" t="s">
        <v>203</v>
      </c>
      <c r="B70" s="13">
        <v>6036</v>
      </c>
      <c r="C70" s="14">
        <f>(5110/B70*100)</f>
        <v>84.658714380384353</v>
      </c>
      <c r="D70" s="15">
        <v>926</v>
      </c>
      <c r="E70" s="14">
        <v>62.33460445</v>
      </c>
      <c r="F70" s="16">
        <v>1.4852911</v>
      </c>
      <c r="G70" s="14">
        <v>37.66539555</v>
      </c>
      <c r="H70" s="16">
        <v>1.4852911</v>
      </c>
      <c r="I70" s="14" t="s">
        <v>139</v>
      </c>
      <c r="J70" s="16" t="s">
        <v>139</v>
      </c>
      <c r="K70" s="14">
        <v>0</v>
      </c>
      <c r="L70" s="16">
        <v>0</v>
      </c>
      <c r="M70" s="14">
        <v>0</v>
      </c>
      <c r="N70" s="16">
        <v>0</v>
      </c>
      <c r="O70" s="14">
        <v>0</v>
      </c>
      <c r="P70" s="16">
        <v>0</v>
      </c>
      <c r="Q70" s="14">
        <v>0</v>
      </c>
      <c r="R70" s="16">
        <v>0</v>
      </c>
    </row>
    <row r="71" spans="1:18" x14ac:dyDescent="0.25">
      <c r="A71" s="11" t="s">
        <v>204</v>
      </c>
      <c r="B71" s="17" t="s">
        <v>154</v>
      </c>
      <c r="C71" s="17" t="s">
        <v>154</v>
      </c>
      <c r="D71" s="18" t="s">
        <v>154</v>
      </c>
      <c r="E71" s="17" t="s">
        <v>154</v>
      </c>
      <c r="F71" s="18" t="s">
        <v>154</v>
      </c>
      <c r="G71" s="17" t="s">
        <v>154</v>
      </c>
      <c r="H71" s="18" t="s">
        <v>154</v>
      </c>
      <c r="I71" s="17" t="s">
        <v>154</v>
      </c>
      <c r="J71" s="18" t="s">
        <v>154</v>
      </c>
      <c r="K71" s="17" t="s">
        <v>154</v>
      </c>
      <c r="L71" s="18" t="s">
        <v>154</v>
      </c>
      <c r="M71" s="17" t="s">
        <v>154</v>
      </c>
      <c r="N71" s="18" t="s">
        <v>154</v>
      </c>
      <c r="O71" s="17" t="s">
        <v>154</v>
      </c>
      <c r="P71" s="18" t="s">
        <v>154</v>
      </c>
      <c r="Q71" s="17" t="s">
        <v>154</v>
      </c>
      <c r="R71" s="18" t="s">
        <v>154</v>
      </c>
    </row>
    <row r="72" spans="1:18" x14ac:dyDescent="0.25">
      <c r="A72" s="11" t="s">
        <v>205</v>
      </c>
      <c r="B72" s="13">
        <v>7708</v>
      </c>
      <c r="C72" s="14">
        <f>(6405/B72*100)</f>
        <v>83.095485210171248</v>
      </c>
      <c r="D72" s="15">
        <v>1303</v>
      </c>
      <c r="E72" s="14">
        <v>38.075130350000002</v>
      </c>
      <c r="F72" s="16">
        <v>1.5125453799999999</v>
      </c>
      <c r="G72" s="14">
        <v>61.924869649999998</v>
      </c>
      <c r="H72" s="16">
        <v>1.5125453799999999</v>
      </c>
      <c r="I72" s="14" t="s">
        <v>139</v>
      </c>
      <c r="J72" s="16" t="s">
        <v>139</v>
      </c>
      <c r="K72" s="14">
        <v>0</v>
      </c>
      <c r="L72" s="16">
        <v>0</v>
      </c>
      <c r="M72" s="14">
        <v>0</v>
      </c>
      <c r="N72" s="16">
        <v>0</v>
      </c>
      <c r="O72" s="14">
        <v>0</v>
      </c>
      <c r="P72" s="16">
        <v>0</v>
      </c>
      <c r="Q72" s="14">
        <v>0</v>
      </c>
      <c r="R72" s="16">
        <v>0</v>
      </c>
    </row>
    <row r="73" spans="1:18" x14ac:dyDescent="0.25">
      <c r="A73" s="11" t="s">
        <v>206</v>
      </c>
      <c r="B73" s="13">
        <v>8249</v>
      </c>
      <c r="C73" s="14">
        <f>(7077/B73*100)</f>
        <v>85.792217238453148</v>
      </c>
      <c r="D73" s="15">
        <v>1172</v>
      </c>
      <c r="E73" s="14">
        <v>64.542482410000005</v>
      </c>
      <c r="F73" s="16">
        <v>1.5269801199999999</v>
      </c>
      <c r="G73" s="14">
        <v>35.457517590000002</v>
      </c>
      <c r="H73" s="16">
        <v>1.5269801199999999</v>
      </c>
      <c r="I73" s="14" t="s">
        <v>139</v>
      </c>
      <c r="J73" s="16" t="s">
        <v>139</v>
      </c>
      <c r="K73" s="14">
        <v>0</v>
      </c>
      <c r="L73" s="16">
        <v>0</v>
      </c>
      <c r="M73" s="14">
        <v>0</v>
      </c>
      <c r="N73" s="16">
        <v>0</v>
      </c>
      <c r="O73" s="14">
        <v>0</v>
      </c>
      <c r="P73" s="16">
        <v>0</v>
      </c>
      <c r="Q73" s="14">
        <v>0</v>
      </c>
      <c r="R73" s="16">
        <v>0</v>
      </c>
    </row>
    <row r="74" spans="1:18" x14ac:dyDescent="0.25">
      <c r="A74" s="11" t="s">
        <v>207</v>
      </c>
      <c r="B74" s="17" t="s">
        <v>154</v>
      </c>
      <c r="C74" s="17" t="s">
        <v>154</v>
      </c>
      <c r="D74" s="18" t="s">
        <v>154</v>
      </c>
      <c r="E74" s="17" t="s">
        <v>154</v>
      </c>
      <c r="F74" s="18" t="s">
        <v>154</v>
      </c>
      <c r="G74" s="17" t="s">
        <v>154</v>
      </c>
      <c r="H74" s="18" t="s">
        <v>154</v>
      </c>
      <c r="I74" s="17" t="s">
        <v>154</v>
      </c>
      <c r="J74" s="18" t="s">
        <v>154</v>
      </c>
      <c r="K74" s="17" t="s">
        <v>154</v>
      </c>
      <c r="L74" s="18" t="s">
        <v>154</v>
      </c>
      <c r="M74" s="17" t="s">
        <v>154</v>
      </c>
      <c r="N74" s="18" t="s">
        <v>154</v>
      </c>
      <c r="O74" s="17" t="s">
        <v>154</v>
      </c>
      <c r="P74" s="18" t="s">
        <v>154</v>
      </c>
      <c r="Q74" s="17" t="s">
        <v>154</v>
      </c>
      <c r="R74" s="18" t="s">
        <v>154</v>
      </c>
    </row>
    <row r="75" spans="1:18" x14ac:dyDescent="0.25">
      <c r="A75" s="11" t="s">
        <v>208</v>
      </c>
      <c r="B75" s="13">
        <v>5375</v>
      </c>
      <c r="C75" s="14">
        <f>(4594/B75*100)</f>
        <v>85.469767441860469</v>
      </c>
      <c r="D75" s="15">
        <v>781</v>
      </c>
      <c r="E75" s="14">
        <v>72.416816940000004</v>
      </c>
      <c r="F75" s="16">
        <v>1.8260704699999999</v>
      </c>
      <c r="G75" s="14">
        <v>27.58318306</v>
      </c>
      <c r="H75" s="16">
        <v>1.8260704699999999</v>
      </c>
      <c r="I75" s="14" t="s">
        <v>139</v>
      </c>
      <c r="J75" s="16" t="s">
        <v>139</v>
      </c>
      <c r="K75" s="14">
        <v>0</v>
      </c>
      <c r="L75" s="16">
        <v>0</v>
      </c>
      <c r="M75" s="14">
        <v>0</v>
      </c>
      <c r="N75" s="16">
        <v>0</v>
      </c>
      <c r="O75" s="14">
        <v>0</v>
      </c>
      <c r="P75" s="16">
        <v>0</v>
      </c>
      <c r="Q75" s="14">
        <v>0</v>
      </c>
      <c r="R75" s="16">
        <v>0</v>
      </c>
    </row>
    <row r="76" spans="1:18" x14ac:dyDescent="0.25">
      <c r="A76" s="11" t="s">
        <v>209</v>
      </c>
      <c r="B76" s="13">
        <v>14167</v>
      </c>
      <c r="C76" s="14">
        <f>(11823/B76*100)</f>
        <v>83.454506952777592</v>
      </c>
      <c r="D76" s="15">
        <v>2344</v>
      </c>
      <c r="E76" s="14">
        <v>68.789263910000003</v>
      </c>
      <c r="F76" s="16">
        <v>1.1448415300000001</v>
      </c>
      <c r="G76" s="14">
        <v>31.210736090000001</v>
      </c>
      <c r="H76" s="16">
        <v>1.1448415300000001</v>
      </c>
      <c r="I76" s="14" t="s">
        <v>139</v>
      </c>
      <c r="J76" s="16" t="s">
        <v>139</v>
      </c>
      <c r="K76" s="14">
        <v>0</v>
      </c>
      <c r="L76" s="16">
        <v>0</v>
      </c>
      <c r="M76" s="14">
        <v>0</v>
      </c>
      <c r="N76" s="16">
        <v>0</v>
      </c>
      <c r="O76" s="14">
        <v>0</v>
      </c>
      <c r="P76" s="16">
        <v>0</v>
      </c>
      <c r="Q76" s="14">
        <v>0</v>
      </c>
      <c r="R76" s="16">
        <v>0</v>
      </c>
    </row>
    <row r="77" spans="1:18" x14ac:dyDescent="0.25">
      <c r="A77" s="11" t="s">
        <v>210</v>
      </c>
      <c r="B77" s="13">
        <v>6062</v>
      </c>
      <c r="C77" s="14">
        <f>(5164/B77*100)</f>
        <v>85.186407126360947</v>
      </c>
      <c r="D77" s="15">
        <v>898</v>
      </c>
      <c r="E77" s="14">
        <v>65.591137660000001</v>
      </c>
      <c r="F77" s="16">
        <v>1.5275634499999999</v>
      </c>
      <c r="G77" s="14">
        <v>34.408862339999999</v>
      </c>
      <c r="H77" s="16">
        <v>1.5275634499999999</v>
      </c>
      <c r="I77" s="14" t="s">
        <v>139</v>
      </c>
      <c r="J77" s="16" t="s">
        <v>139</v>
      </c>
      <c r="K77" s="14">
        <v>0</v>
      </c>
      <c r="L77" s="16">
        <v>0</v>
      </c>
      <c r="M77" s="14">
        <v>0</v>
      </c>
      <c r="N77" s="16">
        <v>0</v>
      </c>
      <c r="O77" s="14">
        <v>0</v>
      </c>
      <c r="P77" s="16">
        <v>0</v>
      </c>
      <c r="Q77" s="14">
        <v>0</v>
      </c>
      <c r="R77" s="16">
        <v>0</v>
      </c>
    </row>
    <row r="78" spans="1:18" x14ac:dyDescent="0.25">
      <c r="A78" s="11" t="s">
        <v>211</v>
      </c>
      <c r="B78" s="17" t="s">
        <v>154</v>
      </c>
      <c r="C78" s="17" t="s">
        <v>154</v>
      </c>
      <c r="D78" s="18" t="s">
        <v>154</v>
      </c>
      <c r="E78" s="17" t="s">
        <v>154</v>
      </c>
      <c r="F78" s="18" t="s">
        <v>154</v>
      </c>
      <c r="G78" s="17" t="s">
        <v>154</v>
      </c>
      <c r="H78" s="18" t="s">
        <v>154</v>
      </c>
      <c r="I78" s="17" t="s">
        <v>154</v>
      </c>
      <c r="J78" s="18" t="s">
        <v>154</v>
      </c>
      <c r="K78" s="17" t="s">
        <v>154</v>
      </c>
      <c r="L78" s="18" t="s">
        <v>154</v>
      </c>
      <c r="M78" s="17" t="s">
        <v>154</v>
      </c>
      <c r="N78" s="18" t="s">
        <v>154</v>
      </c>
      <c r="O78" s="17" t="s">
        <v>154</v>
      </c>
      <c r="P78" s="18" t="s">
        <v>154</v>
      </c>
      <c r="Q78" s="17" t="s">
        <v>154</v>
      </c>
      <c r="R78" s="18" t="s">
        <v>154</v>
      </c>
    </row>
    <row r="79" spans="1:18" ht="24.95" customHeight="1" x14ac:dyDescent="0.25">
      <c r="A79" s="11" t="s">
        <v>212</v>
      </c>
      <c r="B79" s="17" t="s">
        <v>154</v>
      </c>
      <c r="C79" s="17" t="s">
        <v>154</v>
      </c>
      <c r="D79" s="18" t="s">
        <v>154</v>
      </c>
      <c r="E79" s="17" t="s">
        <v>154</v>
      </c>
      <c r="F79" s="18" t="s">
        <v>154</v>
      </c>
      <c r="G79" s="17" t="s">
        <v>154</v>
      </c>
      <c r="H79" s="18" t="s">
        <v>154</v>
      </c>
      <c r="I79" s="17" t="s">
        <v>154</v>
      </c>
      <c r="J79" s="18" t="s">
        <v>154</v>
      </c>
      <c r="K79" s="17" t="s">
        <v>154</v>
      </c>
      <c r="L79" s="18" t="s">
        <v>154</v>
      </c>
      <c r="M79" s="17" t="s">
        <v>154</v>
      </c>
      <c r="N79" s="18" t="s">
        <v>154</v>
      </c>
      <c r="O79" s="17" t="s">
        <v>154</v>
      </c>
      <c r="P79" s="18" t="s">
        <v>154</v>
      </c>
      <c r="Q79" s="17" t="s">
        <v>154</v>
      </c>
      <c r="R79" s="18" t="s">
        <v>154</v>
      </c>
    </row>
    <row r="80" spans="1:18" x14ac:dyDescent="0.25">
      <c r="A80" s="11" t="s">
        <v>213</v>
      </c>
      <c r="B80" s="17" t="s">
        <v>154</v>
      </c>
      <c r="C80" s="17" t="s">
        <v>154</v>
      </c>
      <c r="D80" s="18" t="s">
        <v>154</v>
      </c>
      <c r="E80" s="17" t="s">
        <v>154</v>
      </c>
      <c r="F80" s="18" t="s">
        <v>154</v>
      </c>
      <c r="G80" s="17" t="s">
        <v>154</v>
      </c>
      <c r="H80" s="18" t="s">
        <v>154</v>
      </c>
      <c r="I80" s="17" t="s">
        <v>154</v>
      </c>
      <c r="J80" s="18" t="s">
        <v>154</v>
      </c>
      <c r="K80" s="17" t="s">
        <v>154</v>
      </c>
      <c r="L80" s="18" t="s">
        <v>154</v>
      </c>
      <c r="M80" s="17" t="s">
        <v>154</v>
      </c>
      <c r="N80" s="18" t="s">
        <v>154</v>
      </c>
      <c r="O80" s="17" t="s">
        <v>154</v>
      </c>
      <c r="P80" s="18" t="s">
        <v>154</v>
      </c>
      <c r="Q80" s="17" t="s">
        <v>154</v>
      </c>
      <c r="R80" s="18" t="s">
        <v>154</v>
      </c>
    </row>
    <row r="81" spans="1:18" x14ac:dyDescent="0.25">
      <c r="A81" s="19" t="s">
        <v>214</v>
      </c>
      <c r="B81" s="13">
        <v>8861</v>
      </c>
      <c r="C81" s="14">
        <f>(7383/B81*100)</f>
        <v>83.320167024037914</v>
      </c>
      <c r="D81" s="15">
        <v>1478</v>
      </c>
      <c r="E81" s="14">
        <v>49.254831070000002</v>
      </c>
      <c r="F81" s="16">
        <v>1.54354664</v>
      </c>
      <c r="G81" s="14">
        <v>50.745168929999998</v>
      </c>
      <c r="H81" s="16">
        <v>1.54354664</v>
      </c>
      <c r="I81" s="14" t="s">
        <v>139</v>
      </c>
      <c r="J81" s="16" t="s">
        <v>139</v>
      </c>
      <c r="K81" s="14">
        <v>0</v>
      </c>
      <c r="L81" s="16">
        <v>0</v>
      </c>
      <c r="M81" s="14">
        <v>0</v>
      </c>
      <c r="N81" s="16">
        <v>0</v>
      </c>
      <c r="O81" s="14">
        <v>0</v>
      </c>
      <c r="P81" s="16">
        <v>0</v>
      </c>
      <c r="Q81" s="14">
        <v>0</v>
      </c>
      <c r="R81" s="16">
        <v>0</v>
      </c>
    </row>
    <row r="82" spans="1:18" x14ac:dyDescent="0.25">
      <c r="A82" s="20"/>
      <c r="B82" s="20" t="s">
        <v>215</v>
      </c>
      <c r="C82" s="20" t="s">
        <v>215</v>
      </c>
      <c r="D82" s="20" t="s">
        <v>215</v>
      </c>
      <c r="E82" s="20" t="s">
        <v>215</v>
      </c>
      <c r="F82" s="20" t="s">
        <v>215</v>
      </c>
      <c r="G82" s="20" t="s">
        <v>215</v>
      </c>
      <c r="H82" s="20" t="s">
        <v>215</v>
      </c>
      <c r="I82" s="20" t="s">
        <v>215</v>
      </c>
      <c r="J82" s="20" t="s">
        <v>215</v>
      </c>
      <c r="K82" s="20" t="s">
        <v>215</v>
      </c>
      <c r="L82" s="20" t="s">
        <v>215</v>
      </c>
      <c r="M82" s="20" t="s">
        <v>215</v>
      </c>
      <c r="N82" s="20" t="s">
        <v>215</v>
      </c>
      <c r="O82" s="20" t="s">
        <v>215</v>
      </c>
      <c r="P82" s="20" t="s">
        <v>215</v>
      </c>
      <c r="Q82" s="20" t="s">
        <v>215</v>
      </c>
      <c r="R82" s="20" t="s">
        <v>215</v>
      </c>
    </row>
    <row r="83" spans="1:18" x14ac:dyDescent="0.25">
      <c r="A83" s="3" t="s">
        <v>216</v>
      </c>
    </row>
    <row r="84" spans="1:18" x14ac:dyDescent="0.25">
      <c r="A84" s="22" t="s">
        <v>217</v>
      </c>
      <c r="B84" s="23"/>
      <c r="C84" s="23"/>
      <c r="D84" s="23"/>
      <c r="E84" s="23"/>
      <c r="F84" s="23"/>
      <c r="G84" s="23"/>
      <c r="H84" s="23"/>
      <c r="I84" s="23"/>
      <c r="J84" s="23"/>
      <c r="K84" s="23"/>
      <c r="L84" s="23"/>
      <c r="M84" s="23"/>
      <c r="N84" s="23"/>
      <c r="O84" s="23"/>
      <c r="P84" s="23"/>
      <c r="Q84" s="23"/>
      <c r="R84" s="23"/>
    </row>
    <row r="85" spans="1:18" x14ac:dyDescent="0.25">
      <c r="A85" s="22" t="s">
        <v>218</v>
      </c>
      <c r="B85" s="23"/>
      <c r="C85" s="23"/>
      <c r="D85" s="23"/>
      <c r="E85" s="23"/>
      <c r="F85" s="23"/>
      <c r="G85" s="23"/>
      <c r="H85" s="23"/>
      <c r="I85" s="23"/>
      <c r="J85" s="23"/>
      <c r="K85" s="23"/>
      <c r="L85" s="23"/>
      <c r="M85" s="23"/>
      <c r="N85" s="23"/>
      <c r="O85" s="23"/>
      <c r="P85" s="23"/>
      <c r="Q85" s="23"/>
      <c r="R85" s="23"/>
    </row>
    <row r="86" spans="1:18" ht="30" customHeight="1" x14ac:dyDescent="0.25">
      <c r="A86" s="22" t="s">
        <v>219</v>
      </c>
      <c r="B86" s="23"/>
      <c r="C86" s="23"/>
      <c r="D86" s="23"/>
      <c r="E86" s="23"/>
      <c r="F86" s="23"/>
      <c r="G86" s="23"/>
      <c r="H86" s="23"/>
      <c r="I86" s="23"/>
      <c r="J86" s="23"/>
      <c r="K86" s="23"/>
      <c r="L86" s="23"/>
      <c r="M86" s="23"/>
      <c r="N86" s="23"/>
      <c r="O86" s="23"/>
      <c r="P86" s="23"/>
      <c r="Q86" s="23"/>
      <c r="R86" s="23"/>
    </row>
    <row r="87" spans="1:18" ht="30" customHeight="1" x14ac:dyDescent="0.25">
      <c r="A87" s="22" t="s">
        <v>215</v>
      </c>
      <c r="B87" s="23"/>
      <c r="C87" s="23"/>
      <c r="D87" s="23"/>
      <c r="E87" s="23"/>
      <c r="F87" s="23"/>
      <c r="G87" s="23"/>
      <c r="H87" s="23"/>
      <c r="I87" s="23"/>
      <c r="J87" s="23"/>
      <c r="K87" s="23"/>
      <c r="L87" s="23"/>
      <c r="M87" s="23"/>
      <c r="N87" s="23"/>
      <c r="O87" s="23"/>
      <c r="P87" s="23"/>
      <c r="Q87" s="23"/>
      <c r="R87" s="23"/>
    </row>
    <row r="88" spans="1:18" ht="30" customHeight="1" x14ac:dyDescent="0.25">
      <c r="A88" s="22" t="s">
        <v>220</v>
      </c>
      <c r="B88" s="23"/>
      <c r="C88" s="23"/>
      <c r="D88" s="23"/>
      <c r="E88" s="23"/>
      <c r="F88" s="23"/>
      <c r="G88" s="23"/>
      <c r="H88" s="23"/>
      <c r="I88" s="23"/>
      <c r="J88" s="23"/>
      <c r="K88" s="23"/>
      <c r="L88" s="23"/>
      <c r="M88" s="23"/>
      <c r="N88" s="23"/>
      <c r="O88" s="23"/>
      <c r="P88" s="23"/>
      <c r="Q88" s="23"/>
      <c r="R88" s="23"/>
    </row>
    <row r="89" spans="1:18" ht="30" customHeight="1" x14ac:dyDescent="0.25">
      <c r="A89" s="22" t="s">
        <v>221</v>
      </c>
      <c r="B89" s="23"/>
      <c r="C89" s="23"/>
      <c r="D89" s="23"/>
      <c r="E89" s="23"/>
      <c r="F89" s="23"/>
      <c r="G89" s="23"/>
      <c r="H89" s="23"/>
      <c r="I89" s="23"/>
      <c r="J89" s="23"/>
      <c r="K89" s="23"/>
      <c r="L89" s="23"/>
      <c r="M89" s="23"/>
      <c r="N89" s="23"/>
      <c r="O89" s="23"/>
      <c r="P89" s="23"/>
      <c r="Q89" s="23"/>
      <c r="R89" s="23"/>
    </row>
    <row r="90" spans="1:18" ht="30" customHeight="1" x14ac:dyDescent="0.25">
      <c r="A90" s="22" t="s">
        <v>222</v>
      </c>
      <c r="B90" s="23"/>
      <c r="C90" s="23"/>
      <c r="D90" s="23"/>
      <c r="E90" s="23"/>
      <c r="F90" s="23"/>
      <c r="G90" s="23"/>
      <c r="H90" s="23"/>
      <c r="I90" s="23"/>
      <c r="J90" s="23"/>
      <c r="K90" s="23"/>
      <c r="L90" s="23"/>
      <c r="M90" s="23"/>
      <c r="N90" s="23"/>
      <c r="O90" s="23"/>
      <c r="P90" s="23"/>
      <c r="Q90" s="23"/>
      <c r="R90" s="23"/>
    </row>
    <row r="91" spans="1:18" ht="30" customHeight="1" x14ac:dyDescent="0.25">
      <c r="A91" s="22" t="s">
        <v>223</v>
      </c>
      <c r="B91" s="23"/>
      <c r="C91" s="23"/>
      <c r="D91" s="23"/>
      <c r="E91" s="23"/>
      <c r="F91" s="23"/>
      <c r="G91" s="23"/>
      <c r="H91" s="23"/>
      <c r="I91" s="23"/>
      <c r="J91" s="23"/>
      <c r="K91" s="23"/>
      <c r="L91" s="23"/>
      <c r="M91" s="23"/>
      <c r="N91" s="23"/>
      <c r="O91" s="23"/>
      <c r="P91" s="23"/>
      <c r="Q91" s="23"/>
      <c r="R91" s="23"/>
    </row>
    <row r="92" spans="1:18" ht="30" customHeight="1" x14ac:dyDescent="0.25">
      <c r="A92" s="22" t="s">
        <v>224</v>
      </c>
      <c r="B92" s="23"/>
      <c r="C92" s="23"/>
      <c r="D92" s="23"/>
      <c r="E92" s="23"/>
      <c r="F92" s="23"/>
      <c r="G92" s="23"/>
      <c r="H92" s="23"/>
      <c r="I92" s="23"/>
      <c r="J92" s="23"/>
      <c r="K92" s="23"/>
      <c r="L92" s="23"/>
      <c r="M92" s="23"/>
      <c r="N92" s="23"/>
      <c r="O92" s="23"/>
      <c r="P92" s="23"/>
      <c r="Q92" s="23"/>
      <c r="R92" s="23"/>
    </row>
    <row r="93" spans="1:18" ht="30" customHeight="1" x14ac:dyDescent="0.25">
      <c r="A93" s="22" t="s">
        <v>225</v>
      </c>
      <c r="B93" s="23"/>
      <c r="C93" s="23"/>
      <c r="D93" s="23"/>
      <c r="E93" s="23"/>
      <c r="F93" s="23"/>
      <c r="G93" s="23"/>
      <c r="H93" s="23"/>
      <c r="I93" s="23"/>
      <c r="J93" s="23"/>
      <c r="K93" s="23"/>
      <c r="L93" s="23"/>
      <c r="M93" s="23"/>
      <c r="N93" s="23"/>
      <c r="O93" s="23"/>
      <c r="P93" s="23"/>
      <c r="Q93" s="23"/>
      <c r="R93" s="23"/>
    </row>
    <row r="94" spans="1:18" ht="30" customHeight="1" x14ac:dyDescent="0.25">
      <c r="A94" s="22" t="s">
        <v>226</v>
      </c>
      <c r="B94" s="23"/>
      <c r="C94" s="23"/>
      <c r="D94" s="23"/>
      <c r="E94" s="23"/>
      <c r="F94" s="23"/>
      <c r="G94" s="23"/>
      <c r="H94" s="23"/>
      <c r="I94" s="23"/>
      <c r="J94" s="23"/>
      <c r="K94" s="23"/>
      <c r="L94" s="23"/>
      <c r="M94" s="23"/>
      <c r="N94" s="23"/>
      <c r="O94" s="23"/>
      <c r="P94" s="23"/>
      <c r="Q94" s="23"/>
      <c r="R94" s="23"/>
    </row>
    <row r="95" spans="1:18" ht="30" customHeight="1" x14ac:dyDescent="0.25">
      <c r="A95" s="22" t="s">
        <v>227</v>
      </c>
      <c r="B95" s="23"/>
      <c r="C95" s="23"/>
      <c r="D95" s="23"/>
      <c r="E95" s="23"/>
      <c r="F95" s="23"/>
      <c r="G95" s="23"/>
      <c r="H95" s="23"/>
      <c r="I95" s="23"/>
      <c r="J95" s="23"/>
      <c r="K95" s="23"/>
      <c r="L95" s="23"/>
      <c r="M95" s="23"/>
      <c r="N95" s="23"/>
      <c r="O95" s="23"/>
      <c r="P95" s="23"/>
      <c r="Q95" s="23"/>
      <c r="R95" s="23"/>
    </row>
    <row r="96" spans="1:18" ht="30" customHeight="1" x14ac:dyDescent="0.25">
      <c r="A96" s="22" t="s">
        <v>228</v>
      </c>
      <c r="B96" s="23"/>
      <c r="C96" s="23"/>
      <c r="D96" s="23"/>
      <c r="E96" s="23"/>
      <c r="F96" s="23"/>
      <c r="G96" s="23"/>
      <c r="H96" s="23"/>
      <c r="I96" s="23"/>
      <c r="J96" s="23"/>
      <c r="K96" s="23"/>
      <c r="L96" s="23"/>
      <c r="M96" s="23"/>
      <c r="N96" s="23"/>
      <c r="O96" s="23"/>
      <c r="P96" s="23"/>
      <c r="Q96" s="23"/>
      <c r="R96" s="23"/>
    </row>
  </sheetData>
  <mergeCells count="22">
    <mergeCell ref="O4:P4"/>
    <mergeCell ref="Q4:R4"/>
    <mergeCell ref="A1:R1"/>
    <mergeCell ref="A2:R2"/>
    <mergeCell ref="A84:R84"/>
    <mergeCell ref="E4:F4"/>
    <mergeCell ref="G4:H4"/>
    <mergeCell ref="I4:J4"/>
    <mergeCell ref="K4:L4"/>
    <mergeCell ref="M4:N4"/>
    <mergeCell ref="A85:R85"/>
    <mergeCell ref="A86:R86"/>
    <mergeCell ref="A87:R87"/>
    <mergeCell ref="A88:R88"/>
    <mergeCell ref="A89:R89"/>
    <mergeCell ref="A95:R95"/>
    <mergeCell ref="A96:R96"/>
    <mergeCell ref="A90:R90"/>
    <mergeCell ref="A91:R91"/>
    <mergeCell ref="A92:R92"/>
    <mergeCell ref="A93:R93"/>
    <mergeCell ref="A94:R94"/>
  </mergeCells>
  <pageMargins left="0.75" right="0.75" top="1" bottom="1" header="0.5" footer="0.5"/>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7"/>
  <dimension ref="A1:R96"/>
  <sheetViews>
    <sheetView zoomScale="80" workbookViewId="0">
      <pane xSplit="4" topLeftCell="E1" activePane="topRight" state="frozen"/>
      <selection sqref="A1:R1"/>
      <selection pane="topRight" sqref="A1:R1"/>
    </sheetView>
  </sheetViews>
  <sheetFormatPr defaultColWidth="11.42578125" defaultRowHeight="15" x14ac:dyDescent="0.25"/>
  <cols>
    <col min="1" max="1" width="50" customWidth="1"/>
  </cols>
  <sheetData>
    <row r="1" spans="1:18" x14ac:dyDescent="0.25">
      <c r="A1" s="26" t="s">
        <v>122</v>
      </c>
      <c r="B1" s="23"/>
      <c r="C1" s="23"/>
      <c r="D1" s="23"/>
      <c r="E1" s="23"/>
      <c r="F1" s="23"/>
      <c r="G1" s="23"/>
      <c r="H1" s="23"/>
      <c r="I1" s="23"/>
      <c r="J1" s="23"/>
      <c r="K1" s="23"/>
      <c r="L1" s="23"/>
      <c r="M1" s="23"/>
      <c r="N1" s="23"/>
      <c r="O1" s="23"/>
      <c r="P1" s="23"/>
      <c r="Q1" s="23"/>
      <c r="R1" s="23"/>
    </row>
    <row r="2" spans="1:18" x14ac:dyDescent="0.25">
      <c r="A2" s="27" t="s">
        <v>273</v>
      </c>
      <c r="B2" s="23"/>
      <c r="C2" s="23"/>
      <c r="D2" s="23"/>
      <c r="E2" s="23"/>
      <c r="F2" s="23"/>
      <c r="G2" s="23"/>
      <c r="H2" s="23"/>
      <c r="I2" s="23"/>
      <c r="J2" s="23"/>
      <c r="K2" s="23"/>
      <c r="L2" s="23"/>
      <c r="M2" s="23"/>
      <c r="N2" s="23"/>
      <c r="O2" s="23"/>
      <c r="P2" s="23"/>
      <c r="Q2" s="23"/>
      <c r="R2" s="23"/>
    </row>
    <row r="4" spans="1:18" ht="30" customHeight="1" x14ac:dyDescent="0.25">
      <c r="A4" s="4"/>
      <c r="B4" s="5" t="s">
        <v>123</v>
      </c>
      <c r="C4" s="5" t="s">
        <v>124</v>
      </c>
      <c r="D4" s="6" t="s">
        <v>123</v>
      </c>
      <c r="E4" s="24" t="s">
        <v>125</v>
      </c>
      <c r="F4" s="25"/>
      <c r="G4" s="24" t="s">
        <v>126</v>
      </c>
      <c r="H4" s="25"/>
      <c r="I4" s="24" t="s">
        <v>127</v>
      </c>
      <c r="J4" s="25"/>
      <c r="K4" s="24" t="s">
        <v>128</v>
      </c>
      <c r="L4" s="25"/>
      <c r="M4" s="24" t="s">
        <v>129</v>
      </c>
      <c r="N4" s="25"/>
      <c r="O4" s="24" t="s">
        <v>130</v>
      </c>
      <c r="P4" s="25"/>
      <c r="Q4" s="24" t="s">
        <v>131</v>
      </c>
      <c r="R4" s="25"/>
    </row>
    <row r="5" spans="1:18" x14ac:dyDescent="0.25">
      <c r="A5" s="7"/>
      <c r="B5" s="8" t="s">
        <v>132</v>
      </c>
      <c r="C5" s="8" t="s">
        <v>133</v>
      </c>
      <c r="D5" s="7" t="s">
        <v>134</v>
      </c>
      <c r="E5" s="8" t="s">
        <v>135</v>
      </c>
      <c r="F5" s="7" t="s">
        <v>136</v>
      </c>
      <c r="G5" s="8" t="s">
        <v>135</v>
      </c>
      <c r="H5" s="7" t="s">
        <v>136</v>
      </c>
      <c r="I5" s="8" t="s">
        <v>135</v>
      </c>
      <c r="J5" s="7" t="s">
        <v>136</v>
      </c>
      <c r="K5" s="8" t="s">
        <v>135</v>
      </c>
      <c r="L5" s="7" t="s">
        <v>136</v>
      </c>
      <c r="M5" s="8" t="s">
        <v>135</v>
      </c>
      <c r="N5" s="7" t="s">
        <v>136</v>
      </c>
      <c r="O5" s="8" t="s">
        <v>135</v>
      </c>
      <c r="P5" s="7" t="s">
        <v>136</v>
      </c>
      <c r="Q5" s="8" t="s">
        <v>135</v>
      </c>
      <c r="R5" s="7" t="s">
        <v>136</v>
      </c>
    </row>
    <row r="6" spans="1:18" x14ac:dyDescent="0.25">
      <c r="A6" s="9" t="s">
        <v>137</v>
      </c>
      <c r="B6" s="10"/>
      <c r="C6" s="10"/>
      <c r="D6" s="11"/>
      <c r="E6" s="10"/>
      <c r="F6" s="11"/>
      <c r="G6" s="10"/>
      <c r="H6" s="11"/>
      <c r="I6" s="10"/>
      <c r="J6" s="11"/>
      <c r="K6" s="10"/>
      <c r="L6" s="11"/>
      <c r="M6" s="10"/>
      <c r="N6" s="11"/>
      <c r="O6" s="10"/>
      <c r="P6" s="11"/>
      <c r="Q6" s="10"/>
      <c r="R6" s="12"/>
    </row>
    <row r="7" spans="1:18" x14ac:dyDescent="0.25">
      <c r="A7" s="11" t="s">
        <v>138</v>
      </c>
      <c r="B7" s="13">
        <v>14530</v>
      </c>
      <c r="C7" s="14">
        <f>(12281/B7*100)</f>
        <v>84.521679284239497</v>
      </c>
      <c r="D7" s="15">
        <v>2249</v>
      </c>
      <c r="E7" s="14">
        <v>51.18188542</v>
      </c>
      <c r="F7" s="16">
        <v>1.28452995</v>
      </c>
      <c r="G7" s="14">
        <v>48.81811458</v>
      </c>
      <c r="H7" s="16">
        <v>1.28452995</v>
      </c>
      <c r="I7" s="14" t="s">
        <v>139</v>
      </c>
      <c r="J7" s="16" t="s">
        <v>139</v>
      </c>
      <c r="K7" s="14">
        <v>0</v>
      </c>
      <c r="L7" s="16">
        <v>0</v>
      </c>
      <c r="M7" s="14">
        <v>0</v>
      </c>
      <c r="N7" s="16">
        <v>0</v>
      </c>
      <c r="O7" s="14">
        <v>0</v>
      </c>
      <c r="P7" s="16">
        <v>0</v>
      </c>
      <c r="Q7" s="14">
        <v>0</v>
      </c>
      <c r="R7" s="16">
        <v>0</v>
      </c>
    </row>
    <row r="8" spans="1:18" x14ac:dyDescent="0.25">
      <c r="A8" s="11" t="s">
        <v>140</v>
      </c>
      <c r="B8" s="13">
        <v>7007</v>
      </c>
      <c r="C8" s="14">
        <f>(5875/B8*100)</f>
        <v>83.844726701869547</v>
      </c>
      <c r="D8" s="15">
        <v>1132</v>
      </c>
      <c r="E8" s="14">
        <v>54.889907880000003</v>
      </c>
      <c r="F8" s="16">
        <v>1.3962248100000001</v>
      </c>
      <c r="G8" s="14">
        <v>45.110092119999997</v>
      </c>
      <c r="H8" s="16">
        <v>1.3962248100000001</v>
      </c>
      <c r="I8" s="14" t="s">
        <v>139</v>
      </c>
      <c r="J8" s="16" t="s">
        <v>139</v>
      </c>
      <c r="K8" s="14">
        <v>0</v>
      </c>
      <c r="L8" s="16">
        <v>0</v>
      </c>
      <c r="M8" s="14">
        <v>0</v>
      </c>
      <c r="N8" s="16">
        <v>0</v>
      </c>
      <c r="O8" s="14">
        <v>0</v>
      </c>
      <c r="P8" s="16">
        <v>0</v>
      </c>
      <c r="Q8" s="14">
        <v>0</v>
      </c>
      <c r="R8" s="16">
        <v>0</v>
      </c>
    </row>
    <row r="9" spans="1:18" x14ac:dyDescent="0.25">
      <c r="A9" s="11" t="s">
        <v>141</v>
      </c>
      <c r="B9" s="13">
        <v>9651</v>
      </c>
      <c r="C9" s="14">
        <f>(8203/B9*100)</f>
        <v>84.996373432804901</v>
      </c>
      <c r="D9" s="15">
        <v>1448</v>
      </c>
      <c r="E9" s="14">
        <v>56.494825499999997</v>
      </c>
      <c r="F9" s="16">
        <v>1.2754159899999999</v>
      </c>
      <c r="G9" s="14">
        <v>43.505174500000003</v>
      </c>
      <c r="H9" s="16">
        <v>1.2754159899999999</v>
      </c>
      <c r="I9" s="14" t="s">
        <v>139</v>
      </c>
      <c r="J9" s="16" t="s">
        <v>139</v>
      </c>
      <c r="K9" s="14">
        <v>0</v>
      </c>
      <c r="L9" s="16">
        <v>0</v>
      </c>
      <c r="M9" s="14">
        <v>0</v>
      </c>
      <c r="N9" s="16">
        <v>0</v>
      </c>
      <c r="O9" s="14">
        <v>0</v>
      </c>
      <c r="P9" s="16">
        <v>0</v>
      </c>
      <c r="Q9" s="14">
        <v>0</v>
      </c>
      <c r="R9" s="16">
        <v>0</v>
      </c>
    </row>
    <row r="10" spans="1:18" x14ac:dyDescent="0.25">
      <c r="A10" s="11" t="s">
        <v>142</v>
      </c>
      <c r="B10" s="13">
        <v>20058</v>
      </c>
      <c r="C10" s="14">
        <f>(16721/B10*100)</f>
        <v>83.363246584903777</v>
      </c>
      <c r="D10" s="15">
        <v>3337</v>
      </c>
      <c r="E10" s="14">
        <v>52.409478970000002</v>
      </c>
      <c r="F10" s="16">
        <v>1.21833276</v>
      </c>
      <c r="G10" s="14">
        <v>47.590521029999998</v>
      </c>
      <c r="H10" s="16">
        <v>1.21833276</v>
      </c>
      <c r="I10" s="14" t="s">
        <v>139</v>
      </c>
      <c r="J10" s="16" t="s">
        <v>139</v>
      </c>
      <c r="K10" s="14">
        <v>0</v>
      </c>
      <c r="L10" s="16">
        <v>0</v>
      </c>
      <c r="M10" s="14">
        <v>0</v>
      </c>
      <c r="N10" s="16">
        <v>0</v>
      </c>
      <c r="O10" s="14">
        <v>0</v>
      </c>
      <c r="P10" s="16">
        <v>0</v>
      </c>
      <c r="Q10" s="14">
        <v>0</v>
      </c>
      <c r="R10" s="16">
        <v>0</v>
      </c>
    </row>
    <row r="11" spans="1:18" x14ac:dyDescent="0.25">
      <c r="A11" s="11" t="s">
        <v>143</v>
      </c>
      <c r="B11" s="13">
        <v>7053</v>
      </c>
      <c r="C11" s="14">
        <f>(5995/B11*100)</f>
        <v>84.999291081809162</v>
      </c>
      <c r="D11" s="15">
        <v>1058</v>
      </c>
      <c r="E11" s="14">
        <v>67.774134889999999</v>
      </c>
      <c r="F11" s="16">
        <v>1.8857350799999999</v>
      </c>
      <c r="G11" s="14">
        <v>32.225865110000001</v>
      </c>
      <c r="H11" s="16">
        <v>1.8857350799999999</v>
      </c>
      <c r="I11" s="14" t="s">
        <v>139</v>
      </c>
      <c r="J11" s="16" t="s">
        <v>139</v>
      </c>
      <c r="K11" s="14">
        <v>0</v>
      </c>
      <c r="L11" s="16">
        <v>0</v>
      </c>
      <c r="M11" s="14">
        <v>0</v>
      </c>
      <c r="N11" s="16">
        <v>0</v>
      </c>
      <c r="O11" s="14">
        <v>0</v>
      </c>
      <c r="P11" s="16">
        <v>0</v>
      </c>
      <c r="Q11" s="14">
        <v>0</v>
      </c>
      <c r="R11" s="16">
        <v>0</v>
      </c>
    </row>
    <row r="12" spans="1:18" x14ac:dyDescent="0.25">
      <c r="A12" s="11" t="s">
        <v>144</v>
      </c>
      <c r="B12" s="13">
        <v>6894</v>
      </c>
      <c r="C12" s="14">
        <f>(5821/B12*100)</f>
        <v>84.435741224252965</v>
      </c>
      <c r="D12" s="15">
        <v>1073</v>
      </c>
      <c r="E12" s="14">
        <v>52.729299310000002</v>
      </c>
      <c r="F12" s="16">
        <v>2.1228594799999998</v>
      </c>
      <c r="G12" s="14">
        <v>47.270700689999998</v>
      </c>
      <c r="H12" s="16">
        <v>2.1228594799999998</v>
      </c>
      <c r="I12" s="14" t="s">
        <v>139</v>
      </c>
      <c r="J12" s="16" t="s">
        <v>139</v>
      </c>
      <c r="K12" s="14">
        <v>0</v>
      </c>
      <c r="L12" s="16">
        <v>0</v>
      </c>
      <c r="M12" s="14">
        <v>0</v>
      </c>
      <c r="N12" s="16">
        <v>0</v>
      </c>
      <c r="O12" s="14">
        <v>0</v>
      </c>
      <c r="P12" s="16">
        <v>0</v>
      </c>
      <c r="Q12" s="14">
        <v>0</v>
      </c>
      <c r="R12" s="16">
        <v>0</v>
      </c>
    </row>
    <row r="13" spans="1:18" x14ac:dyDescent="0.25">
      <c r="A13" s="11" t="s">
        <v>145</v>
      </c>
      <c r="B13" s="13">
        <v>7161</v>
      </c>
      <c r="C13" s="14">
        <f>(6079/B13*100)</f>
        <v>84.890378438765538</v>
      </c>
      <c r="D13" s="15">
        <v>1082</v>
      </c>
      <c r="E13" s="14">
        <v>50.720198410000002</v>
      </c>
      <c r="F13" s="16">
        <v>1.7904291999999999</v>
      </c>
      <c r="G13" s="14">
        <v>49.279801589999998</v>
      </c>
      <c r="H13" s="16">
        <v>1.7904291999999999</v>
      </c>
      <c r="I13" s="14" t="s">
        <v>139</v>
      </c>
      <c r="J13" s="16" t="s">
        <v>139</v>
      </c>
      <c r="K13" s="14">
        <v>0</v>
      </c>
      <c r="L13" s="16">
        <v>0</v>
      </c>
      <c r="M13" s="14">
        <v>0</v>
      </c>
      <c r="N13" s="16">
        <v>0</v>
      </c>
      <c r="O13" s="14">
        <v>0</v>
      </c>
      <c r="P13" s="16">
        <v>0</v>
      </c>
      <c r="Q13" s="14">
        <v>0</v>
      </c>
      <c r="R13" s="16">
        <v>0</v>
      </c>
    </row>
    <row r="14" spans="1:18" x14ac:dyDescent="0.25">
      <c r="A14" s="11" t="s">
        <v>146</v>
      </c>
      <c r="B14" s="13">
        <v>5587</v>
      </c>
      <c r="C14" s="14">
        <f>(4678/B14*100)</f>
        <v>83.730087703597633</v>
      </c>
      <c r="D14" s="15">
        <v>909</v>
      </c>
      <c r="E14" s="14">
        <v>63.581033820000002</v>
      </c>
      <c r="F14" s="16">
        <v>1.59212369</v>
      </c>
      <c r="G14" s="14">
        <v>36.418966179999998</v>
      </c>
      <c r="H14" s="16">
        <v>1.59212369</v>
      </c>
      <c r="I14" s="14" t="s">
        <v>139</v>
      </c>
      <c r="J14" s="16" t="s">
        <v>139</v>
      </c>
      <c r="K14" s="14">
        <v>0</v>
      </c>
      <c r="L14" s="16">
        <v>0</v>
      </c>
      <c r="M14" s="14">
        <v>0</v>
      </c>
      <c r="N14" s="16">
        <v>0</v>
      </c>
      <c r="O14" s="14">
        <v>0</v>
      </c>
      <c r="P14" s="16">
        <v>0</v>
      </c>
      <c r="Q14" s="14">
        <v>0</v>
      </c>
      <c r="R14" s="16">
        <v>0</v>
      </c>
    </row>
    <row r="15" spans="1:18" x14ac:dyDescent="0.25">
      <c r="A15" s="11" t="s">
        <v>147</v>
      </c>
      <c r="B15" s="13">
        <v>5882</v>
      </c>
      <c r="C15" s="14">
        <f>(4957/B15*100)</f>
        <v>84.274056443386598</v>
      </c>
      <c r="D15" s="15">
        <v>925</v>
      </c>
      <c r="E15" s="14">
        <v>64.319808030000004</v>
      </c>
      <c r="F15" s="16">
        <v>1.36681333</v>
      </c>
      <c r="G15" s="14">
        <v>35.680191970000003</v>
      </c>
      <c r="H15" s="16">
        <v>1.36681333</v>
      </c>
      <c r="I15" s="14" t="s">
        <v>139</v>
      </c>
      <c r="J15" s="16" t="s">
        <v>139</v>
      </c>
      <c r="K15" s="14">
        <v>0</v>
      </c>
      <c r="L15" s="16">
        <v>0</v>
      </c>
      <c r="M15" s="14">
        <v>0</v>
      </c>
      <c r="N15" s="16">
        <v>0</v>
      </c>
      <c r="O15" s="14">
        <v>0</v>
      </c>
      <c r="P15" s="16">
        <v>0</v>
      </c>
      <c r="Q15" s="14">
        <v>0</v>
      </c>
      <c r="R15" s="16">
        <v>0</v>
      </c>
    </row>
    <row r="16" spans="1:18" x14ac:dyDescent="0.25">
      <c r="A16" s="11" t="s">
        <v>148</v>
      </c>
      <c r="B16" s="13">
        <v>6108</v>
      </c>
      <c r="C16" s="14">
        <f>(5144/B16*100)</f>
        <v>84.217419777341192</v>
      </c>
      <c r="D16" s="15">
        <v>964</v>
      </c>
      <c r="E16" s="14">
        <v>57.0788954</v>
      </c>
      <c r="F16" s="16">
        <v>1.6803936399999999</v>
      </c>
      <c r="G16" s="14">
        <v>42.9211046</v>
      </c>
      <c r="H16" s="16">
        <v>1.6803936399999999</v>
      </c>
      <c r="I16" s="14" t="s">
        <v>139</v>
      </c>
      <c r="J16" s="16" t="s">
        <v>139</v>
      </c>
      <c r="K16" s="14">
        <v>0</v>
      </c>
      <c r="L16" s="16">
        <v>0</v>
      </c>
      <c r="M16" s="14">
        <v>0</v>
      </c>
      <c r="N16" s="16">
        <v>0</v>
      </c>
      <c r="O16" s="14">
        <v>0</v>
      </c>
      <c r="P16" s="16">
        <v>0</v>
      </c>
      <c r="Q16" s="14">
        <v>0</v>
      </c>
      <c r="R16" s="16">
        <v>0</v>
      </c>
    </row>
    <row r="17" spans="1:18" x14ac:dyDescent="0.25">
      <c r="A17" s="11" t="s">
        <v>149</v>
      </c>
      <c r="B17" s="13">
        <v>6504</v>
      </c>
      <c r="C17" s="14">
        <f>(5504/B17*100)</f>
        <v>84.624846248462475</v>
      </c>
      <c r="D17" s="15">
        <v>1000</v>
      </c>
      <c r="E17" s="14">
        <v>54.654062529999997</v>
      </c>
      <c r="F17" s="16">
        <v>1.4633754800000001</v>
      </c>
      <c r="G17" s="14">
        <v>45.345937470000003</v>
      </c>
      <c r="H17" s="16">
        <v>1.4633754800000001</v>
      </c>
      <c r="I17" s="14" t="s">
        <v>139</v>
      </c>
      <c r="J17" s="16" t="s">
        <v>139</v>
      </c>
      <c r="K17" s="14">
        <v>0</v>
      </c>
      <c r="L17" s="16">
        <v>0</v>
      </c>
      <c r="M17" s="14">
        <v>0</v>
      </c>
      <c r="N17" s="16">
        <v>0</v>
      </c>
      <c r="O17" s="14">
        <v>0</v>
      </c>
      <c r="P17" s="16">
        <v>0</v>
      </c>
      <c r="Q17" s="14">
        <v>0</v>
      </c>
      <c r="R17" s="16">
        <v>0</v>
      </c>
    </row>
    <row r="18" spans="1:18" x14ac:dyDescent="0.25">
      <c r="A18" s="11" t="s">
        <v>150</v>
      </c>
      <c r="B18" s="13">
        <v>5532</v>
      </c>
      <c r="C18" s="14">
        <f>(4604/B18*100)</f>
        <v>83.224873463485167</v>
      </c>
      <c r="D18" s="15">
        <v>928</v>
      </c>
      <c r="E18" s="14">
        <v>73.007186869999998</v>
      </c>
      <c r="F18" s="16">
        <v>1.4708727100000001</v>
      </c>
      <c r="G18" s="14">
        <v>26.992813129999998</v>
      </c>
      <c r="H18" s="16">
        <v>1.4708727100000001</v>
      </c>
      <c r="I18" s="14" t="s">
        <v>139</v>
      </c>
      <c r="J18" s="16" t="s">
        <v>139</v>
      </c>
      <c r="K18" s="14">
        <v>0</v>
      </c>
      <c r="L18" s="16">
        <v>0</v>
      </c>
      <c r="M18" s="14">
        <v>0</v>
      </c>
      <c r="N18" s="16">
        <v>0</v>
      </c>
      <c r="O18" s="14">
        <v>0</v>
      </c>
      <c r="P18" s="16">
        <v>0</v>
      </c>
      <c r="Q18" s="14">
        <v>0</v>
      </c>
      <c r="R18" s="16">
        <v>0</v>
      </c>
    </row>
    <row r="19" spans="1:18" x14ac:dyDescent="0.25">
      <c r="A19" s="11" t="s">
        <v>151</v>
      </c>
      <c r="B19" s="13">
        <v>5658</v>
      </c>
      <c r="C19" s="14">
        <f>(4793/B19*100)</f>
        <v>84.711912336514672</v>
      </c>
      <c r="D19" s="15">
        <v>865</v>
      </c>
      <c r="E19" s="14">
        <v>63.555651619999999</v>
      </c>
      <c r="F19" s="16">
        <v>2.00231016</v>
      </c>
      <c r="G19" s="14">
        <v>36.444348380000001</v>
      </c>
      <c r="H19" s="16">
        <v>2.00231016</v>
      </c>
      <c r="I19" s="14" t="s">
        <v>139</v>
      </c>
      <c r="J19" s="16" t="s">
        <v>139</v>
      </c>
      <c r="K19" s="14">
        <v>0</v>
      </c>
      <c r="L19" s="16">
        <v>0</v>
      </c>
      <c r="M19" s="14">
        <v>0</v>
      </c>
      <c r="N19" s="16">
        <v>0</v>
      </c>
      <c r="O19" s="14">
        <v>0</v>
      </c>
      <c r="P19" s="16">
        <v>0</v>
      </c>
      <c r="Q19" s="14">
        <v>0</v>
      </c>
      <c r="R19" s="16">
        <v>0</v>
      </c>
    </row>
    <row r="20" spans="1:18" x14ac:dyDescent="0.25">
      <c r="A20" s="11" t="s">
        <v>152</v>
      </c>
      <c r="B20" s="13">
        <v>3371</v>
      </c>
      <c r="C20" s="14">
        <f>(2842/B20*100)</f>
        <v>84.307327202610509</v>
      </c>
      <c r="D20" s="15">
        <v>529</v>
      </c>
      <c r="E20" s="14">
        <v>57.031174999999998</v>
      </c>
      <c r="F20" s="16">
        <v>2.3586113599999998</v>
      </c>
      <c r="G20" s="14">
        <v>42.968825000000002</v>
      </c>
      <c r="H20" s="16">
        <v>2.3586113599999998</v>
      </c>
      <c r="I20" s="14" t="s">
        <v>139</v>
      </c>
      <c r="J20" s="16" t="s">
        <v>139</v>
      </c>
      <c r="K20" s="14">
        <v>0</v>
      </c>
      <c r="L20" s="16">
        <v>0</v>
      </c>
      <c r="M20" s="14">
        <v>0</v>
      </c>
      <c r="N20" s="16">
        <v>0</v>
      </c>
      <c r="O20" s="14">
        <v>0</v>
      </c>
      <c r="P20" s="16">
        <v>0</v>
      </c>
      <c r="Q20" s="14">
        <v>0</v>
      </c>
      <c r="R20" s="16">
        <v>0</v>
      </c>
    </row>
    <row r="21" spans="1:18" x14ac:dyDescent="0.25">
      <c r="A21" s="11" t="s">
        <v>153</v>
      </c>
      <c r="B21" s="17" t="s">
        <v>154</v>
      </c>
      <c r="C21" s="17" t="s">
        <v>154</v>
      </c>
      <c r="D21" s="18" t="s">
        <v>154</v>
      </c>
      <c r="E21" s="17" t="s">
        <v>154</v>
      </c>
      <c r="F21" s="18" t="s">
        <v>154</v>
      </c>
      <c r="G21" s="17" t="s">
        <v>154</v>
      </c>
      <c r="H21" s="18" t="s">
        <v>154</v>
      </c>
      <c r="I21" s="17" t="s">
        <v>154</v>
      </c>
      <c r="J21" s="18" t="s">
        <v>154</v>
      </c>
      <c r="K21" s="17" t="s">
        <v>154</v>
      </c>
      <c r="L21" s="18" t="s">
        <v>154</v>
      </c>
      <c r="M21" s="17" t="s">
        <v>154</v>
      </c>
      <c r="N21" s="18" t="s">
        <v>154</v>
      </c>
      <c r="O21" s="17" t="s">
        <v>154</v>
      </c>
      <c r="P21" s="18" t="s">
        <v>154</v>
      </c>
      <c r="Q21" s="17" t="s">
        <v>154</v>
      </c>
      <c r="R21" s="18" t="s">
        <v>154</v>
      </c>
    </row>
    <row r="22" spans="1:18" x14ac:dyDescent="0.25">
      <c r="A22" s="11" t="s">
        <v>155</v>
      </c>
      <c r="B22" s="13">
        <v>6598</v>
      </c>
      <c r="C22" s="14">
        <f>(5639/B22*100)</f>
        <v>85.465292512882698</v>
      </c>
      <c r="D22" s="15">
        <v>959</v>
      </c>
      <c r="E22" s="14">
        <v>70.832839609999994</v>
      </c>
      <c r="F22" s="16">
        <v>1.5859424200000001</v>
      </c>
      <c r="G22" s="14">
        <v>29.167160389999999</v>
      </c>
      <c r="H22" s="16">
        <v>1.5859424200000001</v>
      </c>
      <c r="I22" s="14" t="s">
        <v>139</v>
      </c>
      <c r="J22" s="16" t="s">
        <v>139</v>
      </c>
      <c r="K22" s="14">
        <v>0</v>
      </c>
      <c r="L22" s="16">
        <v>0</v>
      </c>
      <c r="M22" s="14">
        <v>0</v>
      </c>
      <c r="N22" s="16">
        <v>0</v>
      </c>
      <c r="O22" s="14">
        <v>0</v>
      </c>
      <c r="P22" s="16">
        <v>0</v>
      </c>
      <c r="Q22" s="14">
        <v>0</v>
      </c>
      <c r="R22" s="16">
        <v>0</v>
      </c>
    </row>
    <row r="23" spans="1:18" x14ac:dyDescent="0.25">
      <c r="A23" s="11" t="s">
        <v>156</v>
      </c>
      <c r="B23" s="13">
        <v>11583</v>
      </c>
      <c r="C23" s="14">
        <f>(9722/B23*100)</f>
        <v>83.933350600017263</v>
      </c>
      <c r="D23" s="15">
        <v>1861</v>
      </c>
      <c r="E23" s="14">
        <v>57.225873839999998</v>
      </c>
      <c r="F23" s="16">
        <v>1.60107365</v>
      </c>
      <c r="G23" s="14">
        <v>42.774126160000002</v>
      </c>
      <c r="H23" s="16">
        <v>1.60107365</v>
      </c>
      <c r="I23" s="14" t="s">
        <v>139</v>
      </c>
      <c r="J23" s="16" t="s">
        <v>139</v>
      </c>
      <c r="K23" s="14">
        <v>0</v>
      </c>
      <c r="L23" s="16">
        <v>0</v>
      </c>
      <c r="M23" s="14">
        <v>0</v>
      </c>
      <c r="N23" s="16">
        <v>0</v>
      </c>
      <c r="O23" s="14">
        <v>0</v>
      </c>
      <c r="P23" s="16">
        <v>0</v>
      </c>
      <c r="Q23" s="14">
        <v>0</v>
      </c>
      <c r="R23" s="16">
        <v>0</v>
      </c>
    </row>
    <row r="24" spans="1:18" x14ac:dyDescent="0.25">
      <c r="A24" s="11" t="s">
        <v>157</v>
      </c>
      <c r="B24" s="13">
        <v>6647</v>
      </c>
      <c r="C24" s="14">
        <f>(5539/B24*100)</f>
        <v>83.33082593651271</v>
      </c>
      <c r="D24" s="15">
        <v>1108</v>
      </c>
      <c r="E24" s="14">
        <v>56.593925929999997</v>
      </c>
      <c r="F24" s="16">
        <v>1.66065547</v>
      </c>
      <c r="G24" s="14">
        <v>43.406074070000003</v>
      </c>
      <c r="H24" s="16">
        <v>1.66065547</v>
      </c>
      <c r="I24" s="14" t="s">
        <v>139</v>
      </c>
      <c r="J24" s="16" t="s">
        <v>139</v>
      </c>
      <c r="K24" s="14">
        <v>0</v>
      </c>
      <c r="L24" s="16">
        <v>0</v>
      </c>
      <c r="M24" s="14">
        <v>0</v>
      </c>
      <c r="N24" s="16">
        <v>0</v>
      </c>
      <c r="O24" s="14">
        <v>0</v>
      </c>
      <c r="P24" s="16">
        <v>0</v>
      </c>
      <c r="Q24" s="14">
        <v>0</v>
      </c>
      <c r="R24" s="16">
        <v>0</v>
      </c>
    </row>
    <row r="25" spans="1:18" x14ac:dyDescent="0.25">
      <c r="A25" s="11" t="s">
        <v>158</v>
      </c>
      <c r="B25" s="13">
        <v>5581</v>
      </c>
      <c r="C25" s="14">
        <f>(4619/B25*100)</f>
        <v>82.762945708654371</v>
      </c>
      <c r="D25" s="15">
        <v>962</v>
      </c>
      <c r="E25" s="14">
        <v>53.308414419999998</v>
      </c>
      <c r="F25" s="16">
        <v>1.7073822299999999</v>
      </c>
      <c r="G25" s="14">
        <v>46.691585580000002</v>
      </c>
      <c r="H25" s="16">
        <v>1.7073822299999999</v>
      </c>
      <c r="I25" s="14" t="s">
        <v>139</v>
      </c>
      <c r="J25" s="16" t="s">
        <v>139</v>
      </c>
      <c r="K25" s="14">
        <v>0</v>
      </c>
      <c r="L25" s="16">
        <v>0</v>
      </c>
      <c r="M25" s="14">
        <v>0</v>
      </c>
      <c r="N25" s="16">
        <v>0</v>
      </c>
      <c r="O25" s="14">
        <v>0</v>
      </c>
      <c r="P25" s="16">
        <v>0</v>
      </c>
      <c r="Q25" s="14">
        <v>0</v>
      </c>
      <c r="R25" s="16">
        <v>0</v>
      </c>
    </row>
    <row r="26" spans="1:18" x14ac:dyDescent="0.25">
      <c r="A26" s="11" t="s">
        <v>159</v>
      </c>
      <c r="B26" s="13">
        <v>4869</v>
      </c>
      <c r="C26" s="14">
        <f>(4044/B26*100)</f>
        <v>83.056069008009857</v>
      </c>
      <c r="D26" s="15">
        <v>825</v>
      </c>
      <c r="E26" s="14">
        <v>57.631766280000001</v>
      </c>
      <c r="F26" s="16">
        <v>1.7565707100000001</v>
      </c>
      <c r="G26" s="14">
        <v>42.368233719999999</v>
      </c>
      <c r="H26" s="16">
        <v>1.7565707100000001</v>
      </c>
      <c r="I26" s="14" t="s">
        <v>139</v>
      </c>
      <c r="J26" s="16" t="s">
        <v>139</v>
      </c>
      <c r="K26" s="14">
        <v>0</v>
      </c>
      <c r="L26" s="16">
        <v>0</v>
      </c>
      <c r="M26" s="14">
        <v>0</v>
      </c>
      <c r="N26" s="16">
        <v>0</v>
      </c>
      <c r="O26" s="14">
        <v>0</v>
      </c>
      <c r="P26" s="16">
        <v>0</v>
      </c>
      <c r="Q26" s="14">
        <v>0</v>
      </c>
      <c r="R26" s="16">
        <v>0</v>
      </c>
    </row>
    <row r="27" spans="1:18" x14ac:dyDescent="0.25">
      <c r="A27" s="11" t="s">
        <v>160</v>
      </c>
      <c r="B27" s="13">
        <v>5299</v>
      </c>
      <c r="C27" s="14">
        <f>(4485/B27*100)</f>
        <v>84.638611058690316</v>
      </c>
      <c r="D27" s="15">
        <v>814</v>
      </c>
      <c r="E27" s="14">
        <v>54.737043139999997</v>
      </c>
      <c r="F27" s="16">
        <v>1.6809203699999999</v>
      </c>
      <c r="G27" s="14">
        <v>45.262956860000003</v>
      </c>
      <c r="H27" s="16">
        <v>1.6809203699999999</v>
      </c>
      <c r="I27" s="14" t="s">
        <v>139</v>
      </c>
      <c r="J27" s="16" t="s">
        <v>139</v>
      </c>
      <c r="K27" s="14">
        <v>0</v>
      </c>
      <c r="L27" s="16">
        <v>0</v>
      </c>
      <c r="M27" s="14">
        <v>0</v>
      </c>
      <c r="N27" s="16">
        <v>0</v>
      </c>
      <c r="O27" s="14">
        <v>0</v>
      </c>
      <c r="P27" s="16">
        <v>0</v>
      </c>
      <c r="Q27" s="14">
        <v>0</v>
      </c>
      <c r="R27" s="16">
        <v>0</v>
      </c>
    </row>
    <row r="28" spans="1:18" x14ac:dyDescent="0.25">
      <c r="A28" s="11" t="s">
        <v>161</v>
      </c>
      <c r="B28" s="13">
        <v>7568</v>
      </c>
      <c r="C28" s="14">
        <f>(6565/B28*100)</f>
        <v>86.746828752642699</v>
      </c>
      <c r="D28" s="15">
        <v>1003</v>
      </c>
      <c r="E28" s="14">
        <v>72.316824850000003</v>
      </c>
      <c r="F28" s="16">
        <v>1.7224740700000001</v>
      </c>
      <c r="G28" s="14">
        <v>27.68317515</v>
      </c>
      <c r="H28" s="16">
        <v>1.7224740700000001</v>
      </c>
      <c r="I28" s="14" t="s">
        <v>139</v>
      </c>
      <c r="J28" s="16" t="s">
        <v>139</v>
      </c>
      <c r="K28" s="14">
        <v>0</v>
      </c>
      <c r="L28" s="16">
        <v>0</v>
      </c>
      <c r="M28" s="14">
        <v>0</v>
      </c>
      <c r="N28" s="16">
        <v>0</v>
      </c>
      <c r="O28" s="14">
        <v>0</v>
      </c>
      <c r="P28" s="16">
        <v>0</v>
      </c>
      <c r="Q28" s="14">
        <v>0</v>
      </c>
      <c r="R28" s="16">
        <v>0</v>
      </c>
    </row>
    <row r="29" spans="1:18" x14ac:dyDescent="0.25">
      <c r="A29" s="11" t="s">
        <v>162</v>
      </c>
      <c r="B29" s="13">
        <v>5385</v>
      </c>
      <c r="C29" s="14">
        <f>(4470/B29*100)</f>
        <v>83.008356545961007</v>
      </c>
      <c r="D29" s="15">
        <v>915</v>
      </c>
      <c r="E29" s="14">
        <v>64.953100079999999</v>
      </c>
      <c r="F29" s="16">
        <v>1.74352076</v>
      </c>
      <c r="G29" s="14">
        <v>35.046899920000001</v>
      </c>
      <c r="H29" s="16">
        <v>1.74352076</v>
      </c>
      <c r="I29" s="14" t="s">
        <v>139</v>
      </c>
      <c r="J29" s="16" t="s">
        <v>139</v>
      </c>
      <c r="K29" s="14">
        <v>0</v>
      </c>
      <c r="L29" s="16">
        <v>0</v>
      </c>
      <c r="M29" s="14">
        <v>0</v>
      </c>
      <c r="N29" s="16">
        <v>0</v>
      </c>
      <c r="O29" s="14">
        <v>0</v>
      </c>
      <c r="P29" s="16">
        <v>0</v>
      </c>
      <c r="Q29" s="14">
        <v>0</v>
      </c>
      <c r="R29" s="16">
        <v>0</v>
      </c>
    </row>
    <row r="30" spans="1:18" x14ac:dyDescent="0.25">
      <c r="A30" s="11" t="s">
        <v>163</v>
      </c>
      <c r="B30" s="13">
        <v>4520</v>
      </c>
      <c r="C30" s="14">
        <f>(3802/B30*100)</f>
        <v>84.115044247787608</v>
      </c>
      <c r="D30" s="15">
        <v>718</v>
      </c>
      <c r="E30" s="14">
        <v>56.379291590000001</v>
      </c>
      <c r="F30" s="16">
        <v>1.7286903899999999</v>
      </c>
      <c r="G30" s="14">
        <v>43.620708409999999</v>
      </c>
      <c r="H30" s="16">
        <v>1.7286903899999999</v>
      </c>
      <c r="I30" s="14" t="s">
        <v>139</v>
      </c>
      <c r="J30" s="16" t="s">
        <v>139</v>
      </c>
      <c r="K30" s="14">
        <v>0</v>
      </c>
      <c r="L30" s="16">
        <v>0</v>
      </c>
      <c r="M30" s="14">
        <v>0</v>
      </c>
      <c r="N30" s="16">
        <v>0</v>
      </c>
      <c r="O30" s="14">
        <v>0</v>
      </c>
      <c r="P30" s="16">
        <v>0</v>
      </c>
      <c r="Q30" s="14">
        <v>0</v>
      </c>
      <c r="R30" s="16">
        <v>0</v>
      </c>
    </row>
    <row r="31" spans="1:18" x14ac:dyDescent="0.25">
      <c r="A31" s="11" t="s">
        <v>164</v>
      </c>
      <c r="B31" s="13">
        <v>5456</v>
      </c>
      <c r="C31" s="14">
        <f>(4603/B31*100)</f>
        <v>84.365835777126094</v>
      </c>
      <c r="D31" s="15">
        <v>853</v>
      </c>
      <c r="E31" s="14">
        <v>54.086105570000001</v>
      </c>
      <c r="F31" s="16">
        <v>1.84747773</v>
      </c>
      <c r="G31" s="14">
        <v>45.913894429999999</v>
      </c>
      <c r="H31" s="16">
        <v>1.84747773</v>
      </c>
      <c r="I31" s="14" t="s">
        <v>139</v>
      </c>
      <c r="J31" s="16" t="s">
        <v>139</v>
      </c>
      <c r="K31" s="14">
        <v>0</v>
      </c>
      <c r="L31" s="16">
        <v>0</v>
      </c>
      <c r="M31" s="14">
        <v>0</v>
      </c>
      <c r="N31" s="16">
        <v>0</v>
      </c>
      <c r="O31" s="14">
        <v>0</v>
      </c>
      <c r="P31" s="16">
        <v>0</v>
      </c>
      <c r="Q31" s="14">
        <v>0</v>
      </c>
      <c r="R31" s="16">
        <v>0</v>
      </c>
    </row>
    <row r="32" spans="1:18" x14ac:dyDescent="0.25">
      <c r="A32" s="11" t="s">
        <v>165</v>
      </c>
      <c r="B32" s="17" t="s">
        <v>154</v>
      </c>
      <c r="C32" s="17" t="s">
        <v>154</v>
      </c>
      <c r="D32" s="18" t="s">
        <v>154</v>
      </c>
      <c r="E32" s="17" t="s">
        <v>154</v>
      </c>
      <c r="F32" s="18" t="s">
        <v>154</v>
      </c>
      <c r="G32" s="17" t="s">
        <v>154</v>
      </c>
      <c r="H32" s="18" t="s">
        <v>154</v>
      </c>
      <c r="I32" s="17" t="s">
        <v>154</v>
      </c>
      <c r="J32" s="18" t="s">
        <v>154</v>
      </c>
      <c r="K32" s="17" t="s">
        <v>154</v>
      </c>
      <c r="L32" s="18" t="s">
        <v>154</v>
      </c>
      <c r="M32" s="17" t="s">
        <v>154</v>
      </c>
      <c r="N32" s="18" t="s">
        <v>154</v>
      </c>
      <c r="O32" s="17" t="s">
        <v>154</v>
      </c>
      <c r="P32" s="18" t="s">
        <v>154</v>
      </c>
      <c r="Q32" s="17" t="s">
        <v>154</v>
      </c>
      <c r="R32" s="18" t="s">
        <v>154</v>
      </c>
    </row>
    <row r="33" spans="1:18" x14ac:dyDescent="0.25">
      <c r="A33" s="11" t="s">
        <v>166</v>
      </c>
      <c r="B33" s="13">
        <v>7325</v>
      </c>
      <c r="C33" s="14">
        <f>(6254/B33*100)</f>
        <v>85.37883959044369</v>
      </c>
      <c r="D33" s="15">
        <v>1071</v>
      </c>
      <c r="E33" s="14">
        <v>60.590056750000002</v>
      </c>
      <c r="F33" s="16">
        <v>1.7890544100000001</v>
      </c>
      <c r="G33" s="14">
        <v>39.409943249999998</v>
      </c>
      <c r="H33" s="16">
        <v>1.7890544100000001</v>
      </c>
      <c r="I33" s="14" t="s">
        <v>139</v>
      </c>
      <c r="J33" s="16" t="s">
        <v>139</v>
      </c>
      <c r="K33" s="14">
        <v>0</v>
      </c>
      <c r="L33" s="16">
        <v>0</v>
      </c>
      <c r="M33" s="14">
        <v>0</v>
      </c>
      <c r="N33" s="16">
        <v>0</v>
      </c>
      <c r="O33" s="14">
        <v>0</v>
      </c>
      <c r="P33" s="16">
        <v>0</v>
      </c>
      <c r="Q33" s="14">
        <v>0</v>
      </c>
      <c r="R33" s="16">
        <v>0</v>
      </c>
    </row>
    <row r="34" spans="1:18" x14ac:dyDescent="0.25">
      <c r="A34" s="11" t="s">
        <v>167</v>
      </c>
      <c r="B34" s="13">
        <v>6350</v>
      </c>
      <c r="C34" s="14">
        <f>(5401/B34*100)</f>
        <v>85.055118110236222</v>
      </c>
      <c r="D34" s="15">
        <v>949</v>
      </c>
      <c r="E34" s="14">
        <v>64.810130040000004</v>
      </c>
      <c r="F34" s="16">
        <v>1.47843386</v>
      </c>
      <c r="G34" s="14">
        <v>35.189869960000003</v>
      </c>
      <c r="H34" s="16">
        <v>1.47843386</v>
      </c>
      <c r="I34" s="14" t="s">
        <v>139</v>
      </c>
      <c r="J34" s="16" t="s">
        <v>139</v>
      </c>
      <c r="K34" s="14">
        <v>0</v>
      </c>
      <c r="L34" s="16">
        <v>0</v>
      </c>
      <c r="M34" s="14">
        <v>0</v>
      </c>
      <c r="N34" s="16">
        <v>0</v>
      </c>
      <c r="O34" s="14">
        <v>0</v>
      </c>
      <c r="P34" s="16">
        <v>0</v>
      </c>
      <c r="Q34" s="14">
        <v>0</v>
      </c>
      <c r="R34" s="16">
        <v>0</v>
      </c>
    </row>
    <row r="35" spans="1:18" x14ac:dyDescent="0.25">
      <c r="A35" s="11" t="s">
        <v>168</v>
      </c>
      <c r="B35" s="13">
        <v>6406</v>
      </c>
      <c r="C35" s="14">
        <f>(5331/B35*100)</f>
        <v>83.218857321261325</v>
      </c>
      <c r="D35" s="15">
        <v>1075</v>
      </c>
      <c r="E35" s="14">
        <v>61.292612140000003</v>
      </c>
      <c r="F35" s="16">
        <v>1.8202168400000001</v>
      </c>
      <c r="G35" s="14">
        <v>38.707387859999997</v>
      </c>
      <c r="H35" s="16">
        <v>1.8202168400000001</v>
      </c>
      <c r="I35" s="14" t="s">
        <v>139</v>
      </c>
      <c r="J35" s="16" t="s">
        <v>139</v>
      </c>
      <c r="K35" s="14">
        <v>0</v>
      </c>
      <c r="L35" s="16">
        <v>0</v>
      </c>
      <c r="M35" s="14">
        <v>0</v>
      </c>
      <c r="N35" s="16">
        <v>0</v>
      </c>
      <c r="O35" s="14">
        <v>0</v>
      </c>
      <c r="P35" s="16">
        <v>0</v>
      </c>
      <c r="Q35" s="14">
        <v>0</v>
      </c>
      <c r="R35" s="16">
        <v>0</v>
      </c>
    </row>
    <row r="36" spans="1:18" x14ac:dyDescent="0.25">
      <c r="A36" s="11" t="s">
        <v>169</v>
      </c>
      <c r="B36" s="13">
        <v>6736</v>
      </c>
      <c r="C36" s="14">
        <f>(5718/B36*100)</f>
        <v>84.887173396674584</v>
      </c>
      <c r="D36" s="15">
        <v>1018</v>
      </c>
      <c r="E36" s="14">
        <v>59.174719240000002</v>
      </c>
      <c r="F36" s="16">
        <v>1.5713894500000001</v>
      </c>
      <c r="G36" s="14">
        <v>40.825280759999998</v>
      </c>
      <c r="H36" s="16">
        <v>1.5713894500000001</v>
      </c>
      <c r="I36" s="14" t="s">
        <v>139</v>
      </c>
      <c r="J36" s="16" t="s">
        <v>139</v>
      </c>
      <c r="K36" s="14">
        <v>0</v>
      </c>
      <c r="L36" s="16">
        <v>0</v>
      </c>
      <c r="M36" s="14">
        <v>0</v>
      </c>
      <c r="N36" s="16">
        <v>0</v>
      </c>
      <c r="O36" s="14">
        <v>0</v>
      </c>
      <c r="P36" s="16">
        <v>0</v>
      </c>
      <c r="Q36" s="14">
        <v>0</v>
      </c>
      <c r="R36" s="16">
        <v>0</v>
      </c>
    </row>
    <row r="37" spans="1:18" x14ac:dyDescent="0.25">
      <c r="A37" s="11" t="s">
        <v>170</v>
      </c>
      <c r="B37" s="13">
        <v>5458</v>
      </c>
      <c r="C37" s="14">
        <f>(4647/B37*100)</f>
        <v>85.141077317698787</v>
      </c>
      <c r="D37" s="15">
        <v>811</v>
      </c>
      <c r="E37" s="14">
        <v>61.940629749999999</v>
      </c>
      <c r="F37" s="16">
        <v>1.8058133000000001</v>
      </c>
      <c r="G37" s="14">
        <v>38.059370250000001</v>
      </c>
      <c r="H37" s="16">
        <v>1.8058133000000001</v>
      </c>
      <c r="I37" s="14" t="s">
        <v>139</v>
      </c>
      <c r="J37" s="16" t="s">
        <v>139</v>
      </c>
      <c r="K37" s="14">
        <v>0</v>
      </c>
      <c r="L37" s="16">
        <v>0</v>
      </c>
      <c r="M37" s="14">
        <v>0</v>
      </c>
      <c r="N37" s="16">
        <v>0</v>
      </c>
      <c r="O37" s="14">
        <v>0</v>
      </c>
      <c r="P37" s="16">
        <v>0</v>
      </c>
      <c r="Q37" s="14">
        <v>0</v>
      </c>
      <c r="R37" s="16">
        <v>0</v>
      </c>
    </row>
    <row r="38" spans="1:18" x14ac:dyDescent="0.25">
      <c r="A38" s="11" t="s">
        <v>171</v>
      </c>
      <c r="B38" s="17" t="s">
        <v>154</v>
      </c>
      <c r="C38" s="17" t="s">
        <v>154</v>
      </c>
      <c r="D38" s="18" t="s">
        <v>154</v>
      </c>
      <c r="E38" s="17" t="s">
        <v>154</v>
      </c>
      <c r="F38" s="18" t="s">
        <v>154</v>
      </c>
      <c r="G38" s="17" t="s">
        <v>154</v>
      </c>
      <c r="H38" s="18" t="s">
        <v>154</v>
      </c>
      <c r="I38" s="17" t="s">
        <v>154</v>
      </c>
      <c r="J38" s="18" t="s">
        <v>154</v>
      </c>
      <c r="K38" s="17" t="s">
        <v>154</v>
      </c>
      <c r="L38" s="18" t="s">
        <v>154</v>
      </c>
      <c r="M38" s="17" t="s">
        <v>154</v>
      </c>
      <c r="N38" s="18" t="s">
        <v>154</v>
      </c>
      <c r="O38" s="17" t="s">
        <v>154</v>
      </c>
      <c r="P38" s="18" t="s">
        <v>154</v>
      </c>
      <c r="Q38" s="17" t="s">
        <v>154</v>
      </c>
      <c r="R38" s="18" t="s">
        <v>154</v>
      </c>
    </row>
    <row r="39" spans="1:18" x14ac:dyDescent="0.25">
      <c r="A39" s="11" t="s">
        <v>172</v>
      </c>
      <c r="B39" s="13">
        <v>5895</v>
      </c>
      <c r="C39" s="14">
        <f>(4878/B39*100)</f>
        <v>82.748091603053425</v>
      </c>
      <c r="D39" s="15">
        <v>1017</v>
      </c>
      <c r="E39" s="14">
        <v>65.177891610000003</v>
      </c>
      <c r="F39" s="16">
        <v>1.6959726100000001</v>
      </c>
      <c r="G39" s="14">
        <v>34.822108389999997</v>
      </c>
      <c r="H39" s="16">
        <v>1.6959726100000001</v>
      </c>
      <c r="I39" s="14" t="s">
        <v>139</v>
      </c>
      <c r="J39" s="16" t="s">
        <v>139</v>
      </c>
      <c r="K39" s="14">
        <v>0</v>
      </c>
      <c r="L39" s="16">
        <v>0</v>
      </c>
      <c r="M39" s="14">
        <v>0</v>
      </c>
      <c r="N39" s="16">
        <v>0</v>
      </c>
      <c r="O39" s="14">
        <v>0</v>
      </c>
      <c r="P39" s="16">
        <v>0</v>
      </c>
      <c r="Q39" s="14">
        <v>0</v>
      </c>
      <c r="R39" s="16">
        <v>0</v>
      </c>
    </row>
    <row r="40" spans="1:18" x14ac:dyDescent="0.25">
      <c r="A40" s="11" t="s">
        <v>173</v>
      </c>
      <c r="B40" s="13">
        <v>14157</v>
      </c>
      <c r="C40" s="14">
        <f>(11712/B40*100)</f>
        <v>82.729391820300918</v>
      </c>
      <c r="D40" s="15">
        <v>2445</v>
      </c>
      <c r="E40" s="14">
        <v>55.984360899999999</v>
      </c>
      <c r="F40" s="16">
        <v>1.5369659499999999</v>
      </c>
      <c r="G40" s="14">
        <v>44.015639100000001</v>
      </c>
      <c r="H40" s="16">
        <v>1.5369659499999999</v>
      </c>
      <c r="I40" s="14" t="s">
        <v>139</v>
      </c>
      <c r="J40" s="16" t="s">
        <v>139</v>
      </c>
      <c r="K40" s="14">
        <v>0</v>
      </c>
      <c r="L40" s="16">
        <v>0</v>
      </c>
      <c r="M40" s="14">
        <v>0</v>
      </c>
      <c r="N40" s="16">
        <v>0</v>
      </c>
      <c r="O40" s="14">
        <v>0</v>
      </c>
      <c r="P40" s="16">
        <v>0</v>
      </c>
      <c r="Q40" s="14">
        <v>0</v>
      </c>
      <c r="R40" s="16">
        <v>0</v>
      </c>
    </row>
    <row r="41" spans="1:18" x14ac:dyDescent="0.25">
      <c r="A41" s="11" t="s">
        <v>174</v>
      </c>
      <c r="B41" s="13">
        <v>5712</v>
      </c>
      <c r="C41" s="14">
        <f>(4835/B41*100)</f>
        <v>84.646358543417364</v>
      </c>
      <c r="D41" s="15">
        <v>877</v>
      </c>
      <c r="E41" s="14">
        <v>53.794705610000001</v>
      </c>
      <c r="F41" s="16">
        <v>1.7893577199999999</v>
      </c>
      <c r="G41" s="14">
        <v>46.205294389999999</v>
      </c>
      <c r="H41" s="16">
        <v>1.7893577199999999</v>
      </c>
      <c r="I41" s="14" t="s">
        <v>139</v>
      </c>
      <c r="J41" s="16" t="s">
        <v>139</v>
      </c>
      <c r="K41" s="14">
        <v>0</v>
      </c>
      <c r="L41" s="16">
        <v>0</v>
      </c>
      <c r="M41" s="14">
        <v>0</v>
      </c>
      <c r="N41" s="16">
        <v>0</v>
      </c>
      <c r="O41" s="14">
        <v>0</v>
      </c>
      <c r="P41" s="16">
        <v>0</v>
      </c>
      <c r="Q41" s="14">
        <v>0</v>
      </c>
      <c r="R41" s="16">
        <v>0</v>
      </c>
    </row>
    <row r="42" spans="1:18" x14ac:dyDescent="0.25">
      <c r="A42" s="11" t="s">
        <v>175</v>
      </c>
      <c r="B42" s="13">
        <f>IF(COUNT(B7:B41) &gt; 0, AVERAGE(B7:B41), "\u2014")</f>
        <v>7266.90625</v>
      </c>
      <c r="C42" s="14">
        <f>IF(COUNT(C7:C41) &gt; 0, AVERAGE(C7:C41), "—")</f>
        <v>84.230313367981722</v>
      </c>
      <c r="D42" s="15">
        <f>IF(COUNT(D7:D41) &gt; 0, AVERAGE(D7:D41), "—")</f>
        <v>1149.375</v>
      </c>
      <c r="E42" s="14">
        <f>IF(COUNT(E7:E41) &gt; 0, AVERAGE(E7:E41), "—")</f>
        <v>59.383057343750004</v>
      </c>
      <c r="F42" s="16">
        <f>IF(COUNT(F7:F41) &gt; 0, SQRT(SUMSQ(F7:F41)/(COUNT(F7:F41)*COUNT(F7:F41)) ), "—")</f>
        <v>0.29814508264862227</v>
      </c>
      <c r="G42" s="14">
        <f>IF(COUNT(G7:G41) &gt; 0, AVERAGE(G7:G41), "—")</f>
        <v>40.616942656250011</v>
      </c>
      <c r="H42" s="16">
        <f>IF(COUNT(H7:H41) &gt; 0, SQRT(SUMSQ(H7:H41)/(COUNT(H7:H41)*COUNT(H7:H41)) ), "—")</f>
        <v>0.29814508264862227</v>
      </c>
      <c r="I42" s="14" t="str">
        <f>IF(COUNT(I7:I41) &gt; 0, AVERAGE(I7:I41), "—")</f>
        <v>—</v>
      </c>
      <c r="J42" s="16" t="str">
        <f>IF(COUNT(J7:J41) &gt; 0, SQRT(SUMSQ(J7:J41)/(COUNT(J7:J41)*COUNT(J7:J41)) ), "—")</f>
        <v>—</v>
      </c>
      <c r="K42" s="14">
        <f>IF(COUNT(K7:K41) &gt; 0, AVERAGE(K7:K41), "—")</f>
        <v>0</v>
      </c>
      <c r="L42" s="16">
        <f>IF(COUNT(L7:L41) &gt; 0, SQRT(SUMSQ(L7:L41)/(COUNT(L7:L41)*COUNT(L7:L41)) ), "—")</f>
        <v>0</v>
      </c>
      <c r="M42" s="14">
        <f>IF(COUNT(M7:M41) &gt; 0, AVERAGE(M7:M41), "—")</f>
        <v>0</v>
      </c>
      <c r="N42" s="16">
        <f>IF(COUNT(N7:N41) &gt; 0, SQRT(SUMSQ(N7:N41)/(COUNT(N7:N41)*COUNT(N7:N41)) ), "—")</f>
        <v>0</v>
      </c>
      <c r="O42" s="14">
        <f>IF(COUNT(O7:O41) &gt; 0, AVERAGE(O7:O41), "—")</f>
        <v>0</v>
      </c>
      <c r="P42" s="16">
        <f>IF(COUNT(P7:P41) &gt; 0, SQRT(SUMSQ(P7:P41)/(COUNT(P7:P41)*COUNT(P7:P41)) ), "—")</f>
        <v>0</v>
      </c>
      <c r="Q42" s="14">
        <f>IF(COUNT(Q7:Q41) &gt; 0, AVERAGE(Q7:Q41), "—")</f>
        <v>0</v>
      </c>
      <c r="R42" s="16">
        <f>IF(COUNT(R7:R41) &gt; 0, SQRT(SUMSQ(R7:R41)/(COUNT(R7:R41)*COUNT(R7:R41)) ), "—")</f>
        <v>0</v>
      </c>
    </row>
    <row r="43" spans="1:18" x14ac:dyDescent="0.25">
      <c r="A43" s="9" t="s">
        <v>176</v>
      </c>
      <c r="B43" s="10"/>
      <c r="C43" s="10"/>
      <c r="D43" s="11"/>
      <c r="E43" s="10"/>
      <c r="F43" s="11"/>
      <c r="G43" s="10"/>
      <c r="H43" s="11"/>
      <c r="I43" s="10"/>
      <c r="J43" s="11"/>
      <c r="K43" s="10"/>
      <c r="L43" s="11"/>
      <c r="M43" s="10"/>
      <c r="N43" s="11"/>
      <c r="O43" s="10"/>
      <c r="P43" s="11"/>
      <c r="Q43" s="10"/>
      <c r="R43" s="12"/>
    </row>
    <row r="44" spans="1:18" x14ac:dyDescent="0.25">
      <c r="A44" s="11" t="s">
        <v>177</v>
      </c>
      <c r="B44" s="17" t="s">
        <v>154</v>
      </c>
      <c r="C44" s="17" t="s">
        <v>154</v>
      </c>
      <c r="D44" s="18" t="s">
        <v>154</v>
      </c>
      <c r="E44" s="17" t="s">
        <v>154</v>
      </c>
      <c r="F44" s="18" t="s">
        <v>154</v>
      </c>
      <c r="G44" s="17" t="s">
        <v>154</v>
      </c>
      <c r="H44" s="18" t="s">
        <v>154</v>
      </c>
      <c r="I44" s="17" t="s">
        <v>154</v>
      </c>
      <c r="J44" s="18" t="s">
        <v>154</v>
      </c>
      <c r="K44" s="17" t="s">
        <v>154</v>
      </c>
      <c r="L44" s="18" t="s">
        <v>154</v>
      </c>
      <c r="M44" s="17" t="s">
        <v>154</v>
      </c>
      <c r="N44" s="18" t="s">
        <v>154</v>
      </c>
      <c r="O44" s="17" t="s">
        <v>154</v>
      </c>
      <c r="P44" s="18" t="s">
        <v>154</v>
      </c>
      <c r="Q44" s="17" t="s">
        <v>154</v>
      </c>
      <c r="R44" s="18" t="s">
        <v>154</v>
      </c>
    </row>
    <row r="45" spans="1:18" x14ac:dyDescent="0.25">
      <c r="A45" s="11" t="s">
        <v>178</v>
      </c>
      <c r="B45" s="17" t="s">
        <v>154</v>
      </c>
      <c r="C45" s="17" t="s">
        <v>154</v>
      </c>
      <c r="D45" s="18" t="s">
        <v>154</v>
      </c>
      <c r="E45" s="17" t="s">
        <v>154</v>
      </c>
      <c r="F45" s="18" t="s">
        <v>154</v>
      </c>
      <c r="G45" s="17" t="s">
        <v>154</v>
      </c>
      <c r="H45" s="18" t="s">
        <v>154</v>
      </c>
      <c r="I45" s="17" t="s">
        <v>154</v>
      </c>
      <c r="J45" s="18" t="s">
        <v>154</v>
      </c>
      <c r="K45" s="17" t="s">
        <v>154</v>
      </c>
      <c r="L45" s="18" t="s">
        <v>154</v>
      </c>
      <c r="M45" s="17" t="s">
        <v>154</v>
      </c>
      <c r="N45" s="18" t="s">
        <v>154</v>
      </c>
      <c r="O45" s="17" t="s">
        <v>154</v>
      </c>
      <c r="P45" s="18" t="s">
        <v>154</v>
      </c>
      <c r="Q45" s="17" t="s">
        <v>154</v>
      </c>
      <c r="R45" s="18" t="s">
        <v>154</v>
      </c>
    </row>
    <row r="46" spans="1:18" x14ac:dyDescent="0.25">
      <c r="A46" s="11" t="s">
        <v>179</v>
      </c>
      <c r="B46" s="13">
        <v>23141</v>
      </c>
      <c r="C46" s="14">
        <f>(20786/B46*100)</f>
        <v>89.823257421891881</v>
      </c>
      <c r="D46" s="15">
        <v>2355</v>
      </c>
      <c r="E46" s="14">
        <v>74.855296289999998</v>
      </c>
      <c r="F46" s="16">
        <v>1.35775208</v>
      </c>
      <c r="G46" s="14">
        <v>25.144703710000002</v>
      </c>
      <c r="H46" s="16">
        <v>1.35775208</v>
      </c>
      <c r="I46" s="14" t="s">
        <v>139</v>
      </c>
      <c r="J46" s="16" t="s">
        <v>139</v>
      </c>
      <c r="K46" s="14">
        <v>0</v>
      </c>
      <c r="L46" s="16">
        <v>0</v>
      </c>
      <c r="M46" s="14">
        <v>0</v>
      </c>
      <c r="N46" s="16">
        <v>0</v>
      </c>
      <c r="O46" s="14">
        <v>0</v>
      </c>
      <c r="P46" s="16">
        <v>0</v>
      </c>
      <c r="Q46" s="14">
        <v>0</v>
      </c>
      <c r="R46" s="16">
        <v>0</v>
      </c>
    </row>
    <row r="47" spans="1:18" x14ac:dyDescent="0.25">
      <c r="A47" s="11" t="s">
        <v>180</v>
      </c>
      <c r="B47" s="13">
        <v>5928</v>
      </c>
      <c r="C47" s="14">
        <f>(5048/B47*100)</f>
        <v>85.155195681511472</v>
      </c>
      <c r="D47" s="15">
        <v>880</v>
      </c>
      <c r="E47" s="14">
        <v>69.927614590000005</v>
      </c>
      <c r="F47" s="16">
        <v>1.6671854100000001</v>
      </c>
      <c r="G47" s="14">
        <v>30.072385409999999</v>
      </c>
      <c r="H47" s="16">
        <v>1.6671854100000001</v>
      </c>
      <c r="I47" s="14" t="s">
        <v>139</v>
      </c>
      <c r="J47" s="16" t="s">
        <v>139</v>
      </c>
      <c r="K47" s="14">
        <v>0</v>
      </c>
      <c r="L47" s="16">
        <v>0</v>
      </c>
      <c r="M47" s="14">
        <v>0</v>
      </c>
      <c r="N47" s="16">
        <v>0</v>
      </c>
      <c r="O47" s="14">
        <v>0</v>
      </c>
      <c r="P47" s="16">
        <v>0</v>
      </c>
      <c r="Q47" s="14">
        <v>0</v>
      </c>
      <c r="R47" s="16">
        <v>0</v>
      </c>
    </row>
    <row r="48" spans="1:18" x14ac:dyDescent="0.25">
      <c r="A48" s="11" t="s">
        <v>181</v>
      </c>
      <c r="B48" s="13">
        <v>9841</v>
      </c>
      <c r="C48" s="14">
        <f>(8186/B48*100)</f>
        <v>83.18260339396403</v>
      </c>
      <c r="D48" s="15">
        <v>1655</v>
      </c>
      <c r="E48" s="14">
        <v>59.129709759999997</v>
      </c>
      <c r="F48" s="16">
        <v>1.74323994</v>
      </c>
      <c r="G48" s="14">
        <v>40.870290240000003</v>
      </c>
      <c r="H48" s="16">
        <v>1.74323994</v>
      </c>
      <c r="I48" s="14" t="s">
        <v>139</v>
      </c>
      <c r="J48" s="16" t="s">
        <v>139</v>
      </c>
      <c r="K48" s="14">
        <v>0</v>
      </c>
      <c r="L48" s="16">
        <v>0</v>
      </c>
      <c r="M48" s="14">
        <v>0</v>
      </c>
      <c r="N48" s="16">
        <v>0</v>
      </c>
      <c r="O48" s="14">
        <v>0</v>
      </c>
      <c r="P48" s="16">
        <v>0</v>
      </c>
      <c r="Q48" s="14">
        <v>0</v>
      </c>
      <c r="R48" s="16">
        <v>0</v>
      </c>
    </row>
    <row r="49" spans="1:18" x14ac:dyDescent="0.25">
      <c r="A49" s="11" t="s">
        <v>182</v>
      </c>
      <c r="B49" s="17" t="s">
        <v>154</v>
      </c>
      <c r="C49" s="17" t="s">
        <v>154</v>
      </c>
      <c r="D49" s="18" t="s">
        <v>154</v>
      </c>
      <c r="E49" s="17" t="s">
        <v>154</v>
      </c>
      <c r="F49" s="18" t="s">
        <v>154</v>
      </c>
      <c r="G49" s="17" t="s">
        <v>154</v>
      </c>
      <c r="H49" s="18" t="s">
        <v>154</v>
      </c>
      <c r="I49" s="17" t="s">
        <v>154</v>
      </c>
      <c r="J49" s="18" t="s">
        <v>154</v>
      </c>
      <c r="K49" s="17" t="s">
        <v>154</v>
      </c>
      <c r="L49" s="18" t="s">
        <v>154</v>
      </c>
      <c r="M49" s="17" t="s">
        <v>154</v>
      </c>
      <c r="N49" s="18" t="s">
        <v>154</v>
      </c>
      <c r="O49" s="17" t="s">
        <v>154</v>
      </c>
      <c r="P49" s="18" t="s">
        <v>154</v>
      </c>
      <c r="Q49" s="17" t="s">
        <v>154</v>
      </c>
      <c r="R49" s="18" t="s">
        <v>154</v>
      </c>
    </row>
    <row r="50" spans="1:18" x14ac:dyDescent="0.25">
      <c r="A50" s="11" t="s">
        <v>183</v>
      </c>
      <c r="B50" s="13">
        <v>11795</v>
      </c>
      <c r="C50" s="14">
        <f>(10063/B50*100)</f>
        <v>85.315811784654514</v>
      </c>
      <c r="D50" s="15">
        <v>1732</v>
      </c>
      <c r="E50" s="14">
        <v>64.677798539999998</v>
      </c>
      <c r="F50" s="16">
        <v>1.42009333</v>
      </c>
      <c r="G50" s="14">
        <v>35.322201460000002</v>
      </c>
      <c r="H50" s="16">
        <v>1.42009333</v>
      </c>
      <c r="I50" s="14" t="s">
        <v>139</v>
      </c>
      <c r="J50" s="16" t="s">
        <v>139</v>
      </c>
      <c r="K50" s="14">
        <v>0</v>
      </c>
      <c r="L50" s="16">
        <v>0</v>
      </c>
      <c r="M50" s="14">
        <v>0</v>
      </c>
      <c r="N50" s="16">
        <v>0</v>
      </c>
      <c r="O50" s="14">
        <v>0</v>
      </c>
      <c r="P50" s="16">
        <v>0</v>
      </c>
      <c r="Q50" s="14">
        <v>0</v>
      </c>
      <c r="R50" s="16">
        <v>0</v>
      </c>
    </row>
    <row r="51" spans="1:18" x14ac:dyDescent="0.25">
      <c r="A51" s="11" t="s">
        <v>184</v>
      </c>
      <c r="B51" s="13">
        <v>6866</v>
      </c>
      <c r="C51" s="14">
        <f>(6010/B51*100)</f>
        <v>87.532770171861344</v>
      </c>
      <c r="D51" s="15">
        <v>856</v>
      </c>
      <c r="E51" s="14">
        <v>75.142312720000007</v>
      </c>
      <c r="F51" s="16">
        <v>1.6066699600000001</v>
      </c>
      <c r="G51" s="14">
        <v>24.85768728</v>
      </c>
      <c r="H51" s="16">
        <v>1.6066699600000001</v>
      </c>
      <c r="I51" s="14" t="s">
        <v>139</v>
      </c>
      <c r="J51" s="16" t="s">
        <v>139</v>
      </c>
      <c r="K51" s="14">
        <v>0</v>
      </c>
      <c r="L51" s="16">
        <v>0</v>
      </c>
      <c r="M51" s="14">
        <v>0</v>
      </c>
      <c r="N51" s="16">
        <v>0</v>
      </c>
      <c r="O51" s="14">
        <v>0</v>
      </c>
      <c r="P51" s="16">
        <v>0</v>
      </c>
      <c r="Q51" s="14">
        <v>0</v>
      </c>
      <c r="R51" s="16">
        <v>0</v>
      </c>
    </row>
    <row r="52" spans="1:18" x14ac:dyDescent="0.25">
      <c r="A52" s="11" t="s">
        <v>185</v>
      </c>
      <c r="B52" s="13">
        <v>5809</v>
      </c>
      <c r="C52" s="14">
        <f>(4849/B52*100)</f>
        <v>83.473919779652263</v>
      </c>
      <c r="D52" s="15">
        <v>960</v>
      </c>
      <c r="E52" s="14">
        <v>74.876162539999996</v>
      </c>
      <c r="F52" s="16">
        <v>1.54019219</v>
      </c>
      <c r="G52" s="14">
        <v>25.123837460000001</v>
      </c>
      <c r="H52" s="16">
        <v>1.54019219</v>
      </c>
      <c r="I52" s="14" t="s">
        <v>139</v>
      </c>
      <c r="J52" s="16" t="s">
        <v>139</v>
      </c>
      <c r="K52" s="14">
        <v>0</v>
      </c>
      <c r="L52" s="16">
        <v>0</v>
      </c>
      <c r="M52" s="14">
        <v>0</v>
      </c>
      <c r="N52" s="16">
        <v>0</v>
      </c>
      <c r="O52" s="14">
        <v>0</v>
      </c>
      <c r="P52" s="16">
        <v>0</v>
      </c>
      <c r="Q52" s="14">
        <v>0</v>
      </c>
      <c r="R52" s="16">
        <v>0</v>
      </c>
    </row>
    <row r="53" spans="1:18" x14ac:dyDescent="0.25">
      <c r="A53" s="11" t="s">
        <v>186</v>
      </c>
      <c r="B53" s="13">
        <v>5571</v>
      </c>
      <c r="C53" s="14">
        <f>(4676/B53*100)</f>
        <v>83.934661640639021</v>
      </c>
      <c r="D53" s="15">
        <v>895</v>
      </c>
      <c r="E53" s="14">
        <v>67.425987980000002</v>
      </c>
      <c r="F53" s="16">
        <v>1.87364402</v>
      </c>
      <c r="G53" s="14">
        <v>32.574012019999998</v>
      </c>
      <c r="H53" s="16">
        <v>1.87364402</v>
      </c>
      <c r="I53" s="14" t="s">
        <v>139</v>
      </c>
      <c r="J53" s="16" t="s">
        <v>139</v>
      </c>
      <c r="K53" s="14">
        <v>0</v>
      </c>
      <c r="L53" s="16">
        <v>0</v>
      </c>
      <c r="M53" s="14">
        <v>0</v>
      </c>
      <c r="N53" s="16">
        <v>0</v>
      </c>
      <c r="O53" s="14">
        <v>0</v>
      </c>
      <c r="P53" s="16">
        <v>0</v>
      </c>
      <c r="Q53" s="14">
        <v>0</v>
      </c>
      <c r="R53" s="16">
        <v>0</v>
      </c>
    </row>
    <row r="54" spans="1:18" x14ac:dyDescent="0.25">
      <c r="A54" s="11" t="s">
        <v>187</v>
      </c>
      <c r="B54" s="17" t="s">
        <v>154</v>
      </c>
      <c r="C54" s="17" t="s">
        <v>154</v>
      </c>
      <c r="D54" s="18" t="s">
        <v>154</v>
      </c>
      <c r="E54" s="17" t="s">
        <v>154</v>
      </c>
      <c r="F54" s="18" t="s">
        <v>154</v>
      </c>
      <c r="G54" s="17" t="s">
        <v>154</v>
      </c>
      <c r="H54" s="18" t="s">
        <v>154</v>
      </c>
      <c r="I54" s="17" t="s">
        <v>154</v>
      </c>
      <c r="J54" s="18" t="s">
        <v>154</v>
      </c>
      <c r="K54" s="17" t="s">
        <v>154</v>
      </c>
      <c r="L54" s="18" t="s">
        <v>154</v>
      </c>
      <c r="M54" s="17" t="s">
        <v>154</v>
      </c>
      <c r="N54" s="18" t="s">
        <v>154</v>
      </c>
      <c r="O54" s="17" t="s">
        <v>154</v>
      </c>
      <c r="P54" s="18" t="s">
        <v>154</v>
      </c>
      <c r="Q54" s="17" t="s">
        <v>154</v>
      </c>
      <c r="R54" s="18" t="s">
        <v>154</v>
      </c>
    </row>
    <row r="55" spans="1:18" x14ac:dyDescent="0.25">
      <c r="A55" s="11" t="s">
        <v>188</v>
      </c>
      <c r="B55" s="17" t="s">
        <v>154</v>
      </c>
      <c r="C55" s="17" t="s">
        <v>154</v>
      </c>
      <c r="D55" s="18" t="s">
        <v>154</v>
      </c>
      <c r="E55" s="17" t="s">
        <v>154</v>
      </c>
      <c r="F55" s="18" t="s">
        <v>154</v>
      </c>
      <c r="G55" s="17" t="s">
        <v>154</v>
      </c>
      <c r="H55" s="18" t="s">
        <v>154</v>
      </c>
      <c r="I55" s="17" t="s">
        <v>154</v>
      </c>
      <c r="J55" s="18" t="s">
        <v>154</v>
      </c>
      <c r="K55" s="17" t="s">
        <v>154</v>
      </c>
      <c r="L55" s="18" t="s">
        <v>154</v>
      </c>
      <c r="M55" s="17" t="s">
        <v>154</v>
      </c>
      <c r="N55" s="18" t="s">
        <v>154</v>
      </c>
      <c r="O55" s="17" t="s">
        <v>154</v>
      </c>
      <c r="P55" s="18" t="s">
        <v>154</v>
      </c>
      <c r="Q55" s="17" t="s">
        <v>154</v>
      </c>
      <c r="R55" s="18" t="s">
        <v>154</v>
      </c>
    </row>
    <row r="56" spans="1:18" x14ac:dyDescent="0.25">
      <c r="A56" s="11" t="s">
        <v>189</v>
      </c>
      <c r="B56" s="13">
        <v>5359</v>
      </c>
      <c r="C56" s="14">
        <f>(4457/B56*100)</f>
        <v>83.168501586116818</v>
      </c>
      <c r="D56" s="15">
        <v>902</v>
      </c>
      <c r="E56" s="14">
        <v>54.308430199999997</v>
      </c>
      <c r="F56" s="16">
        <v>1.56731686</v>
      </c>
      <c r="G56" s="14">
        <v>45.691569800000003</v>
      </c>
      <c r="H56" s="16">
        <v>1.56731686</v>
      </c>
      <c r="I56" s="14" t="s">
        <v>139</v>
      </c>
      <c r="J56" s="16" t="s">
        <v>139</v>
      </c>
      <c r="K56" s="14">
        <v>0</v>
      </c>
      <c r="L56" s="16">
        <v>0</v>
      </c>
      <c r="M56" s="14">
        <v>0</v>
      </c>
      <c r="N56" s="16">
        <v>0</v>
      </c>
      <c r="O56" s="14">
        <v>0</v>
      </c>
      <c r="P56" s="16">
        <v>0</v>
      </c>
      <c r="Q56" s="14">
        <v>0</v>
      </c>
      <c r="R56" s="16">
        <v>0</v>
      </c>
    </row>
    <row r="57" spans="1:18" x14ac:dyDescent="0.25">
      <c r="A57" s="11" t="s">
        <v>190</v>
      </c>
      <c r="B57" s="17" t="s">
        <v>154</v>
      </c>
      <c r="C57" s="17" t="s">
        <v>154</v>
      </c>
      <c r="D57" s="18" t="s">
        <v>154</v>
      </c>
      <c r="E57" s="17" t="s">
        <v>154</v>
      </c>
      <c r="F57" s="18" t="s">
        <v>154</v>
      </c>
      <c r="G57" s="17" t="s">
        <v>154</v>
      </c>
      <c r="H57" s="18" t="s">
        <v>154</v>
      </c>
      <c r="I57" s="17" t="s">
        <v>154</v>
      </c>
      <c r="J57" s="18" t="s">
        <v>154</v>
      </c>
      <c r="K57" s="17" t="s">
        <v>154</v>
      </c>
      <c r="L57" s="18" t="s">
        <v>154</v>
      </c>
      <c r="M57" s="17" t="s">
        <v>154</v>
      </c>
      <c r="N57" s="18" t="s">
        <v>154</v>
      </c>
      <c r="O57" s="17" t="s">
        <v>154</v>
      </c>
      <c r="P57" s="18" t="s">
        <v>154</v>
      </c>
      <c r="Q57" s="17" t="s">
        <v>154</v>
      </c>
      <c r="R57" s="18" t="s">
        <v>154</v>
      </c>
    </row>
    <row r="58" spans="1:18" x14ac:dyDescent="0.25">
      <c r="A58" s="11" t="s">
        <v>191</v>
      </c>
      <c r="B58" s="17" t="s">
        <v>154</v>
      </c>
      <c r="C58" s="17" t="s">
        <v>154</v>
      </c>
      <c r="D58" s="18" t="s">
        <v>154</v>
      </c>
      <c r="E58" s="17" t="s">
        <v>154</v>
      </c>
      <c r="F58" s="18" t="s">
        <v>154</v>
      </c>
      <c r="G58" s="17" t="s">
        <v>154</v>
      </c>
      <c r="H58" s="18" t="s">
        <v>154</v>
      </c>
      <c r="I58" s="17" t="s">
        <v>154</v>
      </c>
      <c r="J58" s="18" t="s">
        <v>154</v>
      </c>
      <c r="K58" s="17" t="s">
        <v>154</v>
      </c>
      <c r="L58" s="18" t="s">
        <v>154</v>
      </c>
      <c r="M58" s="17" t="s">
        <v>154</v>
      </c>
      <c r="N58" s="18" t="s">
        <v>154</v>
      </c>
      <c r="O58" s="17" t="s">
        <v>154</v>
      </c>
      <c r="P58" s="18" t="s">
        <v>154</v>
      </c>
      <c r="Q58" s="17" t="s">
        <v>154</v>
      </c>
      <c r="R58" s="18" t="s">
        <v>154</v>
      </c>
    </row>
    <row r="59" spans="1:18" x14ac:dyDescent="0.25">
      <c r="A59" s="11" t="s">
        <v>192</v>
      </c>
      <c r="B59" s="17" t="s">
        <v>154</v>
      </c>
      <c r="C59" s="17" t="s">
        <v>154</v>
      </c>
      <c r="D59" s="18" t="s">
        <v>154</v>
      </c>
      <c r="E59" s="17" t="s">
        <v>154</v>
      </c>
      <c r="F59" s="18" t="s">
        <v>154</v>
      </c>
      <c r="G59" s="17" t="s">
        <v>154</v>
      </c>
      <c r="H59" s="18" t="s">
        <v>154</v>
      </c>
      <c r="I59" s="17" t="s">
        <v>154</v>
      </c>
      <c r="J59" s="18" t="s">
        <v>154</v>
      </c>
      <c r="K59" s="17" t="s">
        <v>154</v>
      </c>
      <c r="L59" s="18" t="s">
        <v>154</v>
      </c>
      <c r="M59" s="17" t="s">
        <v>154</v>
      </c>
      <c r="N59" s="18" t="s">
        <v>154</v>
      </c>
      <c r="O59" s="17" t="s">
        <v>154</v>
      </c>
      <c r="P59" s="18" t="s">
        <v>154</v>
      </c>
      <c r="Q59" s="17" t="s">
        <v>154</v>
      </c>
      <c r="R59" s="18" t="s">
        <v>154</v>
      </c>
    </row>
    <row r="60" spans="1:18" x14ac:dyDescent="0.25">
      <c r="A60" s="11" t="s">
        <v>193</v>
      </c>
      <c r="B60" s="17" t="s">
        <v>154</v>
      </c>
      <c r="C60" s="17" t="s">
        <v>154</v>
      </c>
      <c r="D60" s="18" t="s">
        <v>154</v>
      </c>
      <c r="E60" s="17" t="s">
        <v>154</v>
      </c>
      <c r="F60" s="18" t="s">
        <v>154</v>
      </c>
      <c r="G60" s="17" t="s">
        <v>154</v>
      </c>
      <c r="H60" s="18" t="s">
        <v>154</v>
      </c>
      <c r="I60" s="17" t="s">
        <v>154</v>
      </c>
      <c r="J60" s="18" t="s">
        <v>154</v>
      </c>
      <c r="K60" s="17" t="s">
        <v>154</v>
      </c>
      <c r="L60" s="18" t="s">
        <v>154</v>
      </c>
      <c r="M60" s="17" t="s">
        <v>154</v>
      </c>
      <c r="N60" s="18" t="s">
        <v>154</v>
      </c>
      <c r="O60" s="17" t="s">
        <v>154</v>
      </c>
      <c r="P60" s="18" t="s">
        <v>154</v>
      </c>
      <c r="Q60" s="17" t="s">
        <v>154</v>
      </c>
      <c r="R60" s="18" t="s">
        <v>154</v>
      </c>
    </row>
    <row r="61" spans="1:18" x14ac:dyDescent="0.25">
      <c r="A61" s="11" t="s">
        <v>194</v>
      </c>
      <c r="B61" s="13">
        <v>6525</v>
      </c>
      <c r="C61" s="14">
        <f>(5462/B61*100)</f>
        <v>83.708812260536405</v>
      </c>
      <c r="D61" s="15">
        <v>1063</v>
      </c>
      <c r="E61" s="14">
        <v>69.57148488</v>
      </c>
      <c r="F61" s="16">
        <v>1.3561700800000001</v>
      </c>
      <c r="G61" s="14">
        <v>30.42851512</v>
      </c>
      <c r="H61" s="16">
        <v>1.3561700800000001</v>
      </c>
      <c r="I61" s="14" t="s">
        <v>139</v>
      </c>
      <c r="J61" s="16" t="s">
        <v>139</v>
      </c>
      <c r="K61" s="14">
        <v>0</v>
      </c>
      <c r="L61" s="16">
        <v>0</v>
      </c>
      <c r="M61" s="14">
        <v>0</v>
      </c>
      <c r="N61" s="16">
        <v>0</v>
      </c>
      <c r="O61" s="14">
        <v>0</v>
      </c>
      <c r="P61" s="16">
        <v>0</v>
      </c>
      <c r="Q61" s="14">
        <v>0</v>
      </c>
      <c r="R61" s="16">
        <v>0</v>
      </c>
    </row>
    <row r="62" spans="1:18" x14ac:dyDescent="0.25">
      <c r="A62" s="11" t="s">
        <v>195</v>
      </c>
      <c r="B62" s="13">
        <v>4476</v>
      </c>
      <c r="C62" s="14">
        <f>(3738/B62*100)</f>
        <v>83.512064343163544</v>
      </c>
      <c r="D62" s="15">
        <v>738</v>
      </c>
      <c r="E62" s="14">
        <v>57.090092490000004</v>
      </c>
      <c r="F62" s="16">
        <v>1.9424347500000001</v>
      </c>
      <c r="G62" s="14">
        <v>42.909907509999996</v>
      </c>
      <c r="H62" s="16">
        <v>1.9424347500000001</v>
      </c>
      <c r="I62" s="14" t="s">
        <v>139</v>
      </c>
      <c r="J62" s="16" t="s">
        <v>139</v>
      </c>
      <c r="K62" s="14">
        <v>0</v>
      </c>
      <c r="L62" s="16">
        <v>0</v>
      </c>
      <c r="M62" s="14">
        <v>0</v>
      </c>
      <c r="N62" s="16">
        <v>0</v>
      </c>
      <c r="O62" s="14">
        <v>0</v>
      </c>
      <c r="P62" s="16">
        <v>0</v>
      </c>
      <c r="Q62" s="14">
        <v>0</v>
      </c>
      <c r="R62" s="16">
        <v>0</v>
      </c>
    </row>
    <row r="63" spans="1:18" x14ac:dyDescent="0.25">
      <c r="A63" s="11" t="s">
        <v>196</v>
      </c>
      <c r="B63" s="17" t="s">
        <v>154</v>
      </c>
      <c r="C63" s="17" t="s">
        <v>154</v>
      </c>
      <c r="D63" s="18" t="s">
        <v>154</v>
      </c>
      <c r="E63" s="17" t="s">
        <v>154</v>
      </c>
      <c r="F63" s="18" t="s">
        <v>154</v>
      </c>
      <c r="G63" s="17" t="s">
        <v>154</v>
      </c>
      <c r="H63" s="18" t="s">
        <v>154</v>
      </c>
      <c r="I63" s="17" t="s">
        <v>154</v>
      </c>
      <c r="J63" s="18" t="s">
        <v>154</v>
      </c>
      <c r="K63" s="17" t="s">
        <v>154</v>
      </c>
      <c r="L63" s="18" t="s">
        <v>154</v>
      </c>
      <c r="M63" s="17" t="s">
        <v>154</v>
      </c>
      <c r="N63" s="18" t="s">
        <v>154</v>
      </c>
      <c r="O63" s="17" t="s">
        <v>154</v>
      </c>
      <c r="P63" s="18" t="s">
        <v>154</v>
      </c>
      <c r="Q63" s="17" t="s">
        <v>154</v>
      </c>
      <c r="R63" s="18" t="s">
        <v>154</v>
      </c>
    </row>
    <row r="64" spans="1:18" x14ac:dyDescent="0.25">
      <c r="A64" s="11" t="s">
        <v>197</v>
      </c>
      <c r="B64" s="17" t="s">
        <v>154</v>
      </c>
      <c r="C64" s="17" t="s">
        <v>154</v>
      </c>
      <c r="D64" s="18" t="s">
        <v>154</v>
      </c>
      <c r="E64" s="17" t="s">
        <v>154</v>
      </c>
      <c r="F64" s="18" t="s">
        <v>154</v>
      </c>
      <c r="G64" s="17" t="s">
        <v>154</v>
      </c>
      <c r="H64" s="18" t="s">
        <v>154</v>
      </c>
      <c r="I64" s="17" t="s">
        <v>154</v>
      </c>
      <c r="J64" s="18" t="s">
        <v>154</v>
      </c>
      <c r="K64" s="17" t="s">
        <v>154</v>
      </c>
      <c r="L64" s="18" t="s">
        <v>154</v>
      </c>
      <c r="M64" s="17" t="s">
        <v>154</v>
      </c>
      <c r="N64" s="18" t="s">
        <v>154</v>
      </c>
      <c r="O64" s="17" t="s">
        <v>154</v>
      </c>
      <c r="P64" s="18" t="s">
        <v>154</v>
      </c>
      <c r="Q64" s="17" t="s">
        <v>154</v>
      </c>
      <c r="R64" s="18" t="s">
        <v>154</v>
      </c>
    </row>
    <row r="65" spans="1:18" x14ac:dyDescent="0.25">
      <c r="A65" s="11" t="s">
        <v>198</v>
      </c>
      <c r="B65" s="17" t="s">
        <v>154</v>
      </c>
      <c r="C65" s="17" t="s">
        <v>154</v>
      </c>
      <c r="D65" s="18" t="s">
        <v>154</v>
      </c>
      <c r="E65" s="17" t="s">
        <v>154</v>
      </c>
      <c r="F65" s="18" t="s">
        <v>154</v>
      </c>
      <c r="G65" s="17" t="s">
        <v>154</v>
      </c>
      <c r="H65" s="18" t="s">
        <v>154</v>
      </c>
      <c r="I65" s="17" t="s">
        <v>154</v>
      </c>
      <c r="J65" s="18" t="s">
        <v>154</v>
      </c>
      <c r="K65" s="17" t="s">
        <v>154</v>
      </c>
      <c r="L65" s="18" t="s">
        <v>154</v>
      </c>
      <c r="M65" s="17" t="s">
        <v>154</v>
      </c>
      <c r="N65" s="18" t="s">
        <v>154</v>
      </c>
      <c r="O65" s="17" t="s">
        <v>154</v>
      </c>
      <c r="P65" s="18" t="s">
        <v>154</v>
      </c>
      <c r="Q65" s="17" t="s">
        <v>154</v>
      </c>
      <c r="R65" s="18" t="s">
        <v>154</v>
      </c>
    </row>
    <row r="66" spans="1:18" x14ac:dyDescent="0.25">
      <c r="A66" s="11" t="s">
        <v>199</v>
      </c>
      <c r="B66" s="13">
        <v>5665</v>
      </c>
      <c r="C66" s="14">
        <f>(4788/B66*100)</f>
        <v>84.518976169461595</v>
      </c>
      <c r="D66" s="15">
        <v>877</v>
      </c>
      <c r="E66" s="14">
        <v>75.003825399999997</v>
      </c>
      <c r="F66" s="16">
        <v>1.58593969</v>
      </c>
      <c r="G66" s="14">
        <v>24.9961746</v>
      </c>
      <c r="H66" s="16">
        <v>1.58593969</v>
      </c>
      <c r="I66" s="14" t="s">
        <v>139</v>
      </c>
      <c r="J66" s="16" t="s">
        <v>139</v>
      </c>
      <c r="K66" s="14">
        <v>0</v>
      </c>
      <c r="L66" s="16">
        <v>0</v>
      </c>
      <c r="M66" s="14">
        <v>0</v>
      </c>
      <c r="N66" s="16">
        <v>0</v>
      </c>
      <c r="O66" s="14">
        <v>0</v>
      </c>
      <c r="P66" s="16">
        <v>0</v>
      </c>
      <c r="Q66" s="14">
        <v>0</v>
      </c>
      <c r="R66" s="16">
        <v>0</v>
      </c>
    </row>
    <row r="67" spans="1:18" x14ac:dyDescent="0.25">
      <c r="A67" s="11" t="s">
        <v>200</v>
      </c>
      <c r="B67" s="13">
        <v>6971</v>
      </c>
      <c r="C67" s="14">
        <f>(6151/B67*100)</f>
        <v>88.236981781666898</v>
      </c>
      <c r="D67" s="15">
        <v>820</v>
      </c>
      <c r="E67" s="14">
        <v>67.983583300000006</v>
      </c>
      <c r="F67" s="16">
        <v>1.7842684099999999</v>
      </c>
      <c r="G67" s="14">
        <v>32.016416700000001</v>
      </c>
      <c r="H67" s="16">
        <v>1.7842684099999999</v>
      </c>
      <c r="I67" s="14" t="s">
        <v>139</v>
      </c>
      <c r="J67" s="16" t="s">
        <v>139</v>
      </c>
      <c r="K67" s="14">
        <v>0</v>
      </c>
      <c r="L67" s="16">
        <v>0</v>
      </c>
      <c r="M67" s="14">
        <v>0</v>
      </c>
      <c r="N67" s="16">
        <v>0</v>
      </c>
      <c r="O67" s="14">
        <v>0</v>
      </c>
      <c r="P67" s="16">
        <v>0</v>
      </c>
      <c r="Q67" s="14">
        <v>0</v>
      </c>
      <c r="R67" s="16">
        <v>0</v>
      </c>
    </row>
    <row r="68" spans="1:18" x14ac:dyDescent="0.25">
      <c r="A68" s="11" t="s">
        <v>201</v>
      </c>
      <c r="B68" s="17" t="s">
        <v>154</v>
      </c>
      <c r="C68" s="17" t="s">
        <v>154</v>
      </c>
      <c r="D68" s="18" t="s">
        <v>154</v>
      </c>
      <c r="E68" s="17" t="s">
        <v>154</v>
      </c>
      <c r="F68" s="18" t="s">
        <v>154</v>
      </c>
      <c r="G68" s="17" t="s">
        <v>154</v>
      </c>
      <c r="H68" s="18" t="s">
        <v>154</v>
      </c>
      <c r="I68" s="17" t="s">
        <v>154</v>
      </c>
      <c r="J68" s="18" t="s">
        <v>154</v>
      </c>
      <c r="K68" s="17" t="s">
        <v>154</v>
      </c>
      <c r="L68" s="18" t="s">
        <v>154</v>
      </c>
      <c r="M68" s="17" t="s">
        <v>154</v>
      </c>
      <c r="N68" s="18" t="s">
        <v>154</v>
      </c>
      <c r="O68" s="17" t="s">
        <v>154</v>
      </c>
      <c r="P68" s="18" t="s">
        <v>154</v>
      </c>
      <c r="Q68" s="17" t="s">
        <v>154</v>
      </c>
      <c r="R68" s="18" t="s">
        <v>154</v>
      </c>
    </row>
    <row r="69" spans="1:18" x14ac:dyDescent="0.25">
      <c r="A69" s="11" t="s">
        <v>202</v>
      </c>
      <c r="B69" s="17" t="s">
        <v>154</v>
      </c>
      <c r="C69" s="17" t="s">
        <v>154</v>
      </c>
      <c r="D69" s="18" t="s">
        <v>154</v>
      </c>
      <c r="E69" s="17" t="s">
        <v>154</v>
      </c>
      <c r="F69" s="18" t="s">
        <v>154</v>
      </c>
      <c r="G69" s="17" t="s">
        <v>154</v>
      </c>
      <c r="H69" s="18" t="s">
        <v>154</v>
      </c>
      <c r="I69" s="17" t="s">
        <v>154</v>
      </c>
      <c r="J69" s="18" t="s">
        <v>154</v>
      </c>
      <c r="K69" s="17" t="s">
        <v>154</v>
      </c>
      <c r="L69" s="18" t="s">
        <v>154</v>
      </c>
      <c r="M69" s="17" t="s">
        <v>154</v>
      </c>
      <c r="N69" s="18" t="s">
        <v>154</v>
      </c>
      <c r="O69" s="17" t="s">
        <v>154</v>
      </c>
      <c r="P69" s="18" t="s">
        <v>154</v>
      </c>
      <c r="Q69" s="17" t="s">
        <v>154</v>
      </c>
      <c r="R69" s="18" t="s">
        <v>154</v>
      </c>
    </row>
    <row r="70" spans="1:18" x14ac:dyDescent="0.25">
      <c r="A70" s="11" t="s">
        <v>203</v>
      </c>
      <c r="B70" s="13">
        <v>6036</v>
      </c>
      <c r="C70" s="14">
        <f>(5110/B70*100)</f>
        <v>84.658714380384353</v>
      </c>
      <c r="D70" s="15">
        <v>926</v>
      </c>
      <c r="E70" s="14">
        <v>61.632760570000002</v>
      </c>
      <c r="F70" s="16">
        <v>1.94721707</v>
      </c>
      <c r="G70" s="14">
        <v>38.367239429999998</v>
      </c>
      <c r="H70" s="16">
        <v>1.94721707</v>
      </c>
      <c r="I70" s="14" t="s">
        <v>139</v>
      </c>
      <c r="J70" s="16" t="s">
        <v>139</v>
      </c>
      <c r="K70" s="14">
        <v>0</v>
      </c>
      <c r="L70" s="16">
        <v>0</v>
      </c>
      <c r="M70" s="14">
        <v>0</v>
      </c>
      <c r="N70" s="16">
        <v>0</v>
      </c>
      <c r="O70" s="14">
        <v>0</v>
      </c>
      <c r="P70" s="16">
        <v>0</v>
      </c>
      <c r="Q70" s="14">
        <v>0</v>
      </c>
      <c r="R70" s="16">
        <v>0</v>
      </c>
    </row>
    <row r="71" spans="1:18" x14ac:dyDescent="0.25">
      <c r="A71" s="11" t="s">
        <v>204</v>
      </c>
      <c r="B71" s="17" t="s">
        <v>154</v>
      </c>
      <c r="C71" s="17" t="s">
        <v>154</v>
      </c>
      <c r="D71" s="18" t="s">
        <v>154</v>
      </c>
      <c r="E71" s="17" t="s">
        <v>154</v>
      </c>
      <c r="F71" s="18" t="s">
        <v>154</v>
      </c>
      <c r="G71" s="17" t="s">
        <v>154</v>
      </c>
      <c r="H71" s="18" t="s">
        <v>154</v>
      </c>
      <c r="I71" s="17" t="s">
        <v>154</v>
      </c>
      <c r="J71" s="18" t="s">
        <v>154</v>
      </c>
      <c r="K71" s="17" t="s">
        <v>154</v>
      </c>
      <c r="L71" s="18" t="s">
        <v>154</v>
      </c>
      <c r="M71" s="17" t="s">
        <v>154</v>
      </c>
      <c r="N71" s="18" t="s">
        <v>154</v>
      </c>
      <c r="O71" s="17" t="s">
        <v>154</v>
      </c>
      <c r="P71" s="18" t="s">
        <v>154</v>
      </c>
      <c r="Q71" s="17" t="s">
        <v>154</v>
      </c>
      <c r="R71" s="18" t="s">
        <v>154</v>
      </c>
    </row>
    <row r="72" spans="1:18" x14ac:dyDescent="0.25">
      <c r="A72" s="11" t="s">
        <v>205</v>
      </c>
      <c r="B72" s="13">
        <v>7708</v>
      </c>
      <c r="C72" s="14">
        <f>(6405/B72*100)</f>
        <v>83.095485210171248</v>
      </c>
      <c r="D72" s="15">
        <v>1303</v>
      </c>
      <c r="E72" s="14">
        <v>41.286209280000001</v>
      </c>
      <c r="F72" s="16">
        <v>1.275622</v>
      </c>
      <c r="G72" s="14">
        <v>58.713790719999999</v>
      </c>
      <c r="H72" s="16">
        <v>1.275622</v>
      </c>
      <c r="I72" s="14" t="s">
        <v>139</v>
      </c>
      <c r="J72" s="16" t="s">
        <v>139</v>
      </c>
      <c r="K72" s="14">
        <v>0</v>
      </c>
      <c r="L72" s="16">
        <v>0</v>
      </c>
      <c r="M72" s="14">
        <v>0</v>
      </c>
      <c r="N72" s="16">
        <v>0</v>
      </c>
      <c r="O72" s="14">
        <v>0</v>
      </c>
      <c r="P72" s="16">
        <v>0</v>
      </c>
      <c r="Q72" s="14">
        <v>0</v>
      </c>
      <c r="R72" s="16">
        <v>0</v>
      </c>
    </row>
    <row r="73" spans="1:18" x14ac:dyDescent="0.25">
      <c r="A73" s="11" t="s">
        <v>206</v>
      </c>
      <c r="B73" s="13">
        <v>8249</v>
      </c>
      <c r="C73" s="14">
        <f>(7077/B73*100)</f>
        <v>85.792217238453148</v>
      </c>
      <c r="D73" s="15">
        <v>1172</v>
      </c>
      <c r="E73" s="14">
        <v>74.087419019999999</v>
      </c>
      <c r="F73" s="16">
        <v>1.5406388099999999</v>
      </c>
      <c r="G73" s="14">
        <v>25.912580980000001</v>
      </c>
      <c r="H73" s="16">
        <v>1.5406388099999999</v>
      </c>
      <c r="I73" s="14" t="s">
        <v>139</v>
      </c>
      <c r="J73" s="16" t="s">
        <v>139</v>
      </c>
      <c r="K73" s="14">
        <v>0</v>
      </c>
      <c r="L73" s="16">
        <v>0</v>
      </c>
      <c r="M73" s="14">
        <v>0</v>
      </c>
      <c r="N73" s="16">
        <v>0</v>
      </c>
      <c r="O73" s="14">
        <v>0</v>
      </c>
      <c r="P73" s="16">
        <v>0</v>
      </c>
      <c r="Q73" s="14">
        <v>0</v>
      </c>
      <c r="R73" s="16">
        <v>0</v>
      </c>
    </row>
    <row r="74" spans="1:18" x14ac:dyDescent="0.25">
      <c r="A74" s="11" t="s">
        <v>207</v>
      </c>
      <c r="B74" s="17" t="s">
        <v>154</v>
      </c>
      <c r="C74" s="17" t="s">
        <v>154</v>
      </c>
      <c r="D74" s="18" t="s">
        <v>154</v>
      </c>
      <c r="E74" s="17" t="s">
        <v>154</v>
      </c>
      <c r="F74" s="18" t="s">
        <v>154</v>
      </c>
      <c r="G74" s="17" t="s">
        <v>154</v>
      </c>
      <c r="H74" s="18" t="s">
        <v>154</v>
      </c>
      <c r="I74" s="17" t="s">
        <v>154</v>
      </c>
      <c r="J74" s="18" t="s">
        <v>154</v>
      </c>
      <c r="K74" s="17" t="s">
        <v>154</v>
      </c>
      <c r="L74" s="18" t="s">
        <v>154</v>
      </c>
      <c r="M74" s="17" t="s">
        <v>154</v>
      </c>
      <c r="N74" s="18" t="s">
        <v>154</v>
      </c>
      <c r="O74" s="17" t="s">
        <v>154</v>
      </c>
      <c r="P74" s="18" t="s">
        <v>154</v>
      </c>
      <c r="Q74" s="17" t="s">
        <v>154</v>
      </c>
      <c r="R74" s="18" t="s">
        <v>154</v>
      </c>
    </row>
    <row r="75" spans="1:18" x14ac:dyDescent="0.25">
      <c r="A75" s="11" t="s">
        <v>208</v>
      </c>
      <c r="B75" s="13">
        <v>5375</v>
      </c>
      <c r="C75" s="14">
        <f>(4594/B75*100)</f>
        <v>85.469767441860469</v>
      </c>
      <c r="D75" s="15">
        <v>781</v>
      </c>
      <c r="E75" s="14">
        <v>80.986083440000002</v>
      </c>
      <c r="F75" s="16">
        <v>1.5299294400000001</v>
      </c>
      <c r="G75" s="14">
        <v>19.013916559999998</v>
      </c>
      <c r="H75" s="16">
        <v>1.5299294400000001</v>
      </c>
      <c r="I75" s="14" t="s">
        <v>139</v>
      </c>
      <c r="J75" s="16" t="s">
        <v>139</v>
      </c>
      <c r="K75" s="14">
        <v>0</v>
      </c>
      <c r="L75" s="16">
        <v>0</v>
      </c>
      <c r="M75" s="14">
        <v>0</v>
      </c>
      <c r="N75" s="16">
        <v>0</v>
      </c>
      <c r="O75" s="14">
        <v>0</v>
      </c>
      <c r="P75" s="16">
        <v>0</v>
      </c>
      <c r="Q75" s="14">
        <v>0</v>
      </c>
      <c r="R75" s="16">
        <v>0</v>
      </c>
    </row>
    <row r="76" spans="1:18" x14ac:dyDescent="0.25">
      <c r="A76" s="11" t="s">
        <v>209</v>
      </c>
      <c r="B76" s="13">
        <v>14167</v>
      </c>
      <c r="C76" s="14">
        <f>(11823/B76*100)</f>
        <v>83.454506952777592</v>
      </c>
      <c r="D76" s="15">
        <v>2344</v>
      </c>
      <c r="E76" s="14">
        <v>67.57705584</v>
      </c>
      <c r="F76" s="16">
        <v>1.3704006200000001</v>
      </c>
      <c r="G76" s="14">
        <v>32.42294416</v>
      </c>
      <c r="H76" s="16">
        <v>1.3704006200000001</v>
      </c>
      <c r="I76" s="14" t="s">
        <v>139</v>
      </c>
      <c r="J76" s="16" t="s">
        <v>139</v>
      </c>
      <c r="K76" s="14">
        <v>0</v>
      </c>
      <c r="L76" s="16">
        <v>0</v>
      </c>
      <c r="M76" s="14">
        <v>0</v>
      </c>
      <c r="N76" s="16">
        <v>0</v>
      </c>
      <c r="O76" s="14">
        <v>0</v>
      </c>
      <c r="P76" s="16">
        <v>0</v>
      </c>
      <c r="Q76" s="14">
        <v>0</v>
      </c>
      <c r="R76" s="16">
        <v>0</v>
      </c>
    </row>
    <row r="77" spans="1:18" x14ac:dyDescent="0.25">
      <c r="A77" s="11" t="s">
        <v>210</v>
      </c>
      <c r="B77" s="13">
        <v>6062</v>
      </c>
      <c r="C77" s="14">
        <f>(5164/B77*100)</f>
        <v>85.186407126360947</v>
      </c>
      <c r="D77" s="15">
        <v>898</v>
      </c>
      <c r="E77" s="14">
        <v>69.929502830000004</v>
      </c>
      <c r="F77" s="16">
        <v>1.4362111500000001</v>
      </c>
      <c r="G77" s="14">
        <v>30.070497169999999</v>
      </c>
      <c r="H77" s="16">
        <v>1.4362111500000001</v>
      </c>
      <c r="I77" s="14" t="s">
        <v>139</v>
      </c>
      <c r="J77" s="16" t="s">
        <v>139</v>
      </c>
      <c r="K77" s="14">
        <v>0</v>
      </c>
      <c r="L77" s="16">
        <v>0</v>
      </c>
      <c r="M77" s="14">
        <v>0</v>
      </c>
      <c r="N77" s="16">
        <v>0</v>
      </c>
      <c r="O77" s="14">
        <v>0</v>
      </c>
      <c r="P77" s="16">
        <v>0</v>
      </c>
      <c r="Q77" s="14">
        <v>0</v>
      </c>
      <c r="R77" s="16">
        <v>0</v>
      </c>
    </row>
    <row r="78" spans="1:18" x14ac:dyDescent="0.25">
      <c r="A78" s="11" t="s">
        <v>211</v>
      </c>
      <c r="B78" s="17" t="s">
        <v>154</v>
      </c>
      <c r="C78" s="17" t="s">
        <v>154</v>
      </c>
      <c r="D78" s="18" t="s">
        <v>154</v>
      </c>
      <c r="E78" s="17" t="s">
        <v>154</v>
      </c>
      <c r="F78" s="18" t="s">
        <v>154</v>
      </c>
      <c r="G78" s="17" t="s">
        <v>154</v>
      </c>
      <c r="H78" s="18" t="s">
        <v>154</v>
      </c>
      <c r="I78" s="17" t="s">
        <v>154</v>
      </c>
      <c r="J78" s="18" t="s">
        <v>154</v>
      </c>
      <c r="K78" s="17" t="s">
        <v>154</v>
      </c>
      <c r="L78" s="18" t="s">
        <v>154</v>
      </c>
      <c r="M78" s="17" t="s">
        <v>154</v>
      </c>
      <c r="N78" s="18" t="s">
        <v>154</v>
      </c>
      <c r="O78" s="17" t="s">
        <v>154</v>
      </c>
      <c r="P78" s="18" t="s">
        <v>154</v>
      </c>
      <c r="Q78" s="17" t="s">
        <v>154</v>
      </c>
      <c r="R78" s="18" t="s">
        <v>154</v>
      </c>
    </row>
    <row r="79" spans="1:18" ht="24.95" customHeight="1" x14ac:dyDescent="0.25">
      <c r="A79" s="11" t="s">
        <v>212</v>
      </c>
      <c r="B79" s="17" t="s">
        <v>154</v>
      </c>
      <c r="C79" s="17" t="s">
        <v>154</v>
      </c>
      <c r="D79" s="18" t="s">
        <v>154</v>
      </c>
      <c r="E79" s="17" t="s">
        <v>154</v>
      </c>
      <c r="F79" s="18" t="s">
        <v>154</v>
      </c>
      <c r="G79" s="17" t="s">
        <v>154</v>
      </c>
      <c r="H79" s="18" t="s">
        <v>154</v>
      </c>
      <c r="I79" s="17" t="s">
        <v>154</v>
      </c>
      <c r="J79" s="18" t="s">
        <v>154</v>
      </c>
      <c r="K79" s="17" t="s">
        <v>154</v>
      </c>
      <c r="L79" s="18" t="s">
        <v>154</v>
      </c>
      <c r="M79" s="17" t="s">
        <v>154</v>
      </c>
      <c r="N79" s="18" t="s">
        <v>154</v>
      </c>
      <c r="O79" s="17" t="s">
        <v>154</v>
      </c>
      <c r="P79" s="18" t="s">
        <v>154</v>
      </c>
      <c r="Q79" s="17" t="s">
        <v>154</v>
      </c>
      <c r="R79" s="18" t="s">
        <v>154</v>
      </c>
    </row>
    <row r="80" spans="1:18" x14ac:dyDescent="0.25">
      <c r="A80" s="11" t="s">
        <v>213</v>
      </c>
      <c r="B80" s="17" t="s">
        <v>154</v>
      </c>
      <c r="C80" s="17" t="s">
        <v>154</v>
      </c>
      <c r="D80" s="18" t="s">
        <v>154</v>
      </c>
      <c r="E80" s="17" t="s">
        <v>154</v>
      </c>
      <c r="F80" s="18" t="s">
        <v>154</v>
      </c>
      <c r="G80" s="17" t="s">
        <v>154</v>
      </c>
      <c r="H80" s="18" t="s">
        <v>154</v>
      </c>
      <c r="I80" s="17" t="s">
        <v>154</v>
      </c>
      <c r="J80" s="18" t="s">
        <v>154</v>
      </c>
      <c r="K80" s="17" t="s">
        <v>154</v>
      </c>
      <c r="L80" s="18" t="s">
        <v>154</v>
      </c>
      <c r="M80" s="17" t="s">
        <v>154</v>
      </c>
      <c r="N80" s="18" t="s">
        <v>154</v>
      </c>
      <c r="O80" s="17" t="s">
        <v>154</v>
      </c>
      <c r="P80" s="18" t="s">
        <v>154</v>
      </c>
      <c r="Q80" s="17" t="s">
        <v>154</v>
      </c>
      <c r="R80" s="18" t="s">
        <v>154</v>
      </c>
    </row>
    <row r="81" spans="1:18" x14ac:dyDescent="0.25">
      <c r="A81" s="19" t="s">
        <v>214</v>
      </c>
      <c r="B81" s="13">
        <v>8861</v>
      </c>
      <c r="C81" s="14">
        <f>(7383/B81*100)</f>
        <v>83.320167024037914</v>
      </c>
      <c r="D81" s="15">
        <v>1478</v>
      </c>
      <c r="E81" s="14">
        <v>64.422089299999996</v>
      </c>
      <c r="F81" s="16">
        <v>1.4208982999999999</v>
      </c>
      <c r="G81" s="14">
        <v>35.577910699999997</v>
      </c>
      <c r="H81" s="16">
        <v>1.4208982999999999</v>
      </c>
      <c r="I81" s="14" t="s">
        <v>139</v>
      </c>
      <c r="J81" s="16" t="s">
        <v>139</v>
      </c>
      <c r="K81" s="14">
        <v>0</v>
      </c>
      <c r="L81" s="16">
        <v>0</v>
      </c>
      <c r="M81" s="14">
        <v>0</v>
      </c>
      <c r="N81" s="16">
        <v>0</v>
      </c>
      <c r="O81" s="14">
        <v>0</v>
      </c>
      <c r="P81" s="16">
        <v>0</v>
      </c>
      <c r="Q81" s="14">
        <v>0</v>
      </c>
      <c r="R81" s="16">
        <v>0</v>
      </c>
    </row>
    <row r="82" spans="1:18" x14ac:dyDescent="0.25">
      <c r="A82" s="20"/>
      <c r="B82" s="20" t="s">
        <v>215</v>
      </c>
      <c r="C82" s="20" t="s">
        <v>215</v>
      </c>
      <c r="D82" s="20" t="s">
        <v>215</v>
      </c>
      <c r="E82" s="20" t="s">
        <v>215</v>
      </c>
      <c r="F82" s="20" t="s">
        <v>215</v>
      </c>
      <c r="G82" s="20" t="s">
        <v>215</v>
      </c>
      <c r="H82" s="20" t="s">
        <v>215</v>
      </c>
      <c r="I82" s="20" t="s">
        <v>215</v>
      </c>
      <c r="J82" s="20" t="s">
        <v>215</v>
      </c>
      <c r="K82" s="20" t="s">
        <v>215</v>
      </c>
      <c r="L82" s="20" t="s">
        <v>215</v>
      </c>
      <c r="M82" s="20" t="s">
        <v>215</v>
      </c>
      <c r="N82" s="20" t="s">
        <v>215</v>
      </c>
      <c r="O82" s="20" t="s">
        <v>215</v>
      </c>
      <c r="P82" s="20" t="s">
        <v>215</v>
      </c>
      <c r="Q82" s="20" t="s">
        <v>215</v>
      </c>
      <c r="R82" s="20" t="s">
        <v>215</v>
      </c>
    </row>
    <row r="83" spans="1:18" x14ac:dyDescent="0.25">
      <c r="A83" s="3" t="s">
        <v>216</v>
      </c>
    </row>
    <row r="84" spans="1:18" x14ac:dyDescent="0.25">
      <c r="A84" s="22" t="s">
        <v>217</v>
      </c>
      <c r="B84" s="23"/>
      <c r="C84" s="23"/>
      <c r="D84" s="23"/>
      <c r="E84" s="23"/>
      <c r="F84" s="23"/>
      <c r="G84" s="23"/>
      <c r="H84" s="23"/>
      <c r="I84" s="23"/>
      <c r="J84" s="23"/>
      <c r="K84" s="23"/>
      <c r="L84" s="23"/>
      <c r="M84" s="23"/>
      <c r="N84" s="23"/>
      <c r="O84" s="23"/>
      <c r="P84" s="23"/>
      <c r="Q84" s="23"/>
      <c r="R84" s="23"/>
    </row>
    <row r="85" spans="1:18" x14ac:dyDescent="0.25">
      <c r="A85" s="22" t="s">
        <v>218</v>
      </c>
      <c r="B85" s="23"/>
      <c r="C85" s="23"/>
      <c r="D85" s="23"/>
      <c r="E85" s="23"/>
      <c r="F85" s="23"/>
      <c r="G85" s="23"/>
      <c r="H85" s="23"/>
      <c r="I85" s="23"/>
      <c r="J85" s="23"/>
      <c r="K85" s="23"/>
      <c r="L85" s="23"/>
      <c r="M85" s="23"/>
      <c r="N85" s="23"/>
      <c r="O85" s="23"/>
      <c r="P85" s="23"/>
      <c r="Q85" s="23"/>
      <c r="R85" s="23"/>
    </row>
    <row r="86" spans="1:18" ht="30" customHeight="1" x14ac:dyDescent="0.25">
      <c r="A86" s="22" t="s">
        <v>219</v>
      </c>
      <c r="B86" s="23"/>
      <c r="C86" s="23"/>
      <c r="D86" s="23"/>
      <c r="E86" s="23"/>
      <c r="F86" s="23"/>
      <c r="G86" s="23"/>
      <c r="H86" s="23"/>
      <c r="I86" s="23"/>
      <c r="J86" s="23"/>
      <c r="K86" s="23"/>
      <c r="L86" s="23"/>
      <c r="M86" s="23"/>
      <c r="N86" s="23"/>
      <c r="O86" s="23"/>
      <c r="P86" s="23"/>
      <c r="Q86" s="23"/>
      <c r="R86" s="23"/>
    </row>
    <row r="87" spans="1:18" ht="30" customHeight="1" x14ac:dyDescent="0.25">
      <c r="A87" s="22" t="s">
        <v>215</v>
      </c>
      <c r="B87" s="23"/>
      <c r="C87" s="23"/>
      <c r="D87" s="23"/>
      <c r="E87" s="23"/>
      <c r="F87" s="23"/>
      <c r="G87" s="23"/>
      <c r="H87" s="23"/>
      <c r="I87" s="23"/>
      <c r="J87" s="23"/>
      <c r="K87" s="23"/>
      <c r="L87" s="23"/>
      <c r="M87" s="23"/>
      <c r="N87" s="23"/>
      <c r="O87" s="23"/>
      <c r="P87" s="23"/>
      <c r="Q87" s="23"/>
      <c r="R87" s="23"/>
    </row>
    <row r="88" spans="1:18" ht="30" customHeight="1" x14ac:dyDescent="0.25">
      <c r="A88" s="22" t="s">
        <v>220</v>
      </c>
      <c r="B88" s="23"/>
      <c r="C88" s="23"/>
      <c r="D88" s="23"/>
      <c r="E88" s="23"/>
      <c r="F88" s="23"/>
      <c r="G88" s="23"/>
      <c r="H88" s="23"/>
      <c r="I88" s="23"/>
      <c r="J88" s="23"/>
      <c r="K88" s="23"/>
      <c r="L88" s="23"/>
      <c r="M88" s="23"/>
      <c r="N88" s="23"/>
      <c r="O88" s="23"/>
      <c r="P88" s="23"/>
      <c r="Q88" s="23"/>
      <c r="R88" s="23"/>
    </row>
    <row r="89" spans="1:18" ht="30" customHeight="1" x14ac:dyDescent="0.25">
      <c r="A89" s="22" t="s">
        <v>221</v>
      </c>
      <c r="B89" s="23"/>
      <c r="C89" s="23"/>
      <c r="D89" s="23"/>
      <c r="E89" s="23"/>
      <c r="F89" s="23"/>
      <c r="G89" s="23"/>
      <c r="H89" s="23"/>
      <c r="I89" s="23"/>
      <c r="J89" s="23"/>
      <c r="K89" s="23"/>
      <c r="L89" s="23"/>
      <c r="M89" s="23"/>
      <c r="N89" s="23"/>
      <c r="O89" s="23"/>
      <c r="P89" s="23"/>
      <c r="Q89" s="23"/>
      <c r="R89" s="23"/>
    </row>
    <row r="90" spans="1:18" ht="30" customHeight="1" x14ac:dyDescent="0.25">
      <c r="A90" s="22" t="s">
        <v>222</v>
      </c>
      <c r="B90" s="23"/>
      <c r="C90" s="23"/>
      <c r="D90" s="23"/>
      <c r="E90" s="23"/>
      <c r="F90" s="23"/>
      <c r="G90" s="23"/>
      <c r="H90" s="23"/>
      <c r="I90" s="23"/>
      <c r="J90" s="23"/>
      <c r="K90" s="23"/>
      <c r="L90" s="23"/>
      <c r="M90" s="23"/>
      <c r="N90" s="23"/>
      <c r="O90" s="23"/>
      <c r="P90" s="23"/>
      <c r="Q90" s="23"/>
      <c r="R90" s="23"/>
    </row>
    <row r="91" spans="1:18" ht="30" customHeight="1" x14ac:dyDescent="0.25">
      <c r="A91" s="22" t="s">
        <v>223</v>
      </c>
      <c r="B91" s="23"/>
      <c r="C91" s="23"/>
      <c r="D91" s="23"/>
      <c r="E91" s="23"/>
      <c r="F91" s="23"/>
      <c r="G91" s="23"/>
      <c r="H91" s="23"/>
      <c r="I91" s="23"/>
      <c r="J91" s="23"/>
      <c r="K91" s="23"/>
      <c r="L91" s="23"/>
      <c r="M91" s="23"/>
      <c r="N91" s="23"/>
      <c r="O91" s="23"/>
      <c r="P91" s="23"/>
      <c r="Q91" s="23"/>
      <c r="R91" s="23"/>
    </row>
    <row r="92" spans="1:18" ht="30" customHeight="1" x14ac:dyDescent="0.25">
      <c r="A92" s="22" t="s">
        <v>224</v>
      </c>
      <c r="B92" s="23"/>
      <c r="C92" s="23"/>
      <c r="D92" s="23"/>
      <c r="E92" s="23"/>
      <c r="F92" s="23"/>
      <c r="G92" s="23"/>
      <c r="H92" s="23"/>
      <c r="I92" s="23"/>
      <c r="J92" s="23"/>
      <c r="K92" s="23"/>
      <c r="L92" s="23"/>
      <c r="M92" s="23"/>
      <c r="N92" s="23"/>
      <c r="O92" s="23"/>
      <c r="P92" s="23"/>
      <c r="Q92" s="23"/>
      <c r="R92" s="23"/>
    </row>
    <row r="93" spans="1:18" ht="30" customHeight="1" x14ac:dyDescent="0.25">
      <c r="A93" s="22" t="s">
        <v>225</v>
      </c>
      <c r="B93" s="23"/>
      <c r="C93" s="23"/>
      <c r="D93" s="23"/>
      <c r="E93" s="23"/>
      <c r="F93" s="23"/>
      <c r="G93" s="23"/>
      <c r="H93" s="23"/>
      <c r="I93" s="23"/>
      <c r="J93" s="23"/>
      <c r="K93" s="23"/>
      <c r="L93" s="23"/>
      <c r="M93" s="23"/>
      <c r="N93" s="23"/>
      <c r="O93" s="23"/>
      <c r="P93" s="23"/>
      <c r="Q93" s="23"/>
      <c r="R93" s="23"/>
    </row>
    <row r="94" spans="1:18" ht="30" customHeight="1" x14ac:dyDescent="0.25">
      <c r="A94" s="22" t="s">
        <v>226</v>
      </c>
      <c r="B94" s="23"/>
      <c r="C94" s="23"/>
      <c r="D94" s="23"/>
      <c r="E94" s="23"/>
      <c r="F94" s="23"/>
      <c r="G94" s="23"/>
      <c r="H94" s="23"/>
      <c r="I94" s="23"/>
      <c r="J94" s="23"/>
      <c r="K94" s="23"/>
      <c r="L94" s="23"/>
      <c r="M94" s="23"/>
      <c r="N94" s="23"/>
      <c r="O94" s="23"/>
      <c r="P94" s="23"/>
      <c r="Q94" s="23"/>
      <c r="R94" s="23"/>
    </row>
    <row r="95" spans="1:18" ht="30" customHeight="1" x14ac:dyDescent="0.25">
      <c r="A95" s="22" t="s">
        <v>227</v>
      </c>
      <c r="B95" s="23"/>
      <c r="C95" s="23"/>
      <c r="D95" s="23"/>
      <c r="E95" s="23"/>
      <c r="F95" s="23"/>
      <c r="G95" s="23"/>
      <c r="H95" s="23"/>
      <c r="I95" s="23"/>
      <c r="J95" s="23"/>
      <c r="K95" s="23"/>
      <c r="L95" s="23"/>
      <c r="M95" s="23"/>
      <c r="N95" s="23"/>
      <c r="O95" s="23"/>
      <c r="P95" s="23"/>
      <c r="Q95" s="23"/>
      <c r="R95" s="23"/>
    </row>
    <row r="96" spans="1:18" ht="30" customHeight="1" x14ac:dyDescent="0.25">
      <c r="A96" s="22" t="s">
        <v>228</v>
      </c>
      <c r="B96" s="23"/>
      <c r="C96" s="23"/>
      <c r="D96" s="23"/>
      <c r="E96" s="23"/>
      <c r="F96" s="23"/>
      <c r="G96" s="23"/>
      <c r="H96" s="23"/>
      <c r="I96" s="23"/>
      <c r="J96" s="23"/>
      <c r="K96" s="23"/>
      <c r="L96" s="23"/>
      <c r="M96" s="23"/>
      <c r="N96" s="23"/>
      <c r="O96" s="23"/>
      <c r="P96" s="23"/>
      <c r="Q96" s="23"/>
      <c r="R96" s="23"/>
    </row>
  </sheetData>
  <mergeCells count="22">
    <mergeCell ref="O4:P4"/>
    <mergeCell ref="Q4:R4"/>
    <mergeCell ref="A1:R1"/>
    <mergeCell ref="A2:R2"/>
    <mergeCell ref="A84:R84"/>
    <mergeCell ref="E4:F4"/>
    <mergeCell ref="G4:H4"/>
    <mergeCell ref="I4:J4"/>
    <mergeCell ref="K4:L4"/>
    <mergeCell ref="M4:N4"/>
    <mergeCell ref="A85:R85"/>
    <mergeCell ref="A86:R86"/>
    <mergeCell ref="A87:R87"/>
    <mergeCell ref="A88:R88"/>
    <mergeCell ref="A89:R89"/>
    <mergeCell ref="A95:R95"/>
    <mergeCell ref="A96:R96"/>
    <mergeCell ref="A90:R90"/>
    <mergeCell ref="A91:R91"/>
    <mergeCell ref="A92:R92"/>
    <mergeCell ref="A93:R93"/>
    <mergeCell ref="A94:R94"/>
  </mergeCells>
  <pageMargins left="0.75" right="0.75" top="1" bottom="1" header="0.5" footer="0.5"/>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8"/>
  <dimension ref="A1:R96"/>
  <sheetViews>
    <sheetView zoomScale="80" workbookViewId="0">
      <pane xSplit="4" topLeftCell="E1" activePane="topRight" state="frozen"/>
      <selection sqref="A1:R1"/>
      <selection pane="topRight" sqref="A1:R1"/>
    </sheetView>
  </sheetViews>
  <sheetFormatPr defaultColWidth="11.42578125" defaultRowHeight="15" x14ac:dyDescent="0.25"/>
  <cols>
    <col min="1" max="1" width="50" customWidth="1"/>
  </cols>
  <sheetData>
    <row r="1" spans="1:18" x14ac:dyDescent="0.25">
      <c r="A1" s="26" t="s">
        <v>122</v>
      </c>
      <c r="B1" s="23"/>
      <c r="C1" s="23"/>
      <c r="D1" s="23"/>
      <c r="E1" s="23"/>
      <c r="F1" s="23"/>
      <c r="G1" s="23"/>
      <c r="H1" s="23"/>
      <c r="I1" s="23"/>
      <c r="J1" s="23"/>
      <c r="K1" s="23"/>
      <c r="L1" s="23"/>
      <c r="M1" s="23"/>
      <c r="N1" s="23"/>
      <c r="O1" s="23"/>
      <c r="P1" s="23"/>
      <c r="Q1" s="23"/>
      <c r="R1" s="23"/>
    </row>
    <row r="2" spans="1:18" x14ac:dyDescent="0.25">
      <c r="A2" s="27" t="s">
        <v>274</v>
      </c>
      <c r="B2" s="23"/>
      <c r="C2" s="23"/>
      <c r="D2" s="23"/>
      <c r="E2" s="23"/>
      <c r="F2" s="23"/>
      <c r="G2" s="23"/>
      <c r="H2" s="23"/>
      <c r="I2" s="23"/>
      <c r="J2" s="23"/>
      <c r="K2" s="23"/>
      <c r="L2" s="23"/>
      <c r="M2" s="23"/>
      <c r="N2" s="23"/>
      <c r="O2" s="23"/>
      <c r="P2" s="23"/>
      <c r="Q2" s="23"/>
      <c r="R2" s="23"/>
    </row>
    <row r="4" spans="1:18" ht="30" customHeight="1" x14ac:dyDescent="0.25">
      <c r="A4" s="4"/>
      <c r="B4" s="5" t="s">
        <v>123</v>
      </c>
      <c r="C4" s="5" t="s">
        <v>124</v>
      </c>
      <c r="D4" s="6" t="s">
        <v>123</v>
      </c>
      <c r="E4" s="24" t="s">
        <v>125</v>
      </c>
      <c r="F4" s="25"/>
      <c r="G4" s="24" t="s">
        <v>126</v>
      </c>
      <c r="H4" s="25"/>
      <c r="I4" s="24" t="s">
        <v>127</v>
      </c>
      <c r="J4" s="25"/>
      <c r="K4" s="24" t="s">
        <v>128</v>
      </c>
      <c r="L4" s="25"/>
      <c r="M4" s="24" t="s">
        <v>129</v>
      </c>
      <c r="N4" s="25"/>
      <c r="O4" s="24" t="s">
        <v>130</v>
      </c>
      <c r="P4" s="25"/>
      <c r="Q4" s="24" t="s">
        <v>131</v>
      </c>
      <c r="R4" s="25"/>
    </row>
    <row r="5" spans="1:18" x14ac:dyDescent="0.25">
      <c r="A5" s="7"/>
      <c r="B5" s="8" t="s">
        <v>132</v>
      </c>
      <c r="C5" s="8" t="s">
        <v>133</v>
      </c>
      <c r="D5" s="7" t="s">
        <v>134</v>
      </c>
      <c r="E5" s="8" t="s">
        <v>135</v>
      </c>
      <c r="F5" s="7" t="s">
        <v>136</v>
      </c>
      <c r="G5" s="8" t="s">
        <v>135</v>
      </c>
      <c r="H5" s="7" t="s">
        <v>136</v>
      </c>
      <c r="I5" s="8" t="s">
        <v>135</v>
      </c>
      <c r="J5" s="7" t="s">
        <v>136</v>
      </c>
      <c r="K5" s="8" t="s">
        <v>135</v>
      </c>
      <c r="L5" s="7" t="s">
        <v>136</v>
      </c>
      <c r="M5" s="8" t="s">
        <v>135</v>
      </c>
      <c r="N5" s="7" t="s">
        <v>136</v>
      </c>
      <c r="O5" s="8" t="s">
        <v>135</v>
      </c>
      <c r="P5" s="7" t="s">
        <v>136</v>
      </c>
      <c r="Q5" s="8" t="s">
        <v>135</v>
      </c>
      <c r="R5" s="7" t="s">
        <v>136</v>
      </c>
    </row>
    <row r="6" spans="1:18" x14ac:dyDescent="0.25">
      <c r="A6" s="9" t="s">
        <v>137</v>
      </c>
      <c r="B6" s="10"/>
      <c r="C6" s="10"/>
      <c r="D6" s="11"/>
      <c r="E6" s="10"/>
      <c r="F6" s="11"/>
      <c r="G6" s="10"/>
      <c r="H6" s="11"/>
      <c r="I6" s="10"/>
      <c r="J6" s="11"/>
      <c r="K6" s="10"/>
      <c r="L6" s="11"/>
      <c r="M6" s="10"/>
      <c r="N6" s="11"/>
      <c r="O6" s="10"/>
      <c r="P6" s="11"/>
      <c r="Q6" s="10"/>
      <c r="R6" s="12"/>
    </row>
    <row r="7" spans="1:18" x14ac:dyDescent="0.25">
      <c r="A7" s="11" t="s">
        <v>138</v>
      </c>
      <c r="B7" s="13">
        <v>14530</v>
      </c>
      <c r="C7" s="14">
        <f>(12281/B7*100)</f>
        <v>84.521679284239497</v>
      </c>
      <c r="D7" s="15">
        <v>2249</v>
      </c>
      <c r="E7" s="14">
        <v>57.76153395</v>
      </c>
      <c r="F7" s="16">
        <v>1.2840206199999999</v>
      </c>
      <c r="G7" s="14">
        <v>42.23846605</v>
      </c>
      <c r="H7" s="16">
        <v>1.2840206199999999</v>
      </c>
      <c r="I7" s="14" t="s">
        <v>139</v>
      </c>
      <c r="J7" s="16" t="s">
        <v>139</v>
      </c>
      <c r="K7" s="14">
        <v>0</v>
      </c>
      <c r="L7" s="16">
        <v>0</v>
      </c>
      <c r="M7" s="14">
        <v>0</v>
      </c>
      <c r="N7" s="16">
        <v>0</v>
      </c>
      <c r="O7" s="14">
        <v>0</v>
      </c>
      <c r="P7" s="16">
        <v>0</v>
      </c>
      <c r="Q7" s="14">
        <v>0</v>
      </c>
      <c r="R7" s="16">
        <v>0</v>
      </c>
    </row>
    <row r="8" spans="1:18" x14ac:dyDescent="0.25">
      <c r="A8" s="11" t="s">
        <v>140</v>
      </c>
      <c r="B8" s="13">
        <v>7007</v>
      </c>
      <c r="C8" s="14">
        <f>(5875/B8*100)</f>
        <v>83.844726701869547</v>
      </c>
      <c r="D8" s="15">
        <v>1132</v>
      </c>
      <c r="E8" s="14">
        <v>58.659335859999999</v>
      </c>
      <c r="F8" s="16">
        <v>1.6214105400000001</v>
      </c>
      <c r="G8" s="14">
        <v>41.340664140000001</v>
      </c>
      <c r="H8" s="16">
        <v>1.6214105400000001</v>
      </c>
      <c r="I8" s="14" t="s">
        <v>139</v>
      </c>
      <c r="J8" s="16" t="s">
        <v>139</v>
      </c>
      <c r="K8" s="14">
        <v>0</v>
      </c>
      <c r="L8" s="16">
        <v>0</v>
      </c>
      <c r="M8" s="14">
        <v>0</v>
      </c>
      <c r="N8" s="16">
        <v>0</v>
      </c>
      <c r="O8" s="14">
        <v>0</v>
      </c>
      <c r="P8" s="16">
        <v>0</v>
      </c>
      <c r="Q8" s="14">
        <v>0</v>
      </c>
      <c r="R8" s="16">
        <v>0</v>
      </c>
    </row>
    <row r="9" spans="1:18" x14ac:dyDescent="0.25">
      <c r="A9" s="11" t="s">
        <v>141</v>
      </c>
      <c r="B9" s="13">
        <v>9651</v>
      </c>
      <c r="C9" s="14">
        <f>(8203/B9*100)</f>
        <v>84.996373432804901</v>
      </c>
      <c r="D9" s="15">
        <v>1448</v>
      </c>
      <c r="E9" s="14">
        <v>62.232975570000001</v>
      </c>
      <c r="F9" s="16">
        <v>1.41402206</v>
      </c>
      <c r="G9" s="14">
        <v>37.767024429999999</v>
      </c>
      <c r="H9" s="16">
        <v>1.41402206</v>
      </c>
      <c r="I9" s="14" t="s">
        <v>139</v>
      </c>
      <c r="J9" s="16" t="s">
        <v>139</v>
      </c>
      <c r="K9" s="14">
        <v>0</v>
      </c>
      <c r="L9" s="16">
        <v>0</v>
      </c>
      <c r="M9" s="14">
        <v>0</v>
      </c>
      <c r="N9" s="16">
        <v>0</v>
      </c>
      <c r="O9" s="14">
        <v>0</v>
      </c>
      <c r="P9" s="16">
        <v>0</v>
      </c>
      <c r="Q9" s="14">
        <v>0</v>
      </c>
      <c r="R9" s="16">
        <v>0</v>
      </c>
    </row>
    <row r="10" spans="1:18" x14ac:dyDescent="0.25">
      <c r="A10" s="11" t="s">
        <v>142</v>
      </c>
      <c r="B10" s="13">
        <v>20058</v>
      </c>
      <c r="C10" s="14">
        <f>(16721/B10*100)</f>
        <v>83.363246584903777</v>
      </c>
      <c r="D10" s="15">
        <v>3337</v>
      </c>
      <c r="E10" s="14">
        <v>57.025762020000002</v>
      </c>
      <c r="F10" s="16">
        <v>1.21491635</v>
      </c>
      <c r="G10" s="14">
        <v>42.974237979999998</v>
      </c>
      <c r="H10" s="16">
        <v>1.21491635</v>
      </c>
      <c r="I10" s="14" t="s">
        <v>139</v>
      </c>
      <c r="J10" s="16" t="s">
        <v>139</v>
      </c>
      <c r="K10" s="14">
        <v>0</v>
      </c>
      <c r="L10" s="16">
        <v>0</v>
      </c>
      <c r="M10" s="14">
        <v>0</v>
      </c>
      <c r="N10" s="16">
        <v>0</v>
      </c>
      <c r="O10" s="14">
        <v>0</v>
      </c>
      <c r="P10" s="16">
        <v>0</v>
      </c>
      <c r="Q10" s="14">
        <v>0</v>
      </c>
      <c r="R10" s="16">
        <v>0</v>
      </c>
    </row>
    <row r="11" spans="1:18" x14ac:dyDescent="0.25">
      <c r="A11" s="11" t="s">
        <v>143</v>
      </c>
      <c r="B11" s="13">
        <v>7053</v>
      </c>
      <c r="C11" s="14">
        <f>(5995/B11*100)</f>
        <v>84.999291081809162</v>
      </c>
      <c r="D11" s="15">
        <v>1058</v>
      </c>
      <c r="E11" s="14">
        <v>70.541638129999995</v>
      </c>
      <c r="F11" s="16">
        <v>1.91957738</v>
      </c>
      <c r="G11" s="14">
        <v>29.458361870000001</v>
      </c>
      <c r="H11" s="16">
        <v>1.91957738</v>
      </c>
      <c r="I11" s="14" t="s">
        <v>139</v>
      </c>
      <c r="J11" s="16" t="s">
        <v>139</v>
      </c>
      <c r="K11" s="14">
        <v>0</v>
      </c>
      <c r="L11" s="16">
        <v>0</v>
      </c>
      <c r="M11" s="14">
        <v>0</v>
      </c>
      <c r="N11" s="16">
        <v>0</v>
      </c>
      <c r="O11" s="14">
        <v>0</v>
      </c>
      <c r="P11" s="16">
        <v>0</v>
      </c>
      <c r="Q11" s="14">
        <v>0</v>
      </c>
      <c r="R11" s="16">
        <v>0</v>
      </c>
    </row>
    <row r="12" spans="1:18" x14ac:dyDescent="0.25">
      <c r="A12" s="11" t="s">
        <v>144</v>
      </c>
      <c r="B12" s="13">
        <v>6894</v>
      </c>
      <c r="C12" s="14">
        <f>(5821/B12*100)</f>
        <v>84.435741224252965</v>
      </c>
      <c r="D12" s="15">
        <v>1073</v>
      </c>
      <c r="E12" s="14">
        <v>58.589668289999999</v>
      </c>
      <c r="F12" s="16">
        <v>1.98737667</v>
      </c>
      <c r="G12" s="14">
        <v>41.410331710000001</v>
      </c>
      <c r="H12" s="16">
        <v>1.98737667</v>
      </c>
      <c r="I12" s="14" t="s">
        <v>139</v>
      </c>
      <c r="J12" s="16" t="s">
        <v>139</v>
      </c>
      <c r="K12" s="14">
        <v>0</v>
      </c>
      <c r="L12" s="16">
        <v>0</v>
      </c>
      <c r="M12" s="14">
        <v>0</v>
      </c>
      <c r="N12" s="16">
        <v>0</v>
      </c>
      <c r="O12" s="14">
        <v>0</v>
      </c>
      <c r="P12" s="16">
        <v>0</v>
      </c>
      <c r="Q12" s="14">
        <v>0</v>
      </c>
      <c r="R12" s="16">
        <v>0</v>
      </c>
    </row>
    <row r="13" spans="1:18" x14ac:dyDescent="0.25">
      <c r="A13" s="11" t="s">
        <v>145</v>
      </c>
      <c r="B13" s="13">
        <v>7161</v>
      </c>
      <c r="C13" s="14">
        <f>(6079/B13*100)</f>
        <v>84.890378438765538</v>
      </c>
      <c r="D13" s="15">
        <v>1082</v>
      </c>
      <c r="E13" s="14">
        <v>56.509869299999998</v>
      </c>
      <c r="F13" s="16">
        <v>1.8966663699999999</v>
      </c>
      <c r="G13" s="14">
        <v>43.490130700000002</v>
      </c>
      <c r="H13" s="16">
        <v>1.8966663699999999</v>
      </c>
      <c r="I13" s="14" t="s">
        <v>139</v>
      </c>
      <c r="J13" s="16" t="s">
        <v>139</v>
      </c>
      <c r="K13" s="14">
        <v>0</v>
      </c>
      <c r="L13" s="16">
        <v>0</v>
      </c>
      <c r="M13" s="14">
        <v>0</v>
      </c>
      <c r="N13" s="16">
        <v>0</v>
      </c>
      <c r="O13" s="14">
        <v>0</v>
      </c>
      <c r="P13" s="16">
        <v>0</v>
      </c>
      <c r="Q13" s="14">
        <v>0</v>
      </c>
      <c r="R13" s="16">
        <v>0</v>
      </c>
    </row>
    <row r="14" spans="1:18" x14ac:dyDescent="0.25">
      <c r="A14" s="11" t="s">
        <v>146</v>
      </c>
      <c r="B14" s="13">
        <v>5587</v>
      </c>
      <c r="C14" s="14">
        <f>(4678/B14*100)</f>
        <v>83.730087703597633</v>
      </c>
      <c r="D14" s="15">
        <v>909</v>
      </c>
      <c r="E14" s="14">
        <v>55.06121229</v>
      </c>
      <c r="F14" s="16">
        <v>1.5718348600000001</v>
      </c>
      <c r="G14" s="14">
        <v>44.93878771</v>
      </c>
      <c r="H14" s="16">
        <v>1.5718348600000001</v>
      </c>
      <c r="I14" s="14" t="s">
        <v>139</v>
      </c>
      <c r="J14" s="16" t="s">
        <v>139</v>
      </c>
      <c r="K14" s="14">
        <v>0</v>
      </c>
      <c r="L14" s="16">
        <v>0</v>
      </c>
      <c r="M14" s="14">
        <v>0</v>
      </c>
      <c r="N14" s="16">
        <v>0</v>
      </c>
      <c r="O14" s="14">
        <v>0</v>
      </c>
      <c r="P14" s="16">
        <v>0</v>
      </c>
      <c r="Q14" s="14">
        <v>0</v>
      </c>
      <c r="R14" s="16">
        <v>0</v>
      </c>
    </row>
    <row r="15" spans="1:18" x14ac:dyDescent="0.25">
      <c r="A15" s="11" t="s">
        <v>147</v>
      </c>
      <c r="B15" s="13">
        <v>5882</v>
      </c>
      <c r="C15" s="14">
        <f>(4957/B15*100)</f>
        <v>84.274056443386598</v>
      </c>
      <c r="D15" s="15">
        <v>925</v>
      </c>
      <c r="E15" s="14">
        <v>52.042357180000003</v>
      </c>
      <c r="F15" s="16">
        <v>1.95388271</v>
      </c>
      <c r="G15" s="14">
        <v>47.957642819999997</v>
      </c>
      <c r="H15" s="16">
        <v>1.95388271</v>
      </c>
      <c r="I15" s="14" t="s">
        <v>139</v>
      </c>
      <c r="J15" s="16" t="s">
        <v>139</v>
      </c>
      <c r="K15" s="14">
        <v>0</v>
      </c>
      <c r="L15" s="16">
        <v>0</v>
      </c>
      <c r="M15" s="14">
        <v>0</v>
      </c>
      <c r="N15" s="16">
        <v>0</v>
      </c>
      <c r="O15" s="14">
        <v>0</v>
      </c>
      <c r="P15" s="16">
        <v>0</v>
      </c>
      <c r="Q15" s="14">
        <v>0</v>
      </c>
      <c r="R15" s="16">
        <v>0</v>
      </c>
    </row>
    <row r="16" spans="1:18" x14ac:dyDescent="0.25">
      <c r="A16" s="11" t="s">
        <v>148</v>
      </c>
      <c r="B16" s="13">
        <v>6108</v>
      </c>
      <c r="C16" s="14">
        <f>(5144/B16*100)</f>
        <v>84.217419777341192</v>
      </c>
      <c r="D16" s="15">
        <v>964</v>
      </c>
      <c r="E16" s="14">
        <v>61.623027</v>
      </c>
      <c r="F16" s="16">
        <v>1.5270824199999999</v>
      </c>
      <c r="G16" s="14">
        <v>38.376973</v>
      </c>
      <c r="H16" s="16">
        <v>1.5270824199999999</v>
      </c>
      <c r="I16" s="14" t="s">
        <v>139</v>
      </c>
      <c r="J16" s="16" t="s">
        <v>139</v>
      </c>
      <c r="K16" s="14">
        <v>0</v>
      </c>
      <c r="L16" s="16">
        <v>0</v>
      </c>
      <c r="M16" s="14">
        <v>0</v>
      </c>
      <c r="N16" s="16">
        <v>0</v>
      </c>
      <c r="O16" s="14">
        <v>0</v>
      </c>
      <c r="P16" s="16">
        <v>0</v>
      </c>
      <c r="Q16" s="14">
        <v>0</v>
      </c>
      <c r="R16" s="16">
        <v>0</v>
      </c>
    </row>
    <row r="17" spans="1:18" x14ac:dyDescent="0.25">
      <c r="A17" s="11" t="s">
        <v>149</v>
      </c>
      <c r="B17" s="13">
        <v>6504</v>
      </c>
      <c r="C17" s="14">
        <f>(5504/B17*100)</f>
        <v>84.624846248462475</v>
      </c>
      <c r="D17" s="15">
        <v>1000</v>
      </c>
      <c r="E17" s="14">
        <v>52.596189240000001</v>
      </c>
      <c r="F17" s="16">
        <v>1.6276865300000001</v>
      </c>
      <c r="G17" s="14">
        <v>47.403810759999999</v>
      </c>
      <c r="H17" s="16">
        <v>1.6276865300000001</v>
      </c>
      <c r="I17" s="14" t="s">
        <v>139</v>
      </c>
      <c r="J17" s="16" t="s">
        <v>139</v>
      </c>
      <c r="K17" s="14">
        <v>0</v>
      </c>
      <c r="L17" s="16">
        <v>0</v>
      </c>
      <c r="M17" s="14">
        <v>0</v>
      </c>
      <c r="N17" s="16">
        <v>0</v>
      </c>
      <c r="O17" s="14">
        <v>0</v>
      </c>
      <c r="P17" s="16">
        <v>0</v>
      </c>
      <c r="Q17" s="14">
        <v>0</v>
      </c>
      <c r="R17" s="16">
        <v>0</v>
      </c>
    </row>
    <row r="18" spans="1:18" x14ac:dyDescent="0.25">
      <c r="A18" s="11" t="s">
        <v>150</v>
      </c>
      <c r="B18" s="13">
        <v>5532</v>
      </c>
      <c r="C18" s="14">
        <f>(4604/B18*100)</f>
        <v>83.224873463485167</v>
      </c>
      <c r="D18" s="15">
        <v>928</v>
      </c>
      <c r="E18" s="14">
        <v>64.287878210000002</v>
      </c>
      <c r="F18" s="16">
        <v>1.7157695799999999</v>
      </c>
      <c r="G18" s="14">
        <v>35.712121789999998</v>
      </c>
      <c r="H18" s="16">
        <v>1.7157695799999999</v>
      </c>
      <c r="I18" s="14" t="s">
        <v>139</v>
      </c>
      <c r="J18" s="16" t="s">
        <v>139</v>
      </c>
      <c r="K18" s="14">
        <v>0</v>
      </c>
      <c r="L18" s="16">
        <v>0</v>
      </c>
      <c r="M18" s="14">
        <v>0</v>
      </c>
      <c r="N18" s="16">
        <v>0</v>
      </c>
      <c r="O18" s="14">
        <v>0</v>
      </c>
      <c r="P18" s="16">
        <v>0</v>
      </c>
      <c r="Q18" s="14">
        <v>0</v>
      </c>
      <c r="R18" s="16">
        <v>0</v>
      </c>
    </row>
    <row r="19" spans="1:18" x14ac:dyDescent="0.25">
      <c r="A19" s="11" t="s">
        <v>151</v>
      </c>
      <c r="B19" s="13">
        <v>5658</v>
      </c>
      <c r="C19" s="14">
        <f>(4793/B19*100)</f>
        <v>84.711912336514672</v>
      </c>
      <c r="D19" s="15">
        <v>865</v>
      </c>
      <c r="E19" s="14">
        <v>69.648820939999993</v>
      </c>
      <c r="F19" s="16">
        <v>1.6858806900000001</v>
      </c>
      <c r="G19" s="14">
        <v>30.35117906</v>
      </c>
      <c r="H19" s="16">
        <v>1.6858806900000001</v>
      </c>
      <c r="I19" s="14" t="s">
        <v>139</v>
      </c>
      <c r="J19" s="16" t="s">
        <v>139</v>
      </c>
      <c r="K19" s="14">
        <v>0</v>
      </c>
      <c r="L19" s="16">
        <v>0</v>
      </c>
      <c r="M19" s="14">
        <v>0</v>
      </c>
      <c r="N19" s="16">
        <v>0</v>
      </c>
      <c r="O19" s="14">
        <v>0</v>
      </c>
      <c r="P19" s="16">
        <v>0</v>
      </c>
      <c r="Q19" s="14">
        <v>0</v>
      </c>
      <c r="R19" s="16">
        <v>0</v>
      </c>
    </row>
    <row r="20" spans="1:18" x14ac:dyDescent="0.25">
      <c r="A20" s="11" t="s">
        <v>152</v>
      </c>
      <c r="B20" s="13">
        <v>3371</v>
      </c>
      <c r="C20" s="14">
        <f>(2842/B20*100)</f>
        <v>84.307327202610509</v>
      </c>
      <c r="D20" s="15">
        <v>529</v>
      </c>
      <c r="E20" s="14">
        <v>58.578138389999999</v>
      </c>
      <c r="F20" s="16">
        <v>2.3167875900000001</v>
      </c>
      <c r="G20" s="14">
        <v>41.421861610000001</v>
      </c>
      <c r="H20" s="16">
        <v>2.3167875900000001</v>
      </c>
      <c r="I20" s="14" t="s">
        <v>139</v>
      </c>
      <c r="J20" s="16" t="s">
        <v>139</v>
      </c>
      <c r="K20" s="14">
        <v>0</v>
      </c>
      <c r="L20" s="16">
        <v>0</v>
      </c>
      <c r="M20" s="14">
        <v>0</v>
      </c>
      <c r="N20" s="16">
        <v>0</v>
      </c>
      <c r="O20" s="14">
        <v>0</v>
      </c>
      <c r="P20" s="16">
        <v>0</v>
      </c>
      <c r="Q20" s="14">
        <v>0</v>
      </c>
      <c r="R20" s="16">
        <v>0</v>
      </c>
    </row>
    <row r="21" spans="1:18" x14ac:dyDescent="0.25">
      <c r="A21" s="11" t="s">
        <v>153</v>
      </c>
      <c r="B21" s="17" t="s">
        <v>154</v>
      </c>
      <c r="C21" s="17" t="s">
        <v>154</v>
      </c>
      <c r="D21" s="18" t="s">
        <v>154</v>
      </c>
      <c r="E21" s="17" t="s">
        <v>154</v>
      </c>
      <c r="F21" s="18" t="s">
        <v>154</v>
      </c>
      <c r="G21" s="17" t="s">
        <v>154</v>
      </c>
      <c r="H21" s="18" t="s">
        <v>154</v>
      </c>
      <c r="I21" s="17" t="s">
        <v>154</v>
      </c>
      <c r="J21" s="18" t="s">
        <v>154</v>
      </c>
      <c r="K21" s="17" t="s">
        <v>154</v>
      </c>
      <c r="L21" s="18" t="s">
        <v>154</v>
      </c>
      <c r="M21" s="17" t="s">
        <v>154</v>
      </c>
      <c r="N21" s="18" t="s">
        <v>154</v>
      </c>
      <c r="O21" s="17" t="s">
        <v>154</v>
      </c>
      <c r="P21" s="18" t="s">
        <v>154</v>
      </c>
      <c r="Q21" s="17" t="s">
        <v>154</v>
      </c>
      <c r="R21" s="18" t="s">
        <v>154</v>
      </c>
    </row>
    <row r="22" spans="1:18" x14ac:dyDescent="0.25">
      <c r="A22" s="11" t="s">
        <v>155</v>
      </c>
      <c r="B22" s="13">
        <v>6598</v>
      </c>
      <c r="C22" s="14">
        <f>(5639/B22*100)</f>
        <v>85.465292512882698</v>
      </c>
      <c r="D22" s="15">
        <v>959</v>
      </c>
      <c r="E22" s="14">
        <v>66.332996859999994</v>
      </c>
      <c r="F22" s="16">
        <v>1.41821916</v>
      </c>
      <c r="G22" s="14">
        <v>33.667003139999998</v>
      </c>
      <c r="H22" s="16">
        <v>1.41821916</v>
      </c>
      <c r="I22" s="14" t="s">
        <v>139</v>
      </c>
      <c r="J22" s="16" t="s">
        <v>139</v>
      </c>
      <c r="K22" s="14">
        <v>0</v>
      </c>
      <c r="L22" s="16">
        <v>0</v>
      </c>
      <c r="M22" s="14">
        <v>0</v>
      </c>
      <c r="N22" s="16">
        <v>0</v>
      </c>
      <c r="O22" s="14">
        <v>0</v>
      </c>
      <c r="P22" s="16">
        <v>0</v>
      </c>
      <c r="Q22" s="14">
        <v>0</v>
      </c>
      <c r="R22" s="16">
        <v>0</v>
      </c>
    </row>
    <row r="23" spans="1:18" x14ac:dyDescent="0.25">
      <c r="A23" s="11" t="s">
        <v>156</v>
      </c>
      <c r="B23" s="13">
        <v>11583</v>
      </c>
      <c r="C23" s="14">
        <f>(9722/B23*100)</f>
        <v>83.933350600017263</v>
      </c>
      <c r="D23" s="15">
        <v>1861</v>
      </c>
      <c r="E23" s="14">
        <v>63.319853119999998</v>
      </c>
      <c r="F23" s="16">
        <v>1.53396555</v>
      </c>
      <c r="G23" s="14">
        <v>36.680146880000002</v>
      </c>
      <c r="H23" s="16">
        <v>1.53396555</v>
      </c>
      <c r="I23" s="14" t="s">
        <v>139</v>
      </c>
      <c r="J23" s="16" t="s">
        <v>139</v>
      </c>
      <c r="K23" s="14">
        <v>0</v>
      </c>
      <c r="L23" s="16">
        <v>0</v>
      </c>
      <c r="M23" s="14">
        <v>0</v>
      </c>
      <c r="N23" s="16">
        <v>0</v>
      </c>
      <c r="O23" s="14">
        <v>0</v>
      </c>
      <c r="P23" s="16">
        <v>0</v>
      </c>
      <c r="Q23" s="14">
        <v>0</v>
      </c>
      <c r="R23" s="16">
        <v>0</v>
      </c>
    </row>
    <row r="24" spans="1:18" x14ac:dyDescent="0.25">
      <c r="A24" s="11" t="s">
        <v>157</v>
      </c>
      <c r="B24" s="13">
        <v>6647</v>
      </c>
      <c r="C24" s="14">
        <f>(5539/B24*100)</f>
        <v>83.33082593651271</v>
      </c>
      <c r="D24" s="15">
        <v>1108</v>
      </c>
      <c r="E24" s="14">
        <v>51.944357940000003</v>
      </c>
      <c r="F24" s="16">
        <v>1.71889983</v>
      </c>
      <c r="G24" s="14">
        <v>48.055642059999997</v>
      </c>
      <c r="H24" s="16">
        <v>1.71889983</v>
      </c>
      <c r="I24" s="14" t="s">
        <v>139</v>
      </c>
      <c r="J24" s="16" t="s">
        <v>139</v>
      </c>
      <c r="K24" s="14">
        <v>0</v>
      </c>
      <c r="L24" s="16">
        <v>0</v>
      </c>
      <c r="M24" s="14">
        <v>0</v>
      </c>
      <c r="N24" s="16">
        <v>0</v>
      </c>
      <c r="O24" s="14">
        <v>0</v>
      </c>
      <c r="P24" s="16">
        <v>0</v>
      </c>
      <c r="Q24" s="14">
        <v>0</v>
      </c>
      <c r="R24" s="16">
        <v>0</v>
      </c>
    </row>
    <row r="25" spans="1:18" x14ac:dyDescent="0.25">
      <c r="A25" s="11" t="s">
        <v>158</v>
      </c>
      <c r="B25" s="13">
        <v>5581</v>
      </c>
      <c r="C25" s="14">
        <f>(4619/B25*100)</f>
        <v>82.762945708654371</v>
      </c>
      <c r="D25" s="15">
        <v>962</v>
      </c>
      <c r="E25" s="14">
        <v>58.62775388</v>
      </c>
      <c r="F25" s="16">
        <v>1.61226099</v>
      </c>
      <c r="G25" s="14">
        <v>41.37224612</v>
      </c>
      <c r="H25" s="16">
        <v>1.61226099</v>
      </c>
      <c r="I25" s="14" t="s">
        <v>139</v>
      </c>
      <c r="J25" s="16" t="s">
        <v>139</v>
      </c>
      <c r="K25" s="14">
        <v>0</v>
      </c>
      <c r="L25" s="16">
        <v>0</v>
      </c>
      <c r="M25" s="14">
        <v>0</v>
      </c>
      <c r="N25" s="16">
        <v>0</v>
      </c>
      <c r="O25" s="14">
        <v>0</v>
      </c>
      <c r="P25" s="16">
        <v>0</v>
      </c>
      <c r="Q25" s="14">
        <v>0</v>
      </c>
      <c r="R25" s="16">
        <v>0</v>
      </c>
    </row>
    <row r="26" spans="1:18" x14ac:dyDescent="0.25">
      <c r="A26" s="11" t="s">
        <v>159</v>
      </c>
      <c r="B26" s="13">
        <v>4869</v>
      </c>
      <c r="C26" s="14">
        <f>(4044/B26*100)</f>
        <v>83.056069008009857</v>
      </c>
      <c r="D26" s="15">
        <v>825</v>
      </c>
      <c r="E26" s="14">
        <v>66.654288679999993</v>
      </c>
      <c r="F26" s="16">
        <v>1.8288077899999999</v>
      </c>
      <c r="G26" s="14">
        <v>33.345711319999999</v>
      </c>
      <c r="H26" s="16">
        <v>1.8288077899999999</v>
      </c>
      <c r="I26" s="14" t="s">
        <v>139</v>
      </c>
      <c r="J26" s="16" t="s">
        <v>139</v>
      </c>
      <c r="K26" s="14">
        <v>0</v>
      </c>
      <c r="L26" s="16">
        <v>0</v>
      </c>
      <c r="M26" s="14">
        <v>0</v>
      </c>
      <c r="N26" s="16">
        <v>0</v>
      </c>
      <c r="O26" s="14">
        <v>0</v>
      </c>
      <c r="P26" s="16">
        <v>0</v>
      </c>
      <c r="Q26" s="14">
        <v>0</v>
      </c>
      <c r="R26" s="16">
        <v>0</v>
      </c>
    </row>
    <row r="27" spans="1:18" x14ac:dyDescent="0.25">
      <c r="A27" s="11" t="s">
        <v>160</v>
      </c>
      <c r="B27" s="13">
        <v>5299</v>
      </c>
      <c r="C27" s="14">
        <f>(4485/B27*100)</f>
        <v>84.638611058690316</v>
      </c>
      <c r="D27" s="15">
        <v>814</v>
      </c>
      <c r="E27" s="14">
        <v>61.522837359999997</v>
      </c>
      <c r="F27" s="16">
        <v>1.6680084100000001</v>
      </c>
      <c r="G27" s="14">
        <v>38.477162640000003</v>
      </c>
      <c r="H27" s="16">
        <v>1.6680084100000001</v>
      </c>
      <c r="I27" s="14" t="s">
        <v>139</v>
      </c>
      <c r="J27" s="16" t="s">
        <v>139</v>
      </c>
      <c r="K27" s="14">
        <v>0</v>
      </c>
      <c r="L27" s="16">
        <v>0</v>
      </c>
      <c r="M27" s="14">
        <v>0</v>
      </c>
      <c r="N27" s="16">
        <v>0</v>
      </c>
      <c r="O27" s="14">
        <v>0</v>
      </c>
      <c r="P27" s="16">
        <v>0</v>
      </c>
      <c r="Q27" s="14">
        <v>0</v>
      </c>
      <c r="R27" s="16">
        <v>0</v>
      </c>
    </row>
    <row r="28" spans="1:18" x14ac:dyDescent="0.25">
      <c r="A28" s="11" t="s">
        <v>161</v>
      </c>
      <c r="B28" s="13">
        <v>7568</v>
      </c>
      <c r="C28" s="14">
        <f>(6565/B28*100)</f>
        <v>86.746828752642699</v>
      </c>
      <c r="D28" s="15">
        <v>1003</v>
      </c>
      <c r="E28" s="14">
        <v>71.203903839999995</v>
      </c>
      <c r="F28" s="16">
        <v>1.4505569899999999</v>
      </c>
      <c r="G28" s="14">
        <v>28.796096160000001</v>
      </c>
      <c r="H28" s="16">
        <v>1.4505569899999999</v>
      </c>
      <c r="I28" s="14" t="s">
        <v>139</v>
      </c>
      <c r="J28" s="16" t="s">
        <v>139</v>
      </c>
      <c r="K28" s="14">
        <v>0</v>
      </c>
      <c r="L28" s="16">
        <v>0</v>
      </c>
      <c r="M28" s="14">
        <v>0</v>
      </c>
      <c r="N28" s="16">
        <v>0</v>
      </c>
      <c r="O28" s="14">
        <v>0</v>
      </c>
      <c r="P28" s="16">
        <v>0</v>
      </c>
      <c r="Q28" s="14">
        <v>0</v>
      </c>
      <c r="R28" s="16">
        <v>0</v>
      </c>
    </row>
    <row r="29" spans="1:18" x14ac:dyDescent="0.25">
      <c r="A29" s="11" t="s">
        <v>162</v>
      </c>
      <c r="B29" s="13">
        <v>5385</v>
      </c>
      <c r="C29" s="14">
        <f>(4470/B29*100)</f>
        <v>83.008356545961007</v>
      </c>
      <c r="D29" s="15">
        <v>915</v>
      </c>
      <c r="E29" s="14">
        <v>60.628466539999998</v>
      </c>
      <c r="F29" s="16">
        <v>1.62482416</v>
      </c>
      <c r="G29" s="14">
        <v>39.371533460000002</v>
      </c>
      <c r="H29" s="16">
        <v>1.62482416</v>
      </c>
      <c r="I29" s="14" t="s">
        <v>139</v>
      </c>
      <c r="J29" s="16" t="s">
        <v>139</v>
      </c>
      <c r="K29" s="14">
        <v>0</v>
      </c>
      <c r="L29" s="16">
        <v>0</v>
      </c>
      <c r="M29" s="14">
        <v>0</v>
      </c>
      <c r="N29" s="16">
        <v>0</v>
      </c>
      <c r="O29" s="14">
        <v>0</v>
      </c>
      <c r="P29" s="16">
        <v>0</v>
      </c>
      <c r="Q29" s="14">
        <v>0</v>
      </c>
      <c r="R29" s="16">
        <v>0</v>
      </c>
    </row>
    <row r="30" spans="1:18" x14ac:dyDescent="0.25">
      <c r="A30" s="11" t="s">
        <v>163</v>
      </c>
      <c r="B30" s="13">
        <v>4520</v>
      </c>
      <c r="C30" s="14">
        <f>(3802/B30*100)</f>
        <v>84.115044247787608</v>
      </c>
      <c r="D30" s="15">
        <v>718</v>
      </c>
      <c r="E30" s="14">
        <v>54.786379269999998</v>
      </c>
      <c r="F30" s="16">
        <v>2.01310922</v>
      </c>
      <c r="G30" s="14">
        <v>45.213620730000002</v>
      </c>
      <c r="H30" s="16">
        <v>2.01310922</v>
      </c>
      <c r="I30" s="14" t="s">
        <v>139</v>
      </c>
      <c r="J30" s="16" t="s">
        <v>139</v>
      </c>
      <c r="K30" s="14">
        <v>0</v>
      </c>
      <c r="L30" s="16">
        <v>0</v>
      </c>
      <c r="M30" s="14">
        <v>0</v>
      </c>
      <c r="N30" s="16">
        <v>0</v>
      </c>
      <c r="O30" s="14">
        <v>0</v>
      </c>
      <c r="P30" s="16">
        <v>0</v>
      </c>
      <c r="Q30" s="14">
        <v>0</v>
      </c>
      <c r="R30" s="16">
        <v>0</v>
      </c>
    </row>
    <row r="31" spans="1:18" x14ac:dyDescent="0.25">
      <c r="A31" s="11" t="s">
        <v>164</v>
      </c>
      <c r="B31" s="13">
        <v>5456</v>
      </c>
      <c r="C31" s="14">
        <f>(4603/B31*100)</f>
        <v>84.365835777126094</v>
      </c>
      <c r="D31" s="15">
        <v>853</v>
      </c>
      <c r="E31" s="14">
        <v>53.641927369999998</v>
      </c>
      <c r="F31" s="16">
        <v>1.5858447200000001</v>
      </c>
      <c r="G31" s="14">
        <v>46.358072630000002</v>
      </c>
      <c r="H31" s="16">
        <v>1.5858447200000001</v>
      </c>
      <c r="I31" s="14" t="s">
        <v>139</v>
      </c>
      <c r="J31" s="16" t="s">
        <v>139</v>
      </c>
      <c r="K31" s="14">
        <v>0</v>
      </c>
      <c r="L31" s="16">
        <v>0</v>
      </c>
      <c r="M31" s="14">
        <v>0</v>
      </c>
      <c r="N31" s="16">
        <v>0</v>
      </c>
      <c r="O31" s="14">
        <v>0</v>
      </c>
      <c r="P31" s="16">
        <v>0</v>
      </c>
      <c r="Q31" s="14">
        <v>0</v>
      </c>
      <c r="R31" s="16">
        <v>0</v>
      </c>
    </row>
    <row r="32" spans="1:18" x14ac:dyDescent="0.25">
      <c r="A32" s="11" t="s">
        <v>165</v>
      </c>
      <c r="B32" s="17" t="s">
        <v>154</v>
      </c>
      <c r="C32" s="17" t="s">
        <v>154</v>
      </c>
      <c r="D32" s="18" t="s">
        <v>154</v>
      </c>
      <c r="E32" s="17" t="s">
        <v>154</v>
      </c>
      <c r="F32" s="18" t="s">
        <v>154</v>
      </c>
      <c r="G32" s="17" t="s">
        <v>154</v>
      </c>
      <c r="H32" s="18" t="s">
        <v>154</v>
      </c>
      <c r="I32" s="17" t="s">
        <v>154</v>
      </c>
      <c r="J32" s="18" t="s">
        <v>154</v>
      </c>
      <c r="K32" s="17" t="s">
        <v>154</v>
      </c>
      <c r="L32" s="18" t="s">
        <v>154</v>
      </c>
      <c r="M32" s="17" t="s">
        <v>154</v>
      </c>
      <c r="N32" s="18" t="s">
        <v>154</v>
      </c>
      <c r="O32" s="17" t="s">
        <v>154</v>
      </c>
      <c r="P32" s="18" t="s">
        <v>154</v>
      </c>
      <c r="Q32" s="17" t="s">
        <v>154</v>
      </c>
      <c r="R32" s="18" t="s">
        <v>154</v>
      </c>
    </row>
    <row r="33" spans="1:18" x14ac:dyDescent="0.25">
      <c r="A33" s="11" t="s">
        <v>166</v>
      </c>
      <c r="B33" s="13">
        <v>7325</v>
      </c>
      <c r="C33" s="14">
        <f>(6254/B33*100)</f>
        <v>85.37883959044369</v>
      </c>
      <c r="D33" s="15">
        <v>1071</v>
      </c>
      <c r="E33" s="14">
        <v>58.027622489999999</v>
      </c>
      <c r="F33" s="16">
        <v>1.8888429200000001</v>
      </c>
      <c r="G33" s="14">
        <v>41.972377510000001</v>
      </c>
      <c r="H33" s="16">
        <v>1.8888429200000001</v>
      </c>
      <c r="I33" s="14" t="s">
        <v>139</v>
      </c>
      <c r="J33" s="16" t="s">
        <v>139</v>
      </c>
      <c r="K33" s="14">
        <v>0</v>
      </c>
      <c r="L33" s="16">
        <v>0</v>
      </c>
      <c r="M33" s="14">
        <v>0</v>
      </c>
      <c r="N33" s="16">
        <v>0</v>
      </c>
      <c r="O33" s="14">
        <v>0</v>
      </c>
      <c r="P33" s="16">
        <v>0</v>
      </c>
      <c r="Q33" s="14">
        <v>0</v>
      </c>
      <c r="R33" s="16">
        <v>0</v>
      </c>
    </row>
    <row r="34" spans="1:18" x14ac:dyDescent="0.25">
      <c r="A34" s="11" t="s">
        <v>167</v>
      </c>
      <c r="B34" s="13">
        <v>6350</v>
      </c>
      <c r="C34" s="14">
        <f>(5401/B34*100)</f>
        <v>85.055118110236222</v>
      </c>
      <c r="D34" s="15">
        <v>949</v>
      </c>
      <c r="E34" s="14">
        <v>65.541908449999994</v>
      </c>
      <c r="F34" s="16">
        <v>1.7117229700000001</v>
      </c>
      <c r="G34" s="14">
        <v>34.458091549999999</v>
      </c>
      <c r="H34" s="16">
        <v>1.7117229700000001</v>
      </c>
      <c r="I34" s="14" t="s">
        <v>139</v>
      </c>
      <c r="J34" s="16" t="s">
        <v>139</v>
      </c>
      <c r="K34" s="14">
        <v>0</v>
      </c>
      <c r="L34" s="16">
        <v>0</v>
      </c>
      <c r="M34" s="14">
        <v>0</v>
      </c>
      <c r="N34" s="16">
        <v>0</v>
      </c>
      <c r="O34" s="14">
        <v>0</v>
      </c>
      <c r="P34" s="16">
        <v>0</v>
      </c>
      <c r="Q34" s="14">
        <v>0</v>
      </c>
      <c r="R34" s="16">
        <v>0</v>
      </c>
    </row>
    <row r="35" spans="1:18" x14ac:dyDescent="0.25">
      <c r="A35" s="11" t="s">
        <v>168</v>
      </c>
      <c r="B35" s="13">
        <v>6406</v>
      </c>
      <c r="C35" s="14">
        <f>(5331/B35*100)</f>
        <v>83.218857321261325</v>
      </c>
      <c r="D35" s="15">
        <v>1075</v>
      </c>
      <c r="E35" s="14">
        <v>58.897581340000002</v>
      </c>
      <c r="F35" s="16">
        <v>1.88616161</v>
      </c>
      <c r="G35" s="14">
        <v>41.102418659999998</v>
      </c>
      <c r="H35" s="16">
        <v>1.88616161</v>
      </c>
      <c r="I35" s="14" t="s">
        <v>139</v>
      </c>
      <c r="J35" s="16" t="s">
        <v>139</v>
      </c>
      <c r="K35" s="14">
        <v>0</v>
      </c>
      <c r="L35" s="16">
        <v>0</v>
      </c>
      <c r="M35" s="14">
        <v>0</v>
      </c>
      <c r="N35" s="16">
        <v>0</v>
      </c>
      <c r="O35" s="14">
        <v>0</v>
      </c>
      <c r="P35" s="16">
        <v>0</v>
      </c>
      <c r="Q35" s="14">
        <v>0</v>
      </c>
      <c r="R35" s="16">
        <v>0</v>
      </c>
    </row>
    <row r="36" spans="1:18" x14ac:dyDescent="0.25">
      <c r="A36" s="11" t="s">
        <v>169</v>
      </c>
      <c r="B36" s="13">
        <v>6736</v>
      </c>
      <c r="C36" s="14">
        <f>(5718/B36*100)</f>
        <v>84.887173396674584</v>
      </c>
      <c r="D36" s="15">
        <v>1018</v>
      </c>
      <c r="E36" s="14">
        <v>57.532670899999999</v>
      </c>
      <c r="F36" s="16">
        <v>1.5381235900000001</v>
      </c>
      <c r="G36" s="14">
        <v>42.467329100000001</v>
      </c>
      <c r="H36" s="16">
        <v>1.5381235900000001</v>
      </c>
      <c r="I36" s="14" t="s">
        <v>139</v>
      </c>
      <c r="J36" s="16" t="s">
        <v>139</v>
      </c>
      <c r="K36" s="14">
        <v>0</v>
      </c>
      <c r="L36" s="16">
        <v>0</v>
      </c>
      <c r="M36" s="14">
        <v>0</v>
      </c>
      <c r="N36" s="16">
        <v>0</v>
      </c>
      <c r="O36" s="14">
        <v>0</v>
      </c>
      <c r="P36" s="16">
        <v>0</v>
      </c>
      <c r="Q36" s="14">
        <v>0</v>
      </c>
      <c r="R36" s="16">
        <v>0</v>
      </c>
    </row>
    <row r="37" spans="1:18" x14ac:dyDescent="0.25">
      <c r="A37" s="11" t="s">
        <v>170</v>
      </c>
      <c r="B37" s="13">
        <v>5458</v>
      </c>
      <c r="C37" s="14">
        <f>(4647/B37*100)</f>
        <v>85.141077317698787</v>
      </c>
      <c r="D37" s="15">
        <v>811</v>
      </c>
      <c r="E37" s="14">
        <v>59.640148000000003</v>
      </c>
      <c r="F37" s="16">
        <v>1.82179534</v>
      </c>
      <c r="G37" s="14">
        <v>40.359851999999997</v>
      </c>
      <c r="H37" s="16">
        <v>1.82179534</v>
      </c>
      <c r="I37" s="14" t="s">
        <v>139</v>
      </c>
      <c r="J37" s="16" t="s">
        <v>139</v>
      </c>
      <c r="K37" s="14">
        <v>0</v>
      </c>
      <c r="L37" s="16">
        <v>0</v>
      </c>
      <c r="M37" s="14">
        <v>0</v>
      </c>
      <c r="N37" s="16">
        <v>0</v>
      </c>
      <c r="O37" s="14">
        <v>0</v>
      </c>
      <c r="P37" s="16">
        <v>0</v>
      </c>
      <c r="Q37" s="14">
        <v>0</v>
      </c>
      <c r="R37" s="16">
        <v>0</v>
      </c>
    </row>
    <row r="38" spans="1:18" x14ac:dyDescent="0.25">
      <c r="A38" s="11" t="s">
        <v>171</v>
      </c>
      <c r="B38" s="17" t="s">
        <v>154</v>
      </c>
      <c r="C38" s="17" t="s">
        <v>154</v>
      </c>
      <c r="D38" s="18" t="s">
        <v>154</v>
      </c>
      <c r="E38" s="17" t="s">
        <v>154</v>
      </c>
      <c r="F38" s="18" t="s">
        <v>154</v>
      </c>
      <c r="G38" s="17" t="s">
        <v>154</v>
      </c>
      <c r="H38" s="18" t="s">
        <v>154</v>
      </c>
      <c r="I38" s="17" t="s">
        <v>154</v>
      </c>
      <c r="J38" s="18" t="s">
        <v>154</v>
      </c>
      <c r="K38" s="17" t="s">
        <v>154</v>
      </c>
      <c r="L38" s="18" t="s">
        <v>154</v>
      </c>
      <c r="M38" s="17" t="s">
        <v>154</v>
      </c>
      <c r="N38" s="18" t="s">
        <v>154</v>
      </c>
      <c r="O38" s="17" t="s">
        <v>154</v>
      </c>
      <c r="P38" s="18" t="s">
        <v>154</v>
      </c>
      <c r="Q38" s="17" t="s">
        <v>154</v>
      </c>
      <c r="R38" s="18" t="s">
        <v>154</v>
      </c>
    </row>
    <row r="39" spans="1:18" x14ac:dyDescent="0.25">
      <c r="A39" s="11" t="s">
        <v>172</v>
      </c>
      <c r="B39" s="13">
        <v>5895</v>
      </c>
      <c r="C39" s="14">
        <f>(4878/B39*100)</f>
        <v>82.748091603053425</v>
      </c>
      <c r="D39" s="15">
        <v>1017</v>
      </c>
      <c r="E39" s="14">
        <v>71.362626820000003</v>
      </c>
      <c r="F39" s="16">
        <v>1.6977271300000001</v>
      </c>
      <c r="G39" s="14">
        <v>28.637373180000001</v>
      </c>
      <c r="H39" s="16">
        <v>1.6977271300000001</v>
      </c>
      <c r="I39" s="14" t="s">
        <v>139</v>
      </c>
      <c r="J39" s="16" t="s">
        <v>139</v>
      </c>
      <c r="K39" s="14">
        <v>0</v>
      </c>
      <c r="L39" s="16">
        <v>0</v>
      </c>
      <c r="M39" s="14">
        <v>0</v>
      </c>
      <c r="N39" s="16">
        <v>0</v>
      </c>
      <c r="O39" s="14">
        <v>0</v>
      </c>
      <c r="P39" s="16">
        <v>0</v>
      </c>
      <c r="Q39" s="14">
        <v>0</v>
      </c>
      <c r="R39" s="16">
        <v>0</v>
      </c>
    </row>
    <row r="40" spans="1:18" x14ac:dyDescent="0.25">
      <c r="A40" s="11" t="s">
        <v>173</v>
      </c>
      <c r="B40" s="13">
        <v>14157</v>
      </c>
      <c r="C40" s="14">
        <f>(11712/B40*100)</f>
        <v>82.729391820300918</v>
      </c>
      <c r="D40" s="15">
        <v>2445</v>
      </c>
      <c r="E40" s="14">
        <v>60.796973770000001</v>
      </c>
      <c r="F40" s="16">
        <v>1.52556534</v>
      </c>
      <c r="G40" s="14">
        <v>39.203026229999999</v>
      </c>
      <c r="H40" s="16">
        <v>1.52556534</v>
      </c>
      <c r="I40" s="14" t="s">
        <v>139</v>
      </c>
      <c r="J40" s="16" t="s">
        <v>139</v>
      </c>
      <c r="K40" s="14">
        <v>0</v>
      </c>
      <c r="L40" s="16">
        <v>0</v>
      </c>
      <c r="M40" s="14">
        <v>0</v>
      </c>
      <c r="N40" s="16">
        <v>0</v>
      </c>
      <c r="O40" s="14">
        <v>0</v>
      </c>
      <c r="P40" s="16">
        <v>0</v>
      </c>
      <c r="Q40" s="14">
        <v>0</v>
      </c>
      <c r="R40" s="16">
        <v>0</v>
      </c>
    </row>
    <row r="41" spans="1:18" x14ac:dyDescent="0.25">
      <c r="A41" s="11" t="s">
        <v>174</v>
      </c>
      <c r="B41" s="13">
        <v>5712</v>
      </c>
      <c r="C41" s="14">
        <f>(4835/B41*100)</f>
        <v>84.646358543417364</v>
      </c>
      <c r="D41" s="15">
        <v>877</v>
      </c>
      <c r="E41" s="14">
        <v>59.55039463</v>
      </c>
      <c r="F41" s="16">
        <v>1.6014557599999999</v>
      </c>
      <c r="G41" s="14">
        <v>40.44960537</v>
      </c>
      <c r="H41" s="16">
        <v>1.6014557599999999</v>
      </c>
      <c r="I41" s="14" t="s">
        <v>139</v>
      </c>
      <c r="J41" s="16" t="s">
        <v>139</v>
      </c>
      <c r="K41" s="14">
        <v>0</v>
      </c>
      <c r="L41" s="16">
        <v>0</v>
      </c>
      <c r="M41" s="14">
        <v>0</v>
      </c>
      <c r="N41" s="16">
        <v>0</v>
      </c>
      <c r="O41" s="14">
        <v>0</v>
      </c>
      <c r="P41" s="16">
        <v>0</v>
      </c>
      <c r="Q41" s="14">
        <v>0</v>
      </c>
      <c r="R41" s="16">
        <v>0</v>
      </c>
    </row>
    <row r="42" spans="1:18" x14ac:dyDescent="0.25">
      <c r="A42" s="11" t="s">
        <v>175</v>
      </c>
      <c r="B42" s="13">
        <f>IF(COUNT(B7:B41) &gt; 0, AVERAGE(B7:B41), "\u2014")</f>
        <v>7266.90625</v>
      </c>
      <c r="C42" s="14">
        <f>IF(COUNT(C7:C41) &gt; 0, AVERAGE(C7:C41), "—")</f>
        <v>84.230313367981722</v>
      </c>
      <c r="D42" s="15">
        <f>IF(COUNT(D7:D41) &gt; 0, AVERAGE(D7:D41), "—")</f>
        <v>1149.375</v>
      </c>
      <c r="E42" s="14">
        <f>IF(COUNT(E7:E41) &gt; 0, AVERAGE(E7:E41), "—")</f>
        <v>60.474096800937509</v>
      </c>
      <c r="F42" s="16">
        <f>IF(COUNT(F7:F41) &gt; 0, SQRT(SUMSQ(F7:F41)/(COUNT(F7:F41)*COUNT(F7:F41)) ), "—")</f>
        <v>0.30019431577008232</v>
      </c>
      <c r="G42" s="14">
        <f>IF(COUNT(G7:G41) &gt; 0, AVERAGE(G7:G41), "—")</f>
        <v>39.525903199062498</v>
      </c>
      <c r="H42" s="16">
        <f>IF(COUNT(H7:H41) &gt; 0, SQRT(SUMSQ(H7:H41)/(COUNT(H7:H41)*COUNT(H7:H41)) ), "—")</f>
        <v>0.30019431577008232</v>
      </c>
      <c r="I42" s="14" t="str">
        <f>IF(COUNT(I7:I41) &gt; 0, AVERAGE(I7:I41), "—")</f>
        <v>—</v>
      </c>
      <c r="J42" s="16" t="str">
        <f>IF(COUNT(J7:J41) &gt; 0, SQRT(SUMSQ(J7:J41)/(COUNT(J7:J41)*COUNT(J7:J41)) ), "—")</f>
        <v>—</v>
      </c>
      <c r="K42" s="14">
        <f>IF(COUNT(K7:K41) &gt; 0, AVERAGE(K7:K41), "—")</f>
        <v>0</v>
      </c>
      <c r="L42" s="16">
        <f>IF(COUNT(L7:L41) &gt; 0, SQRT(SUMSQ(L7:L41)/(COUNT(L7:L41)*COUNT(L7:L41)) ), "—")</f>
        <v>0</v>
      </c>
      <c r="M42" s="14">
        <f>IF(COUNT(M7:M41) &gt; 0, AVERAGE(M7:M41), "—")</f>
        <v>0</v>
      </c>
      <c r="N42" s="16">
        <f>IF(COUNT(N7:N41) &gt; 0, SQRT(SUMSQ(N7:N41)/(COUNT(N7:N41)*COUNT(N7:N41)) ), "—")</f>
        <v>0</v>
      </c>
      <c r="O42" s="14">
        <f>IF(COUNT(O7:O41) &gt; 0, AVERAGE(O7:O41), "—")</f>
        <v>0</v>
      </c>
      <c r="P42" s="16">
        <f>IF(COUNT(P7:P41) &gt; 0, SQRT(SUMSQ(P7:P41)/(COUNT(P7:P41)*COUNT(P7:P41)) ), "—")</f>
        <v>0</v>
      </c>
      <c r="Q42" s="14">
        <f>IF(COUNT(Q7:Q41) &gt; 0, AVERAGE(Q7:Q41), "—")</f>
        <v>0</v>
      </c>
      <c r="R42" s="16">
        <f>IF(COUNT(R7:R41) &gt; 0, SQRT(SUMSQ(R7:R41)/(COUNT(R7:R41)*COUNT(R7:R41)) ), "—")</f>
        <v>0</v>
      </c>
    </row>
    <row r="43" spans="1:18" x14ac:dyDescent="0.25">
      <c r="A43" s="9" t="s">
        <v>176</v>
      </c>
      <c r="B43" s="10"/>
      <c r="C43" s="10"/>
      <c r="D43" s="11"/>
      <c r="E43" s="10"/>
      <c r="F43" s="11"/>
      <c r="G43" s="10"/>
      <c r="H43" s="11"/>
      <c r="I43" s="10"/>
      <c r="J43" s="11"/>
      <c r="K43" s="10"/>
      <c r="L43" s="11"/>
      <c r="M43" s="10"/>
      <c r="N43" s="11"/>
      <c r="O43" s="10"/>
      <c r="P43" s="11"/>
      <c r="Q43" s="10"/>
      <c r="R43" s="12"/>
    </row>
    <row r="44" spans="1:18" x14ac:dyDescent="0.25">
      <c r="A44" s="11" t="s">
        <v>177</v>
      </c>
      <c r="B44" s="17" t="s">
        <v>154</v>
      </c>
      <c r="C44" s="17" t="s">
        <v>154</v>
      </c>
      <c r="D44" s="18" t="s">
        <v>154</v>
      </c>
      <c r="E44" s="17" t="s">
        <v>154</v>
      </c>
      <c r="F44" s="18" t="s">
        <v>154</v>
      </c>
      <c r="G44" s="17" t="s">
        <v>154</v>
      </c>
      <c r="H44" s="18" t="s">
        <v>154</v>
      </c>
      <c r="I44" s="17" t="s">
        <v>154</v>
      </c>
      <c r="J44" s="18" t="s">
        <v>154</v>
      </c>
      <c r="K44" s="17" t="s">
        <v>154</v>
      </c>
      <c r="L44" s="18" t="s">
        <v>154</v>
      </c>
      <c r="M44" s="17" t="s">
        <v>154</v>
      </c>
      <c r="N44" s="18" t="s">
        <v>154</v>
      </c>
      <c r="O44" s="17" t="s">
        <v>154</v>
      </c>
      <c r="P44" s="18" t="s">
        <v>154</v>
      </c>
      <c r="Q44" s="17" t="s">
        <v>154</v>
      </c>
      <c r="R44" s="18" t="s">
        <v>154</v>
      </c>
    </row>
    <row r="45" spans="1:18" x14ac:dyDescent="0.25">
      <c r="A45" s="11" t="s">
        <v>178</v>
      </c>
      <c r="B45" s="17" t="s">
        <v>154</v>
      </c>
      <c r="C45" s="17" t="s">
        <v>154</v>
      </c>
      <c r="D45" s="18" t="s">
        <v>154</v>
      </c>
      <c r="E45" s="17" t="s">
        <v>154</v>
      </c>
      <c r="F45" s="18" t="s">
        <v>154</v>
      </c>
      <c r="G45" s="17" t="s">
        <v>154</v>
      </c>
      <c r="H45" s="18" t="s">
        <v>154</v>
      </c>
      <c r="I45" s="17" t="s">
        <v>154</v>
      </c>
      <c r="J45" s="18" t="s">
        <v>154</v>
      </c>
      <c r="K45" s="17" t="s">
        <v>154</v>
      </c>
      <c r="L45" s="18" t="s">
        <v>154</v>
      </c>
      <c r="M45" s="17" t="s">
        <v>154</v>
      </c>
      <c r="N45" s="18" t="s">
        <v>154</v>
      </c>
      <c r="O45" s="17" t="s">
        <v>154</v>
      </c>
      <c r="P45" s="18" t="s">
        <v>154</v>
      </c>
      <c r="Q45" s="17" t="s">
        <v>154</v>
      </c>
      <c r="R45" s="18" t="s">
        <v>154</v>
      </c>
    </row>
    <row r="46" spans="1:18" x14ac:dyDescent="0.25">
      <c r="A46" s="11" t="s">
        <v>179</v>
      </c>
      <c r="B46" s="13">
        <v>23141</v>
      </c>
      <c r="C46" s="14">
        <f>(20786/B46*100)</f>
        <v>89.823257421891881</v>
      </c>
      <c r="D46" s="15">
        <v>2355</v>
      </c>
      <c r="E46" s="14">
        <v>62.878133640000001</v>
      </c>
      <c r="F46" s="16">
        <v>1.4552265</v>
      </c>
      <c r="G46" s="14">
        <v>37.121866359999999</v>
      </c>
      <c r="H46" s="16">
        <v>1.4552265</v>
      </c>
      <c r="I46" s="14" t="s">
        <v>139</v>
      </c>
      <c r="J46" s="16" t="s">
        <v>139</v>
      </c>
      <c r="K46" s="14">
        <v>0</v>
      </c>
      <c r="L46" s="16">
        <v>0</v>
      </c>
      <c r="M46" s="14">
        <v>0</v>
      </c>
      <c r="N46" s="16">
        <v>0</v>
      </c>
      <c r="O46" s="14">
        <v>0</v>
      </c>
      <c r="P46" s="16">
        <v>0</v>
      </c>
      <c r="Q46" s="14">
        <v>0</v>
      </c>
      <c r="R46" s="16">
        <v>0</v>
      </c>
    </row>
    <row r="47" spans="1:18" x14ac:dyDescent="0.25">
      <c r="A47" s="11" t="s">
        <v>180</v>
      </c>
      <c r="B47" s="13">
        <v>5928</v>
      </c>
      <c r="C47" s="14">
        <f>(5048/B47*100)</f>
        <v>85.155195681511472</v>
      </c>
      <c r="D47" s="15">
        <v>880</v>
      </c>
      <c r="E47" s="14">
        <v>74.294605669999996</v>
      </c>
      <c r="F47" s="16">
        <v>1.51110502</v>
      </c>
      <c r="G47" s="14">
        <v>25.705394330000001</v>
      </c>
      <c r="H47" s="16">
        <v>1.51110502</v>
      </c>
      <c r="I47" s="14" t="s">
        <v>139</v>
      </c>
      <c r="J47" s="16" t="s">
        <v>139</v>
      </c>
      <c r="K47" s="14">
        <v>0</v>
      </c>
      <c r="L47" s="16">
        <v>0</v>
      </c>
      <c r="M47" s="14">
        <v>0</v>
      </c>
      <c r="N47" s="16">
        <v>0</v>
      </c>
      <c r="O47" s="14">
        <v>0</v>
      </c>
      <c r="P47" s="16">
        <v>0</v>
      </c>
      <c r="Q47" s="14">
        <v>0</v>
      </c>
      <c r="R47" s="16">
        <v>0</v>
      </c>
    </row>
    <row r="48" spans="1:18" x14ac:dyDescent="0.25">
      <c r="A48" s="11" t="s">
        <v>181</v>
      </c>
      <c r="B48" s="13">
        <v>9841</v>
      </c>
      <c r="C48" s="14">
        <f>(8186/B48*100)</f>
        <v>83.18260339396403</v>
      </c>
      <c r="D48" s="15">
        <v>1655</v>
      </c>
      <c r="E48" s="14">
        <v>72.378159060000002</v>
      </c>
      <c r="F48" s="16">
        <v>1.20813875</v>
      </c>
      <c r="G48" s="14">
        <v>27.621840939999998</v>
      </c>
      <c r="H48" s="16">
        <v>1.20813875</v>
      </c>
      <c r="I48" s="14" t="s">
        <v>139</v>
      </c>
      <c r="J48" s="16" t="s">
        <v>139</v>
      </c>
      <c r="K48" s="14">
        <v>0</v>
      </c>
      <c r="L48" s="16">
        <v>0</v>
      </c>
      <c r="M48" s="14">
        <v>0</v>
      </c>
      <c r="N48" s="16">
        <v>0</v>
      </c>
      <c r="O48" s="14">
        <v>0</v>
      </c>
      <c r="P48" s="16">
        <v>0</v>
      </c>
      <c r="Q48" s="14">
        <v>0</v>
      </c>
      <c r="R48" s="16">
        <v>0</v>
      </c>
    </row>
    <row r="49" spans="1:18" x14ac:dyDescent="0.25">
      <c r="A49" s="11" t="s">
        <v>182</v>
      </c>
      <c r="B49" s="17" t="s">
        <v>154</v>
      </c>
      <c r="C49" s="17" t="s">
        <v>154</v>
      </c>
      <c r="D49" s="18" t="s">
        <v>154</v>
      </c>
      <c r="E49" s="17" t="s">
        <v>154</v>
      </c>
      <c r="F49" s="18" t="s">
        <v>154</v>
      </c>
      <c r="G49" s="17" t="s">
        <v>154</v>
      </c>
      <c r="H49" s="18" t="s">
        <v>154</v>
      </c>
      <c r="I49" s="17" t="s">
        <v>154</v>
      </c>
      <c r="J49" s="18" t="s">
        <v>154</v>
      </c>
      <c r="K49" s="17" t="s">
        <v>154</v>
      </c>
      <c r="L49" s="18" t="s">
        <v>154</v>
      </c>
      <c r="M49" s="17" t="s">
        <v>154</v>
      </c>
      <c r="N49" s="18" t="s">
        <v>154</v>
      </c>
      <c r="O49" s="17" t="s">
        <v>154</v>
      </c>
      <c r="P49" s="18" t="s">
        <v>154</v>
      </c>
      <c r="Q49" s="17" t="s">
        <v>154</v>
      </c>
      <c r="R49" s="18" t="s">
        <v>154</v>
      </c>
    </row>
    <row r="50" spans="1:18" x14ac:dyDescent="0.25">
      <c r="A50" s="11" t="s">
        <v>183</v>
      </c>
      <c r="B50" s="13">
        <v>11795</v>
      </c>
      <c r="C50" s="14">
        <f>(10063/B50*100)</f>
        <v>85.315811784654514</v>
      </c>
      <c r="D50" s="15">
        <v>1732</v>
      </c>
      <c r="E50" s="14">
        <v>73.367422250000004</v>
      </c>
      <c r="F50" s="16">
        <v>1.4371118599999999</v>
      </c>
      <c r="G50" s="14">
        <v>26.632577749999999</v>
      </c>
      <c r="H50" s="16">
        <v>1.4371118599999999</v>
      </c>
      <c r="I50" s="14" t="s">
        <v>139</v>
      </c>
      <c r="J50" s="16" t="s">
        <v>139</v>
      </c>
      <c r="K50" s="14">
        <v>0</v>
      </c>
      <c r="L50" s="16">
        <v>0</v>
      </c>
      <c r="M50" s="14">
        <v>0</v>
      </c>
      <c r="N50" s="16">
        <v>0</v>
      </c>
      <c r="O50" s="14">
        <v>0</v>
      </c>
      <c r="P50" s="16">
        <v>0</v>
      </c>
      <c r="Q50" s="14">
        <v>0</v>
      </c>
      <c r="R50" s="16">
        <v>0</v>
      </c>
    </row>
    <row r="51" spans="1:18" x14ac:dyDescent="0.25">
      <c r="A51" s="11" t="s">
        <v>184</v>
      </c>
      <c r="B51" s="13">
        <v>6866</v>
      </c>
      <c r="C51" s="14">
        <f>(6010/B51*100)</f>
        <v>87.532770171861344</v>
      </c>
      <c r="D51" s="15">
        <v>856</v>
      </c>
      <c r="E51" s="14">
        <v>74.633174960000005</v>
      </c>
      <c r="F51" s="16">
        <v>1.57839306</v>
      </c>
      <c r="G51" s="14">
        <v>25.366825039999998</v>
      </c>
      <c r="H51" s="16">
        <v>1.57839306</v>
      </c>
      <c r="I51" s="14" t="s">
        <v>139</v>
      </c>
      <c r="J51" s="16" t="s">
        <v>139</v>
      </c>
      <c r="K51" s="14">
        <v>0</v>
      </c>
      <c r="L51" s="16">
        <v>0</v>
      </c>
      <c r="M51" s="14">
        <v>0</v>
      </c>
      <c r="N51" s="16">
        <v>0</v>
      </c>
      <c r="O51" s="14">
        <v>0</v>
      </c>
      <c r="P51" s="16">
        <v>0</v>
      </c>
      <c r="Q51" s="14">
        <v>0</v>
      </c>
      <c r="R51" s="16">
        <v>0</v>
      </c>
    </row>
    <row r="52" spans="1:18" x14ac:dyDescent="0.25">
      <c r="A52" s="11" t="s">
        <v>185</v>
      </c>
      <c r="B52" s="13">
        <v>5809</v>
      </c>
      <c r="C52" s="14">
        <f>(4849/B52*100)</f>
        <v>83.473919779652263</v>
      </c>
      <c r="D52" s="15">
        <v>960</v>
      </c>
      <c r="E52" s="14">
        <v>60.512694709999998</v>
      </c>
      <c r="F52" s="16">
        <v>1.70405316</v>
      </c>
      <c r="G52" s="14">
        <v>39.487305290000002</v>
      </c>
      <c r="H52" s="16">
        <v>1.70405316</v>
      </c>
      <c r="I52" s="14" t="s">
        <v>139</v>
      </c>
      <c r="J52" s="16" t="s">
        <v>139</v>
      </c>
      <c r="K52" s="14">
        <v>0</v>
      </c>
      <c r="L52" s="16">
        <v>0</v>
      </c>
      <c r="M52" s="14">
        <v>0</v>
      </c>
      <c r="N52" s="16">
        <v>0</v>
      </c>
      <c r="O52" s="14">
        <v>0</v>
      </c>
      <c r="P52" s="16">
        <v>0</v>
      </c>
      <c r="Q52" s="14">
        <v>0</v>
      </c>
      <c r="R52" s="16">
        <v>0</v>
      </c>
    </row>
    <row r="53" spans="1:18" x14ac:dyDescent="0.25">
      <c r="A53" s="11" t="s">
        <v>186</v>
      </c>
      <c r="B53" s="13">
        <v>5571</v>
      </c>
      <c r="C53" s="14">
        <f>(4676/B53*100)</f>
        <v>83.934661640639021</v>
      </c>
      <c r="D53" s="15">
        <v>895</v>
      </c>
      <c r="E53" s="14">
        <v>62.139016689999998</v>
      </c>
      <c r="F53" s="16">
        <v>1.7935406300000001</v>
      </c>
      <c r="G53" s="14">
        <v>37.860983310000002</v>
      </c>
      <c r="H53" s="16">
        <v>1.7935406300000001</v>
      </c>
      <c r="I53" s="14" t="s">
        <v>139</v>
      </c>
      <c r="J53" s="16" t="s">
        <v>139</v>
      </c>
      <c r="K53" s="14">
        <v>0</v>
      </c>
      <c r="L53" s="16">
        <v>0</v>
      </c>
      <c r="M53" s="14">
        <v>0</v>
      </c>
      <c r="N53" s="16">
        <v>0</v>
      </c>
      <c r="O53" s="14">
        <v>0</v>
      </c>
      <c r="P53" s="16">
        <v>0</v>
      </c>
      <c r="Q53" s="14">
        <v>0</v>
      </c>
      <c r="R53" s="16">
        <v>0</v>
      </c>
    </row>
    <row r="54" spans="1:18" x14ac:dyDescent="0.25">
      <c r="A54" s="11" t="s">
        <v>187</v>
      </c>
      <c r="B54" s="17" t="s">
        <v>154</v>
      </c>
      <c r="C54" s="17" t="s">
        <v>154</v>
      </c>
      <c r="D54" s="18" t="s">
        <v>154</v>
      </c>
      <c r="E54" s="17" t="s">
        <v>154</v>
      </c>
      <c r="F54" s="18" t="s">
        <v>154</v>
      </c>
      <c r="G54" s="17" t="s">
        <v>154</v>
      </c>
      <c r="H54" s="18" t="s">
        <v>154</v>
      </c>
      <c r="I54" s="17" t="s">
        <v>154</v>
      </c>
      <c r="J54" s="18" t="s">
        <v>154</v>
      </c>
      <c r="K54" s="17" t="s">
        <v>154</v>
      </c>
      <c r="L54" s="18" t="s">
        <v>154</v>
      </c>
      <c r="M54" s="17" t="s">
        <v>154</v>
      </c>
      <c r="N54" s="18" t="s">
        <v>154</v>
      </c>
      <c r="O54" s="17" t="s">
        <v>154</v>
      </c>
      <c r="P54" s="18" t="s">
        <v>154</v>
      </c>
      <c r="Q54" s="17" t="s">
        <v>154</v>
      </c>
      <c r="R54" s="18" t="s">
        <v>154</v>
      </c>
    </row>
    <row r="55" spans="1:18" x14ac:dyDescent="0.25">
      <c r="A55" s="11" t="s">
        <v>188</v>
      </c>
      <c r="B55" s="17" t="s">
        <v>154</v>
      </c>
      <c r="C55" s="17" t="s">
        <v>154</v>
      </c>
      <c r="D55" s="18" t="s">
        <v>154</v>
      </c>
      <c r="E55" s="17" t="s">
        <v>154</v>
      </c>
      <c r="F55" s="18" t="s">
        <v>154</v>
      </c>
      <c r="G55" s="17" t="s">
        <v>154</v>
      </c>
      <c r="H55" s="18" t="s">
        <v>154</v>
      </c>
      <c r="I55" s="17" t="s">
        <v>154</v>
      </c>
      <c r="J55" s="18" t="s">
        <v>154</v>
      </c>
      <c r="K55" s="17" t="s">
        <v>154</v>
      </c>
      <c r="L55" s="18" t="s">
        <v>154</v>
      </c>
      <c r="M55" s="17" t="s">
        <v>154</v>
      </c>
      <c r="N55" s="18" t="s">
        <v>154</v>
      </c>
      <c r="O55" s="17" t="s">
        <v>154</v>
      </c>
      <c r="P55" s="18" t="s">
        <v>154</v>
      </c>
      <c r="Q55" s="17" t="s">
        <v>154</v>
      </c>
      <c r="R55" s="18" t="s">
        <v>154</v>
      </c>
    </row>
    <row r="56" spans="1:18" x14ac:dyDescent="0.25">
      <c r="A56" s="11" t="s">
        <v>189</v>
      </c>
      <c r="B56" s="13">
        <v>5359</v>
      </c>
      <c r="C56" s="14">
        <f>(4457/B56*100)</f>
        <v>83.168501586116818</v>
      </c>
      <c r="D56" s="15">
        <v>902</v>
      </c>
      <c r="E56" s="14">
        <v>58.8163786</v>
      </c>
      <c r="F56" s="16">
        <v>1.7023977100000001</v>
      </c>
      <c r="G56" s="14">
        <v>41.1836214</v>
      </c>
      <c r="H56" s="16">
        <v>1.7023977100000001</v>
      </c>
      <c r="I56" s="14" t="s">
        <v>139</v>
      </c>
      <c r="J56" s="16" t="s">
        <v>139</v>
      </c>
      <c r="K56" s="14">
        <v>0</v>
      </c>
      <c r="L56" s="16">
        <v>0</v>
      </c>
      <c r="M56" s="14">
        <v>0</v>
      </c>
      <c r="N56" s="16">
        <v>0</v>
      </c>
      <c r="O56" s="14">
        <v>0</v>
      </c>
      <c r="P56" s="16">
        <v>0</v>
      </c>
      <c r="Q56" s="14">
        <v>0</v>
      </c>
      <c r="R56" s="16">
        <v>0</v>
      </c>
    </row>
    <row r="57" spans="1:18" x14ac:dyDescent="0.25">
      <c r="A57" s="11" t="s">
        <v>190</v>
      </c>
      <c r="B57" s="17" t="s">
        <v>154</v>
      </c>
      <c r="C57" s="17" t="s">
        <v>154</v>
      </c>
      <c r="D57" s="18" t="s">
        <v>154</v>
      </c>
      <c r="E57" s="17" t="s">
        <v>154</v>
      </c>
      <c r="F57" s="18" t="s">
        <v>154</v>
      </c>
      <c r="G57" s="17" t="s">
        <v>154</v>
      </c>
      <c r="H57" s="18" t="s">
        <v>154</v>
      </c>
      <c r="I57" s="17" t="s">
        <v>154</v>
      </c>
      <c r="J57" s="18" t="s">
        <v>154</v>
      </c>
      <c r="K57" s="17" t="s">
        <v>154</v>
      </c>
      <c r="L57" s="18" t="s">
        <v>154</v>
      </c>
      <c r="M57" s="17" t="s">
        <v>154</v>
      </c>
      <c r="N57" s="18" t="s">
        <v>154</v>
      </c>
      <c r="O57" s="17" t="s">
        <v>154</v>
      </c>
      <c r="P57" s="18" t="s">
        <v>154</v>
      </c>
      <c r="Q57" s="17" t="s">
        <v>154</v>
      </c>
      <c r="R57" s="18" t="s">
        <v>154</v>
      </c>
    </row>
    <row r="58" spans="1:18" x14ac:dyDescent="0.25">
      <c r="A58" s="11" t="s">
        <v>191</v>
      </c>
      <c r="B58" s="17" t="s">
        <v>154</v>
      </c>
      <c r="C58" s="17" t="s">
        <v>154</v>
      </c>
      <c r="D58" s="18" t="s">
        <v>154</v>
      </c>
      <c r="E58" s="17" t="s">
        <v>154</v>
      </c>
      <c r="F58" s="18" t="s">
        <v>154</v>
      </c>
      <c r="G58" s="17" t="s">
        <v>154</v>
      </c>
      <c r="H58" s="18" t="s">
        <v>154</v>
      </c>
      <c r="I58" s="17" t="s">
        <v>154</v>
      </c>
      <c r="J58" s="18" t="s">
        <v>154</v>
      </c>
      <c r="K58" s="17" t="s">
        <v>154</v>
      </c>
      <c r="L58" s="18" t="s">
        <v>154</v>
      </c>
      <c r="M58" s="17" t="s">
        <v>154</v>
      </c>
      <c r="N58" s="18" t="s">
        <v>154</v>
      </c>
      <c r="O58" s="17" t="s">
        <v>154</v>
      </c>
      <c r="P58" s="18" t="s">
        <v>154</v>
      </c>
      <c r="Q58" s="17" t="s">
        <v>154</v>
      </c>
      <c r="R58" s="18" t="s">
        <v>154</v>
      </c>
    </row>
    <row r="59" spans="1:18" x14ac:dyDescent="0.25">
      <c r="A59" s="11" t="s">
        <v>192</v>
      </c>
      <c r="B59" s="17" t="s">
        <v>154</v>
      </c>
      <c r="C59" s="17" t="s">
        <v>154</v>
      </c>
      <c r="D59" s="18" t="s">
        <v>154</v>
      </c>
      <c r="E59" s="17" t="s">
        <v>154</v>
      </c>
      <c r="F59" s="18" t="s">
        <v>154</v>
      </c>
      <c r="G59" s="17" t="s">
        <v>154</v>
      </c>
      <c r="H59" s="18" t="s">
        <v>154</v>
      </c>
      <c r="I59" s="17" t="s">
        <v>154</v>
      </c>
      <c r="J59" s="18" t="s">
        <v>154</v>
      </c>
      <c r="K59" s="17" t="s">
        <v>154</v>
      </c>
      <c r="L59" s="18" t="s">
        <v>154</v>
      </c>
      <c r="M59" s="17" t="s">
        <v>154</v>
      </c>
      <c r="N59" s="18" t="s">
        <v>154</v>
      </c>
      <c r="O59" s="17" t="s">
        <v>154</v>
      </c>
      <c r="P59" s="18" t="s">
        <v>154</v>
      </c>
      <c r="Q59" s="17" t="s">
        <v>154</v>
      </c>
      <c r="R59" s="18" t="s">
        <v>154</v>
      </c>
    </row>
    <row r="60" spans="1:18" x14ac:dyDescent="0.25">
      <c r="A60" s="11" t="s">
        <v>193</v>
      </c>
      <c r="B60" s="17" t="s">
        <v>154</v>
      </c>
      <c r="C60" s="17" t="s">
        <v>154</v>
      </c>
      <c r="D60" s="18" t="s">
        <v>154</v>
      </c>
      <c r="E60" s="17" t="s">
        <v>154</v>
      </c>
      <c r="F60" s="18" t="s">
        <v>154</v>
      </c>
      <c r="G60" s="17" t="s">
        <v>154</v>
      </c>
      <c r="H60" s="18" t="s">
        <v>154</v>
      </c>
      <c r="I60" s="17" t="s">
        <v>154</v>
      </c>
      <c r="J60" s="18" t="s">
        <v>154</v>
      </c>
      <c r="K60" s="17" t="s">
        <v>154</v>
      </c>
      <c r="L60" s="18" t="s">
        <v>154</v>
      </c>
      <c r="M60" s="17" t="s">
        <v>154</v>
      </c>
      <c r="N60" s="18" t="s">
        <v>154</v>
      </c>
      <c r="O60" s="17" t="s">
        <v>154</v>
      </c>
      <c r="P60" s="18" t="s">
        <v>154</v>
      </c>
      <c r="Q60" s="17" t="s">
        <v>154</v>
      </c>
      <c r="R60" s="18" t="s">
        <v>154</v>
      </c>
    </row>
    <row r="61" spans="1:18" x14ac:dyDescent="0.25">
      <c r="A61" s="11" t="s">
        <v>194</v>
      </c>
      <c r="B61" s="13">
        <v>6525</v>
      </c>
      <c r="C61" s="14">
        <f>(5462/B61*100)</f>
        <v>83.708812260536405</v>
      </c>
      <c r="D61" s="15">
        <v>1063</v>
      </c>
      <c r="E61" s="14">
        <v>67.245038010000002</v>
      </c>
      <c r="F61" s="16">
        <v>1.6095257999999999</v>
      </c>
      <c r="G61" s="14">
        <v>32.754961989999998</v>
      </c>
      <c r="H61" s="16">
        <v>1.6095257999999999</v>
      </c>
      <c r="I61" s="14" t="s">
        <v>139</v>
      </c>
      <c r="J61" s="16" t="s">
        <v>139</v>
      </c>
      <c r="K61" s="14">
        <v>0</v>
      </c>
      <c r="L61" s="16">
        <v>0</v>
      </c>
      <c r="M61" s="14">
        <v>0</v>
      </c>
      <c r="N61" s="16">
        <v>0</v>
      </c>
      <c r="O61" s="14">
        <v>0</v>
      </c>
      <c r="P61" s="16">
        <v>0</v>
      </c>
      <c r="Q61" s="14">
        <v>0</v>
      </c>
      <c r="R61" s="16">
        <v>0</v>
      </c>
    </row>
    <row r="62" spans="1:18" x14ac:dyDescent="0.25">
      <c r="A62" s="11" t="s">
        <v>195</v>
      </c>
      <c r="B62" s="13">
        <v>4476</v>
      </c>
      <c r="C62" s="14">
        <f>(3738/B62*100)</f>
        <v>83.512064343163544</v>
      </c>
      <c r="D62" s="15">
        <v>738</v>
      </c>
      <c r="E62" s="14">
        <v>62.976284329999999</v>
      </c>
      <c r="F62" s="16">
        <v>2.0494036699999998</v>
      </c>
      <c r="G62" s="14">
        <v>37.023715670000001</v>
      </c>
      <c r="H62" s="16">
        <v>2.0494036699999998</v>
      </c>
      <c r="I62" s="14" t="s">
        <v>139</v>
      </c>
      <c r="J62" s="16" t="s">
        <v>139</v>
      </c>
      <c r="K62" s="14">
        <v>0</v>
      </c>
      <c r="L62" s="16">
        <v>0</v>
      </c>
      <c r="M62" s="14">
        <v>0</v>
      </c>
      <c r="N62" s="16">
        <v>0</v>
      </c>
      <c r="O62" s="14">
        <v>0</v>
      </c>
      <c r="P62" s="16">
        <v>0</v>
      </c>
      <c r="Q62" s="14">
        <v>0</v>
      </c>
      <c r="R62" s="16">
        <v>0</v>
      </c>
    </row>
    <row r="63" spans="1:18" x14ac:dyDescent="0.25">
      <c r="A63" s="11" t="s">
        <v>196</v>
      </c>
      <c r="B63" s="17" t="s">
        <v>154</v>
      </c>
      <c r="C63" s="17" t="s">
        <v>154</v>
      </c>
      <c r="D63" s="18" t="s">
        <v>154</v>
      </c>
      <c r="E63" s="17" t="s">
        <v>154</v>
      </c>
      <c r="F63" s="18" t="s">
        <v>154</v>
      </c>
      <c r="G63" s="17" t="s">
        <v>154</v>
      </c>
      <c r="H63" s="18" t="s">
        <v>154</v>
      </c>
      <c r="I63" s="17" t="s">
        <v>154</v>
      </c>
      <c r="J63" s="18" t="s">
        <v>154</v>
      </c>
      <c r="K63" s="17" t="s">
        <v>154</v>
      </c>
      <c r="L63" s="18" t="s">
        <v>154</v>
      </c>
      <c r="M63" s="17" t="s">
        <v>154</v>
      </c>
      <c r="N63" s="18" t="s">
        <v>154</v>
      </c>
      <c r="O63" s="17" t="s">
        <v>154</v>
      </c>
      <c r="P63" s="18" t="s">
        <v>154</v>
      </c>
      <c r="Q63" s="17" t="s">
        <v>154</v>
      </c>
      <c r="R63" s="18" t="s">
        <v>154</v>
      </c>
    </row>
    <row r="64" spans="1:18" x14ac:dyDescent="0.25">
      <c r="A64" s="11" t="s">
        <v>197</v>
      </c>
      <c r="B64" s="17" t="s">
        <v>154</v>
      </c>
      <c r="C64" s="17" t="s">
        <v>154</v>
      </c>
      <c r="D64" s="18" t="s">
        <v>154</v>
      </c>
      <c r="E64" s="17" t="s">
        <v>154</v>
      </c>
      <c r="F64" s="18" t="s">
        <v>154</v>
      </c>
      <c r="G64" s="17" t="s">
        <v>154</v>
      </c>
      <c r="H64" s="18" t="s">
        <v>154</v>
      </c>
      <c r="I64" s="17" t="s">
        <v>154</v>
      </c>
      <c r="J64" s="18" t="s">
        <v>154</v>
      </c>
      <c r="K64" s="17" t="s">
        <v>154</v>
      </c>
      <c r="L64" s="18" t="s">
        <v>154</v>
      </c>
      <c r="M64" s="17" t="s">
        <v>154</v>
      </c>
      <c r="N64" s="18" t="s">
        <v>154</v>
      </c>
      <c r="O64" s="17" t="s">
        <v>154</v>
      </c>
      <c r="P64" s="18" t="s">
        <v>154</v>
      </c>
      <c r="Q64" s="17" t="s">
        <v>154</v>
      </c>
      <c r="R64" s="18" t="s">
        <v>154</v>
      </c>
    </row>
    <row r="65" spans="1:18" x14ac:dyDescent="0.25">
      <c r="A65" s="11" t="s">
        <v>198</v>
      </c>
      <c r="B65" s="17" t="s">
        <v>154</v>
      </c>
      <c r="C65" s="17" t="s">
        <v>154</v>
      </c>
      <c r="D65" s="18" t="s">
        <v>154</v>
      </c>
      <c r="E65" s="17" t="s">
        <v>154</v>
      </c>
      <c r="F65" s="18" t="s">
        <v>154</v>
      </c>
      <c r="G65" s="17" t="s">
        <v>154</v>
      </c>
      <c r="H65" s="18" t="s">
        <v>154</v>
      </c>
      <c r="I65" s="17" t="s">
        <v>154</v>
      </c>
      <c r="J65" s="18" t="s">
        <v>154</v>
      </c>
      <c r="K65" s="17" t="s">
        <v>154</v>
      </c>
      <c r="L65" s="18" t="s">
        <v>154</v>
      </c>
      <c r="M65" s="17" t="s">
        <v>154</v>
      </c>
      <c r="N65" s="18" t="s">
        <v>154</v>
      </c>
      <c r="O65" s="17" t="s">
        <v>154</v>
      </c>
      <c r="P65" s="18" t="s">
        <v>154</v>
      </c>
      <c r="Q65" s="17" t="s">
        <v>154</v>
      </c>
      <c r="R65" s="18" t="s">
        <v>154</v>
      </c>
    </row>
    <row r="66" spans="1:18" x14ac:dyDescent="0.25">
      <c r="A66" s="11" t="s">
        <v>199</v>
      </c>
      <c r="B66" s="13">
        <v>5665</v>
      </c>
      <c r="C66" s="14">
        <f>(4788/B66*100)</f>
        <v>84.518976169461595</v>
      </c>
      <c r="D66" s="15">
        <v>877</v>
      </c>
      <c r="E66" s="14">
        <v>71.263593700000001</v>
      </c>
      <c r="F66" s="16">
        <v>1.4096012099999999</v>
      </c>
      <c r="G66" s="14">
        <v>28.736406299999999</v>
      </c>
      <c r="H66" s="16">
        <v>1.4096012099999999</v>
      </c>
      <c r="I66" s="14" t="s">
        <v>139</v>
      </c>
      <c r="J66" s="16" t="s">
        <v>139</v>
      </c>
      <c r="K66" s="14">
        <v>0</v>
      </c>
      <c r="L66" s="16">
        <v>0</v>
      </c>
      <c r="M66" s="14">
        <v>0</v>
      </c>
      <c r="N66" s="16">
        <v>0</v>
      </c>
      <c r="O66" s="14">
        <v>0</v>
      </c>
      <c r="P66" s="16">
        <v>0</v>
      </c>
      <c r="Q66" s="14">
        <v>0</v>
      </c>
      <c r="R66" s="16">
        <v>0</v>
      </c>
    </row>
    <row r="67" spans="1:18" x14ac:dyDescent="0.25">
      <c r="A67" s="11" t="s">
        <v>200</v>
      </c>
      <c r="B67" s="13">
        <v>6971</v>
      </c>
      <c r="C67" s="14">
        <f>(6151/B67*100)</f>
        <v>88.236981781666898</v>
      </c>
      <c r="D67" s="15">
        <v>820</v>
      </c>
      <c r="E67" s="14">
        <v>72.413260440000002</v>
      </c>
      <c r="F67" s="16">
        <v>1.57173937</v>
      </c>
      <c r="G67" s="14">
        <v>27.586739560000002</v>
      </c>
      <c r="H67" s="16">
        <v>1.57173937</v>
      </c>
      <c r="I67" s="14" t="s">
        <v>139</v>
      </c>
      <c r="J67" s="16" t="s">
        <v>139</v>
      </c>
      <c r="K67" s="14">
        <v>0</v>
      </c>
      <c r="L67" s="16">
        <v>0</v>
      </c>
      <c r="M67" s="14">
        <v>0</v>
      </c>
      <c r="N67" s="16">
        <v>0</v>
      </c>
      <c r="O67" s="14">
        <v>0</v>
      </c>
      <c r="P67" s="16">
        <v>0</v>
      </c>
      <c r="Q67" s="14">
        <v>0</v>
      </c>
      <c r="R67" s="16">
        <v>0</v>
      </c>
    </row>
    <row r="68" spans="1:18" x14ac:dyDescent="0.25">
      <c r="A68" s="11" t="s">
        <v>201</v>
      </c>
      <c r="B68" s="17" t="s">
        <v>154</v>
      </c>
      <c r="C68" s="17" t="s">
        <v>154</v>
      </c>
      <c r="D68" s="18" t="s">
        <v>154</v>
      </c>
      <c r="E68" s="17" t="s">
        <v>154</v>
      </c>
      <c r="F68" s="18" t="s">
        <v>154</v>
      </c>
      <c r="G68" s="17" t="s">
        <v>154</v>
      </c>
      <c r="H68" s="18" t="s">
        <v>154</v>
      </c>
      <c r="I68" s="17" t="s">
        <v>154</v>
      </c>
      <c r="J68" s="18" t="s">
        <v>154</v>
      </c>
      <c r="K68" s="17" t="s">
        <v>154</v>
      </c>
      <c r="L68" s="18" t="s">
        <v>154</v>
      </c>
      <c r="M68" s="17" t="s">
        <v>154</v>
      </c>
      <c r="N68" s="18" t="s">
        <v>154</v>
      </c>
      <c r="O68" s="17" t="s">
        <v>154</v>
      </c>
      <c r="P68" s="18" t="s">
        <v>154</v>
      </c>
      <c r="Q68" s="17" t="s">
        <v>154</v>
      </c>
      <c r="R68" s="18" t="s">
        <v>154</v>
      </c>
    </row>
    <row r="69" spans="1:18" x14ac:dyDescent="0.25">
      <c r="A69" s="11" t="s">
        <v>202</v>
      </c>
      <c r="B69" s="17" t="s">
        <v>154</v>
      </c>
      <c r="C69" s="17" t="s">
        <v>154</v>
      </c>
      <c r="D69" s="18" t="s">
        <v>154</v>
      </c>
      <c r="E69" s="17" t="s">
        <v>154</v>
      </c>
      <c r="F69" s="18" t="s">
        <v>154</v>
      </c>
      <c r="G69" s="17" t="s">
        <v>154</v>
      </c>
      <c r="H69" s="18" t="s">
        <v>154</v>
      </c>
      <c r="I69" s="17" t="s">
        <v>154</v>
      </c>
      <c r="J69" s="18" t="s">
        <v>154</v>
      </c>
      <c r="K69" s="17" t="s">
        <v>154</v>
      </c>
      <c r="L69" s="18" t="s">
        <v>154</v>
      </c>
      <c r="M69" s="17" t="s">
        <v>154</v>
      </c>
      <c r="N69" s="18" t="s">
        <v>154</v>
      </c>
      <c r="O69" s="17" t="s">
        <v>154</v>
      </c>
      <c r="P69" s="18" t="s">
        <v>154</v>
      </c>
      <c r="Q69" s="17" t="s">
        <v>154</v>
      </c>
      <c r="R69" s="18" t="s">
        <v>154</v>
      </c>
    </row>
    <row r="70" spans="1:18" x14ac:dyDescent="0.25">
      <c r="A70" s="11" t="s">
        <v>203</v>
      </c>
      <c r="B70" s="13">
        <v>6036</v>
      </c>
      <c r="C70" s="14">
        <f>(5110/B70*100)</f>
        <v>84.658714380384353</v>
      </c>
      <c r="D70" s="15">
        <v>926</v>
      </c>
      <c r="E70" s="14">
        <v>63.025423969999999</v>
      </c>
      <c r="F70" s="16">
        <v>2.0407946199999998</v>
      </c>
      <c r="G70" s="14">
        <v>36.974576030000001</v>
      </c>
      <c r="H70" s="16">
        <v>2.0407946199999998</v>
      </c>
      <c r="I70" s="14" t="s">
        <v>139</v>
      </c>
      <c r="J70" s="16" t="s">
        <v>139</v>
      </c>
      <c r="K70" s="14">
        <v>0</v>
      </c>
      <c r="L70" s="16">
        <v>0</v>
      </c>
      <c r="M70" s="14">
        <v>0</v>
      </c>
      <c r="N70" s="16">
        <v>0</v>
      </c>
      <c r="O70" s="14">
        <v>0</v>
      </c>
      <c r="P70" s="16">
        <v>0</v>
      </c>
      <c r="Q70" s="14">
        <v>0</v>
      </c>
      <c r="R70" s="16">
        <v>0</v>
      </c>
    </row>
    <row r="71" spans="1:18" x14ac:dyDescent="0.25">
      <c r="A71" s="11" t="s">
        <v>204</v>
      </c>
      <c r="B71" s="17" t="s">
        <v>154</v>
      </c>
      <c r="C71" s="17" t="s">
        <v>154</v>
      </c>
      <c r="D71" s="18" t="s">
        <v>154</v>
      </c>
      <c r="E71" s="17" t="s">
        <v>154</v>
      </c>
      <c r="F71" s="18" t="s">
        <v>154</v>
      </c>
      <c r="G71" s="17" t="s">
        <v>154</v>
      </c>
      <c r="H71" s="18" t="s">
        <v>154</v>
      </c>
      <c r="I71" s="17" t="s">
        <v>154</v>
      </c>
      <c r="J71" s="18" t="s">
        <v>154</v>
      </c>
      <c r="K71" s="17" t="s">
        <v>154</v>
      </c>
      <c r="L71" s="18" t="s">
        <v>154</v>
      </c>
      <c r="M71" s="17" t="s">
        <v>154</v>
      </c>
      <c r="N71" s="18" t="s">
        <v>154</v>
      </c>
      <c r="O71" s="17" t="s">
        <v>154</v>
      </c>
      <c r="P71" s="18" t="s">
        <v>154</v>
      </c>
      <c r="Q71" s="17" t="s">
        <v>154</v>
      </c>
      <c r="R71" s="18" t="s">
        <v>154</v>
      </c>
    </row>
    <row r="72" spans="1:18" x14ac:dyDescent="0.25">
      <c r="A72" s="11" t="s">
        <v>205</v>
      </c>
      <c r="B72" s="13">
        <v>7708</v>
      </c>
      <c r="C72" s="14">
        <f>(6405/B72*100)</f>
        <v>83.095485210171248</v>
      </c>
      <c r="D72" s="15">
        <v>1303</v>
      </c>
      <c r="E72" s="14">
        <v>64.378847120000003</v>
      </c>
      <c r="F72" s="16">
        <v>1.5021365499999999</v>
      </c>
      <c r="G72" s="14">
        <v>35.621152879999997</v>
      </c>
      <c r="H72" s="16">
        <v>1.5021365499999999</v>
      </c>
      <c r="I72" s="14" t="s">
        <v>139</v>
      </c>
      <c r="J72" s="16" t="s">
        <v>139</v>
      </c>
      <c r="K72" s="14">
        <v>0</v>
      </c>
      <c r="L72" s="16">
        <v>0</v>
      </c>
      <c r="M72" s="14">
        <v>0</v>
      </c>
      <c r="N72" s="16">
        <v>0</v>
      </c>
      <c r="O72" s="14">
        <v>0</v>
      </c>
      <c r="P72" s="16">
        <v>0</v>
      </c>
      <c r="Q72" s="14">
        <v>0</v>
      </c>
      <c r="R72" s="16">
        <v>0</v>
      </c>
    </row>
    <row r="73" spans="1:18" x14ac:dyDescent="0.25">
      <c r="A73" s="11" t="s">
        <v>206</v>
      </c>
      <c r="B73" s="13">
        <v>8249</v>
      </c>
      <c r="C73" s="14">
        <f>(7077/B73*100)</f>
        <v>85.792217238453148</v>
      </c>
      <c r="D73" s="15">
        <v>1172</v>
      </c>
      <c r="E73" s="14">
        <v>65.595719040000006</v>
      </c>
      <c r="F73" s="16">
        <v>1.64102558</v>
      </c>
      <c r="G73" s="14">
        <v>34.404280960000001</v>
      </c>
      <c r="H73" s="16">
        <v>1.64102558</v>
      </c>
      <c r="I73" s="14" t="s">
        <v>139</v>
      </c>
      <c r="J73" s="16" t="s">
        <v>139</v>
      </c>
      <c r="K73" s="14">
        <v>0</v>
      </c>
      <c r="L73" s="16">
        <v>0</v>
      </c>
      <c r="M73" s="14">
        <v>0</v>
      </c>
      <c r="N73" s="16">
        <v>0</v>
      </c>
      <c r="O73" s="14">
        <v>0</v>
      </c>
      <c r="P73" s="16">
        <v>0</v>
      </c>
      <c r="Q73" s="14">
        <v>0</v>
      </c>
      <c r="R73" s="16">
        <v>0</v>
      </c>
    </row>
    <row r="74" spans="1:18" x14ac:dyDescent="0.25">
      <c r="A74" s="11" t="s">
        <v>207</v>
      </c>
      <c r="B74" s="17" t="s">
        <v>154</v>
      </c>
      <c r="C74" s="17" t="s">
        <v>154</v>
      </c>
      <c r="D74" s="18" t="s">
        <v>154</v>
      </c>
      <c r="E74" s="17" t="s">
        <v>154</v>
      </c>
      <c r="F74" s="18" t="s">
        <v>154</v>
      </c>
      <c r="G74" s="17" t="s">
        <v>154</v>
      </c>
      <c r="H74" s="18" t="s">
        <v>154</v>
      </c>
      <c r="I74" s="17" t="s">
        <v>154</v>
      </c>
      <c r="J74" s="18" t="s">
        <v>154</v>
      </c>
      <c r="K74" s="17" t="s">
        <v>154</v>
      </c>
      <c r="L74" s="18" t="s">
        <v>154</v>
      </c>
      <c r="M74" s="17" t="s">
        <v>154</v>
      </c>
      <c r="N74" s="18" t="s">
        <v>154</v>
      </c>
      <c r="O74" s="17" t="s">
        <v>154</v>
      </c>
      <c r="P74" s="18" t="s">
        <v>154</v>
      </c>
      <c r="Q74" s="17" t="s">
        <v>154</v>
      </c>
      <c r="R74" s="18" t="s">
        <v>154</v>
      </c>
    </row>
    <row r="75" spans="1:18" x14ac:dyDescent="0.25">
      <c r="A75" s="11" t="s">
        <v>208</v>
      </c>
      <c r="B75" s="13">
        <v>5375</v>
      </c>
      <c r="C75" s="14">
        <f>(4594/B75*100)</f>
        <v>85.469767441860469</v>
      </c>
      <c r="D75" s="15">
        <v>781</v>
      </c>
      <c r="E75" s="14">
        <v>73.273843740000004</v>
      </c>
      <c r="F75" s="16">
        <v>1.76656068</v>
      </c>
      <c r="G75" s="14">
        <v>26.72615626</v>
      </c>
      <c r="H75" s="16">
        <v>1.76656068</v>
      </c>
      <c r="I75" s="14" t="s">
        <v>139</v>
      </c>
      <c r="J75" s="16" t="s">
        <v>139</v>
      </c>
      <c r="K75" s="14">
        <v>0</v>
      </c>
      <c r="L75" s="16">
        <v>0</v>
      </c>
      <c r="M75" s="14">
        <v>0</v>
      </c>
      <c r="N75" s="16">
        <v>0</v>
      </c>
      <c r="O75" s="14">
        <v>0</v>
      </c>
      <c r="P75" s="16">
        <v>0</v>
      </c>
      <c r="Q75" s="14">
        <v>0</v>
      </c>
      <c r="R75" s="16">
        <v>0</v>
      </c>
    </row>
    <row r="76" spans="1:18" x14ac:dyDescent="0.25">
      <c r="A76" s="11" t="s">
        <v>209</v>
      </c>
      <c r="B76" s="13">
        <v>14167</v>
      </c>
      <c r="C76" s="14">
        <f>(11823/B76*100)</f>
        <v>83.454506952777592</v>
      </c>
      <c r="D76" s="15">
        <v>2344</v>
      </c>
      <c r="E76" s="14">
        <v>69.20785454</v>
      </c>
      <c r="F76" s="16">
        <v>1.0873204999999999</v>
      </c>
      <c r="G76" s="14">
        <v>30.79214546</v>
      </c>
      <c r="H76" s="16">
        <v>1.0873204999999999</v>
      </c>
      <c r="I76" s="14" t="s">
        <v>139</v>
      </c>
      <c r="J76" s="16" t="s">
        <v>139</v>
      </c>
      <c r="K76" s="14">
        <v>0</v>
      </c>
      <c r="L76" s="16">
        <v>0</v>
      </c>
      <c r="M76" s="14">
        <v>0</v>
      </c>
      <c r="N76" s="16">
        <v>0</v>
      </c>
      <c r="O76" s="14">
        <v>0</v>
      </c>
      <c r="P76" s="16">
        <v>0</v>
      </c>
      <c r="Q76" s="14">
        <v>0</v>
      </c>
      <c r="R76" s="16">
        <v>0</v>
      </c>
    </row>
    <row r="77" spans="1:18" x14ac:dyDescent="0.25">
      <c r="A77" s="11" t="s">
        <v>210</v>
      </c>
      <c r="B77" s="13">
        <v>6062</v>
      </c>
      <c r="C77" s="14">
        <f>(5164/B77*100)</f>
        <v>85.186407126360947</v>
      </c>
      <c r="D77" s="15">
        <v>898</v>
      </c>
      <c r="E77" s="14">
        <v>68.105210470000003</v>
      </c>
      <c r="F77" s="16">
        <v>1.64413896</v>
      </c>
      <c r="G77" s="14">
        <v>31.894789530000001</v>
      </c>
      <c r="H77" s="16">
        <v>1.64413896</v>
      </c>
      <c r="I77" s="14" t="s">
        <v>139</v>
      </c>
      <c r="J77" s="16" t="s">
        <v>139</v>
      </c>
      <c r="K77" s="14">
        <v>0</v>
      </c>
      <c r="L77" s="16">
        <v>0</v>
      </c>
      <c r="M77" s="14">
        <v>0</v>
      </c>
      <c r="N77" s="16">
        <v>0</v>
      </c>
      <c r="O77" s="14">
        <v>0</v>
      </c>
      <c r="P77" s="16">
        <v>0</v>
      </c>
      <c r="Q77" s="14">
        <v>0</v>
      </c>
      <c r="R77" s="16">
        <v>0</v>
      </c>
    </row>
    <row r="78" spans="1:18" x14ac:dyDescent="0.25">
      <c r="A78" s="11" t="s">
        <v>211</v>
      </c>
      <c r="B78" s="17" t="s">
        <v>154</v>
      </c>
      <c r="C78" s="17" t="s">
        <v>154</v>
      </c>
      <c r="D78" s="18" t="s">
        <v>154</v>
      </c>
      <c r="E78" s="17" t="s">
        <v>154</v>
      </c>
      <c r="F78" s="18" t="s">
        <v>154</v>
      </c>
      <c r="G78" s="17" t="s">
        <v>154</v>
      </c>
      <c r="H78" s="18" t="s">
        <v>154</v>
      </c>
      <c r="I78" s="17" t="s">
        <v>154</v>
      </c>
      <c r="J78" s="18" t="s">
        <v>154</v>
      </c>
      <c r="K78" s="17" t="s">
        <v>154</v>
      </c>
      <c r="L78" s="18" t="s">
        <v>154</v>
      </c>
      <c r="M78" s="17" t="s">
        <v>154</v>
      </c>
      <c r="N78" s="18" t="s">
        <v>154</v>
      </c>
      <c r="O78" s="17" t="s">
        <v>154</v>
      </c>
      <c r="P78" s="18" t="s">
        <v>154</v>
      </c>
      <c r="Q78" s="17" t="s">
        <v>154</v>
      </c>
      <c r="R78" s="18" t="s">
        <v>154</v>
      </c>
    </row>
    <row r="79" spans="1:18" ht="24.95" customHeight="1" x14ac:dyDescent="0.25">
      <c r="A79" s="11" t="s">
        <v>212</v>
      </c>
      <c r="B79" s="17" t="s">
        <v>154</v>
      </c>
      <c r="C79" s="17" t="s">
        <v>154</v>
      </c>
      <c r="D79" s="18" t="s">
        <v>154</v>
      </c>
      <c r="E79" s="17" t="s">
        <v>154</v>
      </c>
      <c r="F79" s="18" t="s">
        <v>154</v>
      </c>
      <c r="G79" s="17" t="s">
        <v>154</v>
      </c>
      <c r="H79" s="18" t="s">
        <v>154</v>
      </c>
      <c r="I79" s="17" t="s">
        <v>154</v>
      </c>
      <c r="J79" s="18" t="s">
        <v>154</v>
      </c>
      <c r="K79" s="17" t="s">
        <v>154</v>
      </c>
      <c r="L79" s="18" t="s">
        <v>154</v>
      </c>
      <c r="M79" s="17" t="s">
        <v>154</v>
      </c>
      <c r="N79" s="18" t="s">
        <v>154</v>
      </c>
      <c r="O79" s="17" t="s">
        <v>154</v>
      </c>
      <c r="P79" s="18" t="s">
        <v>154</v>
      </c>
      <c r="Q79" s="17" t="s">
        <v>154</v>
      </c>
      <c r="R79" s="18" t="s">
        <v>154</v>
      </c>
    </row>
    <row r="80" spans="1:18" x14ac:dyDescent="0.25">
      <c r="A80" s="11" t="s">
        <v>213</v>
      </c>
      <c r="B80" s="17" t="s">
        <v>154</v>
      </c>
      <c r="C80" s="17" t="s">
        <v>154</v>
      </c>
      <c r="D80" s="18" t="s">
        <v>154</v>
      </c>
      <c r="E80" s="17" t="s">
        <v>154</v>
      </c>
      <c r="F80" s="18" t="s">
        <v>154</v>
      </c>
      <c r="G80" s="17" t="s">
        <v>154</v>
      </c>
      <c r="H80" s="18" t="s">
        <v>154</v>
      </c>
      <c r="I80" s="17" t="s">
        <v>154</v>
      </c>
      <c r="J80" s="18" t="s">
        <v>154</v>
      </c>
      <c r="K80" s="17" t="s">
        <v>154</v>
      </c>
      <c r="L80" s="18" t="s">
        <v>154</v>
      </c>
      <c r="M80" s="17" t="s">
        <v>154</v>
      </c>
      <c r="N80" s="18" t="s">
        <v>154</v>
      </c>
      <c r="O80" s="17" t="s">
        <v>154</v>
      </c>
      <c r="P80" s="18" t="s">
        <v>154</v>
      </c>
      <c r="Q80" s="17" t="s">
        <v>154</v>
      </c>
      <c r="R80" s="18" t="s">
        <v>154</v>
      </c>
    </row>
    <row r="81" spans="1:18" x14ac:dyDescent="0.25">
      <c r="A81" s="19" t="s">
        <v>214</v>
      </c>
      <c r="B81" s="13">
        <v>8861</v>
      </c>
      <c r="C81" s="14">
        <f>(7383/B81*100)</f>
        <v>83.320167024037914</v>
      </c>
      <c r="D81" s="15">
        <v>1478</v>
      </c>
      <c r="E81" s="14">
        <v>69.949536660000007</v>
      </c>
      <c r="F81" s="16">
        <v>1.63278531</v>
      </c>
      <c r="G81" s="14">
        <v>30.05046334</v>
      </c>
      <c r="H81" s="16">
        <v>1.63278531</v>
      </c>
      <c r="I81" s="14" t="s">
        <v>139</v>
      </c>
      <c r="J81" s="16" t="s">
        <v>139</v>
      </c>
      <c r="K81" s="14">
        <v>0</v>
      </c>
      <c r="L81" s="16">
        <v>0</v>
      </c>
      <c r="M81" s="14">
        <v>0</v>
      </c>
      <c r="N81" s="16">
        <v>0</v>
      </c>
      <c r="O81" s="14">
        <v>0</v>
      </c>
      <c r="P81" s="16">
        <v>0</v>
      </c>
      <c r="Q81" s="14">
        <v>0</v>
      </c>
      <c r="R81" s="16">
        <v>0</v>
      </c>
    </row>
    <row r="82" spans="1:18" x14ac:dyDescent="0.25">
      <c r="A82" s="20"/>
      <c r="B82" s="20" t="s">
        <v>215</v>
      </c>
      <c r="C82" s="20" t="s">
        <v>215</v>
      </c>
      <c r="D82" s="20" t="s">
        <v>215</v>
      </c>
      <c r="E82" s="20" t="s">
        <v>215</v>
      </c>
      <c r="F82" s="20" t="s">
        <v>215</v>
      </c>
      <c r="G82" s="20" t="s">
        <v>215</v>
      </c>
      <c r="H82" s="20" t="s">
        <v>215</v>
      </c>
      <c r="I82" s="20" t="s">
        <v>215</v>
      </c>
      <c r="J82" s="20" t="s">
        <v>215</v>
      </c>
      <c r="K82" s="20" t="s">
        <v>215</v>
      </c>
      <c r="L82" s="20" t="s">
        <v>215</v>
      </c>
      <c r="M82" s="20" t="s">
        <v>215</v>
      </c>
      <c r="N82" s="20" t="s">
        <v>215</v>
      </c>
      <c r="O82" s="20" t="s">
        <v>215</v>
      </c>
      <c r="P82" s="20" t="s">
        <v>215</v>
      </c>
      <c r="Q82" s="20" t="s">
        <v>215</v>
      </c>
      <c r="R82" s="20" t="s">
        <v>215</v>
      </c>
    </row>
    <row r="83" spans="1:18" x14ac:dyDescent="0.25">
      <c r="A83" s="3" t="s">
        <v>216</v>
      </c>
    </row>
    <row r="84" spans="1:18" x14ac:dyDescent="0.25">
      <c r="A84" s="22" t="s">
        <v>217</v>
      </c>
      <c r="B84" s="23"/>
      <c r="C84" s="23"/>
      <c r="D84" s="23"/>
      <c r="E84" s="23"/>
      <c r="F84" s="23"/>
      <c r="G84" s="23"/>
      <c r="H84" s="23"/>
      <c r="I84" s="23"/>
      <c r="J84" s="23"/>
      <c r="K84" s="23"/>
      <c r="L84" s="23"/>
      <c r="M84" s="23"/>
      <c r="N84" s="23"/>
      <c r="O84" s="23"/>
      <c r="P84" s="23"/>
      <c r="Q84" s="23"/>
      <c r="R84" s="23"/>
    </row>
    <row r="85" spans="1:18" x14ac:dyDescent="0.25">
      <c r="A85" s="22" t="s">
        <v>218</v>
      </c>
      <c r="B85" s="23"/>
      <c r="C85" s="23"/>
      <c r="D85" s="23"/>
      <c r="E85" s="23"/>
      <c r="F85" s="23"/>
      <c r="G85" s="23"/>
      <c r="H85" s="23"/>
      <c r="I85" s="23"/>
      <c r="J85" s="23"/>
      <c r="K85" s="23"/>
      <c r="L85" s="23"/>
      <c r="M85" s="23"/>
      <c r="N85" s="23"/>
      <c r="O85" s="23"/>
      <c r="P85" s="23"/>
      <c r="Q85" s="23"/>
      <c r="R85" s="23"/>
    </row>
    <row r="86" spans="1:18" ht="30" customHeight="1" x14ac:dyDescent="0.25">
      <c r="A86" s="22" t="s">
        <v>219</v>
      </c>
      <c r="B86" s="23"/>
      <c r="C86" s="23"/>
      <c r="D86" s="23"/>
      <c r="E86" s="23"/>
      <c r="F86" s="23"/>
      <c r="G86" s="23"/>
      <c r="H86" s="23"/>
      <c r="I86" s="23"/>
      <c r="J86" s="23"/>
      <c r="K86" s="23"/>
      <c r="L86" s="23"/>
      <c r="M86" s="23"/>
      <c r="N86" s="23"/>
      <c r="O86" s="23"/>
      <c r="P86" s="23"/>
      <c r="Q86" s="23"/>
      <c r="R86" s="23"/>
    </row>
    <row r="87" spans="1:18" ht="30" customHeight="1" x14ac:dyDescent="0.25">
      <c r="A87" s="22" t="s">
        <v>215</v>
      </c>
      <c r="B87" s="23"/>
      <c r="C87" s="23"/>
      <c r="D87" s="23"/>
      <c r="E87" s="23"/>
      <c r="F87" s="23"/>
      <c r="G87" s="23"/>
      <c r="H87" s="23"/>
      <c r="I87" s="23"/>
      <c r="J87" s="23"/>
      <c r="K87" s="23"/>
      <c r="L87" s="23"/>
      <c r="M87" s="23"/>
      <c r="N87" s="23"/>
      <c r="O87" s="23"/>
      <c r="P87" s="23"/>
      <c r="Q87" s="23"/>
      <c r="R87" s="23"/>
    </row>
    <row r="88" spans="1:18" ht="30" customHeight="1" x14ac:dyDescent="0.25">
      <c r="A88" s="22" t="s">
        <v>220</v>
      </c>
      <c r="B88" s="23"/>
      <c r="C88" s="23"/>
      <c r="D88" s="23"/>
      <c r="E88" s="23"/>
      <c r="F88" s="23"/>
      <c r="G88" s="23"/>
      <c r="H88" s="23"/>
      <c r="I88" s="23"/>
      <c r="J88" s="23"/>
      <c r="K88" s="23"/>
      <c r="L88" s="23"/>
      <c r="M88" s="23"/>
      <c r="N88" s="23"/>
      <c r="O88" s="23"/>
      <c r="P88" s="23"/>
      <c r="Q88" s="23"/>
      <c r="R88" s="23"/>
    </row>
    <row r="89" spans="1:18" ht="30" customHeight="1" x14ac:dyDescent="0.25">
      <c r="A89" s="22" t="s">
        <v>221</v>
      </c>
      <c r="B89" s="23"/>
      <c r="C89" s="23"/>
      <c r="D89" s="23"/>
      <c r="E89" s="23"/>
      <c r="F89" s="23"/>
      <c r="G89" s="23"/>
      <c r="H89" s="23"/>
      <c r="I89" s="23"/>
      <c r="J89" s="23"/>
      <c r="K89" s="23"/>
      <c r="L89" s="23"/>
      <c r="M89" s="23"/>
      <c r="N89" s="23"/>
      <c r="O89" s="23"/>
      <c r="P89" s="23"/>
      <c r="Q89" s="23"/>
      <c r="R89" s="23"/>
    </row>
    <row r="90" spans="1:18" ht="30" customHeight="1" x14ac:dyDescent="0.25">
      <c r="A90" s="22" t="s">
        <v>222</v>
      </c>
      <c r="B90" s="23"/>
      <c r="C90" s="23"/>
      <c r="D90" s="23"/>
      <c r="E90" s="23"/>
      <c r="F90" s="23"/>
      <c r="G90" s="23"/>
      <c r="H90" s="23"/>
      <c r="I90" s="23"/>
      <c r="J90" s="23"/>
      <c r="K90" s="23"/>
      <c r="L90" s="23"/>
      <c r="M90" s="23"/>
      <c r="N90" s="23"/>
      <c r="O90" s="23"/>
      <c r="P90" s="23"/>
      <c r="Q90" s="23"/>
      <c r="R90" s="23"/>
    </row>
    <row r="91" spans="1:18" ht="30" customHeight="1" x14ac:dyDescent="0.25">
      <c r="A91" s="22" t="s">
        <v>223</v>
      </c>
      <c r="B91" s="23"/>
      <c r="C91" s="23"/>
      <c r="D91" s="23"/>
      <c r="E91" s="23"/>
      <c r="F91" s="23"/>
      <c r="G91" s="23"/>
      <c r="H91" s="23"/>
      <c r="I91" s="23"/>
      <c r="J91" s="23"/>
      <c r="K91" s="23"/>
      <c r="L91" s="23"/>
      <c r="M91" s="23"/>
      <c r="N91" s="23"/>
      <c r="O91" s="23"/>
      <c r="P91" s="23"/>
      <c r="Q91" s="23"/>
      <c r="R91" s="23"/>
    </row>
    <row r="92" spans="1:18" ht="30" customHeight="1" x14ac:dyDescent="0.25">
      <c r="A92" s="22" t="s">
        <v>224</v>
      </c>
      <c r="B92" s="23"/>
      <c r="C92" s="23"/>
      <c r="D92" s="23"/>
      <c r="E92" s="23"/>
      <c r="F92" s="23"/>
      <c r="G92" s="23"/>
      <c r="H92" s="23"/>
      <c r="I92" s="23"/>
      <c r="J92" s="23"/>
      <c r="K92" s="23"/>
      <c r="L92" s="23"/>
      <c r="M92" s="23"/>
      <c r="N92" s="23"/>
      <c r="O92" s="23"/>
      <c r="P92" s="23"/>
      <c r="Q92" s="23"/>
      <c r="R92" s="23"/>
    </row>
    <row r="93" spans="1:18" ht="30" customHeight="1" x14ac:dyDescent="0.25">
      <c r="A93" s="22" t="s">
        <v>225</v>
      </c>
      <c r="B93" s="23"/>
      <c r="C93" s="23"/>
      <c r="D93" s="23"/>
      <c r="E93" s="23"/>
      <c r="F93" s="23"/>
      <c r="G93" s="23"/>
      <c r="H93" s="23"/>
      <c r="I93" s="23"/>
      <c r="J93" s="23"/>
      <c r="K93" s="23"/>
      <c r="L93" s="23"/>
      <c r="M93" s="23"/>
      <c r="N93" s="23"/>
      <c r="O93" s="23"/>
      <c r="P93" s="23"/>
      <c r="Q93" s="23"/>
      <c r="R93" s="23"/>
    </row>
    <row r="94" spans="1:18" ht="30" customHeight="1" x14ac:dyDescent="0.25">
      <c r="A94" s="22" t="s">
        <v>226</v>
      </c>
      <c r="B94" s="23"/>
      <c r="C94" s="23"/>
      <c r="D94" s="23"/>
      <c r="E94" s="23"/>
      <c r="F94" s="23"/>
      <c r="G94" s="23"/>
      <c r="H94" s="23"/>
      <c r="I94" s="23"/>
      <c r="J94" s="23"/>
      <c r="K94" s="23"/>
      <c r="L94" s="23"/>
      <c r="M94" s="23"/>
      <c r="N94" s="23"/>
      <c r="O94" s="23"/>
      <c r="P94" s="23"/>
      <c r="Q94" s="23"/>
      <c r="R94" s="23"/>
    </row>
    <row r="95" spans="1:18" ht="30" customHeight="1" x14ac:dyDescent="0.25">
      <c r="A95" s="22" t="s">
        <v>227</v>
      </c>
      <c r="B95" s="23"/>
      <c r="C95" s="23"/>
      <c r="D95" s="23"/>
      <c r="E95" s="23"/>
      <c r="F95" s="23"/>
      <c r="G95" s="23"/>
      <c r="H95" s="23"/>
      <c r="I95" s="23"/>
      <c r="J95" s="23"/>
      <c r="K95" s="23"/>
      <c r="L95" s="23"/>
      <c r="M95" s="23"/>
      <c r="N95" s="23"/>
      <c r="O95" s="23"/>
      <c r="P95" s="23"/>
      <c r="Q95" s="23"/>
      <c r="R95" s="23"/>
    </row>
    <row r="96" spans="1:18" ht="30" customHeight="1" x14ac:dyDescent="0.25">
      <c r="A96" s="22" t="s">
        <v>228</v>
      </c>
      <c r="B96" s="23"/>
      <c r="C96" s="23"/>
      <c r="D96" s="23"/>
      <c r="E96" s="23"/>
      <c r="F96" s="23"/>
      <c r="G96" s="23"/>
      <c r="H96" s="23"/>
      <c r="I96" s="23"/>
      <c r="J96" s="23"/>
      <c r="K96" s="23"/>
      <c r="L96" s="23"/>
      <c r="M96" s="23"/>
      <c r="N96" s="23"/>
      <c r="O96" s="23"/>
      <c r="P96" s="23"/>
      <c r="Q96" s="23"/>
      <c r="R96" s="23"/>
    </row>
  </sheetData>
  <mergeCells count="22">
    <mergeCell ref="O4:P4"/>
    <mergeCell ref="Q4:R4"/>
    <mergeCell ref="A1:R1"/>
    <mergeCell ref="A2:R2"/>
    <mergeCell ref="A84:R84"/>
    <mergeCell ref="E4:F4"/>
    <mergeCell ref="G4:H4"/>
    <mergeCell ref="I4:J4"/>
    <mergeCell ref="K4:L4"/>
    <mergeCell ref="M4:N4"/>
    <mergeCell ref="A85:R85"/>
    <mergeCell ref="A86:R86"/>
    <mergeCell ref="A87:R87"/>
    <mergeCell ref="A88:R88"/>
    <mergeCell ref="A89:R89"/>
    <mergeCell ref="A95:R95"/>
    <mergeCell ref="A96:R96"/>
    <mergeCell ref="A90:R90"/>
    <mergeCell ref="A91:R91"/>
    <mergeCell ref="A92:R92"/>
    <mergeCell ref="A93:R93"/>
    <mergeCell ref="A94:R94"/>
  </mergeCells>
  <pageMargins left="0.75" right="0.75" top="1" bottom="1" header="0.5" footer="0.5"/>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9"/>
  <dimension ref="A1:R96"/>
  <sheetViews>
    <sheetView zoomScale="80" workbookViewId="0">
      <pane xSplit="4" topLeftCell="E1" activePane="topRight" state="frozen"/>
      <selection sqref="A1:R1"/>
      <selection pane="topRight" sqref="A1:R1"/>
    </sheetView>
  </sheetViews>
  <sheetFormatPr defaultColWidth="11.42578125" defaultRowHeight="15" x14ac:dyDescent="0.25"/>
  <cols>
    <col min="1" max="1" width="50" customWidth="1"/>
  </cols>
  <sheetData>
    <row r="1" spans="1:18" x14ac:dyDescent="0.25">
      <c r="A1" s="26" t="s">
        <v>122</v>
      </c>
      <c r="B1" s="23"/>
      <c r="C1" s="23"/>
      <c r="D1" s="23"/>
      <c r="E1" s="23"/>
      <c r="F1" s="23"/>
      <c r="G1" s="23"/>
      <c r="H1" s="23"/>
      <c r="I1" s="23"/>
      <c r="J1" s="23"/>
      <c r="K1" s="23"/>
      <c r="L1" s="23"/>
      <c r="M1" s="23"/>
      <c r="N1" s="23"/>
      <c r="O1" s="23"/>
      <c r="P1" s="23"/>
      <c r="Q1" s="23"/>
      <c r="R1" s="23"/>
    </row>
    <row r="2" spans="1:18" x14ac:dyDescent="0.25">
      <c r="A2" s="27" t="s">
        <v>275</v>
      </c>
      <c r="B2" s="23"/>
      <c r="C2" s="23"/>
      <c r="D2" s="23"/>
      <c r="E2" s="23"/>
      <c r="F2" s="23"/>
      <c r="G2" s="23"/>
      <c r="H2" s="23"/>
      <c r="I2" s="23"/>
      <c r="J2" s="23"/>
      <c r="K2" s="23"/>
      <c r="L2" s="23"/>
      <c r="M2" s="23"/>
      <c r="N2" s="23"/>
      <c r="O2" s="23"/>
      <c r="P2" s="23"/>
      <c r="Q2" s="23"/>
      <c r="R2" s="23"/>
    </row>
    <row r="4" spans="1:18" ht="30" customHeight="1" x14ac:dyDescent="0.25">
      <c r="A4" s="4"/>
      <c r="B4" s="5" t="s">
        <v>123</v>
      </c>
      <c r="C4" s="5" t="s">
        <v>124</v>
      </c>
      <c r="D4" s="6" t="s">
        <v>123</v>
      </c>
      <c r="E4" s="24" t="s">
        <v>125</v>
      </c>
      <c r="F4" s="25"/>
      <c r="G4" s="24" t="s">
        <v>126</v>
      </c>
      <c r="H4" s="25"/>
      <c r="I4" s="24" t="s">
        <v>127</v>
      </c>
      <c r="J4" s="25"/>
      <c r="K4" s="24" t="s">
        <v>128</v>
      </c>
      <c r="L4" s="25"/>
      <c r="M4" s="24" t="s">
        <v>129</v>
      </c>
      <c r="N4" s="25"/>
      <c r="O4" s="24" t="s">
        <v>130</v>
      </c>
      <c r="P4" s="25"/>
      <c r="Q4" s="24" t="s">
        <v>131</v>
      </c>
      <c r="R4" s="25"/>
    </row>
    <row r="5" spans="1:18" x14ac:dyDescent="0.25">
      <c r="A5" s="7"/>
      <c r="B5" s="8" t="s">
        <v>132</v>
      </c>
      <c r="C5" s="8" t="s">
        <v>133</v>
      </c>
      <c r="D5" s="7" t="s">
        <v>134</v>
      </c>
      <c r="E5" s="8" t="s">
        <v>135</v>
      </c>
      <c r="F5" s="7" t="s">
        <v>136</v>
      </c>
      <c r="G5" s="8" t="s">
        <v>135</v>
      </c>
      <c r="H5" s="7" t="s">
        <v>136</v>
      </c>
      <c r="I5" s="8" t="s">
        <v>135</v>
      </c>
      <c r="J5" s="7" t="s">
        <v>136</v>
      </c>
      <c r="K5" s="8" t="s">
        <v>135</v>
      </c>
      <c r="L5" s="7" t="s">
        <v>136</v>
      </c>
      <c r="M5" s="8" t="s">
        <v>135</v>
      </c>
      <c r="N5" s="7" t="s">
        <v>136</v>
      </c>
      <c r="O5" s="8" t="s">
        <v>135</v>
      </c>
      <c r="P5" s="7" t="s">
        <v>136</v>
      </c>
      <c r="Q5" s="8" t="s">
        <v>135</v>
      </c>
      <c r="R5" s="7" t="s">
        <v>136</v>
      </c>
    </row>
    <row r="6" spans="1:18" x14ac:dyDescent="0.25">
      <c r="A6" s="9" t="s">
        <v>137</v>
      </c>
      <c r="B6" s="10"/>
      <c r="C6" s="10"/>
      <c r="D6" s="11"/>
      <c r="E6" s="10"/>
      <c r="F6" s="11"/>
      <c r="G6" s="10"/>
      <c r="H6" s="11"/>
      <c r="I6" s="10"/>
      <c r="J6" s="11"/>
      <c r="K6" s="10"/>
      <c r="L6" s="11"/>
      <c r="M6" s="10"/>
      <c r="N6" s="11"/>
      <c r="O6" s="10"/>
      <c r="P6" s="11"/>
      <c r="Q6" s="10"/>
      <c r="R6" s="12"/>
    </row>
    <row r="7" spans="1:18" x14ac:dyDescent="0.25">
      <c r="A7" s="11" t="s">
        <v>138</v>
      </c>
      <c r="B7" s="13">
        <v>14530</v>
      </c>
      <c r="C7" s="14">
        <f>(12281/B7*100)</f>
        <v>84.521679284239497</v>
      </c>
      <c r="D7" s="15">
        <v>2249</v>
      </c>
      <c r="E7" s="14">
        <v>31.122998190000001</v>
      </c>
      <c r="F7" s="16">
        <v>1.1260977000000001</v>
      </c>
      <c r="G7" s="14">
        <v>68.877001809999996</v>
      </c>
      <c r="H7" s="16">
        <v>1.1260977000000001</v>
      </c>
      <c r="I7" s="14" t="s">
        <v>139</v>
      </c>
      <c r="J7" s="16" t="s">
        <v>139</v>
      </c>
      <c r="K7" s="14">
        <v>0</v>
      </c>
      <c r="L7" s="16">
        <v>0</v>
      </c>
      <c r="M7" s="14">
        <v>0</v>
      </c>
      <c r="N7" s="16">
        <v>0</v>
      </c>
      <c r="O7" s="14">
        <v>0</v>
      </c>
      <c r="P7" s="16">
        <v>0</v>
      </c>
      <c r="Q7" s="14">
        <v>0</v>
      </c>
      <c r="R7" s="16">
        <v>0</v>
      </c>
    </row>
    <row r="8" spans="1:18" x14ac:dyDescent="0.25">
      <c r="A8" s="11" t="s">
        <v>140</v>
      </c>
      <c r="B8" s="13">
        <v>7007</v>
      </c>
      <c r="C8" s="14">
        <f>(5875/B8*100)</f>
        <v>83.844726701869547</v>
      </c>
      <c r="D8" s="15">
        <v>1132</v>
      </c>
      <c r="E8" s="14">
        <v>31.656423759999999</v>
      </c>
      <c r="F8" s="16">
        <v>1.40048043</v>
      </c>
      <c r="G8" s="14">
        <v>68.343576240000004</v>
      </c>
      <c r="H8" s="16">
        <v>1.40048043</v>
      </c>
      <c r="I8" s="14" t="s">
        <v>139</v>
      </c>
      <c r="J8" s="16" t="s">
        <v>139</v>
      </c>
      <c r="K8" s="14">
        <v>0</v>
      </c>
      <c r="L8" s="16">
        <v>0</v>
      </c>
      <c r="M8" s="14">
        <v>0</v>
      </c>
      <c r="N8" s="16">
        <v>0</v>
      </c>
      <c r="O8" s="14">
        <v>0</v>
      </c>
      <c r="P8" s="16">
        <v>0</v>
      </c>
      <c r="Q8" s="14">
        <v>0</v>
      </c>
      <c r="R8" s="16">
        <v>0</v>
      </c>
    </row>
    <row r="9" spans="1:18" x14ac:dyDescent="0.25">
      <c r="A9" s="11" t="s">
        <v>141</v>
      </c>
      <c r="B9" s="13">
        <v>9651</v>
      </c>
      <c r="C9" s="14">
        <f>(8203/B9*100)</f>
        <v>84.996373432804901</v>
      </c>
      <c r="D9" s="15">
        <v>1448</v>
      </c>
      <c r="E9" s="14">
        <v>34.959318179999997</v>
      </c>
      <c r="F9" s="16">
        <v>1.3174416799999999</v>
      </c>
      <c r="G9" s="14">
        <v>65.040681820000003</v>
      </c>
      <c r="H9" s="16">
        <v>1.3174416799999999</v>
      </c>
      <c r="I9" s="14" t="s">
        <v>139</v>
      </c>
      <c r="J9" s="16" t="s">
        <v>139</v>
      </c>
      <c r="K9" s="14">
        <v>0</v>
      </c>
      <c r="L9" s="16">
        <v>0</v>
      </c>
      <c r="M9" s="14">
        <v>0</v>
      </c>
      <c r="N9" s="16">
        <v>0</v>
      </c>
      <c r="O9" s="14">
        <v>0</v>
      </c>
      <c r="P9" s="16">
        <v>0</v>
      </c>
      <c r="Q9" s="14">
        <v>0</v>
      </c>
      <c r="R9" s="16">
        <v>0</v>
      </c>
    </row>
    <row r="10" spans="1:18" x14ac:dyDescent="0.25">
      <c r="A10" s="11" t="s">
        <v>142</v>
      </c>
      <c r="B10" s="13">
        <v>20058</v>
      </c>
      <c r="C10" s="14">
        <f>(16721/B10*100)</f>
        <v>83.363246584903777</v>
      </c>
      <c r="D10" s="15">
        <v>3337</v>
      </c>
      <c r="E10" s="14">
        <v>33.297821509999999</v>
      </c>
      <c r="F10" s="16">
        <v>1.04981265</v>
      </c>
      <c r="G10" s="14">
        <v>66.702178489999994</v>
      </c>
      <c r="H10" s="16">
        <v>1.04981265</v>
      </c>
      <c r="I10" s="14" t="s">
        <v>139</v>
      </c>
      <c r="J10" s="16" t="s">
        <v>139</v>
      </c>
      <c r="K10" s="14">
        <v>0</v>
      </c>
      <c r="L10" s="16">
        <v>0</v>
      </c>
      <c r="M10" s="14">
        <v>0</v>
      </c>
      <c r="N10" s="16">
        <v>0</v>
      </c>
      <c r="O10" s="14">
        <v>0</v>
      </c>
      <c r="P10" s="16">
        <v>0</v>
      </c>
      <c r="Q10" s="14">
        <v>0</v>
      </c>
      <c r="R10" s="16">
        <v>0</v>
      </c>
    </row>
    <row r="11" spans="1:18" x14ac:dyDescent="0.25">
      <c r="A11" s="11" t="s">
        <v>143</v>
      </c>
      <c r="B11" s="13">
        <v>7053</v>
      </c>
      <c r="C11" s="14">
        <f>(5995/B11*100)</f>
        <v>84.999291081809162</v>
      </c>
      <c r="D11" s="15">
        <v>1058</v>
      </c>
      <c r="E11" s="14">
        <v>44.693029959999997</v>
      </c>
      <c r="F11" s="16">
        <v>1.7647709899999999</v>
      </c>
      <c r="G11" s="14">
        <v>55.306970040000003</v>
      </c>
      <c r="H11" s="16">
        <v>1.7647709899999999</v>
      </c>
      <c r="I11" s="14" t="s">
        <v>139</v>
      </c>
      <c r="J11" s="16" t="s">
        <v>139</v>
      </c>
      <c r="K11" s="14">
        <v>0</v>
      </c>
      <c r="L11" s="16">
        <v>0</v>
      </c>
      <c r="M11" s="14">
        <v>0</v>
      </c>
      <c r="N11" s="16">
        <v>0</v>
      </c>
      <c r="O11" s="14">
        <v>0</v>
      </c>
      <c r="P11" s="16">
        <v>0</v>
      </c>
      <c r="Q11" s="14">
        <v>0</v>
      </c>
      <c r="R11" s="16">
        <v>0</v>
      </c>
    </row>
    <row r="12" spans="1:18" x14ac:dyDescent="0.25">
      <c r="A12" s="11" t="s">
        <v>144</v>
      </c>
      <c r="B12" s="13">
        <v>6894</v>
      </c>
      <c r="C12" s="14">
        <f>(5821/B12*100)</f>
        <v>84.435741224252965</v>
      </c>
      <c r="D12" s="15">
        <v>1073</v>
      </c>
      <c r="E12" s="14">
        <v>34.894284880000001</v>
      </c>
      <c r="F12" s="16">
        <v>1.60918139</v>
      </c>
      <c r="G12" s="14">
        <v>65.105715119999999</v>
      </c>
      <c r="H12" s="16">
        <v>1.60918139</v>
      </c>
      <c r="I12" s="14" t="s">
        <v>139</v>
      </c>
      <c r="J12" s="16" t="s">
        <v>139</v>
      </c>
      <c r="K12" s="14">
        <v>0</v>
      </c>
      <c r="L12" s="16">
        <v>0</v>
      </c>
      <c r="M12" s="14">
        <v>0</v>
      </c>
      <c r="N12" s="16">
        <v>0</v>
      </c>
      <c r="O12" s="14">
        <v>0</v>
      </c>
      <c r="P12" s="16">
        <v>0</v>
      </c>
      <c r="Q12" s="14">
        <v>0</v>
      </c>
      <c r="R12" s="16">
        <v>0</v>
      </c>
    </row>
    <row r="13" spans="1:18" x14ac:dyDescent="0.25">
      <c r="A13" s="11" t="s">
        <v>145</v>
      </c>
      <c r="B13" s="13">
        <v>7161</v>
      </c>
      <c r="C13" s="14">
        <f>(6079/B13*100)</f>
        <v>84.890378438765538</v>
      </c>
      <c r="D13" s="15">
        <v>1082</v>
      </c>
      <c r="E13" s="14">
        <v>38.636454110000003</v>
      </c>
      <c r="F13" s="16">
        <v>1.8763835900000001</v>
      </c>
      <c r="G13" s="14">
        <v>61.363545889999997</v>
      </c>
      <c r="H13" s="16">
        <v>1.8763835900000001</v>
      </c>
      <c r="I13" s="14" t="s">
        <v>139</v>
      </c>
      <c r="J13" s="16" t="s">
        <v>139</v>
      </c>
      <c r="K13" s="14">
        <v>0</v>
      </c>
      <c r="L13" s="16">
        <v>0</v>
      </c>
      <c r="M13" s="14">
        <v>0</v>
      </c>
      <c r="N13" s="16">
        <v>0</v>
      </c>
      <c r="O13" s="14">
        <v>0</v>
      </c>
      <c r="P13" s="16">
        <v>0</v>
      </c>
      <c r="Q13" s="14">
        <v>0</v>
      </c>
      <c r="R13" s="16">
        <v>0</v>
      </c>
    </row>
    <row r="14" spans="1:18" x14ac:dyDescent="0.25">
      <c r="A14" s="11" t="s">
        <v>146</v>
      </c>
      <c r="B14" s="13">
        <v>5587</v>
      </c>
      <c r="C14" s="14">
        <f>(4678/B14*100)</f>
        <v>83.730087703597633</v>
      </c>
      <c r="D14" s="15">
        <v>909</v>
      </c>
      <c r="E14" s="14">
        <v>33.498194460000001</v>
      </c>
      <c r="F14" s="16">
        <v>1.8780724200000001</v>
      </c>
      <c r="G14" s="14">
        <v>66.501805540000007</v>
      </c>
      <c r="H14" s="16">
        <v>1.8780724200000001</v>
      </c>
      <c r="I14" s="14" t="s">
        <v>139</v>
      </c>
      <c r="J14" s="16" t="s">
        <v>139</v>
      </c>
      <c r="K14" s="14">
        <v>0</v>
      </c>
      <c r="L14" s="16">
        <v>0</v>
      </c>
      <c r="M14" s="14">
        <v>0</v>
      </c>
      <c r="N14" s="16">
        <v>0</v>
      </c>
      <c r="O14" s="14">
        <v>0</v>
      </c>
      <c r="P14" s="16">
        <v>0</v>
      </c>
      <c r="Q14" s="14">
        <v>0</v>
      </c>
      <c r="R14" s="16">
        <v>0</v>
      </c>
    </row>
    <row r="15" spans="1:18" x14ac:dyDescent="0.25">
      <c r="A15" s="11" t="s">
        <v>147</v>
      </c>
      <c r="B15" s="13">
        <v>5882</v>
      </c>
      <c r="C15" s="14">
        <f>(4957/B15*100)</f>
        <v>84.274056443386598</v>
      </c>
      <c r="D15" s="15">
        <v>925</v>
      </c>
      <c r="E15" s="14">
        <v>39.352909529999998</v>
      </c>
      <c r="F15" s="16">
        <v>1.75495347</v>
      </c>
      <c r="G15" s="14">
        <v>60.647090470000002</v>
      </c>
      <c r="H15" s="16">
        <v>1.75495347</v>
      </c>
      <c r="I15" s="14" t="s">
        <v>139</v>
      </c>
      <c r="J15" s="16" t="s">
        <v>139</v>
      </c>
      <c r="K15" s="14">
        <v>0</v>
      </c>
      <c r="L15" s="16">
        <v>0</v>
      </c>
      <c r="M15" s="14">
        <v>0</v>
      </c>
      <c r="N15" s="16">
        <v>0</v>
      </c>
      <c r="O15" s="14">
        <v>0</v>
      </c>
      <c r="P15" s="16">
        <v>0</v>
      </c>
      <c r="Q15" s="14">
        <v>0</v>
      </c>
      <c r="R15" s="16">
        <v>0</v>
      </c>
    </row>
    <row r="16" spans="1:18" x14ac:dyDescent="0.25">
      <c r="A16" s="11" t="s">
        <v>148</v>
      </c>
      <c r="B16" s="13">
        <v>6108</v>
      </c>
      <c r="C16" s="14">
        <f>(5144/B16*100)</f>
        <v>84.217419777341192</v>
      </c>
      <c r="D16" s="15">
        <v>964</v>
      </c>
      <c r="E16" s="14">
        <v>46.317942719999998</v>
      </c>
      <c r="F16" s="16">
        <v>1.6483880500000001</v>
      </c>
      <c r="G16" s="14">
        <v>53.682057280000002</v>
      </c>
      <c r="H16" s="16">
        <v>1.6483880500000001</v>
      </c>
      <c r="I16" s="14" t="s">
        <v>139</v>
      </c>
      <c r="J16" s="16" t="s">
        <v>139</v>
      </c>
      <c r="K16" s="14">
        <v>0</v>
      </c>
      <c r="L16" s="16">
        <v>0</v>
      </c>
      <c r="M16" s="14">
        <v>0</v>
      </c>
      <c r="N16" s="16">
        <v>0</v>
      </c>
      <c r="O16" s="14">
        <v>0</v>
      </c>
      <c r="P16" s="16">
        <v>0</v>
      </c>
      <c r="Q16" s="14">
        <v>0</v>
      </c>
      <c r="R16" s="16">
        <v>0</v>
      </c>
    </row>
    <row r="17" spans="1:18" x14ac:dyDescent="0.25">
      <c r="A17" s="11" t="s">
        <v>149</v>
      </c>
      <c r="B17" s="13">
        <v>6504</v>
      </c>
      <c r="C17" s="14">
        <f>(5504/B17*100)</f>
        <v>84.624846248462475</v>
      </c>
      <c r="D17" s="15">
        <v>1000</v>
      </c>
      <c r="E17" s="14">
        <v>27.542254190000001</v>
      </c>
      <c r="F17" s="16">
        <v>1.64366251</v>
      </c>
      <c r="G17" s="14">
        <v>72.457745810000006</v>
      </c>
      <c r="H17" s="16">
        <v>1.64366251</v>
      </c>
      <c r="I17" s="14" t="s">
        <v>139</v>
      </c>
      <c r="J17" s="16" t="s">
        <v>139</v>
      </c>
      <c r="K17" s="14">
        <v>0</v>
      </c>
      <c r="L17" s="16">
        <v>0</v>
      </c>
      <c r="M17" s="14">
        <v>0</v>
      </c>
      <c r="N17" s="16">
        <v>0</v>
      </c>
      <c r="O17" s="14">
        <v>0</v>
      </c>
      <c r="P17" s="16">
        <v>0</v>
      </c>
      <c r="Q17" s="14">
        <v>0</v>
      </c>
      <c r="R17" s="16">
        <v>0</v>
      </c>
    </row>
    <row r="18" spans="1:18" x14ac:dyDescent="0.25">
      <c r="A18" s="11" t="s">
        <v>150</v>
      </c>
      <c r="B18" s="13">
        <v>5532</v>
      </c>
      <c r="C18" s="14">
        <f>(4604/B18*100)</f>
        <v>83.224873463485167</v>
      </c>
      <c r="D18" s="15">
        <v>928</v>
      </c>
      <c r="E18" s="14">
        <v>38.153461649999997</v>
      </c>
      <c r="F18" s="16">
        <v>1.6990243899999999</v>
      </c>
      <c r="G18" s="14">
        <v>61.846538350000003</v>
      </c>
      <c r="H18" s="16">
        <v>1.6990243899999999</v>
      </c>
      <c r="I18" s="14" t="s">
        <v>139</v>
      </c>
      <c r="J18" s="16" t="s">
        <v>139</v>
      </c>
      <c r="K18" s="14">
        <v>0</v>
      </c>
      <c r="L18" s="16">
        <v>0</v>
      </c>
      <c r="M18" s="14">
        <v>0</v>
      </c>
      <c r="N18" s="16">
        <v>0</v>
      </c>
      <c r="O18" s="14">
        <v>0</v>
      </c>
      <c r="P18" s="16">
        <v>0</v>
      </c>
      <c r="Q18" s="14">
        <v>0</v>
      </c>
      <c r="R18" s="16">
        <v>0</v>
      </c>
    </row>
    <row r="19" spans="1:18" x14ac:dyDescent="0.25">
      <c r="A19" s="11" t="s">
        <v>151</v>
      </c>
      <c r="B19" s="13">
        <v>5658</v>
      </c>
      <c r="C19" s="14">
        <f>(4793/B19*100)</f>
        <v>84.711912336514672</v>
      </c>
      <c r="D19" s="15">
        <v>865</v>
      </c>
      <c r="E19" s="14">
        <v>41.584552389999999</v>
      </c>
      <c r="F19" s="16">
        <v>1.8381598299999999</v>
      </c>
      <c r="G19" s="14">
        <v>58.415447610000001</v>
      </c>
      <c r="H19" s="16">
        <v>1.8381598299999999</v>
      </c>
      <c r="I19" s="14" t="s">
        <v>139</v>
      </c>
      <c r="J19" s="16" t="s">
        <v>139</v>
      </c>
      <c r="K19" s="14">
        <v>0</v>
      </c>
      <c r="L19" s="16">
        <v>0</v>
      </c>
      <c r="M19" s="14">
        <v>0</v>
      </c>
      <c r="N19" s="16">
        <v>0</v>
      </c>
      <c r="O19" s="14">
        <v>0</v>
      </c>
      <c r="P19" s="16">
        <v>0</v>
      </c>
      <c r="Q19" s="14">
        <v>0</v>
      </c>
      <c r="R19" s="16">
        <v>0</v>
      </c>
    </row>
    <row r="20" spans="1:18" x14ac:dyDescent="0.25">
      <c r="A20" s="11" t="s">
        <v>152</v>
      </c>
      <c r="B20" s="13">
        <v>3371</v>
      </c>
      <c r="C20" s="14">
        <f>(2842/B20*100)</f>
        <v>84.307327202610509</v>
      </c>
      <c r="D20" s="15">
        <v>529</v>
      </c>
      <c r="E20" s="14">
        <v>31.8966584</v>
      </c>
      <c r="F20" s="16">
        <v>2.2995631200000002</v>
      </c>
      <c r="G20" s="14">
        <v>68.103341599999993</v>
      </c>
      <c r="H20" s="16">
        <v>2.2995631200000002</v>
      </c>
      <c r="I20" s="14" t="s">
        <v>139</v>
      </c>
      <c r="J20" s="16" t="s">
        <v>139</v>
      </c>
      <c r="K20" s="14">
        <v>0</v>
      </c>
      <c r="L20" s="16">
        <v>0</v>
      </c>
      <c r="M20" s="14">
        <v>0</v>
      </c>
      <c r="N20" s="16">
        <v>0</v>
      </c>
      <c r="O20" s="14">
        <v>0</v>
      </c>
      <c r="P20" s="16">
        <v>0</v>
      </c>
      <c r="Q20" s="14">
        <v>0</v>
      </c>
      <c r="R20" s="16">
        <v>0</v>
      </c>
    </row>
    <row r="21" spans="1:18" x14ac:dyDescent="0.25">
      <c r="A21" s="11" t="s">
        <v>153</v>
      </c>
      <c r="B21" s="17" t="s">
        <v>154</v>
      </c>
      <c r="C21" s="17" t="s">
        <v>154</v>
      </c>
      <c r="D21" s="18" t="s">
        <v>154</v>
      </c>
      <c r="E21" s="17" t="s">
        <v>154</v>
      </c>
      <c r="F21" s="18" t="s">
        <v>154</v>
      </c>
      <c r="G21" s="17" t="s">
        <v>154</v>
      </c>
      <c r="H21" s="18" t="s">
        <v>154</v>
      </c>
      <c r="I21" s="17" t="s">
        <v>154</v>
      </c>
      <c r="J21" s="18" t="s">
        <v>154</v>
      </c>
      <c r="K21" s="17" t="s">
        <v>154</v>
      </c>
      <c r="L21" s="18" t="s">
        <v>154</v>
      </c>
      <c r="M21" s="17" t="s">
        <v>154</v>
      </c>
      <c r="N21" s="18" t="s">
        <v>154</v>
      </c>
      <c r="O21" s="17" t="s">
        <v>154</v>
      </c>
      <c r="P21" s="18" t="s">
        <v>154</v>
      </c>
      <c r="Q21" s="17" t="s">
        <v>154</v>
      </c>
      <c r="R21" s="18" t="s">
        <v>154</v>
      </c>
    </row>
    <row r="22" spans="1:18" x14ac:dyDescent="0.25">
      <c r="A22" s="11" t="s">
        <v>155</v>
      </c>
      <c r="B22" s="13">
        <v>6598</v>
      </c>
      <c r="C22" s="14">
        <f>(5639/B22*100)</f>
        <v>85.465292512882698</v>
      </c>
      <c r="D22" s="15">
        <v>959</v>
      </c>
      <c r="E22" s="14">
        <v>42.463153179999999</v>
      </c>
      <c r="F22" s="16">
        <v>1.9127003</v>
      </c>
      <c r="G22" s="14">
        <v>57.536846820000001</v>
      </c>
      <c r="H22" s="16">
        <v>1.9127003</v>
      </c>
      <c r="I22" s="14" t="s">
        <v>139</v>
      </c>
      <c r="J22" s="16" t="s">
        <v>139</v>
      </c>
      <c r="K22" s="14">
        <v>0</v>
      </c>
      <c r="L22" s="16">
        <v>0</v>
      </c>
      <c r="M22" s="14">
        <v>0</v>
      </c>
      <c r="N22" s="16">
        <v>0</v>
      </c>
      <c r="O22" s="14">
        <v>0</v>
      </c>
      <c r="P22" s="16">
        <v>0</v>
      </c>
      <c r="Q22" s="14">
        <v>0</v>
      </c>
      <c r="R22" s="16">
        <v>0</v>
      </c>
    </row>
    <row r="23" spans="1:18" x14ac:dyDescent="0.25">
      <c r="A23" s="11" t="s">
        <v>156</v>
      </c>
      <c r="B23" s="13">
        <v>11583</v>
      </c>
      <c r="C23" s="14">
        <f>(9722/B23*100)</f>
        <v>83.933350600017263</v>
      </c>
      <c r="D23" s="15">
        <v>1861</v>
      </c>
      <c r="E23" s="14">
        <v>35.525601760000001</v>
      </c>
      <c r="F23" s="16">
        <v>1.42917491</v>
      </c>
      <c r="G23" s="14">
        <v>64.474398239999999</v>
      </c>
      <c r="H23" s="16">
        <v>1.42917491</v>
      </c>
      <c r="I23" s="14" t="s">
        <v>139</v>
      </c>
      <c r="J23" s="16" t="s">
        <v>139</v>
      </c>
      <c r="K23" s="14">
        <v>0</v>
      </c>
      <c r="L23" s="16">
        <v>0</v>
      </c>
      <c r="M23" s="14">
        <v>0</v>
      </c>
      <c r="N23" s="16">
        <v>0</v>
      </c>
      <c r="O23" s="14">
        <v>0</v>
      </c>
      <c r="P23" s="16">
        <v>0</v>
      </c>
      <c r="Q23" s="14">
        <v>0</v>
      </c>
      <c r="R23" s="16">
        <v>0</v>
      </c>
    </row>
    <row r="24" spans="1:18" x14ac:dyDescent="0.25">
      <c r="A24" s="11" t="s">
        <v>157</v>
      </c>
      <c r="B24" s="13">
        <v>6647</v>
      </c>
      <c r="C24" s="14">
        <f>(5539/B24*100)</f>
        <v>83.33082593651271</v>
      </c>
      <c r="D24" s="15">
        <v>1108</v>
      </c>
      <c r="E24" s="14">
        <v>21.03845394</v>
      </c>
      <c r="F24" s="16">
        <v>1.22362233</v>
      </c>
      <c r="G24" s="14">
        <v>78.961546060000003</v>
      </c>
      <c r="H24" s="16">
        <v>1.22362233</v>
      </c>
      <c r="I24" s="14" t="s">
        <v>139</v>
      </c>
      <c r="J24" s="16" t="s">
        <v>139</v>
      </c>
      <c r="K24" s="14">
        <v>0</v>
      </c>
      <c r="L24" s="16">
        <v>0</v>
      </c>
      <c r="M24" s="14">
        <v>0</v>
      </c>
      <c r="N24" s="16">
        <v>0</v>
      </c>
      <c r="O24" s="14">
        <v>0</v>
      </c>
      <c r="P24" s="16">
        <v>0</v>
      </c>
      <c r="Q24" s="14">
        <v>0</v>
      </c>
      <c r="R24" s="16">
        <v>0</v>
      </c>
    </row>
    <row r="25" spans="1:18" x14ac:dyDescent="0.25">
      <c r="A25" s="11" t="s">
        <v>158</v>
      </c>
      <c r="B25" s="13">
        <v>5581</v>
      </c>
      <c r="C25" s="14">
        <f>(4619/B25*100)</f>
        <v>82.762945708654371</v>
      </c>
      <c r="D25" s="15">
        <v>962</v>
      </c>
      <c r="E25" s="14">
        <v>32.000401580000002</v>
      </c>
      <c r="F25" s="16">
        <v>1.6144920899999999</v>
      </c>
      <c r="G25" s="14">
        <v>67.999598419999998</v>
      </c>
      <c r="H25" s="16">
        <v>1.6144920899999999</v>
      </c>
      <c r="I25" s="14" t="s">
        <v>139</v>
      </c>
      <c r="J25" s="16" t="s">
        <v>139</v>
      </c>
      <c r="K25" s="14">
        <v>0</v>
      </c>
      <c r="L25" s="16">
        <v>0</v>
      </c>
      <c r="M25" s="14">
        <v>0</v>
      </c>
      <c r="N25" s="16">
        <v>0</v>
      </c>
      <c r="O25" s="14">
        <v>0</v>
      </c>
      <c r="P25" s="16">
        <v>0</v>
      </c>
      <c r="Q25" s="14">
        <v>0</v>
      </c>
      <c r="R25" s="16">
        <v>0</v>
      </c>
    </row>
    <row r="26" spans="1:18" x14ac:dyDescent="0.25">
      <c r="A26" s="11" t="s">
        <v>159</v>
      </c>
      <c r="B26" s="13">
        <v>4869</v>
      </c>
      <c r="C26" s="14">
        <f>(4044/B26*100)</f>
        <v>83.056069008009857</v>
      </c>
      <c r="D26" s="15">
        <v>825</v>
      </c>
      <c r="E26" s="14">
        <v>44.412727869999998</v>
      </c>
      <c r="F26" s="16">
        <v>2.0698324399999999</v>
      </c>
      <c r="G26" s="14">
        <v>55.587272130000002</v>
      </c>
      <c r="H26" s="16">
        <v>2.0698324399999999</v>
      </c>
      <c r="I26" s="14" t="s">
        <v>139</v>
      </c>
      <c r="J26" s="16" t="s">
        <v>139</v>
      </c>
      <c r="K26" s="14">
        <v>0</v>
      </c>
      <c r="L26" s="16">
        <v>0</v>
      </c>
      <c r="M26" s="14">
        <v>0</v>
      </c>
      <c r="N26" s="16">
        <v>0</v>
      </c>
      <c r="O26" s="14">
        <v>0</v>
      </c>
      <c r="P26" s="16">
        <v>0</v>
      </c>
      <c r="Q26" s="14">
        <v>0</v>
      </c>
      <c r="R26" s="16">
        <v>0</v>
      </c>
    </row>
    <row r="27" spans="1:18" x14ac:dyDescent="0.25">
      <c r="A27" s="11" t="s">
        <v>160</v>
      </c>
      <c r="B27" s="13">
        <v>5299</v>
      </c>
      <c r="C27" s="14">
        <f>(4485/B27*100)</f>
        <v>84.638611058690316</v>
      </c>
      <c r="D27" s="15">
        <v>814</v>
      </c>
      <c r="E27" s="14">
        <v>34.662956090000002</v>
      </c>
      <c r="F27" s="16">
        <v>1.60020585</v>
      </c>
      <c r="G27" s="14">
        <v>65.337043910000006</v>
      </c>
      <c r="H27" s="16">
        <v>1.60020585</v>
      </c>
      <c r="I27" s="14" t="s">
        <v>139</v>
      </c>
      <c r="J27" s="16" t="s">
        <v>139</v>
      </c>
      <c r="K27" s="14">
        <v>0</v>
      </c>
      <c r="L27" s="16">
        <v>0</v>
      </c>
      <c r="M27" s="14">
        <v>0</v>
      </c>
      <c r="N27" s="16">
        <v>0</v>
      </c>
      <c r="O27" s="14">
        <v>0</v>
      </c>
      <c r="P27" s="16">
        <v>0</v>
      </c>
      <c r="Q27" s="14">
        <v>0</v>
      </c>
      <c r="R27" s="16">
        <v>0</v>
      </c>
    </row>
    <row r="28" spans="1:18" x14ac:dyDescent="0.25">
      <c r="A28" s="11" t="s">
        <v>161</v>
      </c>
      <c r="B28" s="13">
        <v>7568</v>
      </c>
      <c r="C28" s="14">
        <f>(6565/B28*100)</f>
        <v>86.746828752642699</v>
      </c>
      <c r="D28" s="15">
        <v>1003</v>
      </c>
      <c r="E28" s="14">
        <v>38.793667689999999</v>
      </c>
      <c r="F28" s="16">
        <v>1.6496599599999999</v>
      </c>
      <c r="G28" s="14">
        <v>61.206332310000001</v>
      </c>
      <c r="H28" s="16">
        <v>1.6496599599999999</v>
      </c>
      <c r="I28" s="14" t="s">
        <v>139</v>
      </c>
      <c r="J28" s="16" t="s">
        <v>139</v>
      </c>
      <c r="K28" s="14">
        <v>0</v>
      </c>
      <c r="L28" s="16">
        <v>0</v>
      </c>
      <c r="M28" s="14">
        <v>0</v>
      </c>
      <c r="N28" s="16">
        <v>0</v>
      </c>
      <c r="O28" s="14">
        <v>0</v>
      </c>
      <c r="P28" s="16">
        <v>0</v>
      </c>
      <c r="Q28" s="14">
        <v>0</v>
      </c>
      <c r="R28" s="16">
        <v>0</v>
      </c>
    </row>
    <row r="29" spans="1:18" x14ac:dyDescent="0.25">
      <c r="A29" s="11" t="s">
        <v>162</v>
      </c>
      <c r="B29" s="13">
        <v>5385</v>
      </c>
      <c r="C29" s="14">
        <f>(4470/B29*100)</f>
        <v>83.008356545961007</v>
      </c>
      <c r="D29" s="15">
        <v>915</v>
      </c>
      <c r="E29" s="14">
        <v>36.577373180000002</v>
      </c>
      <c r="F29" s="16">
        <v>1.71160595</v>
      </c>
      <c r="G29" s="14">
        <v>63.422626819999998</v>
      </c>
      <c r="H29" s="16">
        <v>1.71160595</v>
      </c>
      <c r="I29" s="14" t="s">
        <v>139</v>
      </c>
      <c r="J29" s="16" t="s">
        <v>139</v>
      </c>
      <c r="K29" s="14">
        <v>0</v>
      </c>
      <c r="L29" s="16">
        <v>0</v>
      </c>
      <c r="M29" s="14">
        <v>0</v>
      </c>
      <c r="N29" s="16">
        <v>0</v>
      </c>
      <c r="O29" s="14">
        <v>0</v>
      </c>
      <c r="P29" s="16">
        <v>0</v>
      </c>
      <c r="Q29" s="14">
        <v>0</v>
      </c>
      <c r="R29" s="16">
        <v>0</v>
      </c>
    </row>
    <row r="30" spans="1:18" x14ac:dyDescent="0.25">
      <c r="A30" s="11" t="s">
        <v>163</v>
      </c>
      <c r="B30" s="13">
        <v>4520</v>
      </c>
      <c r="C30" s="14">
        <f>(3802/B30*100)</f>
        <v>84.115044247787608</v>
      </c>
      <c r="D30" s="15">
        <v>718</v>
      </c>
      <c r="E30" s="14">
        <v>29.99837604</v>
      </c>
      <c r="F30" s="16">
        <v>1.6973295799999999</v>
      </c>
      <c r="G30" s="14">
        <v>70.001623960000003</v>
      </c>
      <c r="H30" s="16">
        <v>1.6973295799999999</v>
      </c>
      <c r="I30" s="14" t="s">
        <v>139</v>
      </c>
      <c r="J30" s="16" t="s">
        <v>139</v>
      </c>
      <c r="K30" s="14">
        <v>0</v>
      </c>
      <c r="L30" s="16">
        <v>0</v>
      </c>
      <c r="M30" s="14">
        <v>0</v>
      </c>
      <c r="N30" s="16">
        <v>0</v>
      </c>
      <c r="O30" s="14">
        <v>0</v>
      </c>
      <c r="P30" s="16">
        <v>0</v>
      </c>
      <c r="Q30" s="14">
        <v>0</v>
      </c>
      <c r="R30" s="16">
        <v>0</v>
      </c>
    </row>
    <row r="31" spans="1:18" x14ac:dyDescent="0.25">
      <c r="A31" s="11" t="s">
        <v>164</v>
      </c>
      <c r="B31" s="13">
        <v>5456</v>
      </c>
      <c r="C31" s="14">
        <f>(4603/B31*100)</f>
        <v>84.365835777126094</v>
      </c>
      <c r="D31" s="15">
        <v>853</v>
      </c>
      <c r="E31" s="14">
        <v>33.099043960000003</v>
      </c>
      <c r="F31" s="16">
        <v>1.7384647</v>
      </c>
      <c r="G31" s="14">
        <v>66.900956039999997</v>
      </c>
      <c r="H31" s="16">
        <v>1.7384647</v>
      </c>
      <c r="I31" s="14" t="s">
        <v>139</v>
      </c>
      <c r="J31" s="16" t="s">
        <v>139</v>
      </c>
      <c r="K31" s="14">
        <v>0</v>
      </c>
      <c r="L31" s="16">
        <v>0</v>
      </c>
      <c r="M31" s="14">
        <v>0</v>
      </c>
      <c r="N31" s="16">
        <v>0</v>
      </c>
      <c r="O31" s="14">
        <v>0</v>
      </c>
      <c r="P31" s="16">
        <v>0</v>
      </c>
      <c r="Q31" s="14">
        <v>0</v>
      </c>
      <c r="R31" s="16">
        <v>0</v>
      </c>
    </row>
    <row r="32" spans="1:18" x14ac:dyDescent="0.25">
      <c r="A32" s="11" t="s">
        <v>165</v>
      </c>
      <c r="B32" s="17" t="s">
        <v>154</v>
      </c>
      <c r="C32" s="17" t="s">
        <v>154</v>
      </c>
      <c r="D32" s="18" t="s">
        <v>154</v>
      </c>
      <c r="E32" s="17" t="s">
        <v>154</v>
      </c>
      <c r="F32" s="18" t="s">
        <v>154</v>
      </c>
      <c r="G32" s="17" t="s">
        <v>154</v>
      </c>
      <c r="H32" s="18" t="s">
        <v>154</v>
      </c>
      <c r="I32" s="17" t="s">
        <v>154</v>
      </c>
      <c r="J32" s="18" t="s">
        <v>154</v>
      </c>
      <c r="K32" s="17" t="s">
        <v>154</v>
      </c>
      <c r="L32" s="18" t="s">
        <v>154</v>
      </c>
      <c r="M32" s="17" t="s">
        <v>154</v>
      </c>
      <c r="N32" s="18" t="s">
        <v>154</v>
      </c>
      <c r="O32" s="17" t="s">
        <v>154</v>
      </c>
      <c r="P32" s="18" t="s">
        <v>154</v>
      </c>
      <c r="Q32" s="17" t="s">
        <v>154</v>
      </c>
      <c r="R32" s="18" t="s">
        <v>154</v>
      </c>
    </row>
    <row r="33" spans="1:18" x14ac:dyDescent="0.25">
      <c r="A33" s="11" t="s">
        <v>166</v>
      </c>
      <c r="B33" s="13">
        <v>7325</v>
      </c>
      <c r="C33" s="14">
        <f>(6254/B33*100)</f>
        <v>85.37883959044369</v>
      </c>
      <c r="D33" s="15">
        <v>1071</v>
      </c>
      <c r="E33" s="14">
        <v>32.043807409999999</v>
      </c>
      <c r="F33" s="16">
        <v>1.8789305000000001</v>
      </c>
      <c r="G33" s="14">
        <v>67.956192590000001</v>
      </c>
      <c r="H33" s="16">
        <v>1.8789305000000001</v>
      </c>
      <c r="I33" s="14" t="s">
        <v>139</v>
      </c>
      <c r="J33" s="16" t="s">
        <v>139</v>
      </c>
      <c r="K33" s="14">
        <v>0</v>
      </c>
      <c r="L33" s="16">
        <v>0</v>
      </c>
      <c r="M33" s="14">
        <v>0</v>
      </c>
      <c r="N33" s="16">
        <v>0</v>
      </c>
      <c r="O33" s="14">
        <v>0</v>
      </c>
      <c r="P33" s="16">
        <v>0</v>
      </c>
      <c r="Q33" s="14">
        <v>0</v>
      </c>
      <c r="R33" s="16">
        <v>0</v>
      </c>
    </row>
    <row r="34" spans="1:18" x14ac:dyDescent="0.25">
      <c r="A34" s="11" t="s">
        <v>167</v>
      </c>
      <c r="B34" s="13">
        <v>6350</v>
      </c>
      <c r="C34" s="14">
        <f>(5401/B34*100)</f>
        <v>85.055118110236222</v>
      </c>
      <c r="D34" s="15">
        <v>949</v>
      </c>
      <c r="E34" s="14">
        <v>49.193148370000003</v>
      </c>
      <c r="F34" s="16">
        <v>1.7580523299999999</v>
      </c>
      <c r="G34" s="14">
        <v>50.806851629999997</v>
      </c>
      <c r="H34" s="16">
        <v>1.7580523299999999</v>
      </c>
      <c r="I34" s="14" t="s">
        <v>139</v>
      </c>
      <c r="J34" s="16" t="s">
        <v>139</v>
      </c>
      <c r="K34" s="14">
        <v>0</v>
      </c>
      <c r="L34" s="16">
        <v>0</v>
      </c>
      <c r="M34" s="14">
        <v>0</v>
      </c>
      <c r="N34" s="16">
        <v>0</v>
      </c>
      <c r="O34" s="14">
        <v>0</v>
      </c>
      <c r="P34" s="16">
        <v>0</v>
      </c>
      <c r="Q34" s="14">
        <v>0</v>
      </c>
      <c r="R34" s="16">
        <v>0</v>
      </c>
    </row>
    <row r="35" spans="1:18" x14ac:dyDescent="0.25">
      <c r="A35" s="11" t="s">
        <v>168</v>
      </c>
      <c r="B35" s="13">
        <v>6406</v>
      </c>
      <c r="C35" s="14">
        <f>(5331/B35*100)</f>
        <v>83.218857321261325</v>
      </c>
      <c r="D35" s="15">
        <v>1075</v>
      </c>
      <c r="E35" s="14">
        <v>28.50548547</v>
      </c>
      <c r="F35" s="16">
        <v>1.33650055</v>
      </c>
      <c r="G35" s="14">
        <v>71.494514530000004</v>
      </c>
      <c r="H35" s="16">
        <v>1.33650055</v>
      </c>
      <c r="I35" s="14" t="s">
        <v>139</v>
      </c>
      <c r="J35" s="16" t="s">
        <v>139</v>
      </c>
      <c r="K35" s="14">
        <v>0</v>
      </c>
      <c r="L35" s="16">
        <v>0</v>
      </c>
      <c r="M35" s="14">
        <v>0</v>
      </c>
      <c r="N35" s="16">
        <v>0</v>
      </c>
      <c r="O35" s="14">
        <v>0</v>
      </c>
      <c r="P35" s="16">
        <v>0</v>
      </c>
      <c r="Q35" s="14">
        <v>0</v>
      </c>
      <c r="R35" s="16">
        <v>0</v>
      </c>
    </row>
    <row r="36" spans="1:18" x14ac:dyDescent="0.25">
      <c r="A36" s="11" t="s">
        <v>169</v>
      </c>
      <c r="B36" s="13">
        <v>6736</v>
      </c>
      <c r="C36" s="14">
        <f>(5718/B36*100)</f>
        <v>84.887173396674584</v>
      </c>
      <c r="D36" s="15">
        <v>1018</v>
      </c>
      <c r="E36" s="14">
        <v>31.290196600000002</v>
      </c>
      <c r="F36" s="16">
        <v>1.7334115999999999</v>
      </c>
      <c r="G36" s="14">
        <v>68.709803399999998</v>
      </c>
      <c r="H36" s="16">
        <v>1.7334115999999999</v>
      </c>
      <c r="I36" s="14" t="s">
        <v>139</v>
      </c>
      <c r="J36" s="16" t="s">
        <v>139</v>
      </c>
      <c r="K36" s="14">
        <v>0</v>
      </c>
      <c r="L36" s="16">
        <v>0</v>
      </c>
      <c r="M36" s="14">
        <v>0</v>
      </c>
      <c r="N36" s="16">
        <v>0</v>
      </c>
      <c r="O36" s="14">
        <v>0</v>
      </c>
      <c r="P36" s="16">
        <v>0</v>
      </c>
      <c r="Q36" s="14">
        <v>0</v>
      </c>
      <c r="R36" s="16">
        <v>0</v>
      </c>
    </row>
    <row r="37" spans="1:18" x14ac:dyDescent="0.25">
      <c r="A37" s="11" t="s">
        <v>170</v>
      </c>
      <c r="B37" s="13">
        <v>5458</v>
      </c>
      <c r="C37" s="14">
        <f>(4647/B37*100)</f>
        <v>85.141077317698787</v>
      </c>
      <c r="D37" s="15">
        <v>811</v>
      </c>
      <c r="E37" s="14">
        <v>38.098647999999997</v>
      </c>
      <c r="F37" s="16">
        <v>1.9803719799999999</v>
      </c>
      <c r="G37" s="14">
        <v>61.901352000000003</v>
      </c>
      <c r="H37" s="16">
        <v>1.9803719799999999</v>
      </c>
      <c r="I37" s="14" t="s">
        <v>139</v>
      </c>
      <c r="J37" s="16" t="s">
        <v>139</v>
      </c>
      <c r="K37" s="14">
        <v>0</v>
      </c>
      <c r="L37" s="16">
        <v>0</v>
      </c>
      <c r="M37" s="14">
        <v>0</v>
      </c>
      <c r="N37" s="16">
        <v>0</v>
      </c>
      <c r="O37" s="14">
        <v>0</v>
      </c>
      <c r="P37" s="16">
        <v>0</v>
      </c>
      <c r="Q37" s="14">
        <v>0</v>
      </c>
      <c r="R37" s="16">
        <v>0</v>
      </c>
    </row>
    <row r="38" spans="1:18" x14ac:dyDescent="0.25">
      <c r="A38" s="11" t="s">
        <v>171</v>
      </c>
      <c r="B38" s="17" t="s">
        <v>154</v>
      </c>
      <c r="C38" s="17" t="s">
        <v>154</v>
      </c>
      <c r="D38" s="18" t="s">
        <v>154</v>
      </c>
      <c r="E38" s="17" t="s">
        <v>154</v>
      </c>
      <c r="F38" s="18" t="s">
        <v>154</v>
      </c>
      <c r="G38" s="17" t="s">
        <v>154</v>
      </c>
      <c r="H38" s="18" t="s">
        <v>154</v>
      </c>
      <c r="I38" s="17" t="s">
        <v>154</v>
      </c>
      <c r="J38" s="18" t="s">
        <v>154</v>
      </c>
      <c r="K38" s="17" t="s">
        <v>154</v>
      </c>
      <c r="L38" s="18" t="s">
        <v>154</v>
      </c>
      <c r="M38" s="17" t="s">
        <v>154</v>
      </c>
      <c r="N38" s="18" t="s">
        <v>154</v>
      </c>
      <c r="O38" s="17" t="s">
        <v>154</v>
      </c>
      <c r="P38" s="18" t="s">
        <v>154</v>
      </c>
      <c r="Q38" s="17" t="s">
        <v>154</v>
      </c>
      <c r="R38" s="18" t="s">
        <v>154</v>
      </c>
    </row>
    <row r="39" spans="1:18" x14ac:dyDescent="0.25">
      <c r="A39" s="11" t="s">
        <v>172</v>
      </c>
      <c r="B39" s="13">
        <v>5895</v>
      </c>
      <c r="C39" s="14">
        <f>(4878/B39*100)</f>
        <v>82.748091603053425</v>
      </c>
      <c r="D39" s="15">
        <v>1017</v>
      </c>
      <c r="E39" s="14">
        <v>42.329236459999997</v>
      </c>
      <c r="F39" s="16">
        <v>1.80260566</v>
      </c>
      <c r="G39" s="14">
        <v>57.670763540000003</v>
      </c>
      <c r="H39" s="16">
        <v>1.80260566</v>
      </c>
      <c r="I39" s="14" t="s">
        <v>139</v>
      </c>
      <c r="J39" s="16" t="s">
        <v>139</v>
      </c>
      <c r="K39" s="14">
        <v>0</v>
      </c>
      <c r="L39" s="16">
        <v>0</v>
      </c>
      <c r="M39" s="14">
        <v>0</v>
      </c>
      <c r="N39" s="16">
        <v>0</v>
      </c>
      <c r="O39" s="14">
        <v>0</v>
      </c>
      <c r="P39" s="16">
        <v>0</v>
      </c>
      <c r="Q39" s="14">
        <v>0</v>
      </c>
      <c r="R39" s="16">
        <v>0</v>
      </c>
    </row>
    <row r="40" spans="1:18" x14ac:dyDescent="0.25">
      <c r="A40" s="11" t="s">
        <v>173</v>
      </c>
      <c r="B40" s="13">
        <v>14157</v>
      </c>
      <c r="C40" s="14">
        <f>(11712/B40*100)</f>
        <v>82.729391820300918</v>
      </c>
      <c r="D40" s="15">
        <v>2445</v>
      </c>
      <c r="E40" s="14">
        <v>33.34539521</v>
      </c>
      <c r="F40" s="16">
        <v>1.27008594</v>
      </c>
      <c r="G40" s="14">
        <v>66.654604789999993</v>
      </c>
      <c r="H40" s="16">
        <v>1.27008594</v>
      </c>
      <c r="I40" s="14" t="s">
        <v>139</v>
      </c>
      <c r="J40" s="16" t="s">
        <v>139</v>
      </c>
      <c r="K40" s="14">
        <v>0</v>
      </c>
      <c r="L40" s="16">
        <v>0</v>
      </c>
      <c r="M40" s="14">
        <v>0</v>
      </c>
      <c r="N40" s="16">
        <v>0</v>
      </c>
      <c r="O40" s="14">
        <v>0</v>
      </c>
      <c r="P40" s="16">
        <v>0</v>
      </c>
      <c r="Q40" s="14">
        <v>0</v>
      </c>
      <c r="R40" s="16">
        <v>0</v>
      </c>
    </row>
    <row r="41" spans="1:18" x14ac:dyDescent="0.25">
      <c r="A41" s="11" t="s">
        <v>174</v>
      </c>
      <c r="B41" s="13">
        <v>5712</v>
      </c>
      <c r="C41" s="14">
        <f>(4835/B41*100)</f>
        <v>84.646358543417364</v>
      </c>
      <c r="D41" s="15">
        <v>877</v>
      </c>
      <c r="E41" s="14">
        <v>28.637832299999999</v>
      </c>
      <c r="F41" s="16">
        <v>1.8445892100000001</v>
      </c>
      <c r="G41" s="14">
        <v>71.362167700000001</v>
      </c>
      <c r="H41" s="16">
        <v>1.8445892100000001</v>
      </c>
      <c r="I41" s="14" t="s">
        <v>139</v>
      </c>
      <c r="J41" s="16" t="s">
        <v>139</v>
      </c>
      <c r="K41" s="14">
        <v>0</v>
      </c>
      <c r="L41" s="16">
        <v>0</v>
      </c>
      <c r="M41" s="14">
        <v>0</v>
      </c>
      <c r="N41" s="16">
        <v>0</v>
      </c>
      <c r="O41" s="14">
        <v>0</v>
      </c>
      <c r="P41" s="16">
        <v>0</v>
      </c>
      <c r="Q41" s="14">
        <v>0</v>
      </c>
      <c r="R41" s="16">
        <v>0</v>
      </c>
    </row>
    <row r="42" spans="1:18" x14ac:dyDescent="0.25">
      <c r="A42" s="11" t="s">
        <v>175</v>
      </c>
      <c r="B42" s="13">
        <f>IF(COUNT(B7:B41) &gt; 0, AVERAGE(B7:B41), "\u2014")</f>
        <v>7266.90625</v>
      </c>
      <c r="C42" s="14">
        <f>IF(COUNT(C7:C41) &gt; 0, AVERAGE(C7:C41), "—")</f>
        <v>84.230313367981722</v>
      </c>
      <c r="D42" s="15">
        <f>IF(COUNT(D7:D41) &gt; 0, AVERAGE(D7:D41), "—")</f>
        <v>1149.375</v>
      </c>
      <c r="E42" s="14">
        <f>IF(COUNT(E7:E41) &gt; 0, AVERAGE(E7:E41), "—")</f>
        <v>35.613181532499993</v>
      </c>
      <c r="F42" s="16">
        <f>IF(COUNT(F7:F41) &gt; 0, SQRT(SUMSQ(F7:F41)/(COUNT(F7:F41)*COUNT(F7:F41)) ), "—")</f>
        <v>0.29757158557482083</v>
      </c>
      <c r="G42" s="14">
        <f>IF(COUNT(G7:G41) &gt; 0, AVERAGE(G7:G41), "—")</f>
        <v>64.386818467500007</v>
      </c>
      <c r="H42" s="16">
        <f>IF(COUNT(H7:H41) &gt; 0, SQRT(SUMSQ(H7:H41)/(COUNT(H7:H41)*COUNT(H7:H41)) ), "—")</f>
        <v>0.29757158557482083</v>
      </c>
      <c r="I42" s="14" t="str">
        <f>IF(COUNT(I7:I41) &gt; 0, AVERAGE(I7:I41), "—")</f>
        <v>—</v>
      </c>
      <c r="J42" s="16" t="str">
        <f>IF(COUNT(J7:J41) &gt; 0, SQRT(SUMSQ(J7:J41)/(COUNT(J7:J41)*COUNT(J7:J41)) ), "—")</f>
        <v>—</v>
      </c>
      <c r="K42" s="14">
        <f>IF(COUNT(K7:K41) &gt; 0, AVERAGE(K7:K41), "—")</f>
        <v>0</v>
      </c>
      <c r="L42" s="16">
        <f>IF(COUNT(L7:L41) &gt; 0, SQRT(SUMSQ(L7:L41)/(COUNT(L7:L41)*COUNT(L7:L41)) ), "—")</f>
        <v>0</v>
      </c>
      <c r="M42" s="14">
        <f>IF(COUNT(M7:M41) &gt; 0, AVERAGE(M7:M41), "—")</f>
        <v>0</v>
      </c>
      <c r="N42" s="16">
        <f>IF(COUNT(N7:N41) &gt; 0, SQRT(SUMSQ(N7:N41)/(COUNT(N7:N41)*COUNT(N7:N41)) ), "—")</f>
        <v>0</v>
      </c>
      <c r="O42" s="14">
        <f>IF(COUNT(O7:O41) &gt; 0, AVERAGE(O7:O41), "—")</f>
        <v>0</v>
      </c>
      <c r="P42" s="16">
        <f>IF(COUNT(P7:P41) &gt; 0, SQRT(SUMSQ(P7:P41)/(COUNT(P7:P41)*COUNT(P7:P41)) ), "—")</f>
        <v>0</v>
      </c>
      <c r="Q42" s="14">
        <f>IF(COUNT(Q7:Q41) &gt; 0, AVERAGE(Q7:Q41), "—")</f>
        <v>0</v>
      </c>
      <c r="R42" s="16">
        <f>IF(COUNT(R7:R41) &gt; 0, SQRT(SUMSQ(R7:R41)/(COUNT(R7:R41)*COUNT(R7:R41)) ), "—")</f>
        <v>0</v>
      </c>
    </row>
    <row r="43" spans="1:18" x14ac:dyDescent="0.25">
      <c r="A43" s="9" t="s">
        <v>176</v>
      </c>
      <c r="B43" s="10"/>
      <c r="C43" s="10"/>
      <c r="D43" s="11"/>
      <c r="E43" s="10"/>
      <c r="F43" s="11"/>
      <c r="G43" s="10"/>
      <c r="H43" s="11"/>
      <c r="I43" s="10"/>
      <c r="J43" s="11"/>
      <c r="K43" s="10"/>
      <c r="L43" s="11"/>
      <c r="M43" s="10"/>
      <c r="N43" s="11"/>
      <c r="O43" s="10"/>
      <c r="P43" s="11"/>
      <c r="Q43" s="10"/>
      <c r="R43" s="12"/>
    </row>
    <row r="44" spans="1:18" x14ac:dyDescent="0.25">
      <c r="A44" s="11" t="s">
        <v>177</v>
      </c>
      <c r="B44" s="17" t="s">
        <v>154</v>
      </c>
      <c r="C44" s="17" t="s">
        <v>154</v>
      </c>
      <c r="D44" s="18" t="s">
        <v>154</v>
      </c>
      <c r="E44" s="17" t="s">
        <v>154</v>
      </c>
      <c r="F44" s="18" t="s">
        <v>154</v>
      </c>
      <c r="G44" s="17" t="s">
        <v>154</v>
      </c>
      <c r="H44" s="18" t="s">
        <v>154</v>
      </c>
      <c r="I44" s="17" t="s">
        <v>154</v>
      </c>
      <c r="J44" s="18" t="s">
        <v>154</v>
      </c>
      <c r="K44" s="17" t="s">
        <v>154</v>
      </c>
      <c r="L44" s="18" t="s">
        <v>154</v>
      </c>
      <c r="M44" s="17" t="s">
        <v>154</v>
      </c>
      <c r="N44" s="18" t="s">
        <v>154</v>
      </c>
      <c r="O44" s="17" t="s">
        <v>154</v>
      </c>
      <c r="P44" s="18" t="s">
        <v>154</v>
      </c>
      <c r="Q44" s="17" t="s">
        <v>154</v>
      </c>
      <c r="R44" s="18" t="s">
        <v>154</v>
      </c>
    </row>
    <row r="45" spans="1:18" x14ac:dyDescent="0.25">
      <c r="A45" s="11" t="s">
        <v>178</v>
      </c>
      <c r="B45" s="17" t="s">
        <v>154</v>
      </c>
      <c r="C45" s="17" t="s">
        <v>154</v>
      </c>
      <c r="D45" s="18" t="s">
        <v>154</v>
      </c>
      <c r="E45" s="17" t="s">
        <v>154</v>
      </c>
      <c r="F45" s="18" t="s">
        <v>154</v>
      </c>
      <c r="G45" s="17" t="s">
        <v>154</v>
      </c>
      <c r="H45" s="18" t="s">
        <v>154</v>
      </c>
      <c r="I45" s="17" t="s">
        <v>154</v>
      </c>
      <c r="J45" s="18" t="s">
        <v>154</v>
      </c>
      <c r="K45" s="17" t="s">
        <v>154</v>
      </c>
      <c r="L45" s="18" t="s">
        <v>154</v>
      </c>
      <c r="M45" s="17" t="s">
        <v>154</v>
      </c>
      <c r="N45" s="18" t="s">
        <v>154</v>
      </c>
      <c r="O45" s="17" t="s">
        <v>154</v>
      </c>
      <c r="P45" s="18" t="s">
        <v>154</v>
      </c>
      <c r="Q45" s="17" t="s">
        <v>154</v>
      </c>
      <c r="R45" s="18" t="s">
        <v>154</v>
      </c>
    </row>
    <row r="46" spans="1:18" x14ac:dyDescent="0.25">
      <c r="A46" s="11" t="s">
        <v>179</v>
      </c>
      <c r="B46" s="13">
        <v>23141</v>
      </c>
      <c r="C46" s="14">
        <f>(20786/B46*100)</f>
        <v>89.823257421891881</v>
      </c>
      <c r="D46" s="15">
        <v>2355</v>
      </c>
      <c r="E46" s="14">
        <v>44.998148239999999</v>
      </c>
      <c r="F46" s="16">
        <v>1.54503766</v>
      </c>
      <c r="G46" s="14">
        <v>55.001851760000001</v>
      </c>
      <c r="H46" s="16">
        <v>1.54503766</v>
      </c>
      <c r="I46" s="14" t="s">
        <v>139</v>
      </c>
      <c r="J46" s="16" t="s">
        <v>139</v>
      </c>
      <c r="K46" s="14">
        <v>0</v>
      </c>
      <c r="L46" s="16">
        <v>0</v>
      </c>
      <c r="M46" s="14">
        <v>0</v>
      </c>
      <c r="N46" s="16">
        <v>0</v>
      </c>
      <c r="O46" s="14">
        <v>0</v>
      </c>
      <c r="P46" s="16">
        <v>0</v>
      </c>
      <c r="Q46" s="14">
        <v>0</v>
      </c>
      <c r="R46" s="16">
        <v>0</v>
      </c>
    </row>
    <row r="47" spans="1:18" x14ac:dyDescent="0.25">
      <c r="A47" s="11" t="s">
        <v>180</v>
      </c>
      <c r="B47" s="13">
        <v>5928</v>
      </c>
      <c r="C47" s="14">
        <f>(5048/B47*100)</f>
        <v>85.155195681511472</v>
      </c>
      <c r="D47" s="15">
        <v>880</v>
      </c>
      <c r="E47" s="14">
        <v>42.90083345</v>
      </c>
      <c r="F47" s="16">
        <v>1.6456420199999999</v>
      </c>
      <c r="G47" s="14">
        <v>57.09916655</v>
      </c>
      <c r="H47" s="16">
        <v>1.6456420199999999</v>
      </c>
      <c r="I47" s="14" t="s">
        <v>139</v>
      </c>
      <c r="J47" s="16" t="s">
        <v>139</v>
      </c>
      <c r="K47" s="14">
        <v>0</v>
      </c>
      <c r="L47" s="16">
        <v>0</v>
      </c>
      <c r="M47" s="14">
        <v>0</v>
      </c>
      <c r="N47" s="16">
        <v>0</v>
      </c>
      <c r="O47" s="14">
        <v>0</v>
      </c>
      <c r="P47" s="16">
        <v>0</v>
      </c>
      <c r="Q47" s="14">
        <v>0</v>
      </c>
      <c r="R47" s="16">
        <v>0</v>
      </c>
    </row>
    <row r="48" spans="1:18" x14ac:dyDescent="0.25">
      <c r="A48" s="11" t="s">
        <v>181</v>
      </c>
      <c r="B48" s="13">
        <v>9841</v>
      </c>
      <c r="C48" s="14">
        <f>(8186/B48*100)</f>
        <v>83.18260339396403</v>
      </c>
      <c r="D48" s="15">
        <v>1655</v>
      </c>
      <c r="E48" s="14">
        <v>47.581893059999999</v>
      </c>
      <c r="F48" s="16">
        <v>1.5947101699999999</v>
      </c>
      <c r="G48" s="14">
        <v>52.418106940000001</v>
      </c>
      <c r="H48" s="16">
        <v>1.5947101699999999</v>
      </c>
      <c r="I48" s="14" t="s">
        <v>139</v>
      </c>
      <c r="J48" s="16" t="s">
        <v>139</v>
      </c>
      <c r="K48" s="14">
        <v>0</v>
      </c>
      <c r="L48" s="16">
        <v>0</v>
      </c>
      <c r="M48" s="14">
        <v>0</v>
      </c>
      <c r="N48" s="16">
        <v>0</v>
      </c>
      <c r="O48" s="14">
        <v>0</v>
      </c>
      <c r="P48" s="16">
        <v>0</v>
      </c>
      <c r="Q48" s="14">
        <v>0</v>
      </c>
      <c r="R48" s="16">
        <v>0</v>
      </c>
    </row>
    <row r="49" spans="1:18" x14ac:dyDescent="0.25">
      <c r="A49" s="11" t="s">
        <v>182</v>
      </c>
      <c r="B49" s="17" t="s">
        <v>154</v>
      </c>
      <c r="C49" s="17" t="s">
        <v>154</v>
      </c>
      <c r="D49" s="18" t="s">
        <v>154</v>
      </c>
      <c r="E49" s="17" t="s">
        <v>154</v>
      </c>
      <c r="F49" s="18" t="s">
        <v>154</v>
      </c>
      <c r="G49" s="17" t="s">
        <v>154</v>
      </c>
      <c r="H49" s="18" t="s">
        <v>154</v>
      </c>
      <c r="I49" s="17" t="s">
        <v>154</v>
      </c>
      <c r="J49" s="18" t="s">
        <v>154</v>
      </c>
      <c r="K49" s="17" t="s">
        <v>154</v>
      </c>
      <c r="L49" s="18" t="s">
        <v>154</v>
      </c>
      <c r="M49" s="17" t="s">
        <v>154</v>
      </c>
      <c r="N49" s="18" t="s">
        <v>154</v>
      </c>
      <c r="O49" s="17" t="s">
        <v>154</v>
      </c>
      <c r="P49" s="18" t="s">
        <v>154</v>
      </c>
      <c r="Q49" s="17" t="s">
        <v>154</v>
      </c>
      <c r="R49" s="18" t="s">
        <v>154</v>
      </c>
    </row>
    <row r="50" spans="1:18" x14ac:dyDescent="0.25">
      <c r="A50" s="11" t="s">
        <v>183</v>
      </c>
      <c r="B50" s="13">
        <v>11795</v>
      </c>
      <c r="C50" s="14">
        <f>(10063/B50*100)</f>
        <v>85.315811784654514</v>
      </c>
      <c r="D50" s="15">
        <v>1732</v>
      </c>
      <c r="E50" s="14">
        <v>46.185657839999998</v>
      </c>
      <c r="F50" s="16">
        <v>1.87678129</v>
      </c>
      <c r="G50" s="14">
        <v>53.814342160000002</v>
      </c>
      <c r="H50" s="16">
        <v>1.87678129</v>
      </c>
      <c r="I50" s="14" t="s">
        <v>139</v>
      </c>
      <c r="J50" s="16" t="s">
        <v>139</v>
      </c>
      <c r="K50" s="14">
        <v>0</v>
      </c>
      <c r="L50" s="16">
        <v>0</v>
      </c>
      <c r="M50" s="14">
        <v>0</v>
      </c>
      <c r="N50" s="16">
        <v>0</v>
      </c>
      <c r="O50" s="14">
        <v>0</v>
      </c>
      <c r="P50" s="16">
        <v>0</v>
      </c>
      <c r="Q50" s="14">
        <v>0</v>
      </c>
      <c r="R50" s="16">
        <v>0</v>
      </c>
    </row>
    <row r="51" spans="1:18" x14ac:dyDescent="0.25">
      <c r="A51" s="11" t="s">
        <v>184</v>
      </c>
      <c r="B51" s="13">
        <v>6866</v>
      </c>
      <c r="C51" s="14">
        <f>(6010/B51*100)</f>
        <v>87.532770171861344</v>
      </c>
      <c r="D51" s="15">
        <v>856</v>
      </c>
      <c r="E51" s="14">
        <v>44.729080869999997</v>
      </c>
      <c r="F51" s="16">
        <v>1.8535894399999999</v>
      </c>
      <c r="G51" s="14">
        <v>55.270919130000003</v>
      </c>
      <c r="H51" s="16">
        <v>1.8535894399999999</v>
      </c>
      <c r="I51" s="14" t="s">
        <v>139</v>
      </c>
      <c r="J51" s="16" t="s">
        <v>139</v>
      </c>
      <c r="K51" s="14">
        <v>0</v>
      </c>
      <c r="L51" s="16">
        <v>0</v>
      </c>
      <c r="M51" s="14">
        <v>0</v>
      </c>
      <c r="N51" s="16">
        <v>0</v>
      </c>
      <c r="O51" s="14">
        <v>0</v>
      </c>
      <c r="P51" s="16">
        <v>0</v>
      </c>
      <c r="Q51" s="14">
        <v>0</v>
      </c>
      <c r="R51" s="16">
        <v>0</v>
      </c>
    </row>
    <row r="52" spans="1:18" x14ac:dyDescent="0.25">
      <c r="A52" s="11" t="s">
        <v>185</v>
      </c>
      <c r="B52" s="13">
        <v>5809</v>
      </c>
      <c r="C52" s="14">
        <f>(4849/B52*100)</f>
        <v>83.473919779652263</v>
      </c>
      <c r="D52" s="15">
        <v>960</v>
      </c>
      <c r="E52" s="14">
        <v>41.506157999999999</v>
      </c>
      <c r="F52" s="16">
        <v>1.63016922</v>
      </c>
      <c r="G52" s="14">
        <v>58.493842000000001</v>
      </c>
      <c r="H52" s="16">
        <v>1.63016922</v>
      </c>
      <c r="I52" s="14" t="s">
        <v>139</v>
      </c>
      <c r="J52" s="16" t="s">
        <v>139</v>
      </c>
      <c r="K52" s="14">
        <v>0</v>
      </c>
      <c r="L52" s="16">
        <v>0</v>
      </c>
      <c r="M52" s="14">
        <v>0</v>
      </c>
      <c r="N52" s="16">
        <v>0</v>
      </c>
      <c r="O52" s="14">
        <v>0</v>
      </c>
      <c r="P52" s="16">
        <v>0</v>
      </c>
      <c r="Q52" s="14">
        <v>0</v>
      </c>
      <c r="R52" s="16">
        <v>0</v>
      </c>
    </row>
    <row r="53" spans="1:18" x14ac:dyDescent="0.25">
      <c r="A53" s="11" t="s">
        <v>186</v>
      </c>
      <c r="B53" s="13">
        <v>5571</v>
      </c>
      <c r="C53" s="14">
        <f>(4676/B53*100)</f>
        <v>83.934661640639021</v>
      </c>
      <c r="D53" s="15">
        <v>895</v>
      </c>
      <c r="E53" s="14">
        <v>45.36217224</v>
      </c>
      <c r="F53" s="16">
        <v>1.8999521800000001</v>
      </c>
      <c r="G53" s="14">
        <v>54.63782776</v>
      </c>
      <c r="H53" s="16">
        <v>1.8999521800000001</v>
      </c>
      <c r="I53" s="14" t="s">
        <v>139</v>
      </c>
      <c r="J53" s="16" t="s">
        <v>139</v>
      </c>
      <c r="K53" s="14">
        <v>0</v>
      </c>
      <c r="L53" s="16">
        <v>0</v>
      </c>
      <c r="M53" s="14">
        <v>0</v>
      </c>
      <c r="N53" s="16">
        <v>0</v>
      </c>
      <c r="O53" s="14">
        <v>0</v>
      </c>
      <c r="P53" s="16">
        <v>0</v>
      </c>
      <c r="Q53" s="14">
        <v>0</v>
      </c>
      <c r="R53" s="16">
        <v>0</v>
      </c>
    </row>
    <row r="54" spans="1:18" x14ac:dyDescent="0.25">
      <c r="A54" s="11" t="s">
        <v>187</v>
      </c>
      <c r="B54" s="17" t="s">
        <v>154</v>
      </c>
      <c r="C54" s="17" t="s">
        <v>154</v>
      </c>
      <c r="D54" s="18" t="s">
        <v>154</v>
      </c>
      <c r="E54" s="17" t="s">
        <v>154</v>
      </c>
      <c r="F54" s="18" t="s">
        <v>154</v>
      </c>
      <c r="G54" s="17" t="s">
        <v>154</v>
      </c>
      <c r="H54" s="18" t="s">
        <v>154</v>
      </c>
      <c r="I54" s="17" t="s">
        <v>154</v>
      </c>
      <c r="J54" s="18" t="s">
        <v>154</v>
      </c>
      <c r="K54" s="17" t="s">
        <v>154</v>
      </c>
      <c r="L54" s="18" t="s">
        <v>154</v>
      </c>
      <c r="M54" s="17" t="s">
        <v>154</v>
      </c>
      <c r="N54" s="18" t="s">
        <v>154</v>
      </c>
      <c r="O54" s="17" t="s">
        <v>154</v>
      </c>
      <c r="P54" s="18" t="s">
        <v>154</v>
      </c>
      <c r="Q54" s="17" t="s">
        <v>154</v>
      </c>
      <c r="R54" s="18" t="s">
        <v>154</v>
      </c>
    </row>
    <row r="55" spans="1:18" x14ac:dyDescent="0.25">
      <c r="A55" s="11" t="s">
        <v>188</v>
      </c>
      <c r="B55" s="17" t="s">
        <v>154</v>
      </c>
      <c r="C55" s="17" t="s">
        <v>154</v>
      </c>
      <c r="D55" s="18" t="s">
        <v>154</v>
      </c>
      <c r="E55" s="17" t="s">
        <v>154</v>
      </c>
      <c r="F55" s="18" t="s">
        <v>154</v>
      </c>
      <c r="G55" s="17" t="s">
        <v>154</v>
      </c>
      <c r="H55" s="18" t="s">
        <v>154</v>
      </c>
      <c r="I55" s="17" t="s">
        <v>154</v>
      </c>
      <c r="J55" s="18" t="s">
        <v>154</v>
      </c>
      <c r="K55" s="17" t="s">
        <v>154</v>
      </c>
      <c r="L55" s="18" t="s">
        <v>154</v>
      </c>
      <c r="M55" s="17" t="s">
        <v>154</v>
      </c>
      <c r="N55" s="18" t="s">
        <v>154</v>
      </c>
      <c r="O55" s="17" t="s">
        <v>154</v>
      </c>
      <c r="P55" s="18" t="s">
        <v>154</v>
      </c>
      <c r="Q55" s="17" t="s">
        <v>154</v>
      </c>
      <c r="R55" s="18" t="s">
        <v>154</v>
      </c>
    </row>
    <row r="56" spans="1:18" x14ac:dyDescent="0.25">
      <c r="A56" s="11" t="s">
        <v>189</v>
      </c>
      <c r="B56" s="13">
        <v>5359</v>
      </c>
      <c r="C56" s="14">
        <f>(4457/B56*100)</f>
        <v>83.168501586116818</v>
      </c>
      <c r="D56" s="15">
        <v>902</v>
      </c>
      <c r="E56" s="14">
        <v>32.717847589999998</v>
      </c>
      <c r="F56" s="16">
        <v>1.4984651899999999</v>
      </c>
      <c r="G56" s="14">
        <v>67.282152409999995</v>
      </c>
      <c r="H56" s="16">
        <v>1.4984651899999999</v>
      </c>
      <c r="I56" s="14" t="s">
        <v>139</v>
      </c>
      <c r="J56" s="16" t="s">
        <v>139</v>
      </c>
      <c r="K56" s="14">
        <v>0</v>
      </c>
      <c r="L56" s="16">
        <v>0</v>
      </c>
      <c r="M56" s="14">
        <v>0</v>
      </c>
      <c r="N56" s="16">
        <v>0</v>
      </c>
      <c r="O56" s="14">
        <v>0</v>
      </c>
      <c r="P56" s="16">
        <v>0</v>
      </c>
      <c r="Q56" s="14">
        <v>0</v>
      </c>
      <c r="R56" s="16">
        <v>0</v>
      </c>
    </row>
    <row r="57" spans="1:18" x14ac:dyDescent="0.25">
      <c r="A57" s="11" t="s">
        <v>190</v>
      </c>
      <c r="B57" s="17" t="s">
        <v>154</v>
      </c>
      <c r="C57" s="17" t="s">
        <v>154</v>
      </c>
      <c r="D57" s="18" t="s">
        <v>154</v>
      </c>
      <c r="E57" s="17" t="s">
        <v>154</v>
      </c>
      <c r="F57" s="18" t="s">
        <v>154</v>
      </c>
      <c r="G57" s="17" t="s">
        <v>154</v>
      </c>
      <c r="H57" s="18" t="s">
        <v>154</v>
      </c>
      <c r="I57" s="17" t="s">
        <v>154</v>
      </c>
      <c r="J57" s="18" t="s">
        <v>154</v>
      </c>
      <c r="K57" s="17" t="s">
        <v>154</v>
      </c>
      <c r="L57" s="18" t="s">
        <v>154</v>
      </c>
      <c r="M57" s="17" t="s">
        <v>154</v>
      </c>
      <c r="N57" s="18" t="s">
        <v>154</v>
      </c>
      <c r="O57" s="17" t="s">
        <v>154</v>
      </c>
      <c r="P57" s="18" t="s">
        <v>154</v>
      </c>
      <c r="Q57" s="17" t="s">
        <v>154</v>
      </c>
      <c r="R57" s="18" t="s">
        <v>154</v>
      </c>
    </row>
    <row r="58" spans="1:18" x14ac:dyDescent="0.25">
      <c r="A58" s="11" t="s">
        <v>191</v>
      </c>
      <c r="B58" s="17" t="s">
        <v>154</v>
      </c>
      <c r="C58" s="17" t="s">
        <v>154</v>
      </c>
      <c r="D58" s="18" t="s">
        <v>154</v>
      </c>
      <c r="E58" s="17" t="s">
        <v>154</v>
      </c>
      <c r="F58" s="18" t="s">
        <v>154</v>
      </c>
      <c r="G58" s="17" t="s">
        <v>154</v>
      </c>
      <c r="H58" s="18" t="s">
        <v>154</v>
      </c>
      <c r="I58" s="17" t="s">
        <v>154</v>
      </c>
      <c r="J58" s="18" t="s">
        <v>154</v>
      </c>
      <c r="K58" s="17" t="s">
        <v>154</v>
      </c>
      <c r="L58" s="18" t="s">
        <v>154</v>
      </c>
      <c r="M58" s="17" t="s">
        <v>154</v>
      </c>
      <c r="N58" s="18" t="s">
        <v>154</v>
      </c>
      <c r="O58" s="17" t="s">
        <v>154</v>
      </c>
      <c r="P58" s="18" t="s">
        <v>154</v>
      </c>
      <c r="Q58" s="17" t="s">
        <v>154</v>
      </c>
      <c r="R58" s="18" t="s">
        <v>154</v>
      </c>
    </row>
    <row r="59" spans="1:18" x14ac:dyDescent="0.25">
      <c r="A59" s="11" t="s">
        <v>192</v>
      </c>
      <c r="B59" s="17" t="s">
        <v>154</v>
      </c>
      <c r="C59" s="17" t="s">
        <v>154</v>
      </c>
      <c r="D59" s="18" t="s">
        <v>154</v>
      </c>
      <c r="E59" s="17" t="s">
        <v>154</v>
      </c>
      <c r="F59" s="18" t="s">
        <v>154</v>
      </c>
      <c r="G59" s="17" t="s">
        <v>154</v>
      </c>
      <c r="H59" s="18" t="s">
        <v>154</v>
      </c>
      <c r="I59" s="17" t="s">
        <v>154</v>
      </c>
      <c r="J59" s="18" t="s">
        <v>154</v>
      </c>
      <c r="K59" s="17" t="s">
        <v>154</v>
      </c>
      <c r="L59" s="18" t="s">
        <v>154</v>
      </c>
      <c r="M59" s="17" t="s">
        <v>154</v>
      </c>
      <c r="N59" s="18" t="s">
        <v>154</v>
      </c>
      <c r="O59" s="17" t="s">
        <v>154</v>
      </c>
      <c r="P59" s="18" t="s">
        <v>154</v>
      </c>
      <c r="Q59" s="17" t="s">
        <v>154</v>
      </c>
      <c r="R59" s="18" t="s">
        <v>154</v>
      </c>
    </row>
    <row r="60" spans="1:18" x14ac:dyDescent="0.25">
      <c r="A60" s="11" t="s">
        <v>193</v>
      </c>
      <c r="B60" s="17" t="s">
        <v>154</v>
      </c>
      <c r="C60" s="17" t="s">
        <v>154</v>
      </c>
      <c r="D60" s="18" t="s">
        <v>154</v>
      </c>
      <c r="E60" s="17" t="s">
        <v>154</v>
      </c>
      <c r="F60" s="18" t="s">
        <v>154</v>
      </c>
      <c r="G60" s="17" t="s">
        <v>154</v>
      </c>
      <c r="H60" s="18" t="s">
        <v>154</v>
      </c>
      <c r="I60" s="17" t="s">
        <v>154</v>
      </c>
      <c r="J60" s="18" t="s">
        <v>154</v>
      </c>
      <c r="K60" s="17" t="s">
        <v>154</v>
      </c>
      <c r="L60" s="18" t="s">
        <v>154</v>
      </c>
      <c r="M60" s="17" t="s">
        <v>154</v>
      </c>
      <c r="N60" s="18" t="s">
        <v>154</v>
      </c>
      <c r="O60" s="17" t="s">
        <v>154</v>
      </c>
      <c r="P60" s="18" t="s">
        <v>154</v>
      </c>
      <c r="Q60" s="17" t="s">
        <v>154</v>
      </c>
      <c r="R60" s="18" t="s">
        <v>154</v>
      </c>
    </row>
    <row r="61" spans="1:18" x14ac:dyDescent="0.25">
      <c r="A61" s="11" t="s">
        <v>194</v>
      </c>
      <c r="B61" s="13">
        <v>6525</v>
      </c>
      <c r="C61" s="14">
        <f>(5462/B61*100)</f>
        <v>83.708812260536405</v>
      </c>
      <c r="D61" s="15">
        <v>1063</v>
      </c>
      <c r="E61" s="14">
        <v>45.502360930000002</v>
      </c>
      <c r="F61" s="16">
        <v>1.53103082</v>
      </c>
      <c r="G61" s="14">
        <v>54.497639069999998</v>
      </c>
      <c r="H61" s="16">
        <v>1.53103082</v>
      </c>
      <c r="I61" s="14" t="s">
        <v>139</v>
      </c>
      <c r="J61" s="16" t="s">
        <v>139</v>
      </c>
      <c r="K61" s="14">
        <v>0</v>
      </c>
      <c r="L61" s="16">
        <v>0</v>
      </c>
      <c r="M61" s="14">
        <v>0</v>
      </c>
      <c r="N61" s="16">
        <v>0</v>
      </c>
      <c r="O61" s="14">
        <v>0</v>
      </c>
      <c r="P61" s="16">
        <v>0</v>
      </c>
      <c r="Q61" s="14">
        <v>0</v>
      </c>
      <c r="R61" s="16">
        <v>0</v>
      </c>
    </row>
    <row r="62" spans="1:18" x14ac:dyDescent="0.25">
      <c r="A62" s="11" t="s">
        <v>195</v>
      </c>
      <c r="B62" s="13">
        <v>4476</v>
      </c>
      <c r="C62" s="14">
        <f>(3738/B62*100)</f>
        <v>83.512064343163544</v>
      </c>
      <c r="D62" s="15">
        <v>738</v>
      </c>
      <c r="E62" s="14">
        <v>39.599050740000003</v>
      </c>
      <c r="F62" s="16">
        <v>1.88946368</v>
      </c>
      <c r="G62" s="14">
        <v>60.400949259999997</v>
      </c>
      <c r="H62" s="16">
        <v>1.88946368</v>
      </c>
      <c r="I62" s="14" t="s">
        <v>139</v>
      </c>
      <c r="J62" s="16" t="s">
        <v>139</v>
      </c>
      <c r="K62" s="14">
        <v>0</v>
      </c>
      <c r="L62" s="16">
        <v>0</v>
      </c>
      <c r="M62" s="14">
        <v>0</v>
      </c>
      <c r="N62" s="16">
        <v>0</v>
      </c>
      <c r="O62" s="14">
        <v>0</v>
      </c>
      <c r="P62" s="16">
        <v>0</v>
      </c>
      <c r="Q62" s="14">
        <v>0</v>
      </c>
      <c r="R62" s="16">
        <v>0</v>
      </c>
    </row>
    <row r="63" spans="1:18" x14ac:dyDescent="0.25">
      <c r="A63" s="11" t="s">
        <v>196</v>
      </c>
      <c r="B63" s="17" t="s">
        <v>154</v>
      </c>
      <c r="C63" s="17" t="s">
        <v>154</v>
      </c>
      <c r="D63" s="18" t="s">
        <v>154</v>
      </c>
      <c r="E63" s="17" t="s">
        <v>154</v>
      </c>
      <c r="F63" s="18" t="s">
        <v>154</v>
      </c>
      <c r="G63" s="17" t="s">
        <v>154</v>
      </c>
      <c r="H63" s="18" t="s">
        <v>154</v>
      </c>
      <c r="I63" s="17" t="s">
        <v>154</v>
      </c>
      <c r="J63" s="18" t="s">
        <v>154</v>
      </c>
      <c r="K63" s="17" t="s">
        <v>154</v>
      </c>
      <c r="L63" s="18" t="s">
        <v>154</v>
      </c>
      <c r="M63" s="17" t="s">
        <v>154</v>
      </c>
      <c r="N63" s="18" t="s">
        <v>154</v>
      </c>
      <c r="O63" s="17" t="s">
        <v>154</v>
      </c>
      <c r="P63" s="18" t="s">
        <v>154</v>
      </c>
      <c r="Q63" s="17" t="s">
        <v>154</v>
      </c>
      <c r="R63" s="18" t="s">
        <v>154</v>
      </c>
    </row>
    <row r="64" spans="1:18" x14ac:dyDescent="0.25">
      <c r="A64" s="11" t="s">
        <v>197</v>
      </c>
      <c r="B64" s="17" t="s">
        <v>154</v>
      </c>
      <c r="C64" s="17" t="s">
        <v>154</v>
      </c>
      <c r="D64" s="18" t="s">
        <v>154</v>
      </c>
      <c r="E64" s="17" t="s">
        <v>154</v>
      </c>
      <c r="F64" s="18" t="s">
        <v>154</v>
      </c>
      <c r="G64" s="17" t="s">
        <v>154</v>
      </c>
      <c r="H64" s="18" t="s">
        <v>154</v>
      </c>
      <c r="I64" s="17" t="s">
        <v>154</v>
      </c>
      <c r="J64" s="18" t="s">
        <v>154</v>
      </c>
      <c r="K64" s="17" t="s">
        <v>154</v>
      </c>
      <c r="L64" s="18" t="s">
        <v>154</v>
      </c>
      <c r="M64" s="17" t="s">
        <v>154</v>
      </c>
      <c r="N64" s="18" t="s">
        <v>154</v>
      </c>
      <c r="O64" s="17" t="s">
        <v>154</v>
      </c>
      <c r="P64" s="18" t="s">
        <v>154</v>
      </c>
      <c r="Q64" s="17" t="s">
        <v>154</v>
      </c>
      <c r="R64" s="18" t="s">
        <v>154</v>
      </c>
    </row>
    <row r="65" spans="1:18" x14ac:dyDescent="0.25">
      <c r="A65" s="11" t="s">
        <v>198</v>
      </c>
      <c r="B65" s="17" t="s">
        <v>154</v>
      </c>
      <c r="C65" s="17" t="s">
        <v>154</v>
      </c>
      <c r="D65" s="18" t="s">
        <v>154</v>
      </c>
      <c r="E65" s="17" t="s">
        <v>154</v>
      </c>
      <c r="F65" s="18" t="s">
        <v>154</v>
      </c>
      <c r="G65" s="17" t="s">
        <v>154</v>
      </c>
      <c r="H65" s="18" t="s">
        <v>154</v>
      </c>
      <c r="I65" s="17" t="s">
        <v>154</v>
      </c>
      <c r="J65" s="18" t="s">
        <v>154</v>
      </c>
      <c r="K65" s="17" t="s">
        <v>154</v>
      </c>
      <c r="L65" s="18" t="s">
        <v>154</v>
      </c>
      <c r="M65" s="17" t="s">
        <v>154</v>
      </c>
      <c r="N65" s="18" t="s">
        <v>154</v>
      </c>
      <c r="O65" s="17" t="s">
        <v>154</v>
      </c>
      <c r="P65" s="18" t="s">
        <v>154</v>
      </c>
      <c r="Q65" s="17" t="s">
        <v>154</v>
      </c>
      <c r="R65" s="18" t="s">
        <v>154</v>
      </c>
    </row>
    <row r="66" spans="1:18" x14ac:dyDescent="0.25">
      <c r="A66" s="11" t="s">
        <v>199</v>
      </c>
      <c r="B66" s="13">
        <v>5665</v>
      </c>
      <c r="C66" s="14">
        <f>(4788/B66*100)</f>
        <v>84.518976169461595</v>
      </c>
      <c r="D66" s="15">
        <v>877</v>
      </c>
      <c r="E66" s="14">
        <v>47.650972000000003</v>
      </c>
      <c r="F66" s="16">
        <v>1.7348742800000001</v>
      </c>
      <c r="G66" s="14">
        <v>52.349027999999997</v>
      </c>
      <c r="H66" s="16">
        <v>1.7348742800000001</v>
      </c>
      <c r="I66" s="14" t="s">
        <v>139</v>
      </c>
      <c r="J66" s="16" t="s">
        <v>139</v>
      </c>
      <c r="K66" s="14">
        <v>0</v>
      </c>
      <c r="L66" s="16">
        <v>0</v>
      </c>
      <c r="M66" s="14">
        <v>0</v>
      </c>
      <c r="N66" s="16">
        <v>0</v>
      </c>
      <c r="O66" s="14">
        <v>0</v>
      </c>
      <c r="P66" s="16">
        <v>0</v>
      </c>
      <c r="Q66" s="14">
        <v>0</v>
      </c>
      <c r="R66" s="16">
        <v>0</v>
      </c>
    </row>
    <row r="67" spans="1:18" x14ac:dyDescent="0.25">
      <c r="A67" s="11" t="s">
        <v>200</v>
      </c>
      <c r="B67" s="13">
        <v>6971</v>
      </c>
      <c r="C67" s="14">
        <f>(6151/B67*100)</f>
        <v>88.236981781666898</v>
      </c>
      <c r="D67" s="15">
        <v>820</v>
      </c>
      <c r="E67" s="14">
        <v>47.17883278</v>
      </c>
      <c r="F67" s="16">
        <v>1.83122765</v>
      </c>
      <c r="G67" s="14">
        <v>52.82116722</v>
      </c>
      <c r="H67" s="16">
        <v>1.83122765</v>
      </c>
      <c r="I67" s="14" t="s">
        <v>139</v>
      </c>
      <c r="J67" s="16" t="s">
        <v>139</v>
      </c>
      <c r="K67" s="14">
        <v>0</v>
      </c>
      <c r="L67" s="16">
        <v>0</v>
      </c>
      <c r="M67" s="14">
        <v>0</v>
      </c>
      <c r="N67" s="16">
        <v>0</v>
      </c>
      <c r="O67" s="14">
        <v>0</v>
      </c>
      <c r="P67" s="16">
        <v>0</v>
      </c>
      <c r="Q67" s="14">
        <v>0</v>
      </c>
      <c r="R67" s="16">
        <v>0</v>
      </c>
    </row>
    <row r="68" spans="1:18" x14ac:dyDescent="0.25">
      <c r="A68" s="11" t="s">
        <v>201</v>
      </c>
      <c r="B68" s="17" t="s">
        <v>154</v>
      </c>
      <c r="C68" s="17" t="s">
        <v>154</v>
      </c>
      <c r="D68" s="18" t="s">
        <v>154</v>
      </c>
      <c r="E68" s="17" t="s">
        <v>154</v>
      </c>
      <c r="F68" s="18" t="s">
        <v>154</v>
      </c>
      <c r="G68" s="17" t="s">
        <v>154</v>
      </c>
      <c r="H68" s="18" t="s">
        <v>154</v>
      </c>
      <c r="I68" s="17" t="s">
        <v>154</v>
      </c>
      <c r="J68" s="18" t="s">
        <v>154</v>
      </c>
      <c r="K68" s="17" t="s">
        <v>154</v>
      </c>
      <c r="L68" s="18" t="s">
        <v>154</v>
      </c>
      <c r="M68" s="17" t="s">
        <v>154</v>
      </c>
      <c r="N68" s="18" t="s">
        <v>154</v>
      </c>
      <c r="O68" s="17" t="s">
        <v>154</v>
      </c>
      <c r="P68" s="18" t="s">
        <v>154</v>
      </c>
      <c r="Q68" s="17" t="s">
        <v>154</v>
      </c>
      <c r="R68" s="18" t="s">
        <v>154</v>
      </c>
    </row>
    <row r="69" spans="1:18" x14ac:dyDescent="0.25">
      <c r="A69" s="11" t="s">
        <v>202</v>
      </c>
      <c r="B69" s="17" t="s">
        <v>154</v>
      </c>
      <c r="C69" s="17" t="s">
        <v>154</v>
      </c>
      <c r="D69" s="18" t="s">
        <v>154</v>
      </c>
      <c r="E69" s="17" t="s">
        <v>154</v>
      </c>
      <c r="F69" s="18" t="s">
        <v>154</v>
      </c>
      <c r="G69" s="17" t="s">
        <v>154</v>
      </c>
      <c r="H69" s="18" t="s">
        <v>154</v>
      </c>
      <c r="I69" s="17" t="s">
        <v>154</v>
      </c>
      <c r="J69" s="18" t="s">
        <v>154</v>
      </c>
      <c r="K69" s="17" t="s">
        <v>154</v>
      </c>
      <c r="L69" s="18" t="s">
        <v>154</v>
      </c>
      <c r="M69" s="17" t="s">
        <v>154</v>
      </c>
      <c r="N69" s="18" t="s">
        <v>154</v>
      </c>
      <c r="O69" s="17" t="s">
        <v>154</v>
      </c>
      <c r="P69" s="18" t="s">
        <v>154</v>
      </c>
      <c r="Q69" s="17" t="s">
        <v>154</v>
      </c>
      <c r="R69" s="18" t="s">
        <v>154</v>
      </c>
    </row>
    <row r="70" spans="1:18" x14ac:dyDescent="0.25">
      <c r="A70" s="11" t="s">
        <v>203</v>
      </c>
      <c r="B70" s="13">
        <v>6036</v>
      </c>
      <c r="C70" s="14">
        <f>(5110/B70*100)</f>
        <v>84.658714380384353</v>
      </c>
      <c r="D70" s="15">
        <v>926</v>
      </c>
      <c r="E70" s="14">
        <v>45.831860810000002</v>
      </c>
      <c r="F70" s="16">
        <v>1.84624498</v>
      </c>
      <c r="G70" s="14">
        <v>54.168139189999998</v>
      </c>
      <c r="H70" s="16">
        <v>1.84624498</v>
      </c>
      <c r="I70" s="14" t="s">
        <v>139</v>
      </c>
      <c r="J70" s="16" t="s">
        <v>139</v>
      </c>
      <c r="K70" s="14">
        <v>0</v>
      </c>
      <c r="L70" s="16">
        <v>0</v>
      </c>
      <c r="M70" s="14">
        <v>0</v>
      </c>
      <c r="N70" s="16">
        <v>0</v>
      </c>
      <c r="O70" s="14">
        <v>0</v>
      </c>
      <c r="P70" s="16">
        <v>0</v>
      </c>
      <c r="Q70" s="14">
        <v>0</v>
      </c>
      <c r="R70" s="16">
        <v>0</v>
      </c>
    </row>
    <row r="71" spans="1:18" x14ac:dyDescent="0.25">
      <c r="A71" s="11" t="s">
        <v>204</v>
      </c>
      <c r="B71" s="17" t="s">
        <v>154</v>
      </c>
      <c r="C71" s="17" t="s">
        <v>154</v>
      </c>
      <c r="D71" s="18" t="s">
        <v>154</v>
      </c>
      <c r="E71" s="17" t="s">
        <v>154</v>
      </c>
      <c r="F71" s="18" t="s">
        <v>154</v>
      </c>
      <c r="G71" s="17" t="s">
        <v>154</v>
      </c>
      <c r="H71" s="18" t="s">
        <v>154</v>
      </c>
      <c r="I71" s="17" t="s">
        <v>154</v>
      </c>
      <c r="J71" s="18" t="s">
        <v>154</v>
      </c>
      <c r="K71" s="17" t="s">
        <v>154</v>
      </c>
      <c r="L71" s="18" t="s">
        <v>154</v>
      </c>
      <c r="M71" s="17" t="s">
        <v>154</v>
      </c>
      <c r="N71" s="18" t="s">
        <v>154</v>
      </c>
      <c r="O71" s="17" t="s">
        <v>154</v>
      </c>
      <c r="P71" s="18" t="s">
        <v>154</v>
      </c>
      <c r="Q71" s="17" t="s">
        <v>154</v>
      </c>
      <c r="R71" s="18" t="s">
        <v>154</v>
      </c>
    </row>
    <row r="72" spans="1:18" x14ac:dyDescent="0.25">
      <c r="A72" s="11" t="s">
        <v>205</v>
      </c>
      <c r="B72" s="13">
        <v>7708</v>
      </c>
      <c r="C72" s="14">
        <f>(6405/B72*100)</f>
        <v>83.095485210171248</v>
      </c>
      <c r="D72" s="15">
        <v>1303</v>
      </c>
      <c r="E72" s="14">
        <v>36.977432460000003</v>
      </c>
      <c r="F72" s="16">
        <v>1.4930719800000001</v>
      </c>
      <c r="G72" s="14">
        <v>63.022567539999997</v>
      </c>
      <c r="H72" s="16">
        <v>1.4930719800000001</v>
      </c>
      <c r="I72" s="14" t="s">
        <v>139</v>
      </c>
      <c r="J72" s="16" t="s">
        <v>139</v>
      </c>
      <c r="K72" s="14">
        <v>0</v>
      </c>
      <c r="L72" s="16">
        <v>0</v>
      </c>
      <c r="M72" s="14">
        <v>0</v>
      </c>
      <c r="N72" s="16">
        <v>0</v>
      </c>
      <c r="O72" s="14">
        <v>0</v>
      </c>
      <c r="P72" s="16">
        <v>0</v>
      </c>
      <c r="Q72" s="14">
        <v>0</v>
      </c>
      <c r="R72" s="16">
        <v>0</v>
      </c>
    </row>
    <row r="73" spans="1:18" x14ac:dyDescent="0.25">
      <c r="A73" s="11" t="s">
        <v>206</v>
      </c>
      <c r="B73" s="13">
        <v>8249</v>
      </c>
      <c r="C73" s="14">
        <f>(7077/B73*100)</f>
        <v>85.792217238453148</v>
      </c>
      <c r="D73" s="15">
        <v>1172</v>
      </c>
      <c r="E73" s="14">
        <v>47.495593679999999</v>
      </c>
      <c r="F73" s="16">
        <v>1.96802783</v>
      </c>
      <c r="G73" s="14">
        <v>52.504406320000001</v>
      </c>
      <c r="H73" s="16">
        <v>1.96802783</v>
      </c>
      <c r="I73" s="14" t="s">
        <v>139</v>
      </c>
      <c r="J73" s="16" t="s">
        <v>139</v>
      </c>
      <c r="K73" s="14">
        <v>0</v>
      </c>
      <c r="L73" s="16">
        <v>0</v>
      </c>
      <c r="M73" s="14">
        <v>0</v>
      </c>
      <c r="N73" s="16">
        <v>0</v>
      </c>
      <c r="O73" s="14">
        <v>0</v>
      </c>
      <c r="P73" s="16">
        <v>0</v>
      </c>
      <c r="Q73" s="14">
        <v>0</v>
      </c>
      <c r="R73" s="16">
        <v>0</v>
      </c>
    </row>
    <row r="74" spans="1:18" x14ac:dyDescent="0.25">
      <c r="A74" s="11" t="s">
        <v>207</v>
      </c>
      <c r="B74" s="17" t="s">
        <v>154</v>
      </c>
      <c r="C74" s="17" t="s">
        <v>154</v>
      </c>
      <c r="D74" s="18" t="s">
        <v>154</v>
      </c>
      <c r="E74" s="17" t="s">
        <v>154</v>
      </c>
      <c r="F74" s="18" t="s">
        <v>154</v>
      </c>
      <c r="G74" s="17" t="s">
        <v>154</v>
      </c>
      <c r="H74" s="18" t="s">
        <v>154</v>
      </c>
      <c r="I74" s="17" t="s">
        <v>154</v>
      </c>
      <c r="J74" s="18" t="s">
        <v>154</v>
      </c>
      <c r="K74" s="17" t="s">
        <v>154</v>
      </c>
      <c r="L74" s="18" t="s">
        <v>154</v>
      </c>
      <c r="M74" s="17" t="s">
        <v>154</v>
      </c>
      <c r="N74" s="18" t="s">
        <v>154</v>
      </c>
      <c r="O74" s="17" t="s">
        <v>154</v>
      </c>
      <c r="P74" s="18" t="s">
        <v>154</v>
      </c>
      <c r="Q74" s="17" t="s">
        <v>154</v>
      </c>
      <c r="R74" s="18" t="s">
        <v>154</v>
      </c>
    </row>
    <row r="75" spans="1:18" x14ac:dyDescent="0.25">
      <c r="A75" s="11" t="s">
        <v>208</v>
      </c>
      <c r="B75" s="13">
        <v>5375</v>
      </c>
      <c r="C75" s="14">
        <f>(4594/B75*100)</f>
        <v>85.469767441860469</v>
      </c>
      <c r="D75" s="15">
        <v>781</v>
      </c>
      <c r="E75" s="14">
        <v>59.817222229999999</v>
      </c>
      <c r="F75" s="16">
        <v>1.89101633</v>
      </c>
      <c r="G75" s="14">
        <v>40.182777770000001</v>
      </c>
      <c r="H75" s="16">
        <v>1.89101633</v>
      </c>
      <c r="I75" s="14" t="s">
        <v>139</v>
      </c>
      <c r="J75" s="16" t="s">
        <v>139</v>
      </c>
      <c r="K75" s="14">
        <v>0</v>
      </c>
      <c r="L75" s="16">
        <v>0</v>
      </c>
      <c r="M75" s="14">
        <v>0</v>
      </c>
      <c r="N75" s="16">
        <v>0</v>
      </c>
      <c r="O75" s="14">
        <v>0</v>
      </c>
      <c r="P75" s="16">
        <v>0</v>
      </c>
      <c r="Q75" s="14">
        <v>0</v>
      </c>
      <c r="R75" s="16">
        <v>0</v>
      </c>
    </row>
    <row r="76" spans="1:18" x14ac:dyDescent="0.25">
      <c r="A76" s="11" t="s">
        <v>209</v>
      </c>
      <c r="B76" s="13">
        <v>14167</v>
      </c>
      <c r="C76" s="14">
        <f>(11823/B76*100)</f>
        <v>83.454506952777592</v>
      </c>
      <c r="D76" s="15">
        <v>2344</v>
      </c>
      <c r="E76" s="14">
        <v>44.019271709999998</v>
      </c>
      <c r="F76" s="16">
        <v>1.31101913</v>
      </c>
      <c r="G76" s="14">
        <v>55.980728290000002</v>
      </c>
      <c r="H76" s="16">
        <v>1.31101913</v>
      </c>
      <c r="I76" s="14" t="s">
        <v>139</v>
      </c>
      <c r="J76" s="16" t="s">
        <v>139</v>
      </c>
      <c r="K76" s="14">
        <v>0</v>
      </c>
      <c r="L76" s="16">
        <v>0</v>
      </c>
      <c r="M76" s="14">
        <v>0</v>
      </c>
      <c r="N76" s="16">
        <v>0</v>
      </c>
      <c r="O76" s="14">
        <v>0</v>
      </c>
      <c r="P76" s="16">
        <v>0</v>
      </c>
      <c r="Q76" s="14">
        <v>0</v>
      </c>
      <c r="R76" s="16">
        <v>0</v>
      </c>
    </row>
    <row r="77" spans="1:18" x14ac:dyDescent="0.25">
      <c r="A77" s="11" t="s">
        <v>210</v>
      </c>
      <c r="B77" s="13">
        <v>6062</v>
      </c>
      <c r="C77" s="14">
        <f>(5164/B77*100)</f>
        <v>85.186407126360947</v>
      </c>
      <c r="D77" s="15">
        <v>898</v>
      </c>
      <c r="E77" s="14">
        <v>44.420114560000002</v>
      </c>
      <c r="F77" s="16">
        <v>1.56638754</v>
      </c>
      <c r="G77" s="14">
        <v>55.579885439999998</v>
      </c>
      <c r="H77" s="16">
        <v>1.56638754</v>
      </c>
      <c r="I77" s="14" t="s">
        <v>139</v>
      </c>
      <c r="J77" s="16" t="s">
        <v>139</v>
      </c>
      <c r="K77" s="14">
        <v>0</v>
      </c>
      <c r="L77" s="16">
        <v>0</v>
      </c>
      <c r="M77" s="14">
        <v>0</v>
      </c>
      <c r="N77" s="16">
        <v>0</v>
      </c>
      <c r="O77" s="14">
        <v>0</v>
      </c>
      <c r="P77" s="16">
        <v>0</v>
      </c>
      <c r="Q77" s="14">
        <v>0</v>
      </c>
      <c r="R77" s="16">
        <v>0</v>
      </c>
    </row>
    <row r="78" spans="1:18" x14ac:dyDescent="0.25">
      <c r="A78" s="11" t="s">
        <v>211</v>
      </c>
      <c r="B78" s="17" t="s">
        <v>154</v>
      </c>
      <c r="C78" s="17" t="s">
        <v>154</v>
      </c>
      <c r="D78" s="18" t="s">
        <v>154</v>
      </c>
      <c r="E78" s="17" t="s">
        <v>154</v>
      </c>
      <c r="F78" s="18" t="s">
        <v>154</v>
      </c>
      <c r="G78" s="17" t="s">
        <v>154</v>
      </c>
      <c r="H78" s="18" t="s">
        <v>154</v>
      </c>
      <c r="I78" s="17" t="s">
        <v>154</v>
      </c>
      <c r="J78" s="18" t="s">
        <v>154</v>
      </c>
      <c r="K78" s="17" t="s">
        <v>154</v>
      </c>
      <c r="L78" s="18" t="s">
        <v>154</v>
      </c>
      <c r="M78" s="17" t="s">
        <v>154</v>
      </c>
      <c r="N78" s="18" t="s">
        <v>154</v>
      </c>
      <c r="O78" s="17" t="s">
        <v>154</v>
      </c>
      <c r="P78" s="18" t="s">
        <v>154</v>
      </c>
      <c r="Q78" s="17" t="s">
        <v>154</v>
      </c>
      <c r="R78" s="18" t="s">
        <v>154</v>
      </c>
    </row>
    <row r="79" spans="1:18" ht="24.95" customHeight="1" x14ac:dyDescent="0.25">
      <c r="A79" s="11" t="s">
        <v>212</v>
      </c>
      <c r="B79" s="17" t="s">
        <v>154</v>
      </c>
      <c r="C79" s="17" t="s">
        <v>154</v>
      </c>
      <c r="D79" s="18" t="s">
        <v>154</v>
      </c>
      <c r="E79" s="17" t="s">
        <v>154</v>
      </c>
      <c r="F79" s="18" t="s">
        <v>154</v>
      </c>
      <c r="G79" s="17" t="s">
        <v>154</v>
      </c>
      <c r="H79" s="18" t="s">
        <v>154</v>
      </c>
      <c r="I79" s="17" t="s">
        <v>154</v>
      </c>
      <c r="J79" s="18" t="s">
        <v>154</v>
      </c>
      <c r="K79" s="17" t="s">
        <v>154</v>
      </c>
      <c r="L79" s="18" t="s">
        <v>154</v>
      </c>
      <c r="M79" s="17" t="s">
        <v>154</v>
      </c>
      <c r="N79" s="18" t="s">
        <v>154</v>
      </c>
      <c r="O79" s="17" t="s">
        <v>154</v>
      </c>
      <c r="P79" s="18" t="s">
        <v>154</v>
      </c>
      <c r="Q79" s="17" t="s">
        <v>154</v>
      </c>
      <c r="R79" s="18" t="s">
        <v>154</v>
      </c>
    </row>
    <row r="80" spans="1:18" x14ac:dyDescent="0.25">
      <c r="A80" s="11" t="s">
        <v>213</v>
      </c>
      <c r="B80" s="17" t="s">
        <v>154</v>
      </c>
      <c r="C80" s="17" t="s">
        <v>154</v>
      </c>
      <c r="D80" s="18" t="s">
        <v>154</v>
      </c>
      <c r="E80" s="17" t="s">
        <v>154</v>
      </c>
      <c r="F80" s="18" t="s">
        <v>154</v>
      </c>
      <c r="G80" s="17" t="s">
        <v>154</v>
      </c>
      <c r="H80" s="18" t="s">
        <v>154</v>
      </c>
      <c r="I80" s="17" t="s">
        <v>154</v>
      </c>
      <c r="J80" s="18" t="s">
        <v>154</v>
      </c>
      <c r="K80" s="17" t="s">
        <v>154</v>
      </c>
      <c r="L80" s="18" t="s">
        <v>154</v>
      </c>
      <c r="M80" s="17" t="s">
        <v>154</v>
      </c>
      <c r="N80" s="18" t="s">
        <v>154</v>
      </c>
      <c r="O80" s="17" t="s">
        <v>154</v>
      </c>
      <c r="P80" s="18" t="s">
        <v>154</v>
      </c>
      <c r="Q80" s="17" t="s">
        <v>154</v>
      </c>
      <c r="R80" s="18" t="s">
        <v>154</v>
      </c>
    </row>
    <row r="81" spans="1:18" x14ac:dyDescent="0.25">
      <c r="A81" s="19" t="s">
        <v>214</v>
      </c>
      <c r="B81" s="13">
        <v>8861</v>
      </c>
      <c r="C81" s="14">
        <f>(7383/B81*100)</f>
        <v>83.320167024037914</v>
      </c>
      <c r="D81" s="15">
        <v>1478</v>
      </c>
      <c r="E81" s="14">
        <v>43.833541590000003</v>
      </c>
      <c r="F81" s="16">
        <v>1.73278216</v>
      </c>
      <c r="G81" s="14">
        <v>56.166458409999997</v>
      </c>
      <c r="H81" s="16">
        <v>1.73278216</v>
      </c>
      <c r="I81" s="14" t="s">
        <v>139</v>
      </c>
      <c r="J81" s="16" t="s">
        <v>139</v>
      </c>
      <c r="K81" s="14">
        <v>0</v>
      </c>
      <c r="L81" s="16">
        <v>0</v>
      </c>
      <c r="M81" s="14">
        <v>0</v>
      </c>
      <c r="N81" s="16">
        <v>0</v>
      </c>
      <c r="O81" s="14">
        <v>0</v>
      </c>
      <c r="P81" s="16">
        <v>0</v>
      </c>
      <c r="Q81" s="14">
        <v>0</v>
      </c>
      <c r="R81" s="16">
        <v>0</v>
      </c>
    </row>
    <row r="82" spans="1:18" x14ac:dyDescent="0.25">
      <c r="A82" s="20"/>
      <c r="B82" s="20" t="s">
        <v>215</v>
      </c>
      <c r="C82" s="20" t="s">
        <v>215</v>
      </c>
      <c r="D82" s="20" t="s">
        <v>215</v>
      </c>
      <c r="E82" s="20" t="s">
        <v>215</v>
      </c>
      <c r="F82" s="20" t="s">
        <v>215</v>
      </c>
      <c r="G82" s="20" t="s">
        <v>215</v>
      </c>
      <c r="H82" s="20" t="s">
        <v>215</v>
      </c>
      <c r="I82" s="20" t="s">
        <v>215</v>
      </c>
      <c r="J82" s="20" t="s">
        <v>215</v>
      </c>
      <c r="K82" s="20" t="s">
        <v>215</v>
      </c>
      <c r="L82" s="20" t="s">
        <v>215</v>
      </c>
      <c r="M82" s="20" t="s">
        <v>215</v>
      </c>
      <c r="N82" s="20" t="s">
        <v>215</v>
      </c>
      <c r="O82" s="20" t="s">
        <v>215</v>
      </c>
      <c r="P82" s="20" t="s">
        <v>215</v>
      </c>
      <c r="Q82" s="20" t="s">
        <v>215</v>
      </c>
      <c r="R82" s="20" t="s">
        <v>215</v>
      </c>
    </row>
    <row r="83" spans="1:18" x14ac:dyDescent="0.25">
      <c r="A83" s="3" t="s">
        <v>216</v>
      </c>
    </row>
    <row r="84" spans="1:18" x14ac:dyDescent="0.25">
      <c r="A84" s="22" t="s">
        <v>217</v>
      </c>
      <c r="B84" s="23"/>
      <c r="C84" s="23"/>
      <c r="D84" s="23"/>
      <c r="E84" s="23"/>
      <c r="F84" s="23"/>
      <c r="G84" s="23"/>
      <c r="H84" s="23"/>
      <c r="I84" s="23"/>
      <c r="J84" s="23"/>
      <c r="K84" s="23"/>
      <c r="L84" s="23"/>
      <c r="M84" s="23"/>
      <c r="N84" s="23"/>
      <c r="O84" s="23"/>
      <c r="P84" s="23"/>
      <c r="Q84" s="23"/>
      <c r="R84" s="23"/>
    </row>
    <row r="85" spans="1:18" x14ac:dyDescent="0.25">
      <c r="A85" s="22" t="s">
        <v>218</v>
      </c>
      <c r="B85" s="23"/>
      <c r="C85" s="23"/>
      <c r="D85" s="23"/>
      <c r="E85" s="23"/>
      <c r="F85" s="23"/>
      <c r="G85" s="23"/>
      <c r="H85" s="23"/>
      <c r="I85" s="23"/>
      <c r="J85" s="23"/>
      <c r="K85" s="23"/>
      <c r="L85" s="23"/>
      <c r="M85" s="23"/>
      <c r="N85" s="23"/>
      <c r="O85" s="23"/>
      <c r="P85" s="23"/>
      <c r="Q85" s="23"/>
      <c r="R85" s="23"/>
    </row>
    <row r="86" spans="1:18" ht="30" customHeight="1" x14ac:dyDescent="0.25">
      <c r="A86" s="22" t="s">
        <v>219</v>
      </c>
      <c r="B86" s="23"/>
      <c r="C86" s="23"/>
      <c r="D86" s="23"/>
      <c r="E86" s="23"/>
      <c r="F86" s="23"/>
      <c r="G86" s="23"/>
      <c r="H86" s="23"/>
      <c r="I86" s="23"/>
      <c r="J86" s="23"/>
      <c r="K86" s="23"/>
      <c r="L86" s="23"/>
      <c r="M86" s="23"/>
      <c r="N86" s="23"/>
      <c r="O86" s="23"/>
      <c r="P86" s="23"/>
      <c r="Q86" s="23"/>
      <c r="R86" s="23"/>
    </row>
    <row r="87" spans="1:18" ht="30" customHeight="1" x14ac:dyDescent="0.25">
      <c r="A87" s="22" t="s">
        <v>215</v>
      </c>
      <c r="B87" s="23"/>
      <c r="C87" s="23"/>
      <c r="D87" s="23"/>
      <c r="E87" s="23"/>
      <c r="F87" s="23"/>
      <c r="G87" s="23"/>
      <c r="H87" s="23"/>
      <c r="I87" s="23"/>
      <c r="J87" s="23"/>
      <c r="K87" s="23"/>
      <c r="L87" s="23"/>
      <c r="M87" s="23"/>
      <c r="N87" s="23"/>
      <c r="O87" s="23"/>
      <c r="P87" s="23"/>
      <c r="Q87" s="23"/>
      <c r="R87" s="23"/>
    </row>
    <row r="88" spans="1:18" ht="30" customHeight="1" x14ac:dyDescent="0.25">
      <c r="A88" s="22" t="s">
        <v>220</v>
      </c>
      <c r="B88" s="23"/>
      <c r="C88" s="23"/>
      <c r="D88" s="23"/>
      <c r="E88" s="23"/>
      <c r="F88" s="23"/>
      <c r="G88" s="23"/>
      <c r="H88" s="23"/>
      <c r="I88" s="23"/>
      <c r="J88" s="23"/>
      <c r="K88" s="23"/>
      <c r="L88" s="23"/>
      <c r="M88" s="23"/>
      <c r="N88" s="23"/>
      <c r="O88" s="23"/>
      <c r="P88" s="23"/>
      <c r="Q88" s="23"/>
      <c r="R88" s="23"/>
    </row>
    <row r="89" spans="1:18" ht="30" customHeight="1" x14ac:dyDescent="0.25">
      <c r="A89" s="22" t="s">
        <v>221</v>
      </c>
      <c r="B89" s="23"/>
      <c r="C89" s="23"/>
      <c r="D89" s="23"/>
      <c r="E89" s="23"/>
      <c r="F89" s="23"/>
      <c r="G89" s="23"/>
      <c r="H89" s="23"/>
      <c r="I89" s="23"/>
      <c r="J89" s="23"/>
      <c r="K89" s="23"/>
      <c r="L89" s="23"/>
      <c r="M89" s="23"/>
      <c r="N89" s="23"/>
      <c r="O89" s="23"/>
      <c r="P89" s="23"/>
      <c r="Q89" s="23"/>
      <c r="R89" s="23"/>
    </row>
    <row r="90" spans="1:18" ht="30" customHeight="1" x14ac:dyDescent="0.25">
      <c r="A90" s="22" t="s">
        <v>222</v>
      </c>
      <c r="B90" s="23"/>
      <c r="C90" s="23"/>
      <c r="D90" s="23"/>
      <c r="E90" s="23"/>
      <c r="F90" s="23"/>
      <c r="G90" s="23"/>
      <c r="H90" s="23"/>
      <c r="I90" s="23"/>
      <c r="J90" s="23"/>
      <c r="K90" s="23"/>
      <c r="L90" s="23"/>
      <c r="M90" s="23"/>
      <c r="N90" s="23"/>
      <c r="O90" s="23"/>
      <c r="P90" s="23"/>
      <c r="Q90" s="23"/>
      <c r="R90" s="23"/>
    </row>
    <row r="91" spans="1:18" ht="30" customHeight="1" x14ac:dyDescent="0.25">
      <c r="A91" s="22" t="s">
        <v>223</v>
      </c>
      <c r="B91" s="23"/>
      <c r="C91" s="23"/>
      <c r="D91" s="23"/>
      <c r="E91" s="23"/>
      <c r="F91" s="23"/>
      <c r="G91" s="23"/>
      <c r="H91" s="23"/>
      <c r="I91" s="23"/>
      <c r="J91" s="23"/>
      <c r="K91" s="23"/>
      <c r="L91" s="23"/>
      <c r="M91" s="23"/>
      <c r="N91" s="23"/>
      <c r="O91" s="23"/>
      <c r="P91" s="23"/>
      <c r="Q91" s="23"/>
      <c r="R91" s="23"/>
    </row>
    <row r="92" spans="1:18" ht="30" customHeight="1" x14ac:dyDescent="0.25">
      <c r="A92" s="22" t="s">
        <v>224</v>
      </c>
      <c r="B92" s="23"/>
      <c r="C92" s="23"/>
      <c r="D92" s="23"/>
      <c r="E92" s="23"/>
      <c r="F92" s="23"/>
      <c r="G92" s="23"/>
      <c r="H92" s="23"/>
      <c r="I92" s="23"/>
      <c r="J92" s="23"/>
      <c r="K92" s="23"/>
      <c r="L92" s="23"/>
      <c r="M92" s="23"/>
      <c r="N92" s="23"/>
      <c r="O92" s="23"/>
      <c r="P92" s="23"/>
      <c r="Q92" s="23"/>
      <c r="R92" s="23"/>
    </row>
    <row r="93" spans="1:18" ht="30" customHeight="1" x14ac:dyDescent="0.25">
      <c r="A93" s="22" t="s">
        <v>225</v>
      </c>
      <c r="B93" s="23"/>
      <c r="C93" s="23"/>
      <c r="D93" s="23"/>
      <c r="E93" s="23"/>
      <c r="F93" s="23"/>
      <c r="G93" s="23"/>
      <c r="H93" s="23"/>
      <c r="I93" s="23"/>
      <c r="J93" s="23"/>
      <c r="K93" s="23"/>
      <c r="L93" s="23"/>
      <c r="M93" s="23"/>
      <c r="N93" s="23"/>
      <c r="O93" s="23"/>
      <c r="P93" s="23"/>
      <c r="Q93" s="23"/>
      <c r="R93" s="23"/>
    </row>
    <row r="94" spans="1:18" ht="30" customHeight="1" x14ac:dyDescent="0.25">
      <c r="A94" s="22" t="s">
        <v>226</v>
      </c>
      <c r="B94" s="23"/>
      <c r="C94" s="23"/>
      <c r="D94" s="23"/>
      <c r="E94" s="23"/>
      <c r="F94" s="23"/>
      <c r="G94" s="23"/>
      <c r="H94" s="23"/>
      <c r="I94" s="23"/>
      <c r="J94" s="23"/>
      <c r="K94" s="23"/>
      <c r="L94" s="23"/>
      <c r="M94" s="23"/>
      <c r="N94" s="23"/>
      <c r="O94" s="23"/>
      <c r="P94" s="23"/>
      <c r="Q94" s="23"/>
      <c r="R94" s="23"/>
    </row>
    <row r="95" spans="1:18" ht="30" customHeight="1" x14ac:dyDescent="0.25">
      <c r="A95" s="22" t="s">
        <v>227</v>
      </c>
      <c r="B95" s="23"/>
      <c r="C95" s="23"/>
      <c r="D95" s="23"/>
      <c r="E95" s="23"/>
      <c r="F95" s="23"/>
      <c r="G95" s="23"/>
      <c r="H95" s="23"/>
      <c r="I95" s="23"/>
      <c r="J95" s="23"/>
      <c r="K95" s="23"/>
      <c r="L95" s="23"/>
      <c r="M95" s="23"/>
      <c r="N95" s="23"/>
      <c r="O95" s="23"/>
      <c r="P95" s="23"/>
      <c r="Q95" s="23"/>
      <c r="R95" s="23"/>
    </row>
    <row r="96" spans="1:18" ht="30" customHeight="1" x14ac:dyDescent="0.25">
      <c r="A96" s="22" t="s">
        <v>228</v>
      </c>
      <c r="B96" s="23"/>
      <c r="C96" s="23"/>
      <c r="D96" s="23"/>
      <c r="E96" s="23"/>
      <c r="F96" s="23"/>
      <c r="G96" s="23"/>
      <c r="H96" s="23"/>
      <c r="I96" s="23"/>
      <c r="J96" s="23"/>
      <c r="K96" s="23"/>
      <c r="L96" s="23"/>
      <c r="M96" s="23"/>
      <c r="N96" s="23"/>
      <c r="O96" s="23"/>
      <c r="P96" s="23"/>
      <c r="Q96" s="23"/>
      <c r="R96" s="23"/>
    </row>
  </sheetData>
  <mergeCells count="22">
    <mergeCell ref="O4:P4"/>
    <mergeCell ref="Q4:R4"/>
    <mergeCell ref="A1:R1"/>
    <mergeCell ref="A2:R2"/>
    <mergeCell ref="A84:R84"/>
    <mergeCell ref="E4:F4"/>
    <mergeCell ref="G4:H4"/>
    <mergeCell ref="I4:J4"/>
    <mergeCell ref="K4:L4"/>
    <mergeCell ref="M4:N4"/>
    <mergeCell ref="A85:R85"/>
    <mergeCell ref="A86:R86"/>
    <mergeCell ref="A87:R87"/>
    <mergeCell ref="A88:R88"/>
    <mergeCell ref="A89:R89"/>
    <mergeCell ref="A95:R95"/>
    <mergeCell ref="A96:R96"/>
    <mergeCell ref="A90:R90"/>
    <mergeCell ref="A91:R91"/>
    <mergeCell ref="A92:R92"/>
    <mergeCell ref="A93:R93"/>
    <mergeCell ref="A94:R94"/>
  </mergeCells>
  <pageMargins left="0.75" right="0.75" top="1" bottom="1" header="0.5" footer="0.5"/>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0"/>
  <dimension ref="A1:R96"/>
  <sheetViews>
    <sheetView zoomScale="80" workbookViewId="0">
      <pane xSplit="4" topLeftCell="E1" activePane="topRight" state="frozen"/>
      <selection sqref="A1:R1"/>
      <selection pane="topRight" sqref="A1:R1"/>
    </sheetView>
  </sheetViews>
  <sheetFormatPr defaultColWidth="11.42578125" defaultRowHeight="15" x14ac:dyDescent="0.25"/>
  <cols>
    <col min="1" max="1" width="50" customWidth="1"/>
  </cols>
  <sheetData>
    <row r="1" spans="1:18" x14ac:dyDescent="0.25">
      <c r="A1" s="26" t="s">
        <v>122</v>
      </c>
      <c r="B1" s="23"/>
      <c r="C1" s="23"/>
      <c r="D1" s="23"/>
      <c r="E1" s="23"/>
      <c r="F1" s="23"/>
      <c r="G1" s="23"/>
      <c r="H1" s="23"/>
      <c r="I1" s="23"/>
      <c r="J1" s="23"/>
      <c r="K1" s="23"/>
      <c r="L1" s="23"/>
      <c r="M1" s="23"/>
      <c r="N1" s="23"/>
      <c r="O1" s="23"/>
      <c r="P1" s="23"/>
      <c r="Q1" s="23"/>
      <c r="R1" s="23"/>
    </row>
    <row r="2" spans="1:18" x14ac:dyDescent="0.25">
      <c r="A2" s="27" t="s">
        <v>276</v>
      </c>
      <c r="B2" s="23"/>
      <c r="C2" s="23"/>
      <c r="D2" s="23"/>
      <c r="E2" s="23"/>
      <c r="F2" s="23"/>
      <c r="G2" s="23"/>
      <c r="H2" s="23"/>
      <c r="I2" s="23"/>
      <c r="J2" s="23"/>
      <c r="K2" s="23"/>
      <c r="L2" s="23"/>
      <c r="M2" s="23"/>
      <c r="N2" s="23"/>
      <c r="O2" s="23"/>
      <c r="P2" s="23"/>
      <c r="Q2" s="23"/>
      <c r="R2" s="23"/>
    </row>
    <row r="4" spans="1:18" ht="30" customHeight="1" x14ac:dyDescent="0.25">
      <c r="A4" s="4"/>
      <c r="B4" s="5" t="s">
        <v>123</v>
      </c>
      <c r="C4" s="5" t="s">
        <v>124</v>
      </c>
      <c r="D4" s="6" t="s">
        <v>123</v>
      </c>
      <c r="E4" s="24" t="s">
        <v>125</v>
      </c>
      <c r="F4" s="25"/>
      <c r="G4" s="24" t="s">
        <v>126</v>
      </c>
      <c r="H4" s="25"/>
      <c r="I4" s="24" t="s">
        <v>127</v>
      </c>
      <c r="J4" s="25"/>
      <c r="K4" s="24" t="s">
        <v>128</v>
      </c>
      <c r="L4" s="25"/>
      <c r="M4" s="24" t="s">
        <v>129</v>
      </c>
      <c r="N4" s="25"/>
      <c r="O4" s="24" t="s">
        <v>130</v>
      </c>
      <c r="P4" s="25"/>
      <c r="Q4" s="24" t="s">
        <v>131</v>
      </c>
      <c r="R4" s="25"/>
    </row>
    <row r="5" spans="1:18" x14ac:dyDescent="0.25">
      <c r="A5" s="7"/>
      <c r="B5" s="8" t="s">
        <v>132</v>
      </c>
      <c r="C5" s="8" t="s">
        <v>133</v>
      </c>
      <c r="D5" s="7" t="s">
        <v>134</v>
      </c>
      <c r="E5" s="8" t="s">
        <v>135</v>
      </c>
      <c r="F5" s="7" t="s">
        <v>136</v>
      </c>
      <c r="G5" s="8" t="s">
        <v>135</v>
      </c>
      <c r="H5" s="7" t="s">
        <v>136</v>
      </c>
      <c r="I5" s="8" t="s">
        <v>135</v>
      </c>
      <c r="J5" s="7" t="s">
        <v>136</v>
      </c>
      <c r="K5" s="8" t="s">
        <v>135</v>
      </c>
      <c r="L5" s="7" t="s">
        <v>136</v>
      </c>
      <c r="M5" s="8" t="s">
        <v>135</v>
      </c>
      <c r="N5" s="7" t="s">
        <v>136</v>
      </c>
      <c r="O5" s="8" t="s">
        <v>135</v>
      </c>
      <c r="P5" s="7" t="s">
        <v>136</v>
      </c>
      <c r="Q5" s="8" t="s">
        <v>135</v>
      </c>
      <c r="R5" s="7" t="s">
        <v>136</v>
      </c>
    </row>
    <row r="6" spans="1:18" x14ac:dyDescent="0.25">
      <c r="A6" s="9" t="s">
        <v>137</v>
      </c>
      <c r="B6" s="10"/>
      <c r="C6" s="10"/>
      <c r="D6" s="11"/>
      <c r="E6" s="10"/>
      <c r="F6" s="11"/>
      <c r="G6" s="10"/>
      <c r="H6" s="11"/>
      <c r="I6" s="10"/>
      <c r="J6" s="11"/>
      <c r="K6" s="10"/>
      <c r="L6" s="11"/>
      <c r="M6" s="10"/>
      <c r="N6" s="11"/>
      <c r="O6" s="10"/>
      <c r="P6" s="11"/>
      <c r="Q6" s="10"/>
      <c r="R6" s="12"/>
    </row>
    <row r="7" spans="1:18" x14ac:dyDescent="0.25">
      <c r="A7" s="11" t="s">
        <v>138</v>
      </c>
      <c r="B7" s="13">
        <v>14530</v>
      </c>
      <c r="C7" s="14">
        <f>(12281/B7*100)</f>
        <v>84.521679284239497</v>
      </c>
      <c r="D7" s="15">
        <v>2249</v>
      </c>
      <c r="E7" s="14">
        <v>51.047258820000003</v>
      </c>
      <c r="F7" s="16">
        <v>1.2774093200000001</v>
      </c>
      <c r="G7" s="14">
        <v>48.952741179999997</v>
      </c>
      <c r="H7" s="16">
        <v>1.2774093200000001</v>
      </c>
      <c r="I7" s="14" t="s">
        <v>139</v>
      </c>
      <c r="J7" s="16" t="s">
        <v>139</v>
      </c>
      <c r="K7" s="14">
        <v>0</v>
      </c>
      <c r="L7" s="16">
        <v>0</v>
      </c>
      <c r="M7" s="14">
        <v>0</v>
      </c>
      <c r="N7" s="16">
        <v>0</v>
      </c>
      <c r="O7" s="14">
        <v>0</v>
      </c>
      <c r="P7" s="16">
        <v>0</v>
      </c>
      <c r="Q7" s="14">
        <v>0</v>
      </c>
      <c r="R7" s="16">
        <v>0</v>
      </c>
    </row>
    <row r="8" spans="1:18" x14ac:dyDescent="0.25">
      <c r="A8" s="11" t="s">
        <v>140</v>
      </c>
      <c r="B8" s="13">
        <v>7007</v>
      </c>
      <c r="C8" s="14">
        <f>(5875/B8*100)</f>
        <v>83.844726701869547</v>
      </c>
      <c r="D8" s="15">
        <v>1132</v>
      </c>
      <c r="E8" s="14">
        <v>55.533831569999997</v>
      </c>
      <c r="F8" s="16">
        <v>1.3966430700000001</v>
      </c>
      <c r="G8" s="14">
        <v>44.466168430000003</v>
      </c>
      <c r="H8" s="16">
        <v>1.3966430700000001</v>
      </c>
      <c r="I8" s="14" t="s">
        <v>139</v>
      </c>
      <c r="J8" s="16" t="s">
        <v>139</v>
      </c>
      <c r="K8" s="14">
        <v>0</v>
      </c>
      <c r="L8" s="16">
        <v>0</v>
      </c>
      <c r="M8" s="14">
        <v>0</v>
      </c>
      <c r="N8" s="16">
        <v>0</v>
      </c>
      <c r="O8" s="14">
        <v>0</v>
      </c>
      <c r="P8" s="16">
        <v>0</v>
      </c>
      <c r="Q8" s="14">
        <v>0</v>
      </c>
      <c r="R8" s="16">
        <v>0</v>
      </c>
    </row>
    <row r="9" spans="1:18" x14ac:dyDescent="0.25">
      <c r="A9" s="11" t="s">
        <v>141</v>
      </c>
      <c r="B9" s="13">
        <v>9651</v>
      </c>
      <c r="C9" s="14">
        <f>(8203/B9*100)</f>
        <v>84.996373432804901</v>
      </c>
      <c r="D9" s="15">
        <v>1448</v>
      </c>
      <c r="E9" s="14">
        <v>54.752458490000002</v>
      </c>
      <c r="F9" s="16">
        <v>1.53033771</v>
      </c>
      <c r="G9" s="14">
        <v>45.247541509999998</v>
      </c>
      <c r="H9" s="16">
        <v>1.53033771</v>
      </c>
      <c r="I9" s="14" t="s">
        <v>139</v>
      </c>
      <c r="J9" s="16" t="s">
        <v>139</v>
      </c>
      <c r="K9" s="14">
        <v>0</v>
      </c>
      <c r="L9" s="16">
        <v>0</v>
      </c>
      <c r="M9" s="14">
        <v>0</v>
      </c>
      <c r="N9" s="16">
        <v>0</v>
      </c>
      <c r="O9" s="14">
        <v>0</v>
      </c>
      <c r="P9" s="16">
        <v>0</v>
      </c>
      <c r="Q9" s="14">
        <v>0</v>
      </c>
      <c r="R9" s="16">
        <v>0</v>
      </c>
    </row>
    <row r="10" spans="1:18" x14ac:dyDescent="0.25">
      <c r="A10" s="11" t="s">
        <v>142</v>
      </c>
      <c r="B10" s="13">
        <v>20058</v>
      </c>
      <c r="C10" s="14">
        <f>(16721/B10*100)</f>
        <v>83.363246584903777</v>
      </c>
      <c r="D10" s="15">
        <v>3337</v>
      </c>
      <c r="E10" s="14">
        <v>53.002682710000002</v>
      </c>
      <c r="F10" s="16">
        <v>1.1104502000000001</v>
      </c>
      <c r="G10" s="14">
        <v>46.997317289999998</v>
      </c>
      <c r="H10" s="16">
        <v>1.1104502000000001</v>
      </c>
      <c r="I10" s="14" t="s">
        <v>139</v>
      </c>
      <c r="J10" s="16" t="s">
        <v>139</v>
      </c>
      <c r="K10" s="14">
        <v>0</v>
      </c>
      <c r="L10" s="16">
        <v>0</v>
      </c>
      <c r="M10" s="14">
        <v>0</v>
      </c>
      <c r="N10" s="16">
        <v>0</v>
      </c>
      <c r="O10" s="14">
        <v>0</v>
      </c>
      <c r="P10" s="16">
        <v>0</v>
      </c>
      <c r="Q10" s="14">
        <v>0</v>
      </c>
      <c r="R10" s="16">
        <v>0</v>
      </c>
    </row>
    <row r="11" spans="1:18" x14ac:dyDescent="0.25">
      <c r="A11" s="11" t="s">
        <v>143</v>
      </c>
      <c r="B11" s="13">
        <v>7053</v>
      </c>
      <c r="C11" s="14">
        <f>(5995/B11*100)</f>
        <v>84.999291081809162</v>
      </c>
      <c r="D11" s="15">
        <v>1058</v>
      </c>
      <c r="E11" s="14">
        <v>49.845356449999997</v>
      </c>
      <c r="F11" s="16">
        <v>1.74475676</v>
      </c>
      <c r="G11" s="14">
        <v>50.154643550000003</v>
      </c>
      <c r="H11" s="16">
        <v>1.74475676</v>
      </c>
      <c r="I11" s="14" t="s">
        <v>139</v>
      </c>
      <c r="J11" s="16" t="s">
        <v>139</v>
      </c>
      <c r="K11" s="14">
        <v>0</v>
      </c>
      <c r="L11" s="16">
        <v>0</v>
      </c>
      <c r="M11" s="14">
        <v>0</v>
      </c>
      <c r="N11" s="16">
        <v>0</v>
      </c>
      <c r="O11" s="14">
        <v>0</v>
      </c>
      <c r="P11" s="16">
        <v>0</v>
      </c>
      <c r="Q11" s="14">
        <v>0</v>
      </c>
      <c r="R11" s="16">
        <v>0</v>
      </c>
    </row>
    <row r="12" spans="1:18" x14ac:dyDescent="0.25">
      <c r="A12" s="11" t="s">
        <v>144</v>
      </c>
      <c r="B12" s="13">
        <v>6894</v>
      </c>
      <c r="C12" s="14">
        <f>(5821/B12*100)</f>
        <v>84.435741224252965</v>
      </c>
      <c r="D12" s="15">
        <v>1073</v>
      </c>
      <c r="E12" s="14">
        <v>49.368618259999998</v>
      </c>
      <c r="F12" s="16">
        <v>1.7735243700000001</v>
      </c>
      <c r="G12" s="14">
        <v>50.631381740000002</v>
      </c>
      <c r="H12" s="16">
        <v>1.7735243700000001</v>
      </c>
      <c r="I12" s="14" t="s">
        <v>139</v>
      </c>
      <c r="J12" s="16" t="s">
        <v>139</v>
      </c>
      <c r="K12" s="14">
        <v>0</v>
      </c>
      <c r="L12" s="16">
        <v>0</v>
      </c>
      <c r="M12" s="14">
        <v>0</v>
      </c>
      <c r="N12" s="16">
        <v>0</v>
      </c>
      <c r="O12" s="14">
        <v>0</v>
      </c>
      <c r="P12" s="16">
        <v>0</v>
      </c>
      <c r="Q12" s="14">
        <v>0</v>
      </c>
      <c r="R12" s="16">
        <v>0</v>
      </c>
    </row>
    <row r="13" spans="1:18" x14ac:dyDescent="0.25">
      <c r="A13" s="11" t="s">
        <v>145</v>
      </c>
      <c r="B13" s="13">
        <v>7161</v>
      </c>
      <c r="C13" s="14">
        <f>(6079/B13*100)</f>
        <v>84.890378438765538</v>
      </c>
      <c r="D13" s="15">
        <v>1082</v>
      </c>
      <c r="E13" s="14">
        <v>50.372817640000001</v>
      </c>
      <c r="F13" s="16">
        <v>1.6480150099999999</v>
      </c>
      <c r="G13" s="14">
        <v>49.627182359999999</v>
      </c>
      <c r="H13" s="16">
        <v>1.6480150099999999</v>
      </c>
      <c r="I13" s="14" t="s">
        <v>139</v>
      </c>
      <c r="J13" s="16" t="s">
        <v>139</v>
      </c>
      <c r="K13" s="14">
        <v>0</v>
      </c>
      <c r="L13" s="16">
        <v>0</v>
      </c>
      <c r="M13" s="14">
        <v>0</v>
      </c>
      <c r="N13" s="16">
        <v>0</v>
      </c>
      <c r="O13" s="14">
        <v>0</v>
      </c>
      <c r="P13" s="16">
        <v>0</v>
      </c>
      <c r="Q13" s="14">
        <v>0</v>
      </c>
      <c r="R13" s="16">
        <v>0</v>
      </c>
    </row>
    <row r="14" spans="1:18" x14ac:dyDescent="0.25">
      <c r="A14" s="11" t="s">
        <v>146</v>
      </c>
      <c r="B14" s="13">
        <v>5587</v>
      </c>
      <c r="C14" s="14">
        <f>(4678/B14*100)</f>
        <v>83.730087703597633</v>
      </c>
      <c r="D14" s="15">
        <v>909</v>
      </c>
      <c r="E14" s="14">
        <v>49.256282050000003</v>
      </c>
      <c r="F14" s="16">
        <v>1.98287674</v>
      </c>
      <c r="G14" s="14">
        <v>50.743717949999997</v>
      </c>
      <c r="H14" s="16">
        <v>1.98287674</v>
      </c>
      <c r="I14" s="14" t="s">
        <v>139</v>
      </c>
      <c r="J14" s="16" t="s">
        <v>139</v>
      </c>
      <c r="K14" s="14">
        <v>0</v>
      </c>
      <c r="L14" s="16">
        <v>0</v>
      </c>
      <c r="M14" s="14">
        <v>0</v>
      </c>
      <c r="N14" s="16">
        <v>0</v>
      </c>
      <c r="O14" s="14">
        <v>0</v>
      </c>
      <c r="P14" s="16">
        <v>0</v>
      </c>
      <c r="Q14" s="14">
        <v>0</v>
      </c>
      <c r="R14" s="16">
        <v>0</v>
      </c>
    </row>
    <row r="15" spans="1:18" x14ac:dyDescent="0.25">
      <c r="A15" s="11" t="s">
        <v>147</v>
      </c>
      <c r="B15" s="13">
        <v>5882</v>
      </c>
      <c r="C15" s="14">
        <f>(4957/B15*100)</f>
        <v>84.274056443386598</v>
      </c>
      <c r="D15" s="15">
        <v>925</v>
      </c>
      <c r="E15" s="14">
        <v>47.296348889999997</v>
      </c>
      <c r="F15" s="16">
        <v>1.6085538100000001</v>
      </c>
      <c r="G15" s="14">
        <v>52.703651110000003</v>
      </c>
      <c r="H15" s="16">
        <v>1.6085538100000001</v>
      </c>
      <c r="I15" s="14" t="s">
        <v>139</v>
      </c>
      <c r="J15" s="16" t="s">
        <v>139</v>
      </c>
      <c r="K15" s="14">
        <v>0</v>
      </c>
      <c r="L15" s="16">
        <v>0</v>
      </c>
      <c r="M15" s="14">
        <v>0</v>
      </c>
      <c r="N15" s="16">
        <v>0</v>
      </c>
      <c r="O15" s="14">
        <v>0</v>
      </c>
      <c r="P15" s="16">
        <v>0</v>
      </c>
      <c r="Q15" s="14">
        <v>0</v>
      </c>
      <c r="R15" s="16">
        <v>0</v>
      </c>
    </row>
    <row r="16" spans="1:18" x14ac:dyDescent="0.25">
      <c r="A16" s="11" t="s">
        <v>148</v>
      </c>
      <c r="B16" s="13">
        <v>6108</v>
      </c>
      <c r="C16" s="14">
        <f>(5144/B16*100)</f>
        <v>84.217419777341192</v>
      </c>
      <c r="D16" s="15">
        <v>964</v>
      </c>
      <c r="E16" s="14">
        <v>57.307617819999997</v>
      </c>
      <c r="F16" s="16">
        <v>1.62506051</v>
      </c>
      <c r="G16" s="14">
        <v>42.692382180000003</v>
      </c>
      <c r="H16" s="16">
        <v>1.62506051</v>
      </c>
      <c r="I16" s="14" t="s">
        <v>139</v>
      </c>
      <c r="J16" s="16" t="s">
        <v>139</v>
      </c>
      <c r="K16" s="14">
        <v>0</v>
      </c>
      <c r="L16" s="16">
        <v>0</v>
      </c>
      <c r="M16" s="14">
        <v>0</v>
      </c>
      <c r="N16" s="16">
        <v>0</v>
      </c>
      <c r="O16" s="14">
        <v>0</v>
      </c>
      <c r="P16" s="16">
        <v>0</v>
      </c>
      <c r="Q16" s="14">
        <v>0</v>
      </c>
      <c r="R16" s="16">
        <v>0</v>
      </c>
    </row>
    <row r="17" spans="1:18" x14ac:dyDescent="0.25">
      <c r="A17" s="11" t="s">
        <v>149</v>
      </c>
      <c r="B17" s="13">
        <v>6504</v>
      </c>
      <c r="C17" s="14">
        <f>(5504/B17*100)</f>
        <v>84.624846248462475</v>
      </c>
      <c r="D17" s="15">
        <v>1000</v>
      </c>
      <c r="E17" s="14">
        <v>51.042587140000002</v>
      </c>
      <c r="F17" s="16">
        <v>1.80198747</v>
      </c>
      <c r="G17" s="14">
        <v>48.957412859999998</v>
      </c>
      <c r="H17" s="16">
        <v>1.80198747</v>
      </c>
      <c r="I17" s="14" t="s">
        <v>139</v>
      </c>
      <c r="J17" s="16" t="s">
        <v>139</v>
      </c>
      <c r="K17" s="14">
        <v>0</v>
      </c>
      <c r="L17" s="16">
        <v>0</v>
      </c>
      <c r="M17" s="14">
        <v>0</v>
      </c>
      <c r="N17" s="16">
        <v>0</v>
      </c>
      <c r="O17" s="14">
        <v>0</v>
      </c>
      <c r="P17" s="16">
        <v>0</v>
      </c>
      <c r="Q17" s="14">
        <v>0</v>
      </c>
      <c r="R17" s="16">
        <v>0</v>
      </c>
    </row>
    <row r="18" spans="1:18" x14ac:dyDescent="0.25">
      <c r="A18" s="11" t="s">
        <v>150</v>
      </c>
      <c r="B18" s="13">
        <v>5532</v>
      </c>
      <c r="C18" s="14">
        <f>(4604/B18*100)</f>
        <v>83.224873463485167</v>
      </c>
      <c r="D18" s="15">
        <v>928</v>
      </c>
      <c r="E18" s="14">
        <v>51.967105400000001</v>
      </c>
      <c r="F18" s="16">
        <v>1.7521024199999999</v>
      </c>
      <c r="G18" s="14">
        <v>48.032894599999999</v>
      </c>
      <c r="H18" s="16">
        <v>1.7521024199999999</v>
      </c>
      <c r="I18" s="14" t="s">
        <v>139</v>
      </c>
      <c r="J18" s="16" t="s">
        <v>139</v>
      </c>
      <c r="K18" s="14">
        <v>0</v>
      </c>
      <c r="L18" s="16">
        <v>0</v>
      </c>
      <c r="M18" s="14">
        <v>0</v>
      </c>
      <c r="N18" s="16">
        <v>0</v>
      </c>
      <c r="O18" s="14">
        <v>0</v>
      </c>
      <c r="P18" s="16">
        <v>0</v>
      </c>
      <c r="Q18" s="14">
        <v>0</v>
      </c>
      <c r="R18" s="16">
        <v>0</v>
      </c>
    </row>
    <row r="19" spans="1:18" x14ac:dyDescent="0.25">
      <c r="A19" s="11" t="s">
        <v>151</v>
      </c>
      <c r="B19" s="13">
        <v>5658</v>
      </c>
      <c r="C19" s="14">
        <f>(4793/B19*100)</f>
        <v>84.711912336514672</v>
      </c>
      <c r="D19" s="15">
        <v>865</v>
      </c>
      <c r="E19" s="14">
        <v>59.348347060000002</v>
      </c>
      <c r="F19" s="16">
        <v>1.8925582299999999</v>
      </c>
      <c r="G19" s="14">
        <v>40.651652939999998</v>
      </c>
      <c r="H19" s="16">
        <v>1.8925582299999999</v>
      </c>
      <c r="I19" s="14" t="s">
        <v>139</v>
      </c>
      <c r="J19" s="16" t="s">
        <v>139</v>
      </c>
      <c r="K19" s="14">
        <v>0</v>
      </c>
      <c r="L19" s="16">
        <v>0</v>
      </c>
      <c r="M19" s="14">
        <v>0</v>
      </c>
      <c r="N19" s="16">
        <v>0</v>
      </c>
      <c r="O19" s="14">
        <v>0</v>
      </c>
      <c r="P19" s="16">
        <v>0</v>
      </c>
      <c r="Q19" s="14">
        <v>0</v>
      </c>
      <c r="R19" s="16">
        <v>0</v>
      </c>
    </row>
    <row r="20" spans="1:18" x14ac:dyDescent="0.25">
      <c r="A20" s="11" t="s">
        <v>152</v>
      </c>
      <c r="B20" s="13">
        <v>3371</v>
      </c>
      <c r="C20" s="14">
        <f>(2842/B20*100)</f>
        <v>84.307327202610509</v>
      </c>
      <c r="D20" s="15">
        <v>529</v>
      </c>
      <c r="E20" s="14">
        <v>49.596979959999999</v>
      </c>
      <c r="F20" s="16">
        <v>2.0867751999999999</v>
      </c>
      <c r="G20" s="14">
        <v>50.403020040000001</v>
      </c>
      <c r="H20" s="16">
        <v>2.0867751999999999</v>
      </c>
      <c r="I20" s="14" t="s">
        <v>139</v>
      </c>
      <c r="J20" s="16" t="s">
        <v>139</v>
      </c>
      <c r="K20" s="14">
        <v>0</v>
      </c>
      <c r="L20" s="16">
        <v>0</v>
      </c>
      <c r="M20" s="14">
        <v>0</v>
      </c>
      <c r="N20" s="16">
        <v>0</v>
      </c>
      <c r="O20" s="14">
        <v>0</v>
      </c>
      <c r="P20" s="16">
        <v>0</v>
      </c>
      <c r="Q20" s="14">
        <v>0</v>
      </c>
      <c r="R20" s="16">
        <v>0</v>
      </c>
    </row>
    <row r="21" spans="1:18" x14ac:dyDescent="0.25">
      <c r="A21" s="11" t="s">
        <v>153</v>
      </c>
      <c r="B21" s="17" t="s">
        <v>154</v>
      </c>
      <c r="C21" s="17" t="s">
        <v>154</v>
      </c>
      <c r="D21" s="18" t="s">
        <v>154</v>
      </c>
      <c r="E21" s="17" t="s">
        <v>154</v>
      </c>
      <c r="F21" s="18" t="s">
        <v>154</v>
      </c>
      <c r="G21" s="17" t="s">
        <v>154</v>
      </c>
      <c r="H21" s="18" t="s">
        <v>154</v>
      </c>
      <c r="I21" s="17" t="s">
        <v>154</v>
      </c>
      <c r="J21" s="18" t="s">
        <v>154</v>
      </c>
      <c r="K21" s="17" t="s">
        <v>154</v>
      </c>
      <c r="L21" s="18" t="s">
        <v>154</v>
      </c>
      <c r="M21" s="17" t="s">
        <v>154</v>
      </c>
      <c r="N21" s="18" t="s">
        <v>154</v>
      </c>
      <c r="O21" s="17" t="s">
        <v>154</v>
      </c>
      <c r="P21" s="18" t="s">
        <v>154</v>
      </c>
      <c r="Q21" s="17" t="s">
        <v>154</v>
      </c>
      <c r="R21" s="18" t="s">
        <v>154</v>
      </c>
    </row>
    <row r="22" spans="1:18" x14ac:dyDescent="0.25">
      <c r="A22" s="11" t="s">
        <v>155</v>
      </c>
      <c r="B22" s="13">
        <v>6598</v>
      </c>
      <c r="C22" s="14">
        <f>(5639/B22*100)</f>
        <v>85.465292512882698</v>
      </c>
      <c r="D22" s="15">
        <v>959</v>
      </c>
      <c r="E22" s="14">
        <v>54.458020150000003</v>
      </c>
      <c r="F22" s="16">
        <v>1.63097081</v>
      </c>
      <c r="G22" s="14">
        <v>45.541979849999997</v>
      </c>
      <c r="H22" s="16">
        <v>1.63097081</v>
      </c>
      <c r="I22" s="14" t="s">
        <v>139</v>
      </c>
      <c r="J22" s="16" t="s">
        <v>139</v>
      </c>
      <c r="K22" s="14">
        <v>0</v>
      </c>
      <c r="L22" s="16">
        <v>0</v>
      </c>
      <c r="M22" s="14">
        <v>0</v>
      </c>
      <c r="N22" s="16">
        <v>0</v>
      </c>
      <c r="O22" s="14">
        <v>0</v>
      </c>
      <c r="P22" s="16">
        <v>0</v>
      </c>
      <c r="Q22" s="14">
        <v>0</v>
      </c>
      <c r="R22" s="16">
        <v>0</v>
      </c>
    </row>
    <row r="23" spans="1:18" x14ac:dyDescent="0.25">
      <c r="A23" s="11" t="s">
        <v>156</v>
      </c>
      <c r="B23" s="13">
        <v>11583</v>
      </c>
      <c r="C23" s="14">
        <f>(9722/B23*100)</f>
        <v>83.933350600017263</v>
      </c>
      <c r="D23" s="15">
        <v>1861</v>
      </c>
      <c r="E23" s="14">
        <v>57.540826780000003</v>
      </c>
      <c r="F23" s="16">
        <v>1.56625612</v>
      </c>
      <c r="G23" s="14">
        <v>42.459173219999997</v>
      </c>
      <c r="H23" s="16">
        <v>1.56625612</v>
      </c>
      <c r="I23" s="14" t="s">
        <v>139</v>
      </c>
      <c r="J23" s="16" t="s">
        <v>139</v>
      </c>
      <c r="K23" s="14">
        <v>0</v>
      </c>
      <c r="L23" s="16">
        <v>0</v>
      </c>
      <c r="M23" s="14">
        <v>0</v>
      </c>
      <c r="N23" s="16">
        <v>0</v>
      </c>
      <c r="O23" s="14">
        <v>0</v>
      </c>
      <c r="P23" s="16">
        <v>0</v>
      </c>
      <c r="Q23" s="14">
        <v>0</v>
      </c>
      <c r="R23" s="16">
        <v>0</v>
      </c>
    </row>
    <row r="24" spans="1:18" x14ac:dyDescent="0.25">
      <c r="A24" s="11" t="s">
        <v>157</v>
      </c>
      <c r="B24" s="13">
        <v>6647</v>
      </c>
      <c r="C24" s="14">
        <f>(5539/B24*100)</f>
        <v>83.33082593651271</v>
      </c>
      <c r="D24" s="15">
        <v>1108</v>
      </c>
      <c r="E24" s="14">
        <v>59.81722954</v>
      </c>
      <c r="F24" s="16">
        <v>1.50686064</v>
      </c>
      <c r="G24" s="14">
        <v>40.18277046</v>
      </c>
      <c r="H24" s="16">
        <v>1.50686064</v>
      </c>
      <c r="I24" s="14" t="s">
        <v>139</v>
      </c>
      <c r="J24" s="16" t="s">
        <v>139</v>
      </c>
      <c r="K24" s="14">
        <v>0</v>
      </c>
      <c r="L24" s="16">
        <v>0</v>
      </c>
      <c r="M24" s="14">
        <v>0</v>
      </c>
      <c r="N24" s="16">
        <v>0</v>
      </c>
      <c r="O24" s="14">
        <v>0</v>
      </c>
      <c r="P24" s="16">
        <v>0</v>
      </c>
      <c r="Q24" s="14">
        <v>0</v>
      </c>
      <c r="R24" s="16">
        <v>0</v>
      </c>
    </row>
    <row r="25" spans="1:18" x14ac:dyDescent="0.25">
      <c r="A25" s="11" t="s">
        <v>158</v>
      </c>
      <c r="B25" s="13">
        <v>5581</v>
      </c>
      <c r="C25" s="14">
        <f>(4619/B25*100)</f>
        <v>82.762945708654371</v>
      </c>
      <c r="D25" s="15">
        <v>962</v>
      </c>
      <c r="E25" s="14">
        <v>60.356618689999998</v>
      </c>
      <c r="F25" s="16">
        <v>1.5266324600000001</v>
      </c>
      <c r="G25" s="14">
        <v>39.643381310000002</v>
      </c>
      <c r="H25" s="16">
        <v>1.5266324600000001</v>
      </c>
      <c r="I25" s="14" t="s">
        <v>139</v>
      </c>
      <c r="J25" s="16" t="s">
        <v>139</v>
      </c>
      <c r="K25" s="14">
        <v>0</v>
      </c>
      <c r="L25" s="16">
        <v>0</v>
      </c>
      <c r="M25" s="14">
        <v>0</v>
      </c>
      <c r="N25" s="16">
        <v>0</v>
      </c>
      <c r="O25" s="14">
        <v>0</v>
      </c>
      <c r="P25" s="16">
        <v>0</v>
      </c>
      <c r="Q25" s="14">
        <v>0</v>
      </c>
      <c r="R25" s="16">
        <v>0</v>
      </c>
    </row>
    <row r="26" spans="1:18" x14ac:dyDescent="0.25">
      <c r="A26" s="11" t="s">
        <v>159</v>
      </c>
      <c r="B26" s="13">
        <v>4869</v>
      </c>
      <c r="C26" s="14">
        <f>(4044/B26*100)</f>
        <v>83.056069008009857</v>
      </c>
      <c r="D26" s="15">
        <v>825</v>
      </c>
      <c r="E26" s="14">
        <v>51.121769749999999</v>
      </c>
      <c r="F26" s="16">
        <v>1.7849309799999999</v>
      </c>
      <c r="G26" s="14">
        <v>48.878230250000001</v>
      </c>
      <c r="H26" s="16">
        <v>1.7849309799999999</v>
      </c>
      <c r="I26" s="14" t="s">
        <v>139</v>
      </c>
      <c r="J26" s="16" t="s">
        <v>139</v>
      </c>
      <c r="K26" s="14">
        <v>0</v>
      </c>
      <c r="L26" s="16">
        <v>0</v>
      </c>
      <c r="M26" s="14">
        <v>0</v>
      </c>
      <c r="N26" s="16">
        <v>0</v>
      </c>
      <c r="O26" s="14">
        <v>0</v>
      </c>
      <c r="P26" s="16">
        <v>0</v>
      </c>
      <c r="Q26" s="14">
        <v>0</v>
      </c>
      <c r="R26" s="16">
        <v>0</v>
      </c>
    </row>
    <row r="27" spans="1:18" x14ac:dyDescent="0.25">
      <c r="A27" s="11" t="s">
        <v>160</v>
      </c>
      <c r="B27" s="13">
        <v>5299</v>
      </c>
      <c r="C27" s="14">
        <f>(4485/B27*100)</f>
        <v>84.638611058690316</v>
      </c>
      <c r="D27" s="15">
        <v>814</v>
      </c>
      <c r="E27" s="14">
        <v>57.503826539999999</v>
      </c>
      <c r="F27" s="16">
        <v>1.60597861</v>
      </c>
      <c r="G27" s="14">
        <v>42.496173460000001</v>
      </c>
      <c r="H27" s="16">
        <v>1.60597861</v>
      </c>
      <c r="I27" s="14" t="s">
        <v>139</v>
      </c>
      <c r="J27" s="16" t="s">
        <v>139</v>
      </c>
      <c r="K27" s="14">
        <v>0</v>
      </c>
      <c r="L27" s="16">
        <v>0</v>
      </c>
      <c r="M27" s="14">
        <v>0</v>
      </c>
      <c r="N27" s="16">
        <v>0</v>
      </c>
      <c r="O27" s="14">
        <v>0</v>
      </c>
      <c r="P27" s="16">
        <v>0</v>
      </c>
      <c r="Q27" s="14">
        <v>0</v>
      </c>
      <c r="R27" s="16">
        <v>0</v>
      </c>
    </row>
    <row r="28" spans="1:18" x14ac:dyDescent="0.25">
      <c r="A28" s="11" t="s">
        <v>161</v>
      </c>
      <c r="B28" s="13">
        <v>7568</v>
      </c>
      <c r="C28" s="14">
        <f>(6565/B28*100)</f>
        <v>86.746828752642699</v>
      </c>
      <c r="D28" s="15">
        <v>1003</v>
      </c>
      <c r="E28" s="14">
        <v>58.434330199999998</v>
      </c>
      <c r="F28" s="16">
        <v>1.8928951999999999</v>
      </c>
      <c r="G28" s="14">
        <v>41.565669800000002</v>
      </c>
      <c r="H28" s="16">
        <v>1.8928951999999999</v>
      </c>
      <c r="I28" s="14" t="s">
        <v>139</v>
      </c>
      <c r="J28" s="16" t="s">
        <v>139</v>
      </c>
      <c r="K28" s="14">
        <v>0</v>
      </c>
      <c r="L28" s="16">
        <v>0</v>
      </c>
      <c r="M28" s="14">
        <v>0</v>
      </c>
      <c r="N28" s="16">
        <v>0</v>
      </c>
      <c r="O28" s="14">
        <v>0</v>
      </c>
      <c r="P28" s="16">
        <v>0</v>
      </c>
      <c r="Q28" s="14">
        <v>0</v>
      </c>
      <c r="R28" s="16">
        <v>0</v>
      </c>
    </row>
    <row r="29" spans="1:18" x14ac:dyDescent="0.25">
      <c r="A29" s="11" t="s">
        <v>162</v>
      </c>
      <c r="B29" s="13">
        <v>5385</v>
      </c>
      <c r="C29" s="14">
        <f>(4470/B29*100)</f>
        <v>83.008356545961007</v>
      </c>
      <c r="D29" s="15">
        <v>915</v>
      </c>
      <c r="E29" s="14">
        <v>49.591492209999998</v>
      </c>
      <c r="F29" s="16">
        <v>1.8567054999999999</v>
      </c>
      <c r="G29" s="14">
        <v>50.408507790000002</v>
      </c>
      <c r="H29" s="16">
        <v>1.8567054999999999</v>
      </c>
      <c r="I29" s="14" t="s">
        <v>139</v>
      </c>
      <c r="J29" s="16" t="s">
        <v>139</v>
      </c>
      <c r="K29" s="14">
        <v>0</v>
      </c>
      <c r="L29" s="16">
        <v>0</v>
      </c>
      <c r="M29" s="14">
        <v>0</v>
      </c>
      <c r="N29" s="16">
        <v>0</v>
      </c>
      <c r="O29" s="14">
        <v>0</v>
      </c>
      <c r="P29" s="16">
        <v>0</v>
      </c>
      <c r="Q29" s="14">
        <v>0</v>
      </c>
      <c r="R29" s="16">
        <v>0</v>
      </c>
    </row>
    <row r="30" spans="1:18" x14ac:dyDescent="0.25">
      <c r="A30" s="11" t="s">
        <v>163</v>
      </c>
      <c r="B30" s="13">
        <v>4520</v>
      </c>
      <c r="C30" s="14">
        <f>(3802/B30*100)</f>
        <v>84.115044247787608</v>
      </c>
      <c r="D30" s="15">
        <v>718</v>
      </c>
      <c r="E30" s="14">
        <v>46.26159767</v>
      </c>
      <c r="F30" s="16">
        <v>1.8551053500000001</v>
      </c>
      <c r="G30" s="14">
        <v>53.73840233</v>
      </c>
      <c r="H30" s="16">
        <v>1.8551053500000001</v>
      </c>
      <c r="I30" s="14" t="s">
        <v>139</v>
      </c>
      <c r="J30" s="16" t="s">
        <v>139</v>
      </c>
      <c r="K30" s="14">
        <v>0</v>
      </c>
      <c r="L30" s="16">
        <v>0</v>
      </c>
      <c r="M30" s="14">
        <v>0</v>
      </c>
      <c r="N30" s="16">
        <v>0</v>
      </c>
      <c r="O30" s="14">
        <v>0</v>
      </c>
      <c r="P30" s="16">
        <v>0</v>
      </c>
      <c r="Q30" s="14">
        <v>0</v>
      </c>
      <c r="R30" s="16">
        <v>0</v>
      </c>
    </row>
    <row r="31" spans="1:18" x14ac:dyDescent="0.25">
      <c r="A31" s="11" t="s">
        <v>164</v>
      </c>
      <c r="B31" s="13">
        <v>5456</v>
      </c>
      <c r="C31" s="14">
        <f>(4603/B31*100)</f>
        <v>84.365835777126094</v>
      </c>
      <c r="D31" s="15">
        <v>853</v>
      </c>
      <c r="E31" s="14">
        <v>45.536452169999997</v>
      </c>
      <c r="F31" s="16">
        <v>1.87816278</v>
      </c>
      <c r="G31" s="14">
        <v>54.463547830000003</v>
      </c>
      <c r="H31" s="16">
        <v>1.87816278</v>
      </c>
      <c r="I31" s="14" t="s">
        <v>139</v>
      </c>
      <c r="J31" s="16" t="s">
        <v>139</v>
      </c>
      <c r="K31" s="14">
        <v>0</v>
      </c>
      <c r="L31" s="16">
        <v>0</v>
      </c>
      <c r="M31" s="14">
        <v>0</v>
      </c>
      <c r="N31" s="16">
        <v>0</v>
      </c>
      <c r="O31" s="14">
        <v>0</v>
      </c>
      <c r="P31" s="16">
        <v>0</v>
      </c>
      <c r="Q31" s="14">
        <v>0</v>
      </c>
      <c r="R31" s="16">
        <v>0</v>
      </c>
    </row>
    <row r="32" spans="1:18" x14ac:dyDescent="0.25">
      <c r="A32" s="11" t="s">
        <v>165</v>
      </c>
      <c r="B32" s="17" t="s">
        <v>154</v>
      </c>
      <c r="C32" s="17" t="s">
        <v>154</v>
      </c>
      <c r="D32" s="18" t="s">
        <v>154</v>
      </c>
      <c r="E32" s="17" t="s">
        <v>154</v>
      </c>
      <c r="F32" s="18" t="s">
        <v>154</v>
      </c>
      <c r="G32" s="17" t="s">
        <v>154</v>
      </c>
      <c r="H32" s="18" t="s">
        <v>154</v>
      </c>
      <c r="I32" s="17" t="s">
        <v>154</v>
      </c>
      <c r="J32" s="18" t="s">
        <v>154</v>
      </c>
      <c r="K32" s="17" t="s">
        <v>154</v>
      </c>
      <c r="L32" s="18" t="s">
        <v>154</v>
      </c>
      <c r="M32" s="17" t="s">
        <v>154</v>
      </c>
      <c r="N32" s="18" t="s">
        <v>154</v>
      </c>
      <c r="O32" s="17" t="s">
        <v>154</v>
      </c>
      <c r="P32" s="18" t="s">
        <v>154</v>
      </c>
      <c r="Q32" s="17" t="s">
        <v>154</v>
      </c>
      <c r="R32" s="18" t="s">
        <v>154</v>
      </c>
    </row>
    <row r="33" spans="1:18" x14ac:dyDescent="0.25">
      <c r="A33" s="11" t="s">
        <v>166</v>
      </c>
      <c r="B33" s="13">
        <v>7325</v>
      </c>
      <c r="C33" s="14">
        <f>(6254/B33*100)</f>
        <v>85.37883959044369</v>
      </c>
      <c r="D33" s="15">
        <v>1071</v>
      </c>
      <c r="E33" s="14">
        <v>58.941016400000002</v>
      </c>
      <c r="F33" s="16">
        <v>1.95802685</v>
      </c>
      <c r="G33" s="14">
        <v>41.058983599999998</v>
      </c>
      <c r="H33" s="16">
        <v>1.95802685</v>
      </c>
      <c r="I33" s="14" t="s">
        <v>139</v>
      </c>
      <c r="J33" s="16" t="s">
        <v>139</v>
      </c>
      <c r="K33" s="14">
        <v>0</v>
      </c>
      <c r="L33" s="16">
        <v>0</v>
      </c>
      <c r="M33" s="14">
        <v>0</v>
      </c>
      <c r="N33" s="16">
        <v>0</v>
      </c>
      <c r="O33" s="14">
        <v>0</v>
      </c>
      <c r="P33" s="16">
        <v>0</v>
      </c>
      <c r="Q33" s="14">
        <v>0</v>
      </c>
      <c r="R33" s="16">
        <v>0</v>
      </c>
    </row>
    <row r="34" spans="1:18" x14ac:dyDescent="0.25">
      <c r="A34" s="11" t="s">
        <v>167</v>
      </c>
      <c r="B34" s="13">
        <v>6350</v>
      </c>
      <c r="C34" s="14">
        <f>(5401/B34*100)</f>
        <v>85.055118110236222</v>
      </c>
      <c r="D34" s="15">
        <v>949</v>
      </c>
      <c r="E34" s="14">
        <v>58.23848787</v>
      </c>
      <c r="F34" s="16">
        <v>1.65440974</v>
      </c>
      <c r="G34" s="14">
        <v>41.76151213</v>
      </c>
      <c r="H34" s="16">
        <v>1.65440974</v>
      </c>
      <c r="I34" s="14" t="s">
        <v>139</v>
      </c>
      <c r="J34" s="16" t="s">
        <v>139</v>
      </c>
      <c r="K34" s="14">
        <v>0</v>
      </c>
      <c r="L34" s="16">
        <v>0</v>
      </c>
      <c r="M34" s="14">
        <v>0</v>
      </c>
      <c r="N34" s="16">
        <v>0</v>
      </c>
      <c r="O34" s="14">
        <v>0</v>
      </c>
      <c r="P34" s="16">
        <v>0</v>
      </c>
      <c r="Q34" s="14">
        <v>0</v>
      </c>
      <c r="R34" s="16">
        <v>0</v>
      </c>
    </row>
    <row r="35" spans="1:18" x14ac:dyDescent="0.25">
      <c r="A35" s="11" t="s">
        <v>168</v>
      </c>
      <c r="B35" s="13">
        <v>6406</v>
      </c>
      <c r="C35" s="14">
        <f>(5331/B35*100)</f>
        <v>83.218857321261325</v>
      </c>
      <c r="D35" s="15">
        <v>1075</v>
      </c>
      <c r="E35" s="14">
        <v>53.791058749999998</v>
      </c>
      <c r="F35" s="16">
        <v>1.89232453</v>
      </c>
      <c r="G35" s="14">
        <v>46.208941250000002</v>
      </c>
      <c r="H35" s="16">
        <v>1.89232453</v>
      </c>
      <c r="I35" s="14" t="s">
        <v>139</v>
      </c>
      <c r="J35" s="16" t="s">
        <v>139</v>
      </c>
      <c r="K35" s="14">
        <v>0</v>
      </c>
      <c r="L35" s="16">
        <v>0</v>
      </c>
      <c r="M35" s="14">
        <v>0</v>
      </c>
      <c r="N35" s="16">
        <v>0</v>
      </c>
      <c r="O35" s="14">
        <v>0</v>
      </c>
      <c r="P35" s="16">
        <v>0</v>
      </c>
      <c r="Q35" s="14">
        <v>0</v>
      </c>
      <c r="R35" s="16">
        <v>0</v>
      </c>
    </row>
    <row r="36" spans="1:18" x14ac:dyDescent="0.25">
      <c r="A36" s="11" t="s">
        <v>169</v>
      </c>
      <c r="B36" s="13">
        <v>6736</v>
      </c>
      <c r="C36" s="14">
        <f>(5718/B36*100)</f>
        <v>84.887173396674584</v>
      </c>
      <c r="D36" s="15">
        <v>1018</v>
      </c>
      <c r="E36" s="14">
        <v>58.304250789999998</v>
      </c>
      <c r="F36" s="16">
        <v>1.77987692</v>
      </c>
      <c r="G36" s="14">
        <v>41.695749210000002</v>
      </c>
      <c r="H36" s="16">
        <v>1.77987692</v>
      </c>
      <c r="I36" s="14" t="s">
        <v>139</v>
      </c>
      <c r="J36" s="16" t="s">
        <v>139</v>
      </c>
      <c r="K36" s="14">
        <v>0</v>
      </c>
      <c r="L36" s="16">
        <v>0</v>
      </c>
      <c r="M36" s="14">
        <v>0</v>
      </c>
      <c r="N36" s="16">
        <v>0</v>
      </c>
      <c r="O36" s="14">
        <v>0</v>
      </c>
      <c r="P36" s="16">
        <v>0</v>
      </c>
      <c r="Q36" s="14">
        <v>0</v>
      </c>
      <c r="R36" s="16">
        <v>0</v>
      </c>
    </row>
    <row r="37" spans="1:18" x14ac:dyDescent="0.25">
      <c r="A37" s="11" t="s">
        <v>170</v>
      </c>
      <c r="B37" s="13">
        <v>5458</v>
      </c>
      <c r="C37" s="14">
        <f>(4647/B37*100)</f>
        <v>85.141077317698787</v>
      </c>
      <c r="D37" s="15">
        <v>811</v>
      </c>
      <c r="E37" s="14">
        <v>51.07229478</v>
      </c>
      <c r="F37" s="16">
        <v>1.90412195</v>
      </c>
      <c r="G37" s="14">
        <v>48.92770522</v>
      </c>
      <c r="H37" s="16">
        <v>1.90412195</v>
      </c>
      <c r="I37" s="14" t="s">
        <v>139</v>
      </c>
      <c r="J37" s="16" t="s">
        <v>139</v>
      </c>
      <c r="K37" s="14">
        <v>0</v>
      </c>
      <c r="L37" s="16">
        <v>0</v>
      </c>
      <c r="M37" s="14">
        <v>0</v>
      </c>
      <c r="N37" s="16">
        <v>0</v>
      </c>
      <c r="O37" s="14">
        <v>0</v>
      </c>
      <c r="P37" s="16">
        <v>0</v>
      </c>
      <c r="Q37" s="14">
        <v>0</v>
      </c>
      <c r="R37" s="16">
        <v>0</v>
      </c>
    </row>
    <row r="38" spans="1:18" x14ac:dyDescent="0.25">
      <c r="A38" s="11" t="s">
        <v>171</v>
      </c>
      <c r="B38" s="17" t="s">
        <v>154</v>
      </c>
      <c r="C38" s="17" t="s">
        <v>154</v>
      </c>
      <c r="D38" s="18" t="s">
        <v>154</v>
      </c>
      <c r="E38" s="17" t="s">
        <v>154</v>
      </c>
      <c r="F38" s="18" t="s">
        <v>154</v>
      </c>
      <c r="G38" s="17" t="s">
        <v>154</v>
      </c>
      <c r="H38" s="18" t="s">
        <v>154</v>
      </c>
      <c r="I38" s="17" t="s">
        <v>154</v>
      </c>
      <c r="J38" s="18" t="s">
        <v>154</v>
      </c>
      <c r="K38" s="17" t="s">
        <v>154</v>
      </c>
      <c r="L38" s="18" t="s">
        <v>154</v>
      </c>
      <c r="M38" s="17" t="s">
        <v>154</v>
      </c>
      <c r="N38" s="18" t="s">
        <v>154</v>
      </c>
      <c r="O38" s="17" t="s">
        <v>154</v>
      </c>
      <c r="P38" s="18" t="s">
        <v>154</v>
      </c>
      <c r="Q38" s="17" t="s">
        <v>154</v>
      </c>
      <c r="R38" s="18" t="s">
        <v>154</v>
      </c>
    </row>
    <row r="39" spans="1:18" x14ac:dyDescent="0.25">
      <c r="A39" s="11" t="s">
        <v>172</v>
      </c>
      <c r="B39" s="13">
        <v>5895</v>
      </c>
      <c r="C39" s="14">
        <f>(4878/B39*100)</f>
        <v>82.748091603053425</v>
      </c>
      <c r="D39" s="15">
        <v>1017</v>
      </c>
      <c r="E39" s="14">
        <v>65.680510670000004</v>
      </c>
      <c r="F39" s="16">
        <v>1.9023141699999999</v>
      </c>
      <c r="G39" s="14">
        <v>34.319489330000003</v>
      </c>
      <c r="H39" s="16">
        <v>1.9023141699999999</v>
      </c>
      <c r="I39" s="14" t="s">
        <v>139</v>
      </c>
      <c r="J39" s="16" t="s">
        <v>139</v>
      </c>
      <c r="K39" s="14">
        <v>0</v>
      </c>
      <c r="L39" s="16">
        <v>0</v>
      </c>
      <c r="M39" s="14">
        <v>0</v>
      </c>
      <c r="N39" s="16">
        <v>0</v>
      </c>
      <c r="O39" s="14">
        <v>0</v>
      </c>
      <c r="P39" s="16">
        <v>0</v>
      </c>
      <c r="Q39" s="14">
        <v>0</v>
      </c>
      <c r="R39" s="16">
        <v>0</v>
      </c>
    </row>
    <row r="40" spans="1:18" x14ac:dyDescent="0.25">
      <c r="A40" s="11" t="s">
        <v>173</v>
      </c>
      <c r="B40" s="13">
        <v>14157</v>
      </c>
      <c r="C40" s="14">
        <f>(11712/B40*100)</f>
        <v>82.729391820300918</v>
      </c>
      <c r="D40" s="15">
        <v>2445</v>
      </c>
      <c r="E40" s="14">
        <v>53.562444120000002</v>
      </c>
      <c r="F40" s="16">
        <v>1.6753712300000001</v>
      </c>
      <c r="G40" s="14">
        <v>46.437555879999998</v>
      </c>
      <c r="H40" s="16">
        <v>1.6753712300000001</v>
      </c>
      <c r="I40" s="14" t="s">
        <v>139</v>
      </c>
      <c r="J40" s="16" t="s">
        <v>139</v>
      </c>
      <c r="K40" s="14">
        <v>0</v>
      </c>
      <c r="L40" s="16">
        <v>0</v>
      </c>
      <c r="M40" s="14">
        <v>0</v>
      </c>
      <c r="N40" s="16">
        <v>0</v>
      </c>
      <c r="O40" s="14">
        <v>0</v>
      </c>
      <c r="P40" s="16">
        <v>0</v>
      </c>
      <c r="Q40" s="14">
        <v>0</v>
      </c>
      <c r="R40" s="16">
        <v>0</v>
      </c>
    </row>
    <row r="41" spans="1:18" x14ac:dyDescent="0.25">
      <c r="A41" s="11" t="s">
        <v>174</v>
      </c>
      <c r="B41" s="13">
        <v>5712</v>
      </c>
      <c r="C41" s="14">
        <f>(4835/B41*100)</f>
        <v>84.646358543417364</v>
      </c>
      <c r="D41" s="15">
        <v>877</v>
      </c>
      <c r="E41" s="14">
        <v>53.99825542</v>
      </c>
      <c r="F41" s="16">
        <v>1.5988074299999999</v>
      </c>
      <c r="G41" s="14">
        <v>46.00174458</v>
      </c>
      <c r="H41" s="16">
        <v>1.5988074299999999</v>
      </c>
      <c r="I41" s="14" t="s">
        <v>139</v>
      </c>
      <c r="J41" s="16" t="s">
        <v>139</v>
      </c>
      <c r="K41" s="14">
        <v>0</v>
      </c>
      <c r="L41" s="16">
        <v>0</v>
      </c>
      <c r="M41" s="14">
        <v>0</v>
      </c>
      <c r="N41" s="16">
        <v>0</v>
      </c>
      <c r="O41" s="14">
        <v>0</v>
      </c>
      <c r="P41" s="16">
        <v>0</v>
      </c>
      <c r="Q41" s="14">
        <v>0</v>
      </c>
      <c r="R41" s="16">
        <v>0</v>
      </c>
    </row>
    <row r="42" spans="1:18" x14ac:dyDescent="0.25">
      <c r="A42" s="11" t="s">
        <v>175</v>
      </c>
      <c r="B42" s="13">
        <f>IF(COUNT(B7:B41) &gt; 0, AVERAGE(B7:B41), "\u2014")</f>
        <v>7266.90625</v>
      </c>
      <c r="C42" s="14">
        <f>IF(COUNT(C7:C41) &gt; 0, AVERAGE(C7:C41), "—")</f>
        <v>84.230313367981722</v>
      </c>
      <c r="D42" s="15">
        <f>IF(COUNT(D7:D41) &gt; 0, AVERAGE(D7:D41), "—")</f>
        <v>1149.375</v>
      </c>
      <c r="E42" s="14">
        <f>IF(COUNT(E7:E41) &gt; 0, AVERAGE(E7:E41), "—")</f>
        <v>53.87339921125001</v>
      </c>
      <c r="F42" s="16">
        <f>IF(COUNT(F7:F41) &gt; 0, SQRT(SUMSQ(F7:F41)/(COUNT(F7:F41)*COUNT(F7:F41)) ), "—")</f>
        <v>0.30439920157499145</v>
      </c>
      <c r="G42" s="14">
        <f>IF(COUNT(G7:G41) &gt; 0, AVERAGE(G7:G41), "—")</f>
        <v>46.12660078874999</v>
      </c>
      <c r="H42" s="16">
        <f>IF(COUNT(H7:H41) &gt; 0, SQRT(SUMSQ(H7:H41)/(COUNT(H7:H41)*COUNT(H7:H41)) ), "—")</f>
        <v>0.30439920157499145</v>
      </c>
      <c r="I42" s="14" t="str">
        <f>IF(COUNT(I7:I41) &gt; 0, AVERAGE(I7:I41), "—")</f>
        <v>—</v>
      </c>
      <c r="J42" s="16" t="str">
        <f>IF(COUNT(J7:J41) &gt; 0, SQRT(SUMSQ(J7:J41)/(COUNT(J7:J41)*COUNT(J7:J41)) ), "—")</f>
        <v>—</v>
      </c>
      <c r="K42" s="14">
        <f>IF(COUNT(K7:K41) &gt; 0, AVERAGE(K7:K41), "—")</f>
        <v>0</v>
      </c>
      <c r="L42" s="16">
        <f>IF(COUNT(L7:L41) &gt; 0, SQRT(SUMSQ(L7:L41)/(COUNT(L7:L41)*COUNT(L7:L41)) ), "—")</f>
        <v>0</v>
      </c>
      <c r="M42" s="14">
        <f>IF(COUNT(M7:M41) &gt; 0, AVERAGE(M7:M41), "—")</f>
        <v>0</v>
      </c>
      <c r="N42" s="16">
        <f>IF(COUNT(N7:N41) &gt; 0, SQRT(SUMSQ(N7:N41)/(COUNT(N7:N41)*COUNT(N7:N41)) ), "—")</f>
        <v>0</v>
      </c>
      <c r="O42" s="14">
        <f>IF(COUNT(O7:O41) &gt; 0, AVERAGE(O7:O41), "—")</f>
        <v>0</v>
      </c>
      <c r="P42" s="16">
        <f>IF(COUNT(P7:P41) &gt; 0, SQRT(SUMSQ(P7:P41)/(COUNT(P7:P41)*COUNT(P7:P41)) ), "—")</f>
        <v>0</v>
      </c>
      <c r="Q42" s="14">
        <f>IF(COUNT(Q7:Q41) &gt; 0, AVERAGE(Q7:Q41), "—")</f>
        <v>0</v>
      </c>
      <c r="R42" s="16">
        <f>IF(COUNT(R7:R41) &gt; 0, SQRT(SUMSQ(R7:R41)/(COUNT(R7:R41)*COUNT(R7:R41)) ), "—")</f>
        <v>0</v>
      </c>
    </row>
    <row r="43" spans="1:18" x14ac:dyDescent="0.25">
      <c r="A43" s="9" t="s">
        <v>176</v>
      </c>
      <c r="B43" s="10"/>
      <c r="C43" s="10"/>
      <c r="D43" s="11"/>
      <c r="E43" s="10"/>
      <c r="F43" s="11"/>
      <c r="G43" s="10"/>
      <c r="H43" s="11"/>
      <c r="I43" s="10"/>
      <c r="J43" s="11"/>
      <c r="K43" s="10"/>
      <c r="L43" s="11"/>
      <c r="M43" s="10"/>
      <c r="N43" s="11"/>
      <c r="O43" s="10"/>
      <c r="P43" s="11"/>
      <c r="Q43" s="10"/>
      <c r="R43" s="12"/>
    </row>
    <row r="44" spans="1:18" x14ac:dyDescent="0.25">
      <c r="A44" s="11" t="s">
        <v>177</v>
      </c>
      <c r="B44" s="17" t="s">
        <v>154</v>
      </c>
      <c r="C44" s="17" t="s">
        <v>154</v>
      </c>
      <c r="D44" s="18" t="s">
        <v>154</v>
      </c>
      <c r="E44" s="17" t="s">
        <v>154</v>
      </c>
      <c r="F44" s="18" t="s">
        <v>154</v>
      </c>
      <c r="G44" s="17" t="s">
        <v>154</v>
      </c>
      <c r="H44" s="18" t="s">
        <v>154</v>
      </c>
      <c r="I44" s="17" t="s">
        <v>154</v>
      </c>
      <c r="J44" s="18" t="s">
        <v>154</v>
      </c>
      <c r="K44" s="17" t="s">
        <v>154</v>
      </c>
      <c r="L44" s="18" t="s">
        <v>154</v>
      </c>
      <c r="M44" s="17" t="s">
        <v>154</v>
      </c>
      <c r="N44" s="18" t="s">
        <v>154</v>
      </c>
      <c r="O44" s="17" t="s">
        <v>154</v>
      </c>
      <c r="P44" s="18" t="s">
        <v>154</v>
      </c>
      <c r="Q44" s="17" t="s">
        <v>154</v>
      </c>
      <c r="R44" s="18" t="s">
        <v>154</v>
      </c>
    </row>
    <row r="45" spans="1:18" x14ac:dyDescent="0.25">
      <c r="A45" s="11" t="s">
        <v>178</v>
      </c>
      <c r="B45" s="17" t="s">
        <v>154</v>
      </c>
      <c r="C45" s="17" t="s">
        <v>154</v>
      </c>
      <c r="D45" s="18" t="s">
        <v>154</v>
      </c>
      <c r="E45" s="17" t="s">
        <v>154</v>
      </c>
      <c r="F45" s="18" t="s">
        <v>154</v>
      </c>
      <c r="G45" s="17" t="s">
        <v>154</v>
      </c>
      <c r="H45" s="18" t="s">
        <v>154</v>
      </c>
      <c r="I45" s="17" t="s">
        <v>154</v>
      </c>
      <c r="J45" s="18" t="s">
        <v>154</v>
      </c>
      <c r="K45" s="17" t="s">
        <v>154</v>
      </c>
      <c r="L45" s="18" t="s">
        <v>154</v>
      </c>
      <c r="M45" s="17" t="s">
        <v>154</v>
      </c>
      <c r="N45" s="18" t="s">
        <v>154</v>
      </c>
      <c r="O45" s="17" t="s">
        <v>154</v>
      </c>
      <c r="P45" s="18" t="s">
        <v>154</v>
      </c>
      <c r="Q45" s="17" t="s">
        <v>154</v>
      </c>
      <c r="R45" s="18" t="s">
        <v>154</v>
      </c>
    </row>
    <row r="46" spans="1:18" x14ac:dyDescent="0.25">
      <c r="A46" s="11" t="s">
        <v>179</v>
      </c>
      <c r="B46" s="13">
        <v>23141</v>
      </c>
      <c r="C46" s="14">
        <f>(20786/B46*100)</f>
        <v>89.823257421891881</v>
      </c>
      <c r="D46" s="15">
        <v>2355</v>
      </c>
      <c r="E46" s="14">
        <v>60.502448710000003</v>
      </c>
      <c r="F46" s="16">
        <v>1.2539085800000001</v>
      </c>
      <c r="G46" s="14">
        <v>39.497551289999997</v>
      </c>
      <c r="H46" s="16">
        <v>1.2539085800000001</v>
      </c>
      <c r="I46" s="14" t="s">
        <v>139</v>
      </c>
      <c r="J46" s="16" t="s">
        <v>139</v>
      </c>
      <c r="K46" s="14">
        <v>0</v>
      </c>
      <c r="L46" s="16">
        <v>0</v>
      </c>
      <c r="M46" s="14">
        <v>0</v>
      </c>
      <c r="N46" s="16">
        <v>0</v>
      </c>
      <c r="O46" s="14">
        <v>0</v>
      </c>
      <c r="P46" s="16">
        <v>0</v>
      </c>
      <c r="Q46" s="14">
        <v>0</v>
      </c>
      <c r="R46" s="16">
        <v>0</v>
      </c>
    </row>
    <row r="47" spans="1:18" x14ac:dyDescent="0.25">
      <c r="A47" s="11" t="s">
        <v>180</v>
      </c>
      <c r="B47" s="13">
        <v>5928</v>
      </c>
      <c r="C47" s="14">
        <f>(5048/B47*100)</f>
        <v>85.155195681511472</v>
      </c>
      <c r="D47" s="15">
        <v>880</v>
      </c>
      <c r="E47" s="14">
        <v>56.34199976</v>
      </c>
      <c r="F47" s="16">
        <v>2.0054451000000002</v>
      </c>
      <c r="G47" s="14">
        <v>43.65800024</v>
      </c>
      <c r="H47" s="16">
        <v>2.0054451000000002</v>
      </c>
      <c r="I47" s="14" t="s">
        <v>139</v>
      </c>
      <c r="J47" s="16" t="s">
        <v>139</v>
      </c>
      <c r="K47" s="14">
        <v>0</v>
      </c>
      <c r="L47" s="16">
        <v>0</v>
      </c>
      <c r="M47" s="14">
        <v>0</v>
      </c>
      <c r="N47" s="16">
        <v>0</v>
      </c>
      <c r="O47" s="14">
        <v>0</v>
      </c>
      <c r="P47" s="16">
        <v>0</v>
      </c>
      <c r="Q47" s="14">
        <v>0</v>
      </c>
      <c r="R47" s="16">
        <v>0</v>
      </c>
    </row>
    <row r="48" spans="1:18" x14ac:dyDescent="0.25">
      <c r="A48" s="11" t="s">
        <v>181</v>
      </c>
      <c r="B48" s="13">
        <v>9841</v>
      </c>
      <c r="C48" s="14">
        <f>(8186/B48*100)</f>
        <v>83.18260339396403</v>
      </c>
      <c r="D48" s="15">
        <v>1655</v>
      </c>
      <c r="E48" s="14">
        <v>56.805652799999997</v>
      </c>
      <c r="F48" s="16">
        <v>1.49662542</v>
      </c>
      <c r="G48" s="14">
        <v>43.194347200000003</v>
      </c>
      <c r="H48" s="16">
        <v>1.49662542</v>
      </c>
      <c r="I48" s="14" t="s">
        <v>139</v>
      </c>
      <c r="J48" s="16" t="s">
        <v>139</v>
      </c>
      <c r="K48" s="14">
        <v>0</v>
      </c>
      <c r="L48" s="16">
        <v>0</v>
      </c>
      <c r="M48" s="14">
        <v>0</v>
      </c>
      <c r="N48" s="16">
        <v>0</v>
      </c>
      <c r="O48" s="14">
        <v>0</v>
      </c>
      <c r="P48" s="16">
        <v>0</v>
      </c>
      <c r="Q48" s="14">
        <v>0</v>
      </c>
      <c r="R48" s="16">
        <v>0</v>
      </c>
    </row>
    <row r="49" spans="1:18" x14ac:dyDescent="0.25">
      <c r="A49" s="11" t="s">
        <v>182</v>
      </c>
      <c r="B49" s="17" t="s">
        <v>154</v>
      </c>
      <c r="C49" s="17" t="s">
        <v>154</v>
      </c>
      <c r="D49" s="18" t="s">
        <v>154</v>
      </c>
      <c r="E49" s="17" t="s">
        <v>154</v>
      </c>
      <c r="F49" s="18" t="s">
        <v>154</v>
      </c>
      <c r="G49" s="17" t="s">
        <v>154</v>
      </c>
      <c r="H49" s="18" t="s">
        <v>154</v>
      </c>
      <c r="I49" s="17" t="s">
        <v>154</v>
      </c>
      <c r="J49" s="18" t="s">
        <v>154</v>
      </c>
      <c r="K49" s="17" t="s">
        <v>154</v>
      </c>
      <c r="L49" s="18" t="s">
        <v>154</v>
      </c>
      <c r="M49" s="17" t="s">
        <v>154</v>
      </c>
      <c r="N49" s="18" t="s">
        <v>154</v>
      </c>
      <c r="O49" s="17" t="s">
        <v>154</v>
      </c>
      <c r="P49" s="18" t="s">
        <v>154</v>
      </c>
      <c r="Q49" s="17" t="s">
        <v>154</v>
      </c>
      <c r="R49" s="18" t="s">
        <v>154</v>
      </c>
    </row>
    <row r="50" spans="1:18" x14ac:dyDescent="0.25">
      <c r="A50" s="11" t="s">
        <v>183</v>
      </c>
      <c r="B50" s="13">
        <v>11795</v>
      </c>
      <c r="C50" s="14">
        <f>(10063/B50*100)</f>
        <v>85.315811784654514</v>
      </c>
      <c r="D50" s="15">
        <v>1732</v>
      </c>
      <c r="E50" s="14">
        <v>60.901046700000002</v>
      </c>
      <c r="F50" s="16">
        <v>1.4180613500000001</v>
      </c>
      <c r="G50" s="14">
        <v>39.098953299999998</v>
      </c>
      <c r="H50" s="16">
        <v>1.4180613500000001</v>
      </c>
      <c r="I50" s="14" t="s">
        <v>139</v>
      </c>
      <c r="J50" s="16" t="s">
        <v>139</v>
      </c>
      <c r="K50" s="14">
        <v>0</v>
      </c>
      <c r="L50" s="16">
        <v>0</v>
      </c>
      <c r="M50" s="14">
        <v>0</v>
      </c>
      <c r="N50" s="16">
        <v>0</v>
      </c>
      <c r="O50" s="14">
        <v>0</v>
      </c>
      <c r="P50" s="16">
        <v>0</v>
      </c>
      <c r="Q50" s="14">
        <v>0</v>
      </c>
      <c r="R50" s="16">
        <v>0</v>
      </c>
    </row>
    <row r="51" spans="1:18" x14ac:dyDescent="0.25">
      <c r="A51" s="11" t="s">
        <v>184</v>
      </c>
      <c r="B51" s="13">
        <v>6866</v>
      </c>
      <c r="C51" s="14">
        <f>(6010/B51*100)</f>
        <v>87.532770171861344</v>
      </c>
      <c r="D51" s="15">
        <v>856</v>
      </c>
      <c r="E51" s="14">
        <v>54.812118939999998</v>
      </c>
      <c r="F51" s="16">
        <v>2.0325291999999999</v>
      </c>
      <c r="G51" s="14">
        <v>45.187881060000002</v>
      </c>
      <c r="H51" s="16">
        <v>2.0325291999999999</v>
      </c>
      <c r="I51" s="14" t="s">
        <v>139</v>
      </c>
      <c r="J51" s="16" t="s">
        <v>139</v>
      </c>
      <c r="K51" s="14">
        <v>0</v>
      </c>
      <c r="L51" s="16">
        <v>0</v>
      </c>
      <c r="M51" s="14">
        <v>0</v>
      </c>
      <c r="N51" s="16">
        <v>0</v>
      </c>
      <c r="O51" s="14">
        <v>0</v>
      </c>
      <c r="P51" s="16">
        <v>0</v>
      </c>
      <c r="Q51" s="14">
        <v>0</v>
      </c>
      <c r="R51" s="16">
        <v>0</v>
      </c>
    </row>
    <row r="52" spans="1:18" x14ac:dyDescent="0.25">
      <c r="A52" s="11" t="s">
        <v>185</v>
      </c>
      <c r="B52" s="13">
        <v>5809</v>
      </c>
      <c r="C52" s="14">
        <f>(4849/B52*100)</f>
        <v>83.473919779652263</v>
      </c>
      <c r="D52" s="15">
        <v>960</v>
      </c>
      <c r="E52" s="14">
        <v>54.984851220000003</v>
      </c>
      <c r="F52" s="16">
        <v>1.5186899899999999</v>
      </c>
      <c r="G52" s="14">
        <v>45.015148779999997</v>
      </c>
      <c r="H52" s="16">
        <v>1.5186899899999999</v>
      </c>
      <c r="I52" s="14" t="s">
        <v>139</v>
      </c>
      <c r="J52" s="16" t="s">
        <v>139</v>
      </c>
      <c r="K52" s="14">
        <v>0</v>
      </c>
      <c r="L52" s="16">
        <v>0</v>
      </c>
      <c r="M52" s="14">
        <v>0</v>
      </c>
      <c r="N52" s="16">
        <v>0</v>
      </c>
      <c r="O52" s="14">
        <v>0</v>
      </c>
      <c r="P52" s="16">
        <v>0</v>
      </c>
      <c r="Q52" s="14">
        <v>0</v>
      </c>
      <c r="R52" s="16">
        <v>0</v>
      </c>
    </row>
    <row r="53" spans="1:18" x14ac:dyDescent="0.25">
      <c r="A53" s="11" t="s">
        <v>186</v>
      </c>
      <c r="B53" s="13">
        <v>5571</v>
      </c>
      <c r="C53" s="14">
        <f>(4676/B53*100)</f>
        <v>83.934661640639021</v>
      </c>
      <c r="D53" s="15">
        <v>895</v>
      </c>
      <c r="E53" s="14">
        <v>67.265793130000006</v>
      </c>
      <c r="F53" s="16">
        <v>1.68079303</v>
      </c>
      <c r="G53" s="14">
        <v>32.734206870000001</v>
      </c>
      <c r="H53" s="16">
        <v>1.68079303</v>
      </c>
      <c r="I53" s="14" t="s">
        <v>139</v>
      </c>
      <c r="J53" s="16" t="s">
        <v>139</v>
      </c>
      <c r="K53" s="14">
        <v>0</v>
      </c>
      <c r="L53" s="16">
        <v>0</v>
      </c>
      <c r="M53" s="14">
        <v>0</v>
      </c>
      <c r="N53" s="16">
        <v>0</v>
      </c>
      <c r="O53" s="14">
        <v>0</v>
      </c>
      <c r="P53" s="16">
        <v>0</v>
      </c>
      <c r="Q53" s="14">
        <v>0</v>
      </c>
      <c r="R53" s="16">
        <v>0</v>
      </c>
    </row>
    <row r="54" spans="1:18" x14ac:dyDescent="0.25">
      <c r="A54" s="11" t="s">
        <v>187</v>
      </c>
      <c r="B54" s="17" t="s">
        <v>154</v>
      </c>
      <c r="C54" s="17" t="s">
        <v>154</v>
      </c>
      <c r="D54" s="18" t="s">
        <v>154</v>
      </c>
      <c r="E54" s="17" t="s">
        <v>154</v>
      </c>
      <c r="F54" s="18" t="s">
        <v>154</v>
      </c>
      <c r="G54" s="17" t="s">
        <v>154</v>
      </c>
      <c r="H54" s="18" t="s">
        <v>154</v>
      </c>
      <c r="I54" s="17" t="s">
        <v>154</v>
      </c>
      <c r="J54" s="18" t="s">
        <v>154</v>
      </c>
      <c r="K54" s="17" t="s">
        <v>154</v>
      </c>
      <c r="L54" s="18" t="s">
        <v>154</v>
      </c>
      <c r="M54" s="17" t="s">
        <v>154</v>
      </c>
      <c r="N54" s="18" t="s">
        <v>154</v>
      </c>
      <c r="O54" s="17" t="s">
        <v>154</v>
      </c>
      <c r="P54" s="18" t="s">
        <v>154</v>
      </c>
      <c r="Q54" s="17" t="s">
        <v>154</v>
      </c>
      <c r="R54" s="18" t="s">
        <v>154</v>
      </c>
    </row>
    <row r="55" spans="1:18" x14ac:dyDescent="0.25">
      <c r="A55" s="11" t="s">
        <v>188</v>
      </c>
      <c r="B55" s="17" t="s">
        <v>154</v>
      </c>
      <c r="C55" s="17" t="s">
        <v>154</v>
      </c>
      <c r="D55" s="18" t="s">
        <v>154</v>
      </c>
      <c r="E55" s="17" t="s">
        <v>154</v>
      </c>
      <c r="F55" s="18" t="s">
        <v>154</v>
      </c>
      <c r="G55" s="17" t="s">
        <v>154</v>
      </c>
      <c r="H55" s="18" t="s">
        <v>154</v>
      </c>
      <c r="I55" s="17" t="s">
        <v>154</v>
      </c>
      <c r="J55" s="18" t="s">
        <v>154</v>
      </c>
      <c r="K55" s="17" t="s">
        <v>154</v>
      </c>
      <c r="L55" s="18" t="s">
        <v>154</v>
      </c>
      <c r="M55" s="17" t="s">
        <v>154</v>
      </c>
      <c r="N55" s="18" t="s">
        <v>154</v>
      </c>
      <c r="O55" s="17" t="s">
        <v>154</v>
      </c>
      <c r="P55" s="18" t="s">
        <v>154</v>
      </c>
      <c r="Q55" s="17" t="s">
        <v>154</v>
      </c>
      <c r="R55" s="18" t="s">
        <v>154</v>
      </c>
    </row>
    <row r="56" spans="1:18" x14ac:dyDescent="0.25">
      <c r="A56" s="11" t="s">
        <v>189</v>
      </c>
      <c r="B56" s="13">
        <v>5359</v>
      </c>
      <c r="C56" s="14">
        <f>(4457/B56*100)</f>
        <v>83.168501586116818</v>
      </c>
      <c r="D56" s="15">
        <v>902</v>
      </c>
      <c r="E56" s="14">
        <v>56.919885350000001</v>
      </c>
      <c r="F56" s="16">
        <v>1.81020362</v>
      </c>
      <c r="G56" s="14">
        <v>43.080114649999999</v>
      </c>
      <c r="H56" s="16">
        <v>1.81020362</v>
      </c>
      <c r="I56" s="14" t="s">
        <v>139</v>
      </c>
      <c r="J56" s="16" t="s">
        <v>139</v>
      </c>
      <c r="K56" s="14">
        <v>0</v>
      </c>
      <c r="L56" s="16">
        <v>0</v>
      </c>
      <c r="M56" s="14">
        <v>0</v>
      </c>
      <c r="N56" s="16">
        <v>0</v>
      </c>
      <c r="O56" s="14">
        <v>0</v>
      </c>
      <c r="P56" s="16">
        <v>0</v>
      </c>
      <c r="Q56" s="14">
        <v>0</v>
      </c>
      <c r="R56" s="16">
        <v>0</v>
      </c>
    </row>
    <row r="57" spans="1:18" x14ac:dyDescent="0.25">
      <c r="A57" s="11" t="s">
        <v>190</v>
      </c>
      <c r="B57" s="17" t="s">
        <v>154</v>
      </c>
      <c r="C57" s="17" t="s">
        <v>154</v>
      </c>
      <c r="D57" s="18" t="s">
        <v>154</v>
      </c>
      <c r="E57" s="17" t="s">
        <v>154</v>
      </c>
      <c r="F57" s="18" t="s">
        <v>154</v>
      </c>
      <c r="G57" s="17" t="s">
        <v>154</v>
      </c>
      <c r="H57" s="18" t="s">
        <v>154</v>
      </c>
      <c r="I57" s="17" t="s">
        <v>154</v>
      </c>
      <c r="J57" s="18" t="s">
        <v>154</v>
      </c>
      <c r="K57" s="17" t="s">
        <v>154</v>
      </c>
      <c r="L57" s="18" t="s">
        <v>154</v>
      </c>
      <c r="M57" s="17" t="s">
        <v>154</v>
      </c>
      <c r="N57" s="18" t="s">
        <v>154</v>
      </c>
      <c r="O57" s="17" t="s">
        <v>154</v>
      </c>
      <c r="P57" s="18" t="s">
        <v>154</v>
      </c>
      <c r="Q57" s="17" t="s">
        <v>154</v>
      </c>
      <c r="R57" s="18" t="s">
        <v>154</v>
      </c>
    </row>
    <row r="58" spans="1:18" x14ac:dyDescent="0.25">
      <c r="A58" s="11" t="s">
        <v>191</v>
      </c>
      <c r="B58" s="17" t="s">
        <v>154</v>
      </c>
      <c r="C58" s="17" t="s">
        <v>154</v>
      </c>
      <c r="D58" s="18" t="s">
        <v>154</v>
      </c>
      <c r="E58" s="17" t="s">
        <v>154</v>
      </c>
      <c r="F58" s="18" t="s">
        <v>154</v>
      </c>
      <c r="G58" s="17" t="s">
        <v>154</v>
      </c>
      <c r="H58" s="18" t="s">
        <v>154</v>
      </c>
      <c r="I58" s="17" t="s">
        <v>154</v>
      </c>
      <c r="J58" s="18" t="s">
        <v>154</v>
      </c>
      <c r="K58" s="17" t="s">
        <v>154</v>
      </c>
      <c r="L58" s="18" t="s">
        <v>154</v>
      </c>
      <c r="M58" s="17" t="s">
        <v>154</v>
      </c>
      <c r="N58" s="18" t="s">
        <v>154</v>
      </c>
      <c r="O58" s="17" t="s">
        <v>154</v>
      </c>
      <c r="P58" s="18" t="s">
        <v>154</v>
      </c>
      <c r="Q58" s="17" t="s">
        <v>154</v>
      </c>
      <c r="R58" s="18" t="s">
        <v>154</v>
      </c>
    </row>
    <row r="59" spans="1:18" x14ac:dyDescent="0.25">
      <c r="A59" s="11" t="s">
        <v>192</v>
      </c>
      <c r="B59" s="17" t="s">
        <v>154</v>
      </c>
      <c r="C59" s="17" t="s">
        <v>154</v>
      </c>
      <c r="D59" s="18" t="s">
        <v>154</v>
      </c>
      <c r="E59" s="17" t="s">
        <v>154</v>
      </c>
      <c r="F59" s="18" t="s">
        <v>154</v>
      </c>
      <c r="G59" s="17" t="s">
        <v>154</v>
      </c>
      <c r="H59" s="18" t="s">
        <v>154</v>
      </c>
      <c r="I59" s="17" t="s">
        <v>154</v>
      </c>
      <c r="J59" s="18" t="s">
        <v>154</v>
      </c>
      <c r="K59" s="17" t="s">
        <v>154</v>
      </c>
      <c r="L59" s="18" t="s">
        <v>154</v>
      </c>
      <c r="M59" s="17" t="s">
        <v>154</v>
      </c>
      <c r="N59" s="18" t="s">
        <v>154</v>
      </c>
      <c r="O59" s="17" t="s">
        <v>154</v>
      </c>
      <c r="P59" s="18" t="s">
        <v>154</v>
      </c>
      <c r="Q59" s="17" t="s">
        <v>154</v>
      </c>
      <c r="R59" s="18" t="s">
        <v>154</v>
      </c>
    </row>
    <row r="60" spans="1:18" x14ac:dyDescent="0.25">
      <c r="A60" s="11" t="s">
        <v>193</v>
      </c>
      <c r="B60" s="17" t="s">
        <v>154</v>
      </c>
      <c r="C60" s="17" t="s">
        <v>154</v>
      </c>
      <c r="D60" s="18" t="s">
        <v>154</v>
      </c>
      <c r="E60" s="17" t="s">
        <v>154</v>
      </c>
      <c r="F60" s="18" t="s">
        <v>154</v>
      </c>
      <c r="G60" s="17" t="s">
        <v>154</v>
      </c>
      <c r="H60" s="18" t="s">
        <v>154</v>
      </c>
      <c r="I60" s="17" t="s">
        <v>154</v>
      </c>
      <c r="J60" s="18" t="s">
        <v>154</v>
      </c>
      <c r="K60" s="17" t="s">
        <v>154</v>
      </c>
      <c r="L60" s="18" t="s">
        <v>154</v>
      </c>
      <c r="M60" s="17" t="s">
        <v>154</v>
      </c>
      <c r="N60" s="18" t="s">
        <v>154</v>
      </c>
      <c r="O60" s="17" t="s">
        <v>154</v>
      </c>
      <c r="P60" s="18" t="s">
        <v>154</v>
      </c>
      <c r="Q60" s="17" t="s">
        <v>154</v>
      </c>
      <c r="R60" s="18" t="s">
        <v>154</v>
      </c>
    </row>
    <row r="61" spans="1:18" x14ac:dyDescent="0.25">
      <c r="A61" s="11" t="s">
        <v>194</v>
      </c>
      <c r="B61" s="13">
        <v>6525</v>
      </c>
      <c r="C61" s="14">
        <f>(5462/B61*100)</f>
        <v>83.708812260536405</v>
      </c>
      <c r="D61" s="15">
        <v>1063</v>
      </c>
      <c r="E61" s="14">
        <v>45.095753590000001</v>
      </c>
      <c r="F61" s="16">
        <v>1.6439607199999999</v>
      </c>
      <c r="G61" s="14">
        <v>54.904246409999999</v>
      </c>
      <c r="H61" s="16">
        <v>1.6439607199999999</v>
      </c>
      <c r="I61" s="14" t="s">
        <v>139</v>
      </c>
      <c r="J61" s="16" t="s">
        <v>139</v>
      </c>
      <c r="K61" s="14">
        <v>0</v>
      </c>
      <c r="L61" s="16">
        <v>0</v>
      </c>
      <c r="M61" s="14">
        <v>0</v>
      </c>
      <c r="N61" s="16">
        <v>0</v>
      </c>
      <c r="O61" s="14">
        <v>0</v>
      </c>
      <c r="P61" s="16">
        <v>0</v>
      </c>
      <c r="Q61" s="14">
        <v>0</v>
      </c>
      <c r="R61" s="16">
        <v>0</v>
      </c>
    </row>
    <row r="62" spans="1:18" x14ac:dyDescent="0.25">
      <c r="A62" s="11" t="s">
        <v>195</v>
      </c>
      <c r="B62" s="13">
        <v>4476</v>
      </c>
      <c r="C62" s="14">
        <f>(3738/B62*100)</f>
        <v>83.512064343163544</v>
      </c>
      <c r="D62" s="15">
        <v>738</v>
      </c>
      <c r="E62" s="14">
        <v>52.560497439999999</v>
      </c>
      <c r="F62" s="16">
        <v>1.6836408700000001</v>
      </c>
      <c r="G62" s="14">
        <v>47.439502560000001</v>
      </c>
      <c r="H62" s="16">
        <v>1.6836408700000001</v>
      </c>
      <c r="I62" s="14" t="s">
        <v>139</v>
      </c>
      <c r="J62" s="16" t="s">
        <v>139</v>
      </c>
      <c r="K62" s="14">
        <v>0</v>
      </c>
      <c r="L62" s="16">
        <v>0</v>
      </c>
      <c r="M62" s="14">
        <v>0</v>
      </c>
      <c r="N62" s="16">
        <v>0</v>
      </c>
      <c r="O62" s="14">
        <v>0</v>
      </c>
      <c r="P62" s="16">
        <v>0</v>
      </c>
      <c r="Q62" s="14">
        <v>0</v>
      </c>
      <c r="R62" s="16">
        <v>0</v>
      </c>
    </row>
    <row r="63" spans="1:18" x14ac:dyDescent="0.25">
      <c r="A63" s="11" t="s">
        <v>196</v>
      </c>
      <c r="B63" s="17" t="s">
        <v>154</v>
      </c>
      <c r="C63" s="17" t="s">
        <v>154</v>
      </c>
      <c r="D63" s="18" t="s">
        <v>154</v>
      </c>
      <c r="E63" s="17" t="s">
        <v>154</v>
      </c>
      <c r="F63" s="18" t="s">
        <v>154</v>
      </c>
      <c r="G63" s="17" t="s">
        <v>154</v>
      </c>
      <c r="H63" s="18" t="s">
        <v>154</v>
      </c>
      <c r="I63" s="17" t="s">
        <v>154</v>
      </c>
      <c r="J63" s="18" t="s">
        <v>154</v>
      </c>
      <c r="K63" s="17" t="s">
        <v>154</v>
      </c>
      <c r="L63" s="18" t="s">
        <v>154</v>
      </c>
      <c r="M63" s="17" t="s">
        <v>154</v>
      </c>
      <c r="N63" s="18" t="s">
        <v>154</v>
      </c>
      <c r="O63" s="17" t="s">
        <v>154</v>
      </c>
      <c r="P63" s="18" t="s">
        <v>154</v>
      </c>
      <c r="Q63" s="17" t="s">
        <v>154</v>
      </c>
      <c r="R63" s="18" t="s">
        <v>154</v>
      </c>
    </row>
    <row r="64" spans="1:18" x14ac:dyDescent="0.25">
      <c r="A64" s="11" t="s">
        <v>197</v>
      </c>
      <c r="B64" s="17" t="s">
        <v>154</v>
      </c>
      <c r="C64" s="17" t="s">
        <v>154</v>
      </c>
      <c r="D64" s="18" t="s">
        <v>154</v>
      </c>
      <c r="E64" s="17" t="s">
        <v>154</v>
      </c>
      <c r="F64" s="18" t="s">
        <v>154</v>
      </c>
      <c r="G64" s="17" t="s">
        <v>154</v>
      </c>
      <c r="H64" s="18" t="s">
        <v>154</v>
      </c>
      <c r="I64" s="17" t="s">
        <v>154</v>
      </c>
      <c r="J64" s="18" t="s">
        <v>154</v>
      </c>
      <c r="K64" s="17" t="s">
        <v>154</v>
      </c>
      <c r="L64" s="18" t="s">
        <v>154</v>
      </c>
      <c r="M64" s="17" t="s">
        <v>154</v>
      </c>
      <c r="N64" s="18" t="s">
        <v>154</v>
      </c>
      <c r="O64" s="17" t="s">
        <v>154</v>
      </c>
      <c r="P64" s="18" t="s">
        <v>154</v>
      </c>
      <c r="Q64" s="17" t="s">
        <v>154</v>
      </c>
      <c r="R64" s="18" t="s">
        <v>154</v>
      </c>
    </row>
    <row r="65" spans="1:18" x14ac:dyDescent="0.25">
      <c r="A65" s="11" t="s">
        <v>198</v>
      </c>
      <c r="B65" s="17" t="s">
        <v>154</v>
      </c>
      <c r="C65" s="17" t="s">
        <v>154</v>
      </c>
      <c r="D65" s="18" t="s">
        <v>154</v>
      </c>
      <c r="E65" s="17" t="s">
        <v>154</v>
      </c>
      <c r="F65" s="18" t="s">
        <v>154</v>
      </c>
      <c r="G65" s="17" t="s">
        <v>154</v>
      </c>
      <c r="H65" s="18" t="s">
        <v>154</v>
      </c>
      <c r="I65" s="17" t="s">
        <v>154</v>
      </c>
      <c r="J65" s="18" t="s">
        <v>154</v>
      </c>
      <c r="K65" s="17" t="s">
        <v>154</v>
      </c>
      <c r="L65" s="18" t="s">
        <v>154</v>
      </c>
      <c r="M65" s="17" t="s">
        <v>154</v>
      </c>
      <c r="N65" s="18" t="s">
        <v>154</v>
      </c>
      <c r="O65" s="17" t="s">
        <v>154</v>
      </c>
      <c r="P65" s="18" t="s">
        <v>154</v>
      </c>
      <c r="Q65" s="17" t="s">
        <v>154</v>
      </c>
      <c r="R65" s="18" t="s">
        <v>154</v>
      </c>
    </row>
    <row r="66" spans="1:18" x14ac:dyDescent="0.25">
      <c r="A66" s="11" t="s">
        <v>199</v>
      </c>
      <c r="B66" s="13">
        <v>5665</v>
      </c>
      <c r="C66" s="14">
        <f>(4788/B66*100)</f>
        <v>84.518976169461595</v>
      </c>
      <c r="D66" s="15">
        <v>877</v>
      </c>
      <c r="E66" s="14">
        <v>57.101557819999996</v>
      </c>
      <c r="F66" s="16">
        <v>1.7589119799999999</v>
      </c>
      <c r="G66" s="14">
        <v>42.898442180000004</v>
      </c>
      <c r="H66" s="16">
        <v>1.7589119799999999</v>
      </c>
      <c r="I66" s="14" t="s">
        <v>139</v>
      </c>
      <c r="J66" s="16" t="s">
        <v>139</v>
      </c>
      <c r="K66" s="14">
        <v>0</v>
      </c>
      <c r="L66" s="16">
        <v>0</v>
      </c>
      <c r="M66" s="14">
        <v>0</v>
      </c>
      <c r="N66" s="16">
        <v>0</v>
      </c>
      <c r="O66" s="14">
        <v>0</v>
      </c>
      <c r="P66" s="16">
        <v>0</v>
      </c>
      <c r="Q66" s="14">
        <v>0</v>
      </c>
      <c r="R66" s="16">
        <v>0</v>
      </c>
    </row>
    <row r="67" spans="1:18" x14ac:dyDescent="0.25">
      <c r="A67" s="11" t="s">
        <v>200</v>
      </c>
      <c r="B67" s="13">
        <v>6971</v>
      </c>
      <c r="C67" s="14">
        <f>(6151/B67*100)</f>
        <v>88.236981781666898</v>
      </c>
      <c r="D67" s="15">
        <v>820</v>
      </c>
      <c r="E67" s="14">
        <v>58.56402353</v>
      </c>
      <c r="F67" s="16">
        <v>1.64127048</v>
      </c>
      <c r="G67" s="14">
        <v>41.43597647</v>
      </c>
      <c r="H67" s="16">
        <v>1.64127048</v>
      </c>
      <c r="I67" s="14" t="s">
        <v>139</v>
      </c>
      <c r="J67" s="16" t="s">
        <v>139</v>
      </c>
      <c r="K67" s="14">
        <v>0</v>
      </c>
      <c r="L67" s="16">
        <v>0</v>
      </c>
      <c r="M67" s="14">
        <v>0</v>
      </c>
      <c r="N67" s="16">
        <v>0</v>
      </c>
      <c r="O67" s="14">
        <v>0</v>
      </c>
      <c r="P67" s="16">
        <v>0</v>
      </c>
      <c r="Q67" s="14">
        <v>0</v>
      </c>
      <c r="R67" s="16">
        <v>0</v>
      </c>
    </row>
    <row r="68" spans="1:18" x14ac:dyDescent="0.25">
      <c r="A68" s="11" t="s">
        <v>201</v>
      </c>
      <c r="B68" s="17" t="s">
        <v>154</v>
      </c>
      <c r="C68" s="17" t="s">
        <v>154</v>
      </c>
      <c r="D68" s="18" t="s">
        <v>154</v>
      </c>
      <c r="E68" s="17" t="s">
        <v>154</v>
      </c>
      <c r="F68" s="18" t="s">
        <v>154</v>
      </c>
      <c r="G68" s="17" t="s">
        <v>154</v>
      </c>
      <c r="H68" s="18" t="s">
        <v>154</v>
      </c>
      <c r="I68" s="17" t="s">
        <v>154</v>
      </c>
      <c r="J68" s="18" t="s">
        <v>154</v>
      </c>
      <c r="K68" s="17" t="s">
        <v>154</v>
      </c>
      <c r="L68" s="18" t="s">
        <v>154</v>
      </c>
      <c r="M68" s="17" t="s">
        <v>154</v>
      </c>
      <c r="N68" s="18" t="s">
        <v>154</v>
      </c>
      <c r="O68" s="17" t="s">
        <v>154</v>
      </c>
      <c r="P68" s="18" t="s">
        <v>154</v>
      </c>
      <c r="Q68" s="17" t="s">
        <v>154</v>
      </c>
      <c r="R68" s="18" t="s">
        <v>154</v>
      </c>
    </row>
    <row r="69" spans="1:18" x14ac:dyDescent="0.25">
      <c r="A69" s="11" t="s">
        <v>202</v>
      </c>
      <c r="B69" s="17" t="s">
        <v>154</v>
      </c>
      <c r="C69" s="17" t="s">
        <v>154</v>
      </c>
      <c r="D69" s="18" t="s">
        <v>154</v>
      </c>
      <c r="E69" s="17" t="s">
        <v>154</v>
      </c>
      <c r="F69" s="18" t="s">
        <v>154</v>
      </c>
      <c r="G69" s="17" t="s">
        <v>154</v>
      </c>
      <c r="H69" s="18" t="s">
        <v>154</v>
      </c>
      <c r="I69" s="17" t="s">
        <v>154</v>
      </c>
      <c r="J69" s="18" t="s">
        <v>154</v>
      </c>
      <c r="K69" s="17" t="s">
        <v>154</v>
      </c>
      <c r="L69" s="18" t="s">
        <v>154</v>
      </c>
      <c r="M69" s="17" t="s">
        <v>154</v>
      </c>
      <c r="N69" s="18" t="s">
        <v>154</v>
      </c>
      <c r="O69" s="17" t="s">
        <v>154</v>
      </c>
      <c r="P69" s="18" t="s">
        <v>154</v>
      </c>
      <c r="Q69" s="17" t="s">
        <v>154</v>
      </c>
      <c r="R69" s="18" t="s">
        <v>154</v>
      </c>
    </row>
    <row r="70" spans="1:18" x14ac:dyDescent="0.25">
      <c r="A70" s="11" t="s">
        <v>203</v>
      </c>
      <c r="B70" s="13">
        <v>6036</v>
      </c>
      <c r="C70" s="14">
        <f>(5110/B70*100)</f>
        <v>84.658714380384353</v>
      </c>
      <c r="D70" s="15">
        <v>926</v>
      </c>
      <c r="E70" s="14">
        <v>50.804252939999998</v>
      </c>
      <c r="F70" s="16">
        <v>1.48185933</v>
      </c>
      <c r="G70" s="14">
        <v>49.195747060000002</v>
      </c>
      <c r="H70" s="16">
        <v>1.48185933</v>
      </c>
      <c r="I70" s="14" t="s">
        <v>139</v>
      </c>
      <c r="J70" s="16" t="s">
        <v>139</v>
      </c>
      <c r="K70" s="14">
        <v>0</v>
      </c>
      <c r="L70" s="16">
        <v>0</v>
      </c>
      <c r="M70" s="14">
        <v>0</v>
      </c>
      <c r="N70" s="16">
        <v>0</v>
      </c>
      <c r="O70" s="14">
        <v>0</v>
      </c>
      <c r="P70" s="16">
        <v>0</v>
      </c>
      <c r="Q70" s="14">
        <v>0</v>
      </c>
      <c r="R70" s="16">
        <v>0</v>
      </c>
    </row>
    <row r="71" spans="1:18" x14ac:dyDescent="0.25">
      <c r="A71" s="11" t="s">
        <v>204</v>
      </c>
      <c r="B71" s="17" t="s">
        <v>154</v>
      </c>
      <c r="C71" s="17" t="s">
        <v>154</v>
      </c>
      <c r="D71" s="18" t="s">
        <v>154</v>
      </c>
      <c r="E71" s="17" t="s">
        <v>154</v>
      </c>
      <c r="F71" s="18" t="s">
        <v>154</v>
      </c>
      <c r="G71" s="17" t="s">
        <v>154</v>
      </c>
      <c r="H71" s="18" t="s">
        <v>154</v>
      </c>
      <c r="I71" s="17" t="s">
        <v>154</v>
      </c>
      <c r="J71" s="18" t="s">
        <v>154</v>
      </c>
      <c r="K71" s="17" t="s">
        <v>154</v>
      </c>
      <c r="L71" s="18" t="s">
        <v>154</v>
      </c>
      <c r="M71" s="17" t="s">
        <v>154</v>
      </c>
      <c r="N71" s="18" t="s">
        <v>154</v>
      </c>
      <c r="O71" s="17" t="s">
        <v>154</v>
      </c>
      <c r="P71" s="18" t="s">
        <v>154</v>
      </c>
      <c r="Q71" s="17" t="s">
        <v>154</v>
      </c>
      <c r="R71" s="18" t="s">
        <v>154</v>
      </c>
    </row>
    <row r="72" spans="1:18" x14ac:dyDescent="0.25">
      <c r="A72" s="11" t="s">
        <v>205</v>
      </c>
      <c r="B72" s="13">
        <v>7708</v>
      </c>
      <c r="C72" s="14">
        <f>(6405/B72*100)</f>
        <v>83.095485210171248</v>
      </c>
      <c r="D72" s="15">
        <v>1303</v>
      </c>
      <c r="E72" s="14">
        <v>61.010585300000002</v>
      </c>
      <c r="F72" s="16">
        <v>1.5889990700000001</v>
      </c>
      <c r="G72" s="14">
        <v>38.989414699999998</v>
      </c>
      <c r="H72" s="16">
        <v>1.5889990700000001</v>
      </c>
      <c r="I72" s="14" t="s">
        <v>139</v>
      </c>
      <c r="J72" s="16" t="s">
        <v>139</v>
      </c>
      <c r="K72" s="14">
        <v>0</v>
      </c>
      <c r="L72" s="16">
        <v>0</v>
      </c>
      <c r="M72" s="14">
        <v>0</v>
      </c>
      <c r="N72" s="16">
        <v>0</v>
      </c>
      <c r="O72" s="14">
        <v>0</v>
      </c>
      <c r="P72" s="16">
        <v>0</v>
      </c>
      <c r="Q72" s="14">
        <v>0</v>
      </c>
      <c r="R72" s="16">
        <v>0</v>
      </c>
    </row>
    <row r="73" spans="1:18" x14ac:dyDescent="0.25">
      <c r="A73" s="11" t="s">
        <v>206</v>
      </c>
      <c r="B73" s="13">
        <v>8249</v>
      </c>
      <c r="C73" s="14">
        <f>(7077/B73*100)</f>
        <v>85.792217238453148</v>
      </c>
      <c r="D73" s="15">
        <v>1172</v>
      </c>
      <c r="E73" s="14">
        <v>61.838094640000001</v>
      </c>
      <c r="F73" s="16">
        <v>1.9128456300000001</v>
      </c>
      <c r="G73" s="14">
        <v>38.161905359999999</v>
      </c>
      <c r="H73" s="16">
        <v>1.9128456300000001</v>
      </c>
      <c r="I73" s="14" t="s">
        <v>139</v>
      </c>
      <c r="J73" s="16" t="s">
        <v>139</v>
      </c>
      <c r="K73" s="14">
        <v>0</v>
      </c>
      <c r="L73" s="16">
        <v>0</v>
      </c>
      <c r="M73" s="14">
        <v>0</v>
      </c>
      <c r="N73" s="16">
        <v>0</v>
      </c>
      <c r="O73" s="14">
        <v>0</v>
      </c>
      <c r="P73" s="16">
        <v>0</v>
      </c>
      <c r="Q73" s="14">
        <v>0</v>
      </c>
      <c r="R73" s="16">
        <v>0</v>
      </c>
    </row>
    <row r="74" spans="1:18" x14ac:dyDescent="0.25">
      <c r="A74" s="11" t="s">
        <v>207</v>
      </c>
      <c r="B74" s="17" t="s">
        <v>154</v>
      </c>
      <c r="C74" s="17" t="s">
        <v>154</v>
      </c>
      <c r="D74" s="18" t="s">
        <v>154</v>
      </c>
      <c r="E74" s="17" t="s">
        <v>154</v>
      </c>
      <c r="F74" s="18" t="s">
        <v>154</v>
      </c>
      <c r="G74" s="17" t="s">
        <v>154</v>
      </c>
      <c r="H74" s="18" t="s">
        <v>154</v>
      </c>
      <c r="I74" s="17" t="s">
        <v>154</v>
      </c>
      <c r="J74" s="18" t="s">
        <v>154</v>
      </c>
      <c r="K74" s="17" t="s">
        <v>154</v>
      </c>
      <c r="L74" s="18" t="s">
        <v>154</v>
      </c>
      <c r="M74" s="17" t="s">
        <v>154</v>
      </c>
      <c r="N74" s="18" t="s">
        <v>154</v>
      </c>
      <c r="O74" s="17" t="s">
        <v>154</v>
      </c>
      <c r="P74" s="18" t="s">
        <v>154</v>
      </c>
      <c r="Q74" s="17" t="s">
        <v>154</v>
      </c>
      <c r="R74" s="18" t="s">
        <v>154</v>
      </c>
    </row>
    <row r="75" spans="1:18" x14ac:dyDescent="0.25">
      <c r="A75" s="11" t="s">
        <v>208</v>
      </c>
      <c r="B75" s="13">
        <v>5375</v>
      </c>
      <c r="C75" s="14">
        <f>(4594/B75*100)</f>
        <v>85.469767441860469</v>
      </c>
      <c r="D75" s="15">
        <v>781</v>
      </c>
      <c r="E75" s="14">
        <v>64.805790029999997</v>
      </c>
      <c r="F75" s="16">
        <v>1.6226793500000001</v>
      </c>
      <c r="G75" s="14">
        <v>35.194209970000003</v>
      </c>
      <c r="H75" s="16">
        <v>1.6226793500000001</v>
      </c>
      <c r="I75" s="14" t="s">
        <v>139</v>
      </c>
      <c r="J75" s="16" t="s">
        <v>139</v>
      </c>
      <c r="K75" s="14">
        <v>0</v>
      </c>
      <c r="L75" s="16">
        <v>0</v>
      </c>
      <c r="M75" s="14">
        <v>0</v>
      </c>
      <c r="N75" s="16">
        <v>0</v>
      </c>
      <c r="O75" s="14">
        <v>0</v>
      </c>
      <c r="P75" s="16">
        <v>0</v>
      </c>
      <c r="Q75" s="14">
        <v>0</v>
      </c>
      <c r="R75" s="16">
        <v>0</v>
      </c>
    </row>
    <row r="76" spans="1:18" x14ac:dyDescent="0.25">
      <c r="A76" s="11" t="s">
        <v>209</v>
      </c>
      <c r="B76" s="13">
        <v>14167</v>
      </c>
      <c r="C76" s="14">
        <f>(11823/B76*100)</f>
        <v>83.454506952777592</v>
      </c>
      <c r="D76" s="15">
        <v>2344</v>
      </c>
      <c r="E76" s="14">
        <v>59.226710619999999</v>
      </c>
      <c r="F76" s="16">
        <v>1.1036569700000001</v>
      </c>
      <c r="G76" s="14">
        <v>40.773289380000001</v>
      </c>
      <c r="H76" s="16">
        <v>1.1036569700000001</v>
      </c>
      <c r="I76" s="14" t="s">
        <v>139</v>
      </c>
      <c r="J76" s="16" t="s">
        <v>139</v>
      </c>
      <c r="K76" s="14">
        <v>0</v>
      </c>
      <c r="L76" s="16">
        <v>0</v>
      </c>
      <c r="M76" s="14">
        <v>0</v>
      </c>
      <c r="N76" s="16">
        <v>0</v>
      </c>
      <c r="O76" s="14">
        <v>0</v>
      </c>
      <c r="P76" s="16">
        <v>0</v>
      </c>
      <c r="Q76" s="14">
        <v>0</v>
      </c>
      <c r="R76" s="16">
        <v>0</v>
      </c>
    </row>
    <row r="77" spans="1:18" x14ac:dyDescent="0.25">
      <c r="A77" s="11" t="s">
        <v>210</v>
      </c>
      <c r="B77" s="13">
        <v>6062</v>
      </c>
      <c r="C77" s="14">
        <f>(5164/B77*100)</f>
        <v>85.186407126360947</v>
      </c>
      <c r="D77" s="15">
        <v>898</v>
      </c>
      <c r="E77" s="14">
        <v>57.345672829999998</v>
      </c>
      <c r="F77" s="16">
        <v>2.2001416699999998</v>
      </c>
      <c r="G77" s="14">
        <v>42.654327170000002</v>
      </c>
      <c r="H77" s="16">
        <v>2.2001416699999998</v>
      </c>
      <c r="I77" s="14" t="s">
        <v>139</v>
      </c>
      <c r="J77" s="16" t="s">
        <v>139</v>
      </c>
      <c r="K77" s="14">
        <v>0</v>
      </c>
      <c r="L77" s="16">
        <v>0</v>
      </c>
      <c r="M77" s="14">
        <v>0</v>
      </c>
      <c r="N77" s="16">
        <v>0</v>
      </c>
      <c r="O77" s="14">
        <v>0</v>
      </c>
      <c r="P77" s="16">
        <v>0</v>
      </c>
      <c r="Q77" s="14">
        <v>0</v>
      </c>
      <c r="R77" s="16">
        <v>0</v>
      </c>
    </row>
    <row r="78" spans="1:18" x14ac:dyDescent="0.25">
      <c r="A78" s="11" t="s">
        <v>211</v>
      </c>
      <c r="B78" s="17" t="s">
        <v>154</v>
      </c>
      <c r="C78" s="17" t="s">
        <v>154</v>
      </c>
      <c r="D78" s="18" t="s">
        <v>154</v>
      </c>
      <c r="E78" s="17" t="s">
        <v>154</v>
      </c>
      <c r="F78" s="18" t="s">
        <v>154</v>
      </c>
      <c r="G78" s="17" t="s">
        <v>154</v>
      </c>
      <c r="H78" s="18" t="s">
        <v>154</v>
      </c>
      <c r="I78" s="17" t="s">
        <v>154</v>
      </c>
      <c r="J78" s="18" t="s">
        <v>154</v>
      </c>
      <c r="K78" s="17" t="s">
        <v>154</v>
      </c>
      <c r="L78" s="18" t="s">
        <v>154</v>
      </c>
      <c r="M78" s="17" t="s">
        <v>154</v>
      </c>
      <c r="N78" s="18" t="s">
        <v>154</v>
      </c>
      <c r="O78" s="17" t="s">
        <v>154</v>
      </c>
      <c r="P78" s="18" t="s">
        <v>154</v>
      </c>
      <c r="Q78" s="17" t="s">
        <v>154</v>
      </c>
      <c r="R78" s="18" t="s">
        <v>154</v>
      </c>
    </row>
    <row r="79" spans="1:18" ht="24.95" customHeight="1" x14ac:dyDescent="0.25">
      <c r="A79" s="11" t="s">
        <v>212</v>
      </c>
      <c r="B79" s="17" t="s">
        <v>154</v>
      </c>
      <c r="C79" s="17" t="s">
        <v>154</v>
      </c>
      <c r="D79" s="18" t="s">
        <v>154</v>
      </c>
      <c r="E79" s="17" t="s">
        <v>154</v>
      </c>
      <c r="F79" s="18" t="s">
        <v>154</v>
      </c>
      <c r="G79" s="17" t="s">
        <v>154</v>
      </c>
      <c r="H79" s="18" t="s">
        <v>154</v>
      </c>
      <c r="I79" s="17" t="s">
        <v>154</v>
      </c>
      <c r="J79" s="18" t="s">
        <v>154</v>
      </c>
      <c r="K79" s="17" t="s">
        <v>154</v>
      </c>
      <c r="L79" s="18" t="s">
        <v>154</v>
      </c>
      <c r="M79" s="17" t="s">
        <v>154</v>
      </c>
      <c r="N79" s="18" t="s">
        <v>154</v>
      </c>
      <c r="O79" s="17" t="s">
        <v>154</v>
      </c>
      <c r="P79" s="18" t="s">
        <v>154</v>
      </c>
      <c r="Q79" s="17" t="s">
        <v>154</v>
      </c>
      <c r="R79" s="18" t="s">
        <v>154</v>
      </c>
    </row>
    <row r="80" spans="1:18" x14ac:dyDescent="0.25">
      <c r="A80" s="11" t="s">
        <v>213</v>
      </c>
      <c r="B80" s="17" t="s">
        <v>154</v>
      </c>
      <c r="C80" s="17" t="s">
        <v>154</v>
      </c>
      <c r="D80" s="18" t="s">
        <v>154</v>
      </c>
      <c r="E80" s="17" t="s">
        <v>154</v>
      </c>
      <c r="F80" s="18" t="s">
        <v>154</v>
      </c>
      <c r="G80" s="17" t="s">
        <v>154</v>
      </c>
      <c r="H80" s="18" t="s">
        <v>154</v>
      </c>
      <c r="I80" s="17" t="s">
        <v>154</v>
      </c>
      <c r="J80" s="18" t="s">
        <v>154</v>
      </c>
      <c r="K80" s="17" t="s">
        <v>154</v>
      </c>
      <c r="L80" s="18" t="s">
        <v>154</v>
      </c>
      <c r="M80" s="17" t="s">
        <v>154</v>
      </c>
      <c r="N80" s="18" t="s">
        <v>154</v>
      </c>
      <c r="O80" s="17" t="s">
        <v>154</v>
      </c>
      <c r="P80" s="18" t="s">
        <v>154</v>
      </c>
      <c r="Q80" s="17" t="s">
        <v>154</v>
      </c>
      <c r="R80" s="18" t="s">
        <v>154</v>
      </c>
    </row>
    <row r="81" spans="1:18" x14ac:dyDescent="0.25">
      <c r="A81" s="19" t="s">
        <v>214</v>
      </c>
      <c r="B81" s="13">
        <v>8861</v>
      </c>
      <c r="C81" s="14">
        <f>(7383/B81*100)</f>
        <v>83.320167024037914</v>
      </c>
      <c r="D81" s="15">
        <v>1478</v>
      </c>
      <c r="E81" s="14">
        <v>60.03889307</v>
      </c>
      <c r="F81" s="16">
        <v>1.5552364700000001</v>
      </c>
      <c r="G81" s="14">
        <v>39.96110693</v>
      </c>
      <c r="H81" s="16">
        <v>1.5552364700000001</v>
      </c>
      <c r="I81" s="14" t="s">
        <v>139</v>
      </c>
      <c r="J81" s="16" t="s">
        <v>139</v>
      </c>
      <c r="K81" s="14">
        <v>0</v>
      </c>
      <c r="L81" s="16">
        <v>0</v>
      </c>
      <c r="M81" s="14">
        <v>0</v>
      </c>
      <c r="N81" s="16">
        <v>0</v>
      </c>
      <c r="O81" s="14">
        <v>0</v>
      </c>
      <c r="P81" s="16">
        <v>0</v>
      </c>
      <c r="Q81" s="14">
        <v>0</v>
      </c>
      <c r="R81" s="16">
        <v>0</v>
      </c>
    </row>
    <row r="82" spans="1:18" x14ac:dyDescent="0.25">
      <c r="A82" s="20"/>
      <c r="B82" s="20" t="s">
        <v>215</v>
      </c>
      <c r="C82" s="20" t="s">
        <v>215</v>
      </c>
      <c r="D82" s="20" t="s">
        <v>215</v>
      </c>
      <c r="E82" s="20" t="s">
        <v>215</v>
      </c>
      <c r="F82" s="20" t="s">
        <v>215</v>
      </c>
      <c r="G82" s="20" t="s">
        <v>215</v>
      </c>
      <c r="H82" s="20" t="s">
        <v>215</v>
      </c>
      <c r="I82" s="20" t="s">
        <v>215</v>
      </c>
      <c r="J82" s="20" t="s">
        <v>215</v>
      </c>
      <c r="K82" s="20" t="s">
        <v>215</v>
      </c>
      <c r="L82" s="20" t="s">
        <v>215</v>
      </c>
      <c r="M82" s="20" t="s">
        <v>215</v>
      </c>
      <c r="N82" s="20" t="s">
        <v>215</v>
      </c>
      <c r="O82" s="20" t="s">
        <v>215</v>
      </c>
      <c r="P82" s="20" t="s">
        <v>215</v>
      </c>
      <c r="Q82" s="20" t="s">
        <v>215</v>
      </c>
      <c r="R82" s="20" t="s">
        <v>215</v>
      </c>
    </row>
    <row r="83" spans="1:18" x14ac:dyDescent="0.25">
      <c r="A83" s="3" t="s">
        <v>216</v>
      </c>
    </row>
    <row r="84" spans="1:18" x14ac:dyDescent="0.25">
      <c r="A84" s="22" t="s">
        <v>217</v>
      </c>
      <c r="B84" s="23"/>
      <c r="C84" s="23"/>
      <c r="D84" s="23"/>
      <c r="E84" s="23"/>
      <c r="F84" s="23"/>
      <c r="G84" s="23"/>
      <c r="H84" s="23"/>
      <c r="I84" s="23"/>
      <c r="J84" s="23"/>
      <c r="K84" s="23"/>
      <c r="L84" s="23"/>
      <c r="M84" s="23"/>
      <c r="N84" s="23"/>
      <c r="O84" s="23"/>
      <c r="P84" s="23"/>
      <c r="Q84" s="23"/>
      <c r="R84" s="23"/>
    </row>
    <row r="85" spans="1:18" x14ac:dyDescent="0.25">
      <c r="A85" s="22" t="s">
        <v>218</v>
      </c>
      <c r="B85" s="23"/>
      <c r="C85" s="23"/>
      <c r="D85" s="23"/>
      <c r="E85" s="23"/>
      <c r="F85" s="23"/>
      <c r="G85" s="23"/>
      <c r="H85" s="23"/>
      <c r="I85" s="23"/>
      <c r="J85" s="23"/>
      <c r="K85" s="23"/>
      <c r="L85" s="23"/>
      <c r="M85" s="23"/>
      <c r="N85" s="23"/>
      <c r="O85" s="23"/>
      <c r="P85" s="23"/>
      <c r="Q85" s="23"/>
      <c r="R85" s="23"/>
    </row>
    <row r="86" spans="1:18" ht="30" customHeight="1" x14ac:dyDescent="0.25">
      <c r="A86" s="22" t="s">
        <v>219</v>
      </c>
      <c r="B86" s="23"/>
      <c r="C86" s="23"/>
      <c r="D86" s="23"/>
      <c r="E86" s="23"/>
      <c r="F86" s="23"/>
      <c r="G86" s="23"/>
      <c r="H86" s="23"/>
      <c r="I86" s="23"/>
      <c r="J86" s="23"/>
      <c r="K86" s="23"/>
      <c r="L86" s="23"/>
      <c r="M86" s="23"/>
      <c r="N86" s="23"/>
      <c r="O86" s="23"/>
      <c r="P86" s="23"/>
      <c r="Q86" s="23"/>
      <c r="R86" s="23"/>
    </row>
    <row r="87" spans="1:18" ht="30" customHeight="1" x14ac:dyDescent="0.25">
      <c r="A87" s="22" t="s">
        <v>215</v>
      </c>
      <c r="B87" s="23"/>
      <c r="C87" s="23"/>
      <c r="D87" s="23"/>
      <c r="E87" s="23"/>
      <c r="F87" s="23"/>
      <c r="G87" s="23"/>
      <c r="H87" s="23"/>
      <c r="I87" s="23"/>
      <c r="J87" s="23"/>
      <c r="K87" s="23"/>
      <c r="L87" s="23"/>
      <c r="M87" s="23"/>
      <c r="N87" s="23"/>
      <c r="O87" s="23"/>
      <c r="P87" s="23"/>
      <c r="Q87" s="23"/>
      <c r="R87" s="23"/>
    </row>
    <row r="88" spans="1:18" ht="30" customHeight="1" x14ac:dyDescent="0.25">
      <c r="A88" s="22" t="s">
        <v>220</v>
      </c>
      <c r="B88" s="23"/>
      <c r="C88" s="23"/>
      <c r="D88" s="23"/>
      <c r="E88" s="23"/>
      <c r="F88" s="23"/>
      <c r="G88" s="23"/>
      <c r="H88" s="23"/>
      <c r="I88" s="23"/>
      <c r="J88" s="23"/>
      <c r="K88" s="23"/>
      <c r="L88" s="23"/>
      <c r="M88" s="23"/>
      <c r="N88" s="23"/>
      <c r="O88" s="23"/>
      <c r="P88" s="23"/>
      <c r="Q88" s="23"/>
      <c r="R88" s="23"/>
    </row>
    <row r="89" spans="1:18" ht="30" customHeight="1" x14ac:dyDescent="0.25">
      <c r="A89" s="22" t="s">
        <v>221</v>
      </c>
      <c r="B89" s="23"/>
      <c r="C89" s="23"/>
      <c r="D89" s="23"/>
      <c r="E89" s="23"/>
      <c r="F89" s="23"/>
      <c r="G89" s="23"/>
      <c r="H89" s="23"/>
      <c r="I89" s="23"/>
      <c r="J89" s="23"/>
      <c r="K89" s="23"/>
      <c r="L89" s="23"/>
      <c r="M89" s="23"/>
      <c r="N89" s="23"/>
      <c r="O89" s="23"/>
      <c r="P89" s="23"/>
      <c r="Q89" s="23"/>
      <c r="R89" s="23"/>
    </row>
    <row r="90" spans="1:18" ht="30" customHeight="1" x14ac:dyDescent="0.25">
      <c r="A90" s="22" t="s">
        <v>222</v>
      </c>
      <c r="B90" s="23"/>
      <c r="C90" s="23"/>
      <c r="D90" s="23"/>
      <c r="E90" s="23"/>
      <c r="F90" s="23"/>
      <c r="G90" s="23"/>
      <c r="H90" s="23"/>
      <c r="I90" s="23"/>
      <c r="J90" s="23"/>
      <c r="K90" s="23"/>
      <c r="L90" s="23"/>
      <c r="M90" s="23"/>
      <c r="N90" s="23"/>
      <c r="O90" s="23"/>
      <c r="P90" s="23"/>
      <c r="Q90" s="23"/>
      <c r="R90" s="23"/>
    </row>
    <row r="91" spans="1:18" ht="30" customHeight="1" x14ac:dyDescent="0.25">
      <c r="A91" s="22" t="s">
        <v>223</v>
      </c>
      <c r="B91" s="23"/>
      <c r="C91" s="23"/>
      <c r="D91" s="23"/>
      <c r="E91" s="23"/>
      <c r="F91" s="23"/>
      <c r="G91" s="23"/>
      <c r="H91" s="23"/>
      <c r="I91" s="23"/>
      <c r="J91" s="23"/>
      <c r="K91" s="23"/>
      <c r="L91" s="23"/>
      <c r="M91" s="23"/>
      <c r="N91" s="23"/>
      <c r="O91" s="23"/>
      <c r="P91" s="23"/>
      <c r="Q91" s="23"/>
      <c r="R91" s="23"/>
    </row>
    <row r="92" spans="1:18" ht="30" customHeight="1" x14ac:dyDescent="0.25">
      <c r="A92" s="22" t="s">
        <v>224</v>
      </c>
      <c r="B92" s="23"/>
      <c r="C92" s="23"/>
      <c r="D92" s="23"/>
      <c r="E92" s="23"/>
      <c r="F92" s="23"/>
      <c r="G92" s="23"/>
      <c r="H92" s="23"/>
      <c r="I92" s="23"/>
      <c r="J92" s="23"/>
      <c r="K92" s="23"/>
      <c r="L92" s="23"/>
      <c r="M92" s="23"/>
      <c r="N92" s="23"/>
      <c r="O92" s="23"/>
      <c r="P92" s="23"/>
      <c r="Q92" s="23"/>
      <c r="R92" s="23"/>
    </row>
    <row r="93" spans="1:18" ht="30" customHeight="1" x14ac:dyDescent="0.25">
      <c r="A93" s="22" t="s">
        <v>225</v>
      </c>
      <c r="B93" s="23"/>
      <c r="C93" s="23"/>
      <c r="D93" s="23"/>
      <c r="E93" s="23"/>
      <c r="F93" s="23"/>
      <c r="G93" s="23"/>
      <c r="H93" s="23"/>
      <c r="I93" s="23"/>
      <c r="J93" s="23"/>
      <c r="K93" s="23"/>
      <c r="L93" s="23"/>
      <c r="M93" s="23"/>
      <c r="N93" s="23"/>
      <c r="O93" s="23"/>
      <c r="P93" s="23"/>
      <c r="Q93" s="23"/>
      <c r="R93" s="23"/>
    </row>
    <row r="94" spans="1:18" ht="30" customHeight="1" x14ac:dyDescent="0.25">
      <c r="A94" s="22" t="s">
        <v>226</v>
      </c>
      <c r="B94" s="23"/>
      <c r="C94" s="23"/>
      <c r="D94" s="23"/>
      <c r="E94" s="23"/>
      <c r="F94" s="23"/>
      <c r="G94" s="23"/>
      <c r="H94" s="23"/>
      <c r="I94" s="23"/>
      <c r="J94" s="23"/>
      <c r="K94" s="23"/>
      <c r="L94" s="23"/>
      <c r="M94" s="23"/>
      <c r="N94" s="23"/>
      <c r="O94" s="23"/>
      <c r="P94" s="23"/>
      <c r="Q94" s="23"/>
      <c r="R94" s="23"/>
    </row>
    <row r="95" spans="1:18" ht="30" customHeight="1" x14ac:dyDescent="0.25">
      <c r="A95" s="22" t="s">
        <v>227</v>
      </c>
      <c r="B95" s="23"/>
      <c r="C95" s="23"/>
      <c r="D95" s="23"/>
      <c r="E95" s="23"/>
      <c r="F95" s="23"/>
      <c r="G95" s="23"/>
      <c r="H95" s="23"/>
      <c r="I95" s="23"/>
      <c r="J95" s="23"/>
      <c r="K95" s="23"/>
      <c r="L95" s="23"/>
      <c r="M95" s="23"/>
      <c r="N95" s="23"/>
      <c r="O95" s="23"/>
      <c r="P95" s="23"/>
      <c r="Q95" s="23"/>
      <c r="R95" s="23"/>
    </row>
    <row r="96" spans="1:18" ht="30" customHeight="1" x14ac:dyDescent="0.25">
      <c r="A96" s="22" t="s">
        <v>228</v>
      </c>
      <c r="B96" s="23"/>
      <c r="C96" s="23"/>
      <c r="D96" s="23"/>
      <c r="E96" s="23"/>
      <c r="F96" s="23"/>
      <c r="G96" s="23"/>
      <c r="H96" s="23"/>
      <c r="I96" s="23"/>
      <c r="J96" s="23"/>
      <c r="K96" s="23"/>
      <c r="L96" s="23"/>
      <c r="M96" s="23"/>
      <c r="N96" s="23"/>
      <c r="O96" s="23"/>
      <c r="P96" s="23"/>
      <c r="Q96" s="23"/>
      <c r="R96" s="23"/>
    </row>
  </sheetData>
  <mergeCells count="22">
    <mergeCell ref="O4:P4"/>
    <mergeCell ref="Q4:R4"/>
    <mergeCell ref="A1:R1"/>
    <mergeCell ref="A2:R2"/>
    <mergeCell ref="A84:R84"/>
    <mergeCell ref="E4:F4"/>
    <mergeCell ref="G4:H4"/>
    <mergeCell ref="I4:J4"/>
    <mergeCell ref="K4:L4"/>
    <mergeCell ref="M4:N4"/>
    <mergeCell ref="A85:R85"/>
    <mergeCell ref="A86:R86"/>
    <mergeCell ref="A87:R87"/>
    <mergeCell ref="A88:R88"/>
    <mergeCell ref="A89:R89"/>
    <mergeCell ref="A95:R95"/>
    <mergeCell ref="A96:R96"/>
    <mergeCell ref="A90:R90"/>
    <mergeCell ref="A91:R91"/>
    <mergeCell ref="A92:R92"/>
    <mergeCell ref="A93:R93"/>
    <mergeCell ref="A94:R94"/>
  </mergeCells>
  <pageMargins left="0.75" right="0.75" top="1" bottom="1" header="0.5" footer="0.5"/>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1"/>
  <dimension ref="A1:T96"/>
  <sheetViews>
    <sheetView zoomScale="80" workbookViewId="0">
      <pane xSplit="4" topLeftCell="E1" activePane="topRight" state="frozen"/>
      <selection sqref="A1:R1"/>
      <selection pane="topRight" sqref="A1:T1"/>
    </sheetView>
  </sheetViews>
  <sheetFormatPr defaultColWidth="11.42578125" defaultRowHeight="15" x14ac:dyDescent="0.25"/>
  <cols>
    <col min="1" max="1" width="50" customWidth="1"/>
  </cols>
  <sheetData>
    <row r="1" spans="1:20" x14ac:dyDescent="0.25">
      <c r="A1" s="26" t="s">
        <v>122</v>
      </c>
      <c r="B1" s="23"/>
      <c r="C1" s="23"/>
      <c r="D1" s="23"/>
      <c r="E1" s="23"/>
      <c r="F1" s="23"/>
      <c r="G1" s="23"/>
      <c r="H1" s="23"/>
      <c r="I1" s="23"/>
      <c r="J1" s="23"/>
      <c r="K1" s="23"/>
      <c r="L1" s="23"/>
      <c r="M1" s="23"/>
      <c r="N1" s="23"/>
      <c r="O1" s="23"/>
      <c r="P1" s="23"/>
      <c r="Q1" s="23"/>
      <c r="R1" s="23"/>
      <c r="S1" s="23"/>
      <c r="T1" s="23"/>
    </row>
    <row r="2" spans="1:20" x14ac:dyDescent="0.25">
      <c r="A2" s="27" t="s">
        <v>277</v>
      </c>
      <c r="B2" s="23"/>
      <c r="C2" s="23"/>
      <c r="D2" s="23"/>
      <c r="E2" s="23"/>
      <c r="F2" s="23"/>
      <c r="G2" s="23"/>
      <c r="H2" s="23"/>
      <c r="I2" s="23"/>
      <c r="J2" s="23"/>
      <c r="K2" s="23"/>
      <c r="L2" s="23"/>
      <c r="M2" s="23"/>
      <c r="N2" s="23"/>
      <c r="O2" s="23"/>
      <c r="P2" s="23"/>
      <c r="Q2" s="23"/>
      <c r="R2" s="23"/>
      <c r="S2" s="23"/>
      <c r="T2" s="23"/>
    </row>
    <row r="4" spans="1:20" ht="30" customHeight="1" x14ac:dyDescent="0.25">
      <c r="A4" s="4"/>
      <c r="B4" s="5" t="s">
        <v>123</v>
      </c>
      <c r="C4" s="5" t="s">
        <v>124</v>
      </c>
      <c r="D4" s="6" t="s">
        <v>123</v>
      </c>
      <c r="E4" s="24" t="s">
        <v>125</v>
      </c>
      <c r="F4" s="25"/>
      <c r="G4" s="24" t="s">
        <v>233</v>
      </c>
      <c r="H4" s="25"/>
      <c r="I4" s="24" t="s">
        <v>234</v>
      </c>
      <c r="J4" s="25"/>
      <c r="K4" s="24" t="s">
        <v>127</v>
      </c>
      <c r="L4" s="25"/>
      <c r="M4" s="24" t="s">
        <v>128</v>
      </c>
      <c r="N4" s="25"/>
      <c r="O4" s="24" t="s">
        <v>129</v>
      </c>
      <c r="P4" s="25"/>
      <c r="Q4" s="24" t="s">
        <v>130</v>
      </c>
      <c r="R4" s="25"/>
      <c r="S4" s="24" t="s">
        <v>131</v>
      </c>
      <c r="T4" s="25"/>
    </row>
    <row r="5" spans="1:20" x14ac:dyDescent="0.25">
      <c r="A5" s="7"/>
      <c r="B5" s="8" t="s">
        <v>132</v>
      </c>
      <c r="C5" s="8" t="s">
        <v>133</v>
      </c>
      <c r="D5" s="7" t="s">
        <v>134</v>
      </c>
      <c r="E5" s="8" t="s">
        <v>135</v>
      </c>
      <c r="F5" s="7" t="s">
        <v>136</v>
      </c>
      <c r="G5" s="8" t="s">
        <v>135</v>
      </c>
      <c r="H5" s="7" t="s">
        <v>136</v>
      </c>
      <c r="I5" s="8" t="s">
        <v>135</v>
      </c>
      <c r="J5" s="7" t="s">
        <v>136</v>
      </c>
      <c r="K5" s="8" t="s">
        <v>135</v>
      </c>
      <c r="L5" s="7" t="s">
        <v>136</v>
      </c>
      <c r="M5" s="8" t="s">
        <v>135</v>
      </c>
      <c r="N5" s="7" t="s">
        <v>136</v>
      </c>
      <c r="O5" s="8" t="s">
        <v>135</v>
      </c>
      <c r="P5" s="7" t="s">
        <v>136</v>
      </c>
      <c r="Q5" s="8" t="s">
        <v>135</v>
      </c>
      <c r="R5" s="7" t="s">
        <v>136</v>
      </c>
      <c r="S5" s="8" t="s">
        <v>135</v>
      </c>
      <c r="T5" s="7" t="s">
        <v>136</v>
      </c>
    </row>
    <row r="6" spans="1:20" x14ac:dyDescent="0.25">
      <c r="A6" s="9" t="s">
        <v>137</v>
      </c>
      <c r="B6" s="10"/>
      <c r="C6" s="10"/>
      <c r="D6" s="11"/>
      <c r="E6" s="10"/>
      <c r="F6" s="11"/>
      <c r="G6" s="10"/>
      <c r="H6" s="11"/>
      <c r="I6" s="10"/>
      <c r="J6" s="11"/>
      <c r="K6" s="10"/>
      <c r="L6" s="11"/>
      <c r="M6" s="10"/>
      <c r="N6" s="11"/>
      <c r="O6" s="10"/>
      <c r="P6" s="11"/>
      <c r="Q6" s="10"/>
      <c r="R6" s="11"/>
      <c r="S6" s="10"/>
      <c r="T6" s="12"/>
    </row>
    <row r="7" spans="1:20" x14ac:dyDescent="0.25">
      <c r="A7" s="11" t="s">
        <v>138</v>
      </c>
      <c r="B7" s="13">
        <v>14530</v>
      </c>
      <c r="C7" s="14">
        <f>(12281/B7*100)</f>
        <v>84.521679284239497</v>
      </c>
      <c r="D7" s="15">
        <v>2249</v>
      </c>
      <c r="E7" s="14">
        <v>74.949093320000003</v>
      </c>
      <c r="F7" s="16">
        <v>1.0452061399999999</v>
      </c>
      <c r="G7" s="14">
        <v>7.4475947600000003</v>
      </c>
      <c r="H7" s="16">
        <v>0.66889911000000002</v>
      </c>
      <c r="I7" s="14">
        <v>17.603311919999999</v>
      </c>
      <c r="J7" s="16">
        <v>0.88716103999999996</v>
      </c>
      <c r="K7" s="14" t="s">
        <v>139</v>
      </c>
      <c r="L7" s="16" t="s">
        <v>139</v>
      </c>
      <c r="M7" s="14">
        <v>0</v>
      </c>
      <c r="N7" s="16">
        <v>0</v>
      </c>
      <c r="O7" s="14">
        <v>0</v>
      </c>
      <c r="P7" s="16">
        <v>0</v>
      </c>
      <c r="Q7" s="14">
        <v>0</v>
      </c>
      <c r="R7" s="16">
        <v>0</v>
      </c>
      <c r="S7" s="14">
        <v>0</v>
      </c>
      <c r="T7" s="16">
        <v>0</v>
      </c>
    </row>
    <row r="8" spans="1:20" x14ac:dyDescent="0.25">
      <c r="A8" s="11" t="s">
        <v>140</v>
      </c>
      <c r="B8" s="13">
        <v>7007</v>
      </c>
      <c r="C8" s="14">
        <f>(5875/B8*100)</f>
        <v>83.844726701869547</v>
      </c>
      <c r="D8" s="15">
        <v>1132</v>
      </c>
      <c r="E8" s="14">
        <v>80.717230819999997</v>
      </c>
      <c r="F8" s="16">
        <v>1.1653184700000001</v>
      </c>
      <c r="G8" s="14">
        <v>7.3003018500000003</v>
      </c>
      <c r="H8" s="16">
        <v>0.69069115999999997</v>
      </c>
      <c r="I8" s="14">
        <v>11.98246733</v>
      </c>
      <c r="J8" s="16">
        <v>0.97440402000000004</v>
      </c>
      <c r="K8" s="14" t="s">
        <v>139</v>
      </c>
      <c r="L8" s="16" t="s">
        <v>139</v>
      </c>
      <c r="M8" s="14">
        <v>0</v>
      </c>
      <c r="N8" s="16">
        <v>0</v>
      </c>
      <c r="O8" s="14">
        <v>0</v>
      </c>
      <c r="P8" s="16">
        <v>0</v>
      </c>
      <c r="Q8" s="14">
        <v>0</v>
      </c>
      <c r="R8" s="16">
        <v>0</v>
      </c>
      <c r="S8" s="14">
        <v>0</v>
      </c>
      <c r="T8" s="16">
        <v>0</v>
      </c>
    </row>
    <row r="9" spans="1:20" x14ac:dyDescent="0.25">
      <c r="A9" s="11" t="s">
        <v>141</v>
      </c>
      <c r="B9" s="13">
        <v>9651</v>
      </c>
      <c r="C9" s="14">
        <f>(8203/B9*100)</f>
        <v>84.996373432804901</v>
      </c>
      <c r="D9" s="15">
        <v>1448</v>
      </c>
      <c r="E9" s="14">
        <v>78.972922260000004</v>
      </c>
      <c r="F9" s="16">
        <v>1.13344636</v>
      </c>
      <c r="G9" s="14">
        <v>8.1427402699999991</v>
      </c>
      <c r="H9" s="16">
        <v>0.6670739</v>
      </c>
      <c r="I9" s="14">
        <v>12.884337479999999</v>
      </c>
      <c r="J9" s="16">
        <v>1.0053664499999999</v>
      </c>
      <c r="K9" s="14" t="s">
        <v>139</v>
      </c>
      <c r="L9" s="16" t="s">
        <v>139</v>
      </c>
      <c r="M9" s="14">
        <v>0</v>
      </c>
      <c r="N9" s="16">
        <v>0</v>
      </c>
      <c r="O9" s="14">
        <v>0</v>
      </c>
      <c r="P9" s="16">
        <v>0</v>
      </c>
      <c r="Q9" s="14">
        <v>0</v>
      </c>
      <c r="R9" s="16">
        <v>0</v>
      </c>
      <c r="S9" s="14">
        <v>0</v>
      </c>
      <c r="T9" s="16">
        <v>0</v>
      </c>
    </row>
    <row r="10" spans="1:20" x14ac:dyDescent="0.25">
      <c r="A10" s="11" t="s">
        <v>142</v>
      </c>
      <c r="B10" s="13">
        <v>20058</v>
      </c>
      <c r="C10" s="14">
        <f>(16721/B10*100)</f>
        <v>83.363246584903777</v>
      </c>
      <c r="D10" s="15">
        <v>3337</v>
      </c>
      <c r="E10" s="14">
        <v>74.106969019999994</v>
      </c>
      <c r="F10" s="16">
        <v>0.99470409999999998</v>
      </c>
      <c r="G10" s="14">
        <v>6.76244742</v>
      </c>
      <c r="H10" s="16">
        <v>0.62375745000000005</v>
      </c>
      <c r="I10" s="14">
        <v>19.130583560000002</v>
      </c>
      <c r="J10" s="16">
        <v>0.87421406999999995</v>
      </c>
      <c r="K10" s="14" t="s">
        <v>139</v>
      </c>
      <c r="L10" s="16" t="s">
        <v>139</v>
      </c>
      <c r="M10" s="14">
        <v>0</v>
      </c>
      <c r="N10" s="16">
        <v>0</v>
      </c>
      <c r="O10" s="14">
        <v>0</v>
      </c>
      <c r="P10" s="16">
        <v>0</v>
      </c>
      <c r="Q10" s="14">
        <v>0</v>
      </c>
      <c r="R10" s="16">
        <v>0</v>
      </c>
      <c r="S10" s="14">
        <v>0</v>
      </c>
      <c r="T10" s="16">
        <v>0</v>
      </c>
    </row>
    <row r="11" spans="1:20" x14ac:dyDescent="0.25">
      <c r="A11" s="11" t="s">
        <v>143</v>
      </c>
      <c r="B11" s="13">
        <v>7053</v>
      </c>
      <c r="C11" s="14">
        <f>(5995/B11*100)</f>
        <v>84.999291081809162</v>
      </c>
      <c r="D11" s="15">
        <v>1058</v>
      </c>
      <c r="E11" s="14">
        <v>91.031558180000005</v>
      </c>
      <c r="F11" s="16">
        <v>1.01263386</v>
      </c>
      <c r="G11" s="14">
        <v>4.7244077799999999</v>
      </c>
      <c r="H11" s="16">
        <v>0.72635737</v>
      </c>
      <c r="I11" s="14">
        <v>4.2440340399999998</v>
      </c>
      <c r="J11" s="16">
        <v>0.70698534999999996</v>
      </c>
      <c r="K11" s="14" t="s">
        <v>139</v>
      </c>
      <c r="L11" s="16" t="s">
        <v>139</v>
      </c>
      <c r="M11" s="14">
        <v>0</v>
      </c>
      <c r="N11" s="16">
        <v>0</v>
      </c>
      <c r="O11" s="14">
        <v>0</v>
      </c>
      <c r="P11" s="16">
        <v>0</v>
      </c>
      <c r="Q11" s="14">
        <v>0</v>
      </c>
      <c r="R11" s="16">
        <v>0</v>
      </c>
      <c r="S11" s="14">
        <v>0</v>
      </c>
      <c r="T11" s="16">
        <v>0</v>
      </c>
    </row>
    <row r="12" spans="1:20" x14ac:dyDescent="0.25">
      <c r="A12" s="11" t="s">
        <v>144</v>
      </c>
      <c r="B12" s="13">
        <v>6894</v>
      </c>
      <c r="C12" s="14">
        <f>(5821/B12*100)</f>
        <v>84.435741224252965</v>
      </c>
      <c r="D12" s="15">
        <v>1073</v>
      </c>
      <c r="E12" s="14">
        <v>86.420079439999995</v>
      </c>
      <c r="F12" s="16">
        <v>1.1592729900000001</v>
      </c>
      <c r="G12" s="14">
        <v>4.5319113900000003</v>
      </c>
      <c r="H12" s="16">
        <v>0.60070168000000002</v>
      </c>
      <c r="I12" s="14">
        <v>9.0480091700000003</v>
      </c>
      <c r="J12" s="16">
        <v>0.99074046999999998</v>
      </c>
      <c r="K12" s="14" t="s">
        <v>139</v>
      </c>
      <c r="L12" s="16" t="s">
        <v>139</v>
      </c>
      <c r="M12" s="14">
        <v>0</v>
      </c>
      <c r="N12" s="16">
        <v>0</v>
      </c>
      <c r="O12" s="14">
        <v>0</v>
      </c>
      <c r="P12" s="16">
        <v>0</v>
      </c>
      <c r="Q12" s="14">
        <v>0</v>
      </c>
      <c r="R12" s="16">
        <v>0</v>
      </c>
      <c r="S12" s="14">
        <v>0</v>
      </c>
      <c r="T12" s="16">
        <v>0</v>
      </c>
    </row>
    <row r="13" spans="1:20" x14ac:dyDescent="0.25">
      <c r="A13" s="11" t="s">
        <v>145</v>
      </c>
      <c r="B13" s="13">
        <v>7161</v>
      </c>
      <c r="C13" s="14">
        <f>(6079/B13*100)</f>
        <v>84.890378438765538</v>
      </c>
      <c r="D13" s="15">
        <v>1082</v>
      </c>
      <c r="E13" s="14">
        <v>81.862261180000004</v>
      </c>
      <c r="F13" s="16">
        <v>1.46988473</v>
      </c>
      <c r="G13" s="14">
        <v>7.4511798499999999</v>
      </c>
      <c r="H13" s="16">
        <v>0.96149154000000003</v>
      </c>
      <c r="I13" s="14">
        <v>10.68655897</v>
      </c>
      <c r="J13" s="16">
        <v>1.20039801</v>
      </c>
      <c r="K13" s="14" t="s">
        <v>139</v>
      </c>
      <c r="L13" s="16" t="s">
        <v>139</v>
      </c>
      <c r="M13" s="14">
        <v>0</v>
      </c>
      <c r="N13" s="16">
        <v>0</v>
      </c>
      <c r="O13" s="14">
        <v>0</v>
      </c>
      <c r="P13" s="16">
        <v>0</v>
      </c>
      <c r="Q13" s="14">
        <v>0</v>
      </c>
      <c r="R13" s="16">
        <v>0</v>
      </c>
      <c r="S13" s="14">
        <v>0</v>
      </c>
      <c r="T13" s="16">
        <v>0</v>
      </c>
    </row>
    <row r="14" spans="1:20" x14ac:dyDescent="0.25">
      <c r="A14" s="11" t="s">
        <v>146</v>
      </c>
      <c r="B14" s="13">
        <v>5587</v>
      </c>
      <c r="C14" s="14">
        <f>(4678/B14*100)</f>
        <v>83.730087703597633</v>
      </c>
      <c r="D14" s="15">
        <v>909</v>
      </c>
      <c r="E14" s="14">
        <v>73.89810439</v>
      </c>
      <c r="F14" s="16">
        <v>1.6314239399999999</v>
      </c>
      <c r="G14" s="14">
        <v>6.9634335399999996</v>
      </c>
      <c r="H14" s="16">
        <v>0.86608474000000002</v>
      </c>
      <c r="I14" s="14">
        <v>19.138462069999999</v>
      </c>
      <c r="J14" s="16">
        <v>1.48080195</v>
      </c>
      <c r="K14" s="14" t="s">
        <v>139</v>
      </c>
      <c r="L14" s="16" t="s">
        <v>139</v>
      </c>
      <c r="M14" s="14">
        <v>0</v>
      </c>
      <c r="N14" s="16">
        <v>0</v>
      </c>
      <c r="O14" s="14">
        <v>0</v>
      </c>
      <c r="P14" s="16">
        <v>0</v>
      </c>
      <c r="Q14" s="14">
        <v>0</v>
      </c>
      <c r="R14" s="16">
        <v>0</v>
      </c>
      <c r="S14" s="14">
        <v>0</v>
      </c>
      <c r="T14" s="16">
        <v>0</v>
      </c>
    </row>
    <row r="15" spans="1:20" x14ac:dyDescent="0.25">
      <c r="A15" s="11" t="s">
        <v>147</v>
      </c>
      <c r="B15" s="13">
        <v>5882</v>
      </c>
      <c r="C15" s="14">
        <f>(4957/B15*100)</f>
        <v>84.274056443386598</v>
      </c>
      <c r="D15" s="15">
        <v>925</v>
      </c>
      <c r="E15" s="14">
        <v>70.191212039999996</v>
      </c>
      <c r="F15" s="16">
        <v>1.40301341</v>
      </c>
      <c r="G15" s="14">
        <v>7.7200600000000001</v>
      </c>
      <c r="H15" s="16">
        <v>0.93480079999999999</v>
      </c>
      <c r="I15" s="14">
        <v>22.08872796</v>
      </c>
      <c r="J15" s="16">
        <v>1.22447716</v>
      </c>
      <c r="K15" s="14" t="s">
        <v>139</v>
      </c>
      <c r="L15" s="16" t="s">
        <v>139</v>
      </c>
      <c r="M15" s="14">
        <v>0</v>
      </c>
      <c r="N15" s="16">
        <v>0</v>
      </c>
      <c r="O15" s="14">
        <v>0</v>
      </c>
      <c r="P15" s="16">
        <v>0</v>
      </c>
      <c r="Q15" s="14">
        <v>0</v>
      </c>
      <c r="R15" s="16">
        <v>0</v>
      </c>
      <c r="S15" s="14">
        <v>0</v>
      </c>
      <c r="T15" s="16">
        <v>0</v>
      </c>
    </row>
    <row r="16" spans="1:20" x14ac:dyDescent="0.25">
      <c r="A16" s="11" t="s">
        <v>148</v>
      </c>
      <c r="B16" s="13">
        <v>6108</v>
      </c>
      <c r="C16" s="14">
        <f>(5144/B16*100)</f>
        <v>84.217419777341192</v>
      </c>
      <c r="D16" s="15">
        <v>964</v>
      </c>
      <c r="E16" s="14">
        <v>80.386512280000005</v>
      </c>
      <c r="F16" s="16">
        <v>1.15520527</v>
      </c>
      <c r="G16" s="14">
        <v>6.1719555599999998</v>
      </c>
      <c r="H16" s="16">
        <v>0.77886646999999998</v>
      </c>
      <c r="I16" s="14">
        <v>13.44153216</v>
      </c>
      <c r="J16" s="16">
        <v>0.97656208</v>
      </c>
      <c r="K16" s="14" t="s">
        <v>139</v>
      </c>
      <c r="L16" s="16" t="s">
        <v>139</v>
      </c>
      <c r="M16" s="14">
        <v>0</v>
      </c>
      <c r="N16" s="16">
        <v>0</v>
      </c>
      <c r="O16" s="14">
        <v>0</v>
      </c>
      <c r="P16" s="16">
        <v>0</v>
      </c>
      <c r="Q16" s="14">
        <v>0</v>
      </c>
      <c r="R16" s="16">
        <v>0</v>
      </c>
      <c r="S16" s="14">
        <v>0</v>
      </c>
      <c r="T16" s="16">
        <v>0</v>
      </c>
    </row>
    <row r="17" spans="1:20" x14ac:dyDescent="0.25">
      <c r="A17" s="11" t="s">
        <v>149</v>
      </c>
      <c r="B17" s="13">
        <v>6504</v>
      </c>
      <c r="C17" s="14">
        <f>(5504/B17*100)</f>
        <v>84.624846248462475</v>
      </c>
      <c r="D17" s="15">
        <v>1000</v>
      </c>
      <c r="E17" s="14">
        <v>75.997515730000003</v>
      </c>
      <c r="F17" s="16">
        <v>1.54921731</v>
      </c>
      <c r="G17" s="14">
        <v>6.6919039900000001</v>
      </c>
      <c r="H17" s="16">
        <v>0.90995614000000002</v>
      </c>
      <c r="I17" s="14">
        <v>17.31058028</v>
      </c>
      <c r="J17" s="16">
        <v>1.1835165999999999</v>
      </c>
      <c r="K17" s="14" t="s">
        <v>139</v>
      </c>
      <c r="L17" s="16" t="s">
        <v>139</v>
      </c>
      <c r="M17" s="14">
        <v>0</v>
      </c>
      <c r="N17" s="16">
        <v>0</v>
      </c>
      <c r="O17" s="14">
        <v>0</v>
      </c>
      <c r="P17" s="16">
        <v>0</v>
      </c>
      <c r="Q17" s="14">
        <v>0</v>
      </c>
      <c r="R17" s="16">
        <v>0</v>
      </c>
      <c r="S17" s="14">
        <v>0</v>
      </c>
      <c r="T17" s="16">
        <v>0</v>
      </c>
    </row>
    <row r="18" spans="1:20" x14ac:dyDescent="0.25">
      <c r="A18" s="11" t="s">
        <v>150</v>
      </c>
      <c r="B18" s="13">
        <v>5532</v>
      </c>
      <c r="C18" s="14">
        <f>(4604/B18*100)</f>
        <v>83.224873463485167</v>
      </c>
      <c r="D18" s="15">
        <v>928</v>
      </c>
      <c r="E18" s="14">
        <v>86.990001289999995</v>
      </c>
      <c r="F18" s="16">
        <v>1.3901936500000001</v>
      </c>
      <c r="G18" s="14">
        <v>5.3722667800000004</v>
      </c>
      <c r="H18" s="16">
        <v>0.80951859000000004</v>
      </c>
      <c r="I18" s="14">
        <v>7.6377319300000002</v>
      </c>
      <c r="J18" s="16">
        <v>0.95289822999999996</v>
      </c>
      <c r="K18" s="14" t="s">
        <v>139</v>
      </c>
      <c r="L18" s="16" t="s">
        <v>139</v>
      </c>
      <c r="M18" s="14">
        <v>0</v>
      </c>
      <c r="N18" s="16">
        <v>0</v>
      </c>
      <c r="O18" s="14">
        <v>0</v>
      </c>
      <c r="P18" s="16">
        <v>0</v>
      </c>
      <c r="Q18" s="14">
        <v>0</v>
      </c>
      <c r="R18" s="16">
        <v>0</v>
      </c>
      <c r="S18" s="14">
        <v>0</v>
      </c>
      <c r="T18" s="16">
        <v>0</v>
      </c>
    </row>
    <row r="19" spans="1:20" x14ac:dyDescent="0.25">
      <c r="A19" s="11" t="s">
        <v>151</v>
      </c>
      <c r="B19" s="13">
        <v>5658</v>
      </c>
      <c r="C19" s="14">
        <f>(4793/B19*100)</f>
        <v>84.711912336514672</v>
      </c>
      <c r="D19" s="15">
        <v>865</v>
      </c>
      <c r="E19" s="14">
        <v>86.313556809999994</v>
      </c>
      <c r="F19" s="16">
        <v>1.21107575</v>
      </c>
      <c r="G19" s="14">
        <v>4.6164330500000004</v>
      </c>
      <c r="H19" s="16">
        <v>0.75359092999999999</v>
      </c>
      <c r="I19" s="14">
        <v>9.0700101400000008</v>
      </c>
      <c r="J19" s="16">
        <v>0.85716093000000004</v>
      </c>
      <c r="K19" s="14" t="s">
        <v>139</v>
      </c>
      <c r="L19" s="16" t="s">
        <v>139</v>
      </c>
      <c r="M19" s="14">
        <v>0</v>
      </c>
      <c r="N19" s="16">
        <v>0</v>
      </c>
      <c r="O19" s="14">
        <v>0</v>
      </c>
      <c r="P19" s="16">
        <v>0</v>
      </c>
      <c r="Q19" s="14">
        <v>0</v>
      </c>
      <c r="R19" s="16">
        <v>0</v>
      </c>
      <c r="S19" s="14">
        <v>0</v>
      </c>
      <c r="T19" s="16">
        <v>0</v>
      </c>
    </row>
    <row r="20" spans="1:20" x14ac:dyDescent="0.25">
      <c r="A20" s="11" t="s">
        <v>152</v>
      </c>
      <c r="B20" s="13">
        <v>3371</v>
      </c>
      <c r="C20" s="14">
        <f>(2842/B20*100)</f>
        <v>84.307327202610509</v>
      </c>
      <c r="D20" s="15">
        <v>529</v>
      </c>
      <c r="E20" s="14">
        <v>74.976271130000001</v>
      </c>
      <c r="F20" s="16">
        <v>1.76560071</v>
      </c>
      <c r="G20" s="14">
        <v>6.9477924299999998</v>
      </c>
      <c r="H20" s="16">
        <v>1.02751557</v>
      </c>
      <c r="I20" s="14">
        <v>18.07593645</v>
      </c>
      <c r="J20" s="16">
        <v>1.8945720500000001</v>
      </c>
      <c r="K20" s="14" t="s">
        <v>139</v>
      </c>
      <c r="L20" s="16" t="s">
        <v>139</v>
      </c>
      <c r="M20" s="14">
        <v>0</v>
      </c>
      <c r="N20" s="16">
        <v>0</v>
      </c>
      <c r="O20" s="14">
        <v>0</v>
      </c>
      <c r="P20" s="16">
        <v>0</v>
      </c>
      <c r="Q20" s="14">
        <v>0</v>
      </c>
      <c r="R20" s="16">
        <v>0</v>
      </c>
      <c r="S20" s="14">
        <v>0</v>
      </c>
      <c r="T20" s="16">
        <v>0</v>
      </c>
    </row>
    <row r="21" spans="1:20" x14ac:dyDescent="0.25">
      <c r="A21" s="11" t="s">
        <v>153</v>
      </c>
      <c r="B21" s="17" t="s">
        <v>154</v>
      </c>
      <c r="C21" s="17" t="s">
        <v>154</v>
      </c>
      <c r="D21" s="18" t="s">
        <v>154</v>
      </c>
      <c r="E21" s="17" t="s">
        <v>154</v>
      </c>
      <c r="F21" s="18" t="s">
        <v>154</v>
      </c>
      <c r="G21" s="17" t="s">
        <v>154</v>
      </c>
      <c r="H21" s="18" t="s">
        <v>154</v>
      </c>
      <c r="I21" s="17" t="s">
        <v>154</v>
      </c>
      <c r="J21" s="18" t="s">
        <v>154</v>
      </c>
      <c r="K21" s="17" t="s">
        <v>154</v>
      </c>
      <c r="L21" s="18" t="s">
        <v>154</v>
      </c>
      <c r="M21" s="17" t="s">
        <v>154</v>
      </c>
      <c r="N21" s="18" t="s">
        <v>154</v>
      </c>
      <c r="O21" s="17" t="s">
        <v>154</v>
      </c>
      <c r="P21" s="18" t="s">
        <v>154</v>
      </c>
      <c r="Q21" s="17" t="s">
        <v>154</v>
      </c>
      <c r="R21" s="18" t="s">
        <v>154</v>
      </c>
      <c r="S21" s="17" t="s">
        <v>154</v>
      </c>
      <c r="T21" s="18" t="s">
        <v>154</v>
      </c>
    </row>
    <row r="22" spans="1:20" x14ac:dyDescent="0.25">
      <c r="A22" s="11" t="s">
        <v>155</v>
      </c>
      <c r="B22" s="13">
        <v>6598</v>
      </c>
      <c r="C22" s="14">
        <f>(5639/B22*100)</f>
        <v>85.465292512882698</v>
      </c>
      <c r="D22" s="15">
        <v>959</v>
      </c>
      <c r="E22" s="14">
        <v>82.431681029999993</v>
      </c>
      <c r="F22" s="16">
        <v>1.27346643</v>
      </c>
      <c r="G22" s="14">
        <v>4.4521352600000004</v>
      </c>
      <c r="H22" s="16">
        <v>0.69719028999999999</v>
      </c>
      <c r="I22" s="14">
        <v>13.11618371</v>
      </c>
      <c r="J22" s="16">
        <v>1.15783218</v>
      </c>
      <c r="K22" s="14" t="s">
        <v>139</v>
      </c>
      <c r="L22" s="16" t="s">
        <v>139</v>
      </c>
      <c r="M22" s="14">
        <v>0</v>
      </c>
      <c r="N22" s="16">
        <v>0</v>
      </c>
      <c r="O22" s="14">
        <v>0</v>
      </c>
      <c r="P22" s="16">
        <v>0</v>
      </c>
      <c r="Q22" s="14">
        <v>0</v>
      </c>
      <c r="R22" s="16">
        <v>0</v>
      </c>
      <c r="S22" s="14">
        <v>0</v>
      </c>
      <c r="T22" s="16">
        <v>0</v>
      </c>
    </row>
    <row r="23" spans="1:20" x14ac:dyDescent="0.25">
      <c r="A23" s="11" t="s">
        <v>156</v>
      </c>
      <c r="B23" s="13">
        <v>11583</v>
      </c>
      <c r="C23" s="14">
        <f>(9722/B23*100)</f>
        <v>83.933350600017263</v>
      </c>
      <c r="D23" s="15">
        <v>1861</v>
      </c>
      <c r="E23" s="14">
        <v>84.763875040000002</v>
      </c>
      <c r="F23" s="16">
        <v>0.95844947999999996</v>
      </c>
      <c r="G23" s="14">
        <v>5.10171815</v>
      </c>
      <c r="H23" s="16">
        <v>0.66331594999999999</v>
      </c>
      <c r="I23" s="14">
        <v>10.134406820000001</v>
      </c>
      <c r="J23" s="16">
        <v>0.78120845000000005</v>
      </c>
      <c r="K23" s="14" t="s">
        <v>139</v>
      </c>
      <c r="L23" s="16" t="s">
        <v>139</v>
      </c>
      <c r="M23" s="14">
        <v>0</v>
      </c>
      <c r="N23" s="16">
        <v>0</v>
      </c>
      <c r="O23" s="14">
        <v>0</v>
      </c>
      <c r="P23" s="16">
        <v>0</v>
      </c>
      <c r="Q23" s="14">
        <v>0</v>
      </c>
      <c r="R23" s="16">
        <v>0</v>
      </c>
      <c r="S23" s="14">
        <v>0</v>
      </c>
      <c r="T23" s="16">
        <v>0</v>
      </c>
    </row>
    <row r="24" spans="1:20" x14ac:dyDescent="0.25">
      <c r="A24" s="11" t="s">
        <v>157</v>
      </c>
      <c r="B24" s="13">
        <v>6647</v>
      </c>
      <c r="C24" s="14">
        <f>(5539/B24*100)</f>
        <v>83.33082593651271</v>
      </c>
      <c r="D24" s="15">
        <v>1108</v>
      </c>
      <c r="E24" s="14">
        <v>75.806435530000002</v>
      </c>
      <c r="F24" s="16">
        <v>1.3781558899999999</v>
      </c>
      <c r="G24" s="14">
        <v>6.5521946299999998</v>
      </c>
      <c r="H24" s="16">
        <v>0.78776705999999996</v>
      </c>
      <c r="I24" s="14">
        <v>17.641369839999999</v>
      </c>
      <c r="J24" s="16">
        <v>1.09024195</v>
      </c>
      <c r="K24" s="14" t="s">
        <v>139</v>
      </c>
      <c r="L24" s="16" t="s">
        <v>139</v>
      </c>
      <c r="M24" s="14">
        <v>0</v>
      </c>
      <c r="N24" s="16">
        <v>0</v>
      </c>
      <c r="O24" s="14">
        <v>0</v>
      </c>
      <c r="P24" s="16">
        <v>0</v>
      </c>
      <c r="Q24" s="14">
        <v>0</v>
      </c>
      <c r="R24" s="16">
        <v>0</v>
      </c>
      <c r="S24" s="14">
        <v>0</v>
      </c>
      <c r="T24" s="16">
        <v>0</v>
      </c>
    </row>
    <row r="25" spans="1:20" x14ac:dyDescent="0.25">
      <c r="A25" s="11" t="s">
        <v>158</v>
      </c>
      <c r="B25" s="13">
        <v>5581</v>
      </c>
      <c r="C25" s="14">
        <f>(4619/B25*100)</f>
        <v>82.762945708654371</v>
      </c>
      <c r="D25" s="15">
        <v>962</v>
      </c>
      <c r="E25" s="14">
        <v>73.734858889999998</v>
      </c>
      <c r="F25" s="16">
        <v>1.4536049499999999</v>
      </c>
      <c r="G25" s="14">
        <v>6.5669055399999996</v>
      </c>
      <c r="H25" s="16">
        <v>0.95794517999999995</v>
      </c>
      <c r="I25" s="14">
        <v>19.698235579999999</v>
      </c>
      <c r="J25" s="16">
        <v>1.3374542599999999</v>
      </c>
      <c r="K25" s="14" t="s">
        <v>139</v>
      </c>
      <c r="L25" s="16" t="s">
        <v>139</v>
      </c>
      <c r="M25" s="14">
        <v>0</v>
      </c>
      <c r="N25" s="16">
        <v>0</v>
      </c>
      <c r="O25" s="14">
        <v>0</v>
      </c>
      <c r="P25" s="16">
        <v>0</v>
      </c>
      <c r="Q25" s="14">
        <v>0</v>
      </c>
      <c r="R25" s="16">
        <v>0</v>
      </c>
      <c r="S25" s="14">
        <v>0</v>
      </c>
      <c r="T25" s="16">
        <v>0</v>
      </c>
    </row>
    <row r="26" spans="1:20" x14ac:dyDescent="0.25">
      <c r="A26" s="11" t="s">
        <v>159</v>
      </c>
      <c r="B26" s="13">
        <v>4869</v>
      </c>
      <c r="C26" s="14">
        <f>(4044/B26*100)</f>
        <v>83.056069008009857</v>
      </c>
      <c r="D26" s="15">
        <v>825</v>
      </c>
      <c r="E26" s="14">
        <v>84.267637239999999</v>
      </c>
      <c r="F26" s="16">
        <v>1.23645508</v>
      </c>
      <c r="G26" s="14">
        <v>6.4945434899999999</v>
      </c>
      <c r="H26" s="16">
        <v>0.81913672999999998</v>
      </c>
      <c r="I26" s="14">
        <v>9.2378192600000002</v>
      </c>
      <c r="J26" s="16">
        <v>1.05182815</v>
      </c>
      <c r="K26" s="14" t="s">
        <v>139</v>
      </c>
      <c r="L26" s="16" t="s">
        <v>139</v>
      </c>
      <c r="M26" s="14">
        <v>0</v>
      </c>
      <c r="N26" s="16">
        <v>0</v>
      </c>
      <c r="O26" s="14">
        <v>0</v>
      </c>
      <c r="P26" s="16">
        <v>0</v>
      </c>
      <c r="Q26" s="14">
        <v>0</v>
      </c>
      <c r="R26" s="16">
        <v>0</v>
      </c>
      <c r="S26" s="14">
        <v>0</v>
      </c>
      <c r="T26" s="16">
        <v>0</v>
      </c>
    </row>
    <row r="27" spans="1:20" x14ac:dyDescent="0.25">
      <c r="A27" s="11" t="s">
        <v>160</v>
      </c>
      <c r="B27" s="13">
        <v>5299</v>
      </c>
      <c r="C27" s="14">
        <f>(4485/B27*100)</f>
        <v>84.638611058690316</v>
      </c>
      <c r="D27" s="15">
        <v>814</v>
      </c>
      <c r="E27" s="14">
        <v>79.756700980000005</v>
      </c>
      <c r="F27" s="16">
        <v>1.39828906</v>
      </c>
      <c r="G27" s="14">
        <v>6.3756796600000003</v>
      </c>
      <c r="H27" s="16">
        <v>0.83074572999999996</v>
      </c>
      <c r="I27" s="14">
        <v>13.86761935</v>
      </c>
      <c r="J27" s="16">
        <v>1.1743784500000001</v>
      </c>
      <c r="K27" s="14" t="s">
        <v>139</v>
      </c>
      <c r="L27" s="16" t="s">
        <v>139</v>
      </c>
      <c r="M27" s="14">
        <v>0</v>
      </c>
      <c r="N27" s="16">
        <v>0</v>
      </c>
      <c r="O27" s="14">
        <v>0</v>
      </c>
      <c r="P27" s="16">
        <v>0</v>
      </c>
      <c r="Q27" s="14">
        <v>0</v>
      </c>
      <c r="R27" s="16">
        <v>0</v>
      </c>
      <c r="S27" s="14">
        <v>0</v>
      </c>
      <c r="T27" s="16">
        <v>0</v>
      </c>
    </row>
    <row r="28" spans="1:20" x14ac:dyDescent="0.25">
      <c r="A28" s="11" t="s">
        <v>161</v>
      </c>
      <c r="B28" s="13">
        <v>7568</v>
      </c>
      <c r="C28" s="14">
        <f>(6565/B28*100)</f>
        <v>86.746828752642699</v>
      </c>
      <c r="D28" s="15">
        <v>1003</v>
      </c>
      <c r="E28" s="14">
        <v>92.029909829999994</v>
      </c>
      <c r="F28" s="16">
        <v>0.97626992000000001</v>
      </c>
      <c r="G28" s="14">
        <v>4.9256154099999998</v>
      </c>
      <c r="H28" s="16">
        <v>0.83013031999999998</v>
      </c>
      <c r="I28" s="14">
        <v>3.0444747699999999</v>
      </c>
      <c r="J28" s="16">
        <v>0.58512058</v>
      </c>
      <c r="K28" s="14" t="s">
        <v>139</v>
      </c>
      <c r="L28" s="16" t="s">
        <v>139</v>
      </c>
      <c r="M28" s="14">
        <v>0</v>
      </c>
      <c r="N28" s="16">
        <v>0</v>
      </c>
      <c r="O28" s="14">
        <v>0</v>
      </c>
      <c r="P28" s="16">
        <v>0</v>
      </c>
      <c r="Q28" s="14">
        <v>0</v>
      </c>
      <c r="R28" s="16">
        <v>0</v>
      </c>
      <c r="S28" s="14">
        <v>0</v>
      </c>
      <c r="T28" s="16">
        <v>0</v>
      </c>
    </row>
    <row r="29" spans="1:20" x14ac:dyDescent="0.25">
      <c r="A29" s="11" t="s">
        <v>162</v>
      </c>
      <c r="B29" s="13">
        <v>5385</v>
      </c>
      <c r="C29" s="14">
        <f>(4470/B29*100)</f>
        <v>83.008356545961007</v>
      </c>
      <c r="D29" s="15">
        <v>915</v>
      </c>
      <c r="E29" s="14">
        <v>89.823701450000002</v>
      </c>
      <c r="F29" s="16">
        <v>1.18405022</v>
      </c>
      <c r="G29" s="14">
        <v>4.3861535800000002</v>
      </c>
      <c r="H29" s="16">
        <v>0.74397371999999995</v>
      </c>
      <c r="I29" s="14">
        <v>5.79014498</v>
      </c>
      <c r="J29" s="16">
        <v>0.88033322000000003</v>
      </c>
      <c r="K29" s="14" t="s">
        <v>139</v>
      </c>
      <c r="L29" s="16" t="s">
        <v>139</v>
      </c>
      <c r="M29" s="14">
        <v>0</v>
      </c>
      <c r="N29" s="16">
        <v>0</v>
      </c>
      <c r="O29" s="14">
        <v>0</v>
      </c>
      <c r="P29" s="16">
        <v>0</v>
      </c>
      <c r="Q29" s="14">
        <v>0</v>
      </c>
      <c r="R29" s="16">
        <v>0</v>
      </c>
      <c r="S29" s="14">
        <v>0</v>
      </c>
      <c r="T29" s="16">
        <v>0</v>
      </c>
    </row>
    <row r="30" spans="1:20" x14ac:dyDescent="0.25">
      <c r="A30" s="11" t="s">
        <v>163</v>
      </c>
      <c r="B30" s="13">
        <v>4520</v>
      </c>
      <c r="C30" s="14">
        <f>(3802/B30*100)</f>
        <v>84.115044247787608</v>
      </c>
      <c r="D30" s="15">
        <v>718</v>
      </c>
      <c r="E30" s="14">
        <v>71.116044009999996</v>
      </c>
      <c r="F30" s="16">
        <v>1.82162877</v>
      </c>
      <c r="G30" s="14">
        <v>7.9055122999999998</v>
      </c>
      <c r="H30" s="16">
        <v>0.98786446000000006</v>
      </c>
      <c r="I30" s="14">
        <v>20.978443689999999</v>
      </c>
      <c r="J30" s="16">
        <v>1.49902761</v>
      </c>
      <c r="K30" s="14" t="s">
        <v>139</v>
      </c>
      <c r="L30" s="16" t="s">
        <v>139</v>
      </c>
      <c r="M30" s="14">
        <v>0</v>
      </c>
      <c r="N30" s="16">
        <v>0</v>
      </c>
      <c r="O30" s="14">
        <v>0</v>
      </c>
      <c r="P30" s="16">
        <v>0</v>
      </c>
      <c r="Q30" s="14">
        <v>0</v>
      </c>
      <c r="R30" s="16">
        <v>0</v>
      </c>
      <c r="S30" s="14">
        <v>0</v>
      </c>
      <c r="T30" s="16">
        <v>0</v>
      </c>
    </row>
    <row r="31" spans="1:20" x14ac:dyDescent="0.25">
      <c r="A31" s="11" t="s">
        <v>164</v>
      </c>
      <c r="B31" s="13">
        <v>5456</v>
      </c>
      <c r="C31" s="14">
        <f>(4603/B31*100)</f>
        <v>84.365835777126094</v>
      </c>
      <c r="D31" s="15">
        <v>853</v>
      </c>
      <c r="E31" s="14">
        <v>70.499941699999994</v>
      </c>
      <c r="F31" s="16">
        <v>1.5789554100000001</v>
      </c>
      <c r="G31" s="14">
        <v>8.9209687199999994</v>
      </c>
      <c r="H31" s="16">
        <v>0.91710976</v>
      </c>
      <c r="I31" s="14">
        <v>20.579089580000002</v>
      </c>
      <c r="J31" s="16">
        <v>1.3741299600000001</v>
      </c>
      <c r="K31" s="14" t="s">
        <v>139</v>
      </c>
      <c r="L31" s="16" t="s">
        <v>139</v>
      </c>
      <c r="M31" s="14">
        <v>0</v>
      </c>
      <c r="N31" s="16">
        <v>0</v>
      </c>
      <c r="O31" s="14">
        <v>0</v>
      </c>
      <c r="P31" s="16">
        <v>0</v>
      </c>
      <c r="Q31" s="14">
        <v>0</v>
      </c>
      <c r="R31" s="16">
        <v>0</v>
      </c>
      <c r="S31" s="14">
        <v>0</v>
      </c>
      <c r="T31" s="16">
        <v>0</v>
      </c>
    </row>
    <row r="32" spans="1:20" x14ac:dyDescent="0.25">
      <c r="A32" s="11" t="s">
        <v>165</v>
      </c>
      <c r="B32" s="17" t="s">
        <v>154</v>
      </c>
      <c r="C32" s="17" t="s">
        <v>154</v>
      </c>
      <c r="D32" s="18" t="s">
        <v>154</v>
      </c>
      <c r="E32" s="17" t="s">
        <v>154</v>
      </c>
      <c r="F32" s="18" t="s">
        <v>154</v>
      </c>
      <c r="G32" s="17" t="s">
        <v>154</v>
      </c>
      <c r="H32" s="18" t="s">
        <v>154</v>
      </c>
      <c r="I32" s="17" t="s">
        <v>154</v>
      </c>
      <c r="J32" s="18" t="s">
        <v>154</v>
      </c>
      <c r="K32" s="17" t="s">
        <v>154</v>
      </c>
      <c r="L32" s="18" t="s">
        <v>154</v>
      </c>
      <c r="M32" s="17" t="s">
        <v>154</v>
      </c>
      <c r="N32" s="18" t="s">
        <v>154</v>
      </c>
      <c r="O32" s="17" t="s">
        <v>154</v>
      </c>
      <c r="P32" s="18" t="s">
        <v>154</v>
      </c>
      <c r="Q32" s="17" t="s">
        <v>154</v>
      </c>
      <c r="R32" s="18" t="s">
        <v>154</v>
      </c>
      <c r="S32" s="17" t="s">
        <v>154</v>
      </c>
      <c r="T32" s="18" t="s">
        <v>154</v>
      </c>
    </row>
    <row r="33" spans="1:20" x14ac:dyDescent="0.25">
      <c r="A33" s="11" t="s">
        <v>166</v>
      </c>
      <c r="B33" s="13">
        <v>7325</v>
      </c>
      <c r="C33" s="14">
        <f>(6254/B33*100)</f>
        <v>85.37883959044369</v>
      </c>
      <c r="D33" s="15">
        <v>1071</v>
      </c>
      <c r="E33" s="14">
        <v>88.981184760000005</v>
      </c>
      <c r="F33" s="16">
        <v>1.12527971</v>
      </c>
      <c r="G33" s="14">
        <v>5.2132587900000003</v>
      </c>
      <c r="H33" s="16">
        <v>0.77760739999999995</v>
      </c>
      <c r="I33" s="14">
        <v>5.8055564500000001</v>
      </c>
      <c r="J33" s="16">
        <v>0.88050163999999997</v>
      </c>
      <c r="K33" s="14" t="s">
        <v>139</v>
      </c>
      <c r="L33" s="16" t="s">
        <v>139</v>
      </c>
      <c r="M33" s="14">
        <v>0</v>
      </c>
      <c r="N33" s="16">
        <v>0</v>
      </c>
      <c r="O33" s="14">
        <v>0</v>
      </c>
      <c r="P33" s="16">
        <v>0</v>
      </c>
      <c r="Q33" s="14">
        <v>0</v>
      </c>
      <c r="R33" s="16">
        <v>0</v>
      </c>
      <c r="S33" s="14">
        <v>0</v>
      </c>
      <c r="T33" s="16">
        <v>0</v>
      </c>
    </row>
    <row r="34" spans="1:20" x14ac:dyDescent="0.25">
      <c r="A34" s="11" t="s">
        <v>167</v>
      </c>
      <c r="B34" s="13">
        <v>6350</v>
      </c>
      <c r="C34" s="14">
        <f>(5401/B34*100)</f>
        <v>85.055118110236222</v>
      </c>
      <c r="D34" s="15">
        <v>949</v>
      </c>
      <c r="E34" s="14">
        <v>86.269927319999994</v>
      </c>
      <c r="F34" s="16">
        <v>1.34181986</v>
      </c>
      <c r="G34" s="14">
        <v>6.251563</v>
      </c>
      <c r="H34" s="16">
        <v>0.90111324999999998</v>
      </c>
      <c r="I34" s="14">
        <v>7.4785096900000001</v>
      </c>
      <c r="J34" s="16">
        <v>0.81982341999999997</v>
      </c>
      <c r="K34" s="14" t="s">
        <v>139</v>
      </c>
      <c r="L34" s="16" t="s">
        <v>139</v>
      </c>
      <c r="M34" s="14">
        <v>0</v>
      </c>
      <c r="N34" s="16">
        <v>0</v>
      </c>
      <c r="O34" s="14">
        <v>0</v>
      </c>
      <c r="P34" s="16">
        <v>0</v>
      </c>
      <c r="Q34" s="14">
        <v>0</v>
      </c>
      <c r="R34" s="16">
        <v>0</v>
      </c>
      <c r="S34" s="14">
        <v>0</v>
      </c>
      <c r="T34" s="16">
        <v>0</v>
      </c>
    </row>
    <row r="35" spans="1:20" x14ac:dyDescent="0.25">
      <c r="A35" s="11" t="s">
        <v>168</v>
      </c>
      <c r="B35" s="13">
        <v>6406</v>
      </c>
      <c r="C35" s="14">
        <f>(5331/B35*100)</f>
        <v>83.218857321261325</v>
      </c>
      <c r="D35" s="15">
        <v>1075</v>
      </c>
      <c r="E35" s="14">
        <v>80.044920829999995</v>
      </c>
      <c r="F35" s="16">
        <v>1.5157816799999999</v>
      </c>
      <c r="G35" s="14">
        <v>6.3023854400000001</v>
      </c>
      <c r="H35" s="16">
        <v>1.01978915</v>
      </c>
      <c r="I35" s="14">
        <v>13.652693729999999</v>
      </c>
      <c r="J35" s="16">
        <v>1.11137931</v>
      </c>
      <c r="K35" s="14" t="s">
        <v>139</v>
      </c>
      <c r="L35" s="16" t="s">
        <v>139</v>
      </c>
      <c r="M35" s="14">
        <v>0</v>
      </c>
      <c r="N35" s="16">
        <v>0</v>
      </c>
      <c r="O35" s="14">
        <v>0</v>
      </c>
      <c r="P35" s="16">
        <v>0</v>
      </c>
      <c r="Q35" s="14">
        <v>0</v>
      </c>
      <c r="R35" s="16">
        <v>0</v>
      </c>
      <c r="S35" s="14">
        <v>0</v>
      </c>
      <c r="T35" s="16">
        <v>0</v>
      </c>
    </row>
    <row r="36" spans="1:20" x14ac:dyDescent="0.25">
      <c r="A36" s="11" t="s">
        <v>169</v>
      </c>
      <c r="B36" s="13">
        <v>6736</v>
      </c>
      <c r="C36" s="14">
        <f>(5718/B36*100)</f>
        <v>84.887173396674584</v>
      </c>
      <c r="D36" s="15">
        <v>1018</v>
      </c>
      <c r="E36" s="14">
        <v>82.937840739999999</v>
      </c>
      <c r="F36" s="16">
        <v>1.2339215699999999</v>
      </c>
      <c r="G36" s="14">
        <v>7.14391599</v>
      </c>
      <c r="H36" s="16">
        <v>0.88916941000000005</v>
      </c>
      <c r="I36" s="14">
        <v>9.9182432699999996</v>
      </c>
      <c r="J36" s="16">
        <v>0.91790780000000005</v>
      </c>
      <c r="K36" s="14" t="s">
        <v>139</v>
      </c>
      <c r="L36" s="16" t="s">
        <v>139</v>
      </c>
      <c r="M36" s="14">
        <v>0</v>
      </c>
      <c r="N36" s="16">
        <v>0</v>
      </c>
      <c r="O36" s="14">
        <v>0</v>
      </c>
      <c r="P36" s="16">
        <v>0</v>
      </c>
      <c r="Q36" s="14">
        <v>0</v>
      </c>
      <c r="R36" s="16">
        <v>0</v>
      </c>
      <c r="S36" s="14">
        <v>0</v>
      </c>
      <c r="T36" s="16">
        <v>0</v>
      </c>
    </row>
    <row r="37" spans="1:20" x14ac:dyDescent="0.25">
      <c r="A37" s="11" t="s">
        <v>170</v>
      </c>
      <c r="B37" s="13">
        <v>5458</v>
      </c>
      <c r="C37" s="14">
        <f>(4647/B37*100)</f>
        <v>85.141077317698787</v>
      </c>
      <c r="D37" s="15">
        <v>811</v>
      </c>
      <c r="E37" s="14">
        <v>74.214291230000001</v>
      </c>
      <c r="F37" s="16">
        <v>1.450345</v>
      </c>
      <c r="G37" s="14">
        <v>8.9265802999999995</v>
      </c>
      <c r="H37" s="16">
        <v>0.89168605999999995</v>
      </c>
      <c r="I37" s="14">
        <v>16.859128470000002</v>
      </c>
      <c r="J37" s="16">
        <v>1.39419866</v>
      </c>
      <c r="K37" s="14" t="s">
        <v>139</v>
      </c>
      <c r="L37" s="16" t="s">
        <v>139</v>
      </c>
      <c r="M37" s="14">
        <v>0</v>
      </c>
      <c r="N37" s="16">
        <v>0</v>
      </c>
      <c r="O37" s="14">
        <v>0</v>
      </c>
      <c r="P37" s="16">
        <v>0</v>
      </c>
      <c r="Q37" s="14">
        <v>0</v>
      </c>
      <c r="R37" s="16">
        <v>0</v>
      </c>
      <c r="S37" s="14">
        <v>0</v>
      </c>
      <c r="T37" s="16">
        <v>0</v>
      </c>
    </row>
    <row r="38" spans="1:20" x14ac:dyDescent="0.25">
      <c r="A38" s="11" t="s">
        <v>171</v>
      </c>
      <c r="B38" s="17" t="s">
        <v>154</v>
      </c>
      <c r="C38" s="17" t="s">
        <v>154</v>
      </c>
      <c r="D38" s="18" t="s">
        <v>154</v>
      </c>
      <c r="E38" s="17" t="s">
        <v>154</v>
      </c>
      <c r="F38" s="18" t="s">
        <v>154</v>
      </c>
      <c r="G38" s="17" t="s">
        <v>154</v>
      </c>
      <c r="H38" s="18" t="s">
        <v>154</v>
      </c>
      <c r="I38" s="17" t="s">
        <v>154</v>
      </c>
      <c r="J38" s="18" t="s">
        <v>154</v>
      </c>
      <c r="K38" s="17" t="s">
        <v>154</v>
      </c>
      <c r="L38" s="18" t="s">
        <v>154</v>
      </c>
      <c r="M38" s="17" t="s">
        <v>154</v>
      </c>
      <c r="N38" s="18" t="s">
        <v>154</v>
      </c>
      <c r="O38" s="17" t="s">
        <v>154</v>
      </c>
      <c r="P38" s="18" t="s">
        <v>154</v>
      </c>
      <c r="Q38" s="17" t="s">
        <v>154</v>
      </c>
      <c r="R38" s="18" t="s">
        <v>154</v>
      </c>
      <c r="S38" s="17" t="s">
        <v>154</v>
      </c>
      <c r="T38" s="18" t="s">
        <v>154</v>
      </c>
    </row>
    <row r="39" spans="1:20" x14ac:dyDescent="0.25">
      <c r="A39" s="11" t="s">
        <v>172</v>
      </c>
      <c r="B39" s="13">
        <v>5895</v>
      </c>
      <c r="C39" s="14">
        <f>(4878/B39*100)</f>
        <v>82.748091603053425</v>
      </c>
      <c r="D39" s="15">
        <v>1017</v>
      </c>
      <c r="E39" s="14">
        <v>95.766070099999993</v>
      </c>
      <c r="F39" s="16">
        <v>0.55931280999999999</v>
      </c>
      <c r="G39" s="14">
        <v>2.9774407799999998</v>
      </c>
      <c r="H39" s="16">
        <v>0.52037180000000005</v>
      </c>
      <c r="I39" s="14">
        <v>1.2564891199999999</v>
      </c>
      <c r="J39" s="16">
        <v>0.38300772999999999</v>
      </c>
      <c r="K39" s="14" t="s">
        <v>139</v>
      </c>
      <c r="L39" s="16" t="s">
        <v>139</v>
      </c>
      <c r="M39" s="14">
        <v>0</v>
      </c>
      <c r="N39" s="16">
        <v>0</v>
      </c>
      <c r="O39" s="14">
        <v>0</v>
      </c>
      <c r="P39" s="16">
        <v>0</v>
      </c>
      <c r="Q39" s="14">
        <v>0</v>
      </c>
      <c r="R39" s="16">
        <v>0</v>
      </c>
      <c r="S39" s="14">
        <v>0</v>
      </c>
      <c r="T39" s="16">
        <v>0</v>
      </c>
    </row>
    <row r="40" spans="1:20" x14ac:dyDescent="0.25">
      <c r="A40" s="11" t="s">
        <v>173</v>
      </c>
      <c r="B40" s="13">
        <v>14157</v>
      </c>
      <c r="C40" s="14">
        <f>(11712/B40*100)</f>
        <v>82.729391820300918</v>
      </c>
      <c r="D40" s="15">
        <v>2445</v>
      </c>
      <c r="E40" s="14">
        <v>76.652324160000006</v>
      </c>
      <c r="F40" s="16">
        <v>1.2923639</v>
      </c>
      <c r="G40" s="14">
        <v>7.7627775799999998</v>
      </c>
      <c r="H40" s="16">
        <v>0.83794292999999997</v>
      </c>
      <c r="I40" s="14">
        <v>15.584898259999999</v>
      </c>
      <c r="J40" s="16">
        <v>1.18214329</v>
      </c>
      <c r="K40" s="14" t="s">
        <v>139</v>
      </c>
      <c r="L40" s="16" t="s">
        <v>139</v>
      </c>
      <c r="M40" s="14">
        <v>0</v>
      </c>
      <c r="N40" s="16">
        <v>0</v>
      </c>
      <c r="O40" s="14">
        <v>0</v>
      </c>
      <c r="P40" s="16">
        <v>0</v>
      </c>
      <c r="Q40" s="14">
        <v>0</v>
      </c>
      <c r="R40" s="16">
        <v>0</v>
      </c>
      <c r="S40" s="14">
        <v>0</v>
      </c>
      <c r="T40" s="16">
        <v>0</v>
      </c>
    </row>
    <row r="41" spans="1:20" x14ac:dyDescent="0.25">
      <c r="A41" s="11" t="s">
        <v>174</v>
      </c>
      <c r="B41" s="13">
        <v>5712</v>
      </c>
      <c r="C41" s="14">
        <f>(4835/B41*100)</f>
        <v>84.646358543417364</v>
      </c>
      <c r="D41" s="15">
        <v>877</v>
      </c>
      <c r="E41" s="14">
        <v>75.013671950000003</v>
      </c>
      <c r="F41" s="16">
        <v>1.63612471</v>
      </c>
      <c r="G41" s="14">
        <v>5.82973081</v>
      </c>
      <c r="H41" s="16">
        <v>0.78490857000000003</v>
      </c>
      <c r="I41" s="14">
        <v>19.15659724</v>
      </c>
      <c r="J41" s="16">
        <v>1.53332895</v>
      </c>
      <c r="K41" s="14" t="s">
        <v>139</v>
      </c>
      <c r="L41" s="16" t="s">
        <v>139</v>
      </c>
      <c r="M41" s="14">
        <v>0</v>
      </c>
      <c r="N41" s="16">
        <v>0</v>
      </c>
      <c r="O41" s="14">
        <v>0</v>
      </c>
      <c r="P41" s="16">
        <v>0</v>
      </c>
      <c r="Q41" s="14">
        <v>0</v>
      </c>
      <c r="R41" s="16">
        <v>0</v>
      </c>
      <c r="S41" s="14">
        <v>0</v>
      </c>
      <c r="T41" s="16">
        <v>0</v>
      </c>
    </row>
    <row r="42" spans="1:20" x14ac:dyDescent="0.25">
      <c r="A42" s="11" t="s">
        <v>175</v>
      </c>
      <c r="B42" s="13">
        <f>IF(COUNT(B7:B41) &gt; 0, AVERAGE(B7:B41), "\u2014")</f>
        <v>7266.90625</v>
      </c>
      <c r="C42" s="14">
        <f>IF(COUNT(C7:C41) &gt; 0, AVERAGE(C7:C41), "—")</f>
        <v>84.230313367981722</v>
      </c>
      <c r="D42" s="15">
        <f>IF(COUNT(D7:D41) &gt; 0, AVERAGE(D7:D41), "—")</f>
        <v>1149.375</v>
      </c>
      <c r="E42" s="14">
        <f>IF(COUNT(E7:E41) &gt; 0, AVERAGE(E7:E41), "—")</f>
        <v>80.653884521249992</v>
      </c>
      <c r="F42" s="16">
        <f>IF(COUNT(F7:F41) &gt; 0, SQRT(SUMSQ(F7:F41)/(COUNT(F7:F41)*COUNT(F7:F41)) ), "—")</f>
        <v>0.23383106186966415</v>
      </c>
      <c r="G42" s="14">
        <f>IF(COUNT(G7:G41) &gt; 0, AVERAGE(G7:G41), "—")</f>
        <v>6.3416721281250013</v>
      </c>
      <c r="H42" s="16">
        <f>IF(COUNT(H7:H41) &gt; 0, SQRT(SUMSQ(H7:H41)/(COUNT(H7:H41)*COUNT(H7:H41)) ), "—")</f>
        <v>0.14464886678461639</v>
      </c>
      <c r="I42" s="14">
        <f>IF(COUNT(I7:I41) &gt; 0, AVERAGE(I7:I41), "—")</f>
        <v>13.004443352187501</v>
      </c>
      <c r="J42" s="16">
        <f>IF(COUNT(J7:J41) &gt; 0, SQRT(SUMSQ(J7:J41)/(COUNT(J7:J41)*COUNT(J7:J41)) ), "—")</f>
        <v>0.19700673876087488</v>
      </c>
      <c r="K42" s="14" t="str">
        <f>IF(COUNT(K7:K41) &gt; 0, AVERAGE(K7:K41), "—")</f>
        <v>—</v>
      </c>
      <c r="L42" s="16" t="str">
        <f>IF(COUNT(L7:L41) &gt; 0, SQRT(SUMSQ(L7:L41)/(COUNT(L7:L41)*COUNT(L7:L41)) ), "—")</f>
        <v>—</v>
      </c>
      <c r="M42" s="14">
        <f>IF(COUNT(M7:M41) &gt; 0, AVERAGE(M7:M41), "—")</f>
        <v>0</v>
      </c>
      <c r="N42" s="16">
        <f>IF(COUNT(N7:N41) &gt; 0, SQRT(SUMSQ(N7:N41)/(COUNT(N7:N41)*COUNT(N7:N41)) ), "—")</f>
        <v>0</v>
      </c>
      <c r="O42" s="14">
        <f>IF(COUNT(O7:O41) &gt; 0, AVERAGE(O7:O41), "—")</f>
        <v>0</v>
      </c>
      <c r="P42" s="16">
        <f>IF(COUNT(P7:P41) &gt; 0, SQRT(SUMSQ(P7:P41)/(COUNT(P7:P41)*COUNT(P7:P41)) ), "—")</f>
        <v>0</v>
      </c>
      <c r="Q42" s="14">
        <f>IF(COUNT(Q7:Q41) &gt; 0, AVERAGE(Q7:Q41), "—")</f>
        <v>0</v>
      </c>
      <c r="R42" s="16">
        <f>IF(COUNT(R7:R41) &gt; 0, SQRT(SUMSQ(R7:R41)/(COUNT(R7:R41)*COUNT(R7:R41)) ), "—")</f>
        <v>0</v>
      </c>
      <c r="S42" s="14">
        <f>IF(COUNT(S7:S41) &gt; 0, AVERAGE(S7:S41), "—")</f>
        <v>0</v>
      </c>
      <c r="T42" s="16">
        <f>IF(COUNT(T7:T41) &gt; 0, SQRT(SUMSQ(T7:T41)/(COUNT(T7:T41)*COUNT(T7:T41)) ), "—")</f>
        <v>0</v>
      </c>
    </row>
    <row r="43" spans="1:20" x14ac:dyDescent="0.25">
      <c r="A43" s="9" t="s">
        <v>176</v>
      </c>
      <c r="B43" s="10"/>
      <c r="C43" s="10"/>
      <c r="D43" s="11"/>
      <c r="E43" s="10"/>
      <c r="F43" s="11"/>
      <c r="G43" s="10"/>
      <c r="H43" s="11"/>
      <c r="I43" s="10"/>
      <c r="J43" s="11"/>
      <c r="K43" s="10"/>
      <c r="L43" s="11"/>
      <c r="M43" s="10"/>
      <c r="N43" s="11"/>
      <c r="O43" s="10"/>
      <c r="P43" s="11"/>
      <c r="Q43" s="10"/>
      <c r="R43" s="11"/>
      <c r="S43" s="10"/>
      <c r="T43" s="12"/>
    </row>
    <row r="44" spans="1:20" x14ac:dyDescent="0.25">
      <c r="A44" s="11" t="s">
        <v>177</v>
      </c>
      <c r="B44" s="17" t="s">
        <v>154</v>
      </c>
      <c r="C44" s="17" t="s">
        <v>154</v>
      </c>
      <c r="D44" s="18" t="s">
        <v>154</v>
      </c>
      <c r="E44" s="17" t="s">
        <v>154</v>
      </c>
      <c r="F44" s="18" t="s">
        <v>154</v>
      </c>
      <c r="G44" s="17" t="s">
        <v>154</v>
      </c>
      <c r="H44" s="18" t="s">
        <v>154</v>
      </c>
      <c r="I44" s="17" t="s">
        <v>154</v>
      </c>
      <c r="J44" s="18" t="s">
        <v>154</v>
      </c>
      <c r="K44" s="17" t="s">
        <v>154</v>
      </c>
      <c r="L44" s="18" t="s">
        <v>154</v>
      </c>
      <c r="M44" s="17" t="s">
        <v>154</v>
      </c>
      <c r="N44" s="18" t="s">
        <v>154</v>
      </c>
      <c r="O44" s="17" t="s">
        <v>154</v>
      </c>
      <c r="P44" s="18" t="s">
        <v>154</v>
      </c>
      <c r="Q44" s="17" t="s">
        <v>154</v>
      </c>
      <c r="R44" s="18" t="s">
        <v>154</v>
      </c>
      <c r="S44" s="17" t="s">
        <v>154</v>
      </c>
      <c r="T44" s="18" t="s">
        <v>154</v>
      </c>
    </row>
    <row r="45" spans="1:20" x14ac:dyDescent="0.25">
      <c r="A45" s="11" t="s">
        <v>178</v>
      </c>
      <c r="B45" s="17" t="s">
        <v>154</v>
      </c>
      <c r="C45" s="17" t="s">
        <v>154</v>
      </c>
      <c r="D45" s="18" t="s">
        <v>154</v>
      </c>
      <c r="E45" s="17" t="s">
        <v>154</v>
      </c>
      <c r="F45" s="18" t="s">
        <v>154</v>
      </c>
      <c r="G45" s="17" t="s">
        <v>154</v>
      </c>
      <c r="H45" s="18" t="s">
        <v>154</v>
      </c>
      <c r="I45" s="17" t="s">
        <v>154</v>
      </c>
      <c r="J45" s="18" t="s">
        <v>154</v>
      </c>
      <c r="K45" s="17" t="s">
        <v>154</v>
      </c>
      <c r="L45" s="18" t="s">
        <v>154</v>
      </c>
      <c r="M45" s="17" t="s">
        <v>154</v>
      </c>
      <c r="N45" s="18" t="s">
        <v>154</v>
      </c>
      <c r="O45" s="17" t="s">
        <v>154</v>
      </c>
      <c r="P45" s="18" t="s">
        <v>154</v>
      </c>
      <c r="Q45" s="17" t="s">
        <v>154</v>
      </c>
      <c r="R45" s="18" t="s">
        <v>154</v>
      </c>
      <c r="S45" s="17" t="s">
        <v>154</v>
      </c>
      <c r="T45" s="18" t="s">
        <v>154</v>
      </c>
    </row>
    <row r="46" spans="1:20" x14ac:dyDescent="0.25">
      <c r="A46" s="11" t="s">
        <v>179</v>
      </c>
      <c r="B46" s="13">
        <v>23141</v>
      </c>
      <c r="C46" s="14">
        <f>(20786/B46*100)</f>
        <v>89.823257421891881</v>
      </c>
      <c r="D46" s="15">
        <v>2355</v>
      </c>
      <c r="E46" s="14">
        <v>93.221256260000004</v>
      </c>
      <c r="F46" s="16">
        <v>0.70364791999999998</v>
      </c>
      <c r="G46" s="14">
        <v>3.9186923999999999</v>
      </c>
      <c r="H46" s="16">
        <v>0.49084703000000002</v>
      </c>
      <c r="I46" s="14">
        <v>2.8600513400000001</v>
      </c>
      <c r="J46" s="16">
        <v>0.45000368000000002</v>
      </c>
      <c r="K46" s="14" t="s">
        <v>139</v>
      </c>
      <c r="L46" s="16" t="s">
        <v>139</v>
      </c>
      <c r="M46" s="14">
        <v>0</v>
      </c>
      <c r="N46" s="16">
        <v>0</v>
      </c>
      <c r="O46" s="14">
        <v>0</v>
      </c>
      <c r="P46" s="16">
        <v>0</v>
      </c>
      <c r="Q46" s="14">
        <v>0</v>
      </c>
      <c r="R46" s="16">
        <v>0</v>
      </c>
      <c r="S46" s="14">
        <v>0</v>
      </c>
      <c r="T46" s="16">
        <v>0</v>
      </c>
    </row>
    <row r="47" spans="1:20" x14ac:dyDescent="0.25">
      <c r="A47" s="11" t="s">
        <v>180</v>
      </c>
      <c r="B47" s="13">
        <v>5928</v>
      </c>
      <c r="C47" s="14">
        <f>(5048/B47*100)</f>
        <v>85.155195681511472</v>
      </c>
      <c r="D47" s="15">
        <v>880</v>
      </c>
      <c r="E47" s="14">
        <v>91.140857319999995</v>
      </c>
      <c r="F47" s="16">
        <v>0.92468156999999995</v>
      </c>
      <c r="G47" s="14">
        <v>3.5461293899999999</v>
      </c>
      <c r="H47" s="16">
        <v>0.61521404999999996</v>
      </c>
      <c r="I47" s="14">
        <v>5.3130132899999998</v>
      </c>
      <c r="J47" s="16">
        <v>0.73805401000000004</v>
      </c>
      <c r="K47" s="14" t="s">
        <v>139</v>
      </c>
      <c r="L47" s="16" t="s">
        <v>139</v>
      </c>
      <c r="M47" s="14">
        <v>0</v>
      </c>
      <c r="N47" s="16">
        <v>0</v>
      </c>
      <c r="O47" s="14">
        <v>0</v>
      </c>
      <c r="P47" s="16">
        <v>0</v>
      </c>
      <c r="Q47" s="14">
        <v>0</v>
      </c>
      <c r="R47" s="16">
        <v>0</v>
      </c>
      <c r="S47" s="14">
        <v>0</v>
      </c>
      <c r="T47" s="16">
        <v>0</v>
      </c>
    </row>
    <row r="48" spans="1:20" x14ac:dyDescent="0.25">
      <c r="A48" s="11" t="s">
        <v>181</v>
      </c>
      <c r="B48" s="13">
        <v>9841</v>
      </c>
      <c r="C48" s="14">
        <f>(8186/B48*100)</f>
        <v>83.18260339396403</v>
      </c>
      <c r="D48" s="15">
        <v>1655</v>
      </c>
      <c r="E48" s="14">
        <v>78.898326150000003</v>
      </c>
      <c r="F48" s="16">
        <v>1.5309868200000001</v>
      </c>
      <c r="G48" s="14">
        <v>7.80763315</v>
      </c>
      <c r="H48" s="16">
        <v>0.74388905000000005</v>
      </c>
      <c r="I48" s="14">
        <v>13.2940407</v>
      </c>
      <c r="J48" s="16">
        <v>1.3381405900000001</v>
      </c>
      <c r="K48" s="14" t="s">
        <v>139</v>
      </c>
      <c r="L48" s="16" t="s">
        <v>139</v>
      </c>
      <c r="M48" s="14">
        <v>0</v>
      </c>
      <c r="N48" s="16">
        <v>0</v>
      </c>
      <c r="O48" s="14">
        <v>0</v>
      </c>
      <c r="P48" s="16">
        <v>0</v>
      </c>
      <c r="Q48" s="14">
        <v>0</v>
      </c>
      <c r="R48" s="16">
        <v>0</v>
      </c>
      <c r="S48" s="14">
        <v>0</v>
      </c>
      <c r="T48" s="16">
        <v>0</v>
      </c>
    </row>
    <row r="49" spans="1:20" x14ac:dyDescent="0.25">
      <c r="A49" s="11" t="s">
        <v>182</v>
      </c>
      <c r="B49" s="17" t="s">
        <v>154</v>
      </c>
      <c r="C49" s="17" t="s">
        <v>154</v>
      </c>
      <c r="D49" s="18" t="s">
        <v>154</v>
      </c>
      <c r="E49" s="17" t="s">
        <v>154</v>
      </c>
      <c r="F49" s="18" t="s">
        <v>154</v>
      </c>
      <c r="G49" s="17" t="s">
        <v>154</v>
      </c>
      <c r="H49" s="18" t="s">
        <v>154</v>
      </c>
      <c r="I49" s="17" t="s">
        <v>154</v>
      </c>
      <c r="J49" s="18" t="s">
        <v>154</v>
      </c>
      <c r="K49" s="17" t="s">
        <v>154</v>
      </c>
      <c r="L49" s="18" t="s">
        <v>154</v>
      </c>
      <c r="M49" s="17" t="s">
        <v>154</v>
      </c>
      <c r="N49" s="18" t="s">
        <v>154</v>
      </c>
      <c r="O49" s="17" t="s">
        <v>154</v>
      </c>
      <c r="P49" s="18" t="s">
        <v>154</v>
      </c>
      <c r="Q49" s="17" t="s">
        <v>154</v>
      </c>
      <c r="R49" s="18" t="s">
        <v>154</v>
      </c>
      <c r="S49" s="17" t="s">
        <v>154</v>
      </c>
      <c r="T49" s="18" t="s">
        <v>154</v>
      </c>
    </row>
    <row r="50" spans="1:20" x14ac:dyDescent="0.25">
      <c r="A50" s="11" t="s">
        <v>183</v>
      </c>
      <c r="B50" s="13">
        <v>11795</v>
      </c>
      <c r="C50" s="14">
        <f>(10063/B50*100)</f>
        <v>85.315811784654514</v>
      </c>
      <c r="D50" s="15">
        <v>1732</v>
      </c>
      <c r="E50" s="14">
        <v>94.580206169999997</v>
      </c>
      <c r="F50" s="16">
        <v>0.66879120999999997</v>
      </c>
      <c r="G50" s="14">
        <v>2.9580512400000001</v>
      </c>
      <c r="H50" s="16">
        <v>0.48034153000000002</v>
      </c>
      <c r="I50" s="14">
        <v>2.4617425900000001</v>
      </c>
      <c r="J50" s="16">
        <v>0.46123259</v>
      </c>
      <c r="K50" s="14" t="s">
        <v>139</v>
      </c>
      <c r="L50" s="16" t="s">
        <v>139</v>
      </c>
      <c r="M50" s="14">
        <v>0</v>
      </c>
      <c r="N50" s="16">
        <v>0</v>
      </c>
      <c r="O50" s="14">
        <v>0</v>
      </c>
      <c r="P50" s="16">
        <v>0</v>
      </c>
      <c r="Q50" s="14">
        <v>0</v>
      </c>
      <c r="R50" s="16">
        <v>0</v>
      </c>
      <c r="S50" s="14">
        <v>0</v>
      </c>
      <c r="T50" s="16">
        <v>0</v>
      </c>
    </row>
    <row r="51" spans="1:20" x14ac:dyDescent="0.25">
      <c r="A51" s="11" t="s">
        <v>184</v>
      </c>
      <c r="B51" s="13">
        <v>6866</v>
      </c>
      <c r="C51" s="14">
        <f>(6010/B51*100)</f>
        <v>87.532770171861344</v>
      </c>
      <c r="D51" s="15">
        <v>856</v>
      </c>
      <c r="E51" s="14">
        <v>92.126193889999996</v>
      </c>
      <c r="F51" s="16">
        <v>0.94253885000000004</v>
      </c>
      <c r="G51" s="14">
        <v>3.5142143099999998</v>
      </c>
      <c r="H51" s="16">
        <v>0.62598611000000004</v>
      </c>
      <c r="I51" s="14">
        <v>4.3595918100000004</v>
      </c>
      <c r="J51" s="16">
        <v>0.77675802999999999</v>
      </c>
      <c r="K51" s="14" t="s">
        <v>139</v>
      </c>
      <c r="L51" s="16" t="s">
        <v>139</v>
      </c>
      <c r="M51" s="14">
        <v>0</v>
      </c>
      <c r="N51" s="16">
        <v>0</v>
      </c>
      <c r="O51" s="14">
        <v>0</v>
      </c>
      <c r="P51" s="16">
        <v>0</v>
      </c>
      <c r="Q51" s="14">
        <v>0</v>
      </c>
      <c r="R51" s="16">
        <v>0</v>
      </c>
      <c r="S51" s="14">
        <v>0</v>
      </c>
      <c r="T51" s="16">
        <v>0</v>
      </c>
    </row>
    <row r="52" spans="1:20" x14ac:dyDescent="0.25">
      <c r="A52" s="11" t="s">
        <v>185</v>
      </c>
      <c r="B52" s="13">
        <v>5809</v>
      </c>
      <c r="C52" s="14">
        <f>(4849/B52*100)</f>
        <v>83.473919779652263</v>
      </c>
      <c r="D52" s="15">
        <v>960</v>
      </c>
      <c r="E52" s="14">
        <v>85.643675650000006</v>
      </c>
      <c r="F52" s="16">
        <v>1.32197213</v>
      </c>
      <c r="G52" s="14">
        <v>5.17401146</v>
      </c>
      <c r="H52" s="16">
        <v>0.82340632999999996</v>
      </c>
      <c r="I52" s="14">
        <v>9.1823128799999996</v>
      </c>
      <c r="J52" s="16">
        <v>1.07158256</v>
      </c>
      <c r="K52" s="14" t="s">
        <v>139</v>
      </c>
      <c r="L52" s="16" t="s">
        <v>139</v>
      </c>
      <c r="M52" s="14">
        <v>0</v>
      </c>
      <c r="N52" s="16">
        <v>0</v>
      </c>
      <c r="O52" s="14">
        <v>0</v>
      </c>
      <c r="P52" s="16">
        <v>0</v>
      </c>
      <c r="Q52" s="14">
        <v>0</v>
      </c>
      <c r="R52" s="16">
        <v>0</v>
      </c>
      <c r="S52" s="14">
        <v>0</v>
      </c>
      <c r="T52" s="16">
        <v>0</v>
      </c>
    </row>
    <row r="53" spans="1:20" x14ac:dyDescent="0.25">
      <c r="A53" s="11" t="s">
        <v>186</v>
      </c>
      <c r="B53" s="13">
        <v>5571</v>
      </c>
      <c r="C53" s="14">
        <f>(4676/B53*100)</f>
        <v>83.934661640639021</v>
      </c>
      <c r="D53" s="15">
        <v>895</v>
      </c>
      <c r="E53" s="14">
        <v>90.408821970000005</v>
      </c>
      <c r="F53" s="16">
        <v>1.0514321600000001</v>
      </c>
      <c r="G53" s="14">
        <v>4.4017355399999998</v>
      </c>
      <c r="H53" s="16">
        <v>0.68886097999999996</v>
      </c>
      <c r="I53" s="14">
        <v>5.1894424900000002</v>
      </c>
      <c r="J53" s="16">
        <v>0.80404794000000002</v>
      </c>
      <c r="K53" s="14" t="s">
        <v>139</v>
      </c>
      <c r="L53" s="16" t="s">
        <v>139</v>
      </c>
      <c r="M53" s="14">
        <v>0</v>
      </c>
      <c r="N53" s="16">
        <v>0</v>
      </c>
      <c r="O53" s="14">
        <v>0</v>
      </c>
      <c r="P53" s="16">
        <v>0</v>
      </c>
      <c r="Q53" s="14">
        <v>0</v>
      </c>
      <c r="R53" s="16">
        <v>0</v>
      </c>
      <c r="S53" s="14">
        <v>0</v>
      </c>
      <c r="T53" s="16">
        <v>0</v>
      </c>
    </row>
    <row r="54" spans="1:20" x14ac:dyDescent="0.25">
      <c r="A54" s="11" t="s">
        <v>187</v>
      </c>
      <c r="B54" s="17" t="s">
        <v>154</v>
      </c>
      <c r="C54" s="17" t="s">
        <v>154</v>
      </c>
      <c r="D54" s="18" t="s">
        <v>154</v>
      </c>
      <c r="E54" s="17" t="s">
        <v>154</v>
      </c>
      <c r="F54" s="18" t="s">
        <v>154</v>
      </c>
      <c r="G54" s="17" t="s">
        <v>154</v>
      </c>
      <c r="H54" s="18" t="s">
        <v>154</v>
      </c>
      <c r="I54" s="17" t="s">
        <v>154</v>
      </c>
      <c r="J54" s="18" t="s">
        <v>154</v>
      </c>
      <c r="K54" s="17" t="s">
        <v>154</v>
      </c>
      <c r="L54" s="18" t="s">
        <v>154</v>
      </c>
      <c r="M54" s="17" t="s">
        <v>154</v>
      </c>
      <c r="N54" s="18" t="s">
        <v>154</v>
      </c>
      <c r="O54" s="17" t="s">
        <v>154</v>
      </c>
      <c r="P54" s="18" t="s">
        <v>154</v>
      </c>
      <c r="Q54" s="17" t="s">
        <v>154</v>
      </c>
      <c r="R54" s="18" t="s">
        <v>154</v>
      </c>
      <c r="S54" s="17" t="s">
        <v>154</v>
      </c>
      <c r="T54" s="18" t="s">
        <v>154</v>
      </c>
    </row>
    <row r="55" spans="1:20" x14ac:dyDescent="0.25">
      <c r="A55" s="11" t="s">
        <v>188</v>
      </c>
      <c r="B55" s="17" t="s">
        <v>154</v>
      </c>
      <c r="C55" s="17" t="s">
        <v>154</v>
      </c>
      <c r="D55" s="18" t="s">
        <v>154</v>
      </c>
      <c r="E55" s="17" t="s">
        <v>154</v>
      </c>
      <c r="F55" s="18" t="s">
        <v>154</v>
      </c>
      <c r="G55" s="17" t="s">
        <v>154</v>
      </c>
      <c r="H55" s="18" t="s">
        <v>154</v>
      </c>
      <c r="I55" s="17" t="s">
        <v>154</v>
      </c>
      <c r="J55" s="18" t="s">
        <v>154</v>
      </c>
      <c r="K55" s="17" t="s">
        <v>154</v>
      </c>
      <c r="L55" s="18" t="s">
        <v>154</v>
      </c>
      <c r="M55" s="17" t="s">
        <v>154</v>
      </c>
      <c r="N55" s="18" t="s">
        <v>154</v>
      </c>
      <c r="O55" s="17" t="s">
        <v>154</v>
      </c>
      <c r="P55" s="18" t="s">
        <v>154</v>
      </c>
      <c r="Q55" s="17" t="s">
        <v>154</v>
      </c>
      <c r="R55" s="18" t="s">
        <v>154</v>
      </c>
      <c r="S55" s="17" t="s">
        <v>154</v>
      </c>
      <c r="T55" s="18" t="s">
        <v>154</v>
      </c>
    </row>
    <row r="56" spans="1:20" x14ac:dyDescent="0.25">
      <c r="A56" s="11" t="s">
        <v>189</v>
      </c>
      <c r="B56" s="13">
        <v>5359</v>
      </c>
      <c r="C56" s="14">
        <f>(4457/B56*100)</f>
        <v>83.168501586116818</v>
      </c>
      <c r="D56" s="15">
        <v>902</v>
      </c>
      <c r="E56" s="14">
        <v>75.323799780000002</v>
      </c>
      <c r="F56" s="16">
        <v>1.4863230700000001</v>
      </c>
      <c r="G56" s="14">
        <v>7.0449238000000003</v>
      </c>
      <c r="H56" s="16">
        <v>0.81366947999999995</v>
      </c>
      <c r="I56" s="14">
        <v>17.631276410000002</v>
      </c>
      <c r="J56" s="16">
        <v>1.3297606399999999</v>
      </c>
      <c r="K56" s="14" t="s">
        <v>139</v>
      </c>
      <c r="L56" s="16" t="s">
        <v>139</v>
      </c>
      <c r="M56" s="14">
        <v>0</v>
      </c>
      <c r="N56" s="16">
        <v>0</v>
      </c>
      <c r="O56" s="14">
        <v>0</v>
      </c>
      <c r="P56" s="16">
        <v>0</v>
      </c>
      <c r="Q56" s="14">
        <v>0</v>
      </c>
      <c r="R56" s="16">
        <v>0</v>
      </c>
      <c r="S56" s="14">
        <v>0</v>
      </c>
      <c r="T56" s="16">
        <v>0</v>
      </c>
    </row>
    <row r="57" spans="1:20" x14ac:dyDescent="0.25">
      <c r="A57" s="11" t="s">
        <v>190</v>
      </c>
      <c r="B57" s="17" t="s">
        <v>154</v>
      </c>
      <c r="C57" s="17" t="s">
        <v>154</v>
      </c>
      <c r="D57" s="18" t="s">
        <v>154</v>
      </c>
      <c r="E57" s="17" t="s">
        <v>154</v>
      </c>
      <c r="F57" s="18" t="s">
        <v>154</v>
      </c>
      <c r="G57" s="17" t="s">
        <v>154</v>
      </c>
      <c r="H57" s="18" t="s">
        <v>154</v>
      </c>
      <c r="I57" s="17" t="s">
        <v>154</v>
      </c>
      <c r="J57" s="18" t="s">
        <v>154</v>
      </c>
      <c r="K57" s="17" t="s">
        <v>154</v>
      </c>
      <c r="L57" s="18" t="s">
        <v>154</v>
      </c>
      <c r="M57" s="17" t="s">
        <v>154</v>
      </c>
      <c r="N57" s="18" t="s">
        <v>154</v>
      </c>
      <c r="O57" s="17" t="s">
        <v>154</v>
      </c>
      <c r="P57" s="18" t="s">
        <v>154</v>
      </c>
      <c r="Q57" s="17" t="s">
        <v>154</v>
      </c>
      <c r="R57" s="18" t="s">
        <v>154</v>
      </c>
      <c r="S57" s="17" t="s">
        <v>154</v>
      </c>
      <c r="T57" s="18" t="s">
        <v>154</v>
      </c>
    </row>
    <row r="58" spans="1:20" x14ac:dyDescent="0.25">
      <c r="A58" s="11" t="s">
        <v>191</v>
      </c>
      <c r="B58" s="17" t="s">
        <v>154</v>
      </c>
      <c r="C58" s="17" t="s">
        <v>154</v>
      </c>
      <c r="D58" s="18" t="s">
        <v>154</v>
      </c>
      <c r="E58" s="17" t="s">
        <v>154</v>
      </c>
      <c r="F58" s="18" t="s">
        <v>154</v>
      </c>
      <c r="G58" s="17" t="s">
        <v>154</v>
      </c>
      <c r="H58" s="18" t="s">
        <v>154</v>
      </c>
      <c r="I58" s="17" t="s">
        <v>154</v>
      </c>
      <c r="J58" s="18" t="s">
        <v>154</v>
      </c>
      <c r="K58" s="17" t="s">
        <v>154</v>
      </c>
      <c r="L58" s="18" t="s">
        <v>154</v>
      </c>
      <c r="M58" s="17" t="s">
        <v>154</v>
      </c>
      <c r="N58" s="18" t="s">
        <v>154</v>
      </c>
      <c r="O58" s="17" t="s">
        <v>154</v>
      </c>
      <c r="P58" s="18" t="s">
        <v>154</v>
      </c>
      <c r="Q58" s="17" t="s">
        <v>154</v>
      </c>
      <c r="R58" s="18" t="s">
        <v>154</v>
      </c>
      <c r="S58" s="17" t="s">
        <v>154</v>
      </c>
      <c r="T58" s="18" t="s">
        <v>154</v>
      </c>
    </row>
    <row r="59" spans="1:20" x14ac:dyDescent="0.25">
      <c r="A59" s="11" t="s">
        <v>192</v>
      </c>
      <c r="B59" s="17" t="s">
        <v>154</v>
      </c>
      <c r="C59" s="17" t="s">
        <v>154</v>
      </c>
      <c r="D59" s="18" t="s">
        <v>154</v>
      </c>
      <c r="E59" s="17" t="s">
        <v>154</v>
      </c>
      <c r="F59" s="18" t="s">
        <v>154</v>
      </c>
      <c r="G59" s="17" t="s">
        <v>154</v>
      </c>
      <c r="H59" s="18" t="s">
        <v>154</v>
      </c>
      <c r="I59" s="17" t="s">
        <v>154</v>
      </c>
      <c r="J59" s="18" t="s">
        <v>154</v>
      </c>
      <c r="K59" s="17" t="s">
        <v>154</v>
      </c>
      <c r="L59" s="18" t="s">
        <v>154</v>
      </c>
      <c r="M59" s="17" t="s">
        <v>154</v>
      </c>
      <c r="N59" s="18" t="s">
        <v>154</v>
      </c>
      <c r="O59" s="17" t="s">
        <v>154</v>
      </c>
      <c r="P59" s="18" t="s">
        <v>154</v>
      </c>
      <c r="Q59" s="17" t="s">
        <v>154</v>
      </c>
      <c r="R59" s="18" t="s">
        <v>154</v>
      </c>
      <c r="S59" s="17" t="s">
        <v>154</v>
      </c>
      <c r="T59" s="18" t="s">
        <v>154</v>
      </c>
    </row>
    <row r="60" spans="1:20" x14ac:dyDescent="0.25">
      <c r="A60" s="11" t="s">
        <v>193</v>
      </c>
      <c r="B60" s="17" t="s">
        <v>154</v>
      </c>
      <c r="C60" s="17" t="s">
        <v>154</v>
      </c>
      <c r="D60" s="18" t="s">
        <v>154</v>
      </c>
      <c r="E60" s="17" t="s">
        <v>154</v>
      </c>
      <c r="F60" s="18" t="s">
        <v>154</v>
      </c>
      <c r="G60" s="17" t="s">
        <v>154</v>
      </c>
      <c r="H60" s="18" t="s">
        <v>154</v>
      </c>
      <c r="I60" s="17" t="s">
        <v>154</v>
      </c>
      <c r="J60" s="18" t="s">
        <v>154</v>
      </c>
      <c r="K60" s="17" t="s">
        <v>154</v>
      </c>
      <c r="L60" s="18" t="s">
        <v>154</v>
      </c>
      <c r="M60" s="17" t="s">
        <v>154</v>
      </c>
      <c r="N60" s="18" t="s">
        <v>154</v>
      </c>
      <c r="O60" s="17" t="s">
        <v>154</v>
      </c>
      <c r="P60" s="18" t="s">
        <v>154</v>
      </c>
      <c r="Q60" s="17" t="s">
        <v>154</v>
      </c>
      <c r="R60" s="18" t="s">
        <v>154</v>
      </c>
      <c r="S60" s="17" t="s">
        <v>154</v>
      </c>
      <c r="T60" s="18" t="s">
        <v>154</v>
      </c>
    </row>
    <row r="61" spans="1:20" x14ac:dyDescent="0.25">
      <c r="A61" s="11" t="s">
        <v>194</v>
      </c>
      <c r="B61" s="13">
        <v>6525</v>
      </c>
      <c r="C61" s="14">
        <f>(5462/B61*100)</f>
        <v>83.708812260536405</v>
      </c>
      <c r="D61" s="15">
        <v>1063</v>
      </c>
      <c r="E61" s="14">
        <v>81.977462489999994</v>
      </c>
      <c r="F61" s="16">
        <v>1.2493137999999999</v>
      </c>
      <c r="G61" s="14">
        <v>5.8347751299999997</v>
      </c>
      <c r="H61" s="16">
        <v>0.8690156</v>
      </c>
      <c r="I61" s="14">
        <v>12.187762380000001</v>
      </c>
      <c r="J61" s="16">
        <v>1.0825419700000001</v>
      </c>
      <c r="K61" s="14" t="s">
        <v>139</v>
      </c>
      <c r="L61" s="16" t="s">
        <v>139</v>
      </c>
      <c r="M61" s="14">
        <v>0</v>
      </c>
      <c r="N61" s="16">
        <v>0</v>
      </c>
      <c r="O61" s="14">
        <v>0</v>
      </c>
      <c r="P61" s="16">
        <v>0</v>
      </c>
      <c r="Q61" s="14">
        <v>0</v>
      </c>
      <c r="R61" s="16">
        <v>0</v>
      </c>
      <c r="S61" s="14">
        <v>0</v>
      </c>
      <c r="T61" s="16">
        <v>0</v>
      </c>
    </row>
    <row r="62" spans="1:20" x14ac:dyDescent="0.25">
      <c r="A62" s="11" t="s">
        <v>195</v>
      </c>
      <c r="B62" s="13">
        <v>4476</v>
      </c>
      <c r="C62" s="14">
        <f>(3738/B62*100)</f>
        <v>83.512064343163544</v>
      </c>
      <c r="D62" s="15">
        <v>738</v>
      </c>
      <c r="E62" s="14">
        <v>76.823012300000002</v>
      </c>
      <c r="F62" s="16">
        <v>1.4892874199999999</v>
      </c>
      <c r="G62" s="14">
        <v>6.3667887199999997</v>
      </c>
      <c r="H62" s="16">
        <v>0.86893690999999995</v>
      </c>
      <c r="I62" s="14">
        <v>16.810198979999999</v>
      </c>
      <c r="J62" s="16">
        <v>1.31870957</v>
      </c>
      <c r="K62" s="14" t="s">
        <v>139</v>
      </c>
      <c r="L62" s="16" t="s">
        <v>139</v>
      </c>
      <c r="M62" s="14">
        <v>0</v>
      </c>
      <c r="N62" s="16">
        <v>0</v>
      </c>
      <c r="O62" s="14">
        <v>0</v>
      </c>
      <c r="P62" s="16">
        <v>0</v>
      </c>
      <c r="Q62" s="14">
        <v>0</v>
      </c>
      <c r="R62" s="16">
        <v>0</v>
      </c>
      <c r="S62" s="14">
        <v>0</v>
      </c>
      <c r="T62" s="16">
        <v>0</v>
      </c>
    </row>
    <row r="63" spans="1:20" x14ac:dyDescent="0.25">
      <c r="A63" s="11" t="s">
        <v>196</v>
      </c>
      <c r="B63" s="17" t="s">
        <v>154</v>
      </c>
      <c r="C63" s="17" t="s">
        <v>154</v>
      </c>
      <c r="D63" s="18" t="s">
        <v>154</v>
      </c>
      <c r="E63" s="17" t="s">
        <v>154</v>
      </c>
      <c r="F63" s="18" t="s">
        <v>154</v>
      </c>
      <c r="G63" s="17" t="s">
        <v>154</v>
      </c>
      <c r="H63" s="18" t="s">
        <v>154</v>
      </c>
      <c r="I63" s="17" t="s">
        <v>154</v>
      </c>
      <c r="J63" s="18" t="s">
        <v>154</v>
      </c>
      <c r="K63" s="17" t="s">
        <v>154</v>
      </c>
      <c r="L63" s="18" t="s">
        <v>154</v>
      </c>
      <c r="M63" s="17" t="s">
        <v>154</v>
      </c>
      <c r="N63" s="18" t="s">
        <v>154</v>
      </c>
      <c r="O63" s="17" t="s">
        <v>154</v>
      </c>
      <c r="P63" s="18" t="s">
        <v>154</v>
      </c>
      <c r="Q63" s="17" t="s">
        <v>154</v>
      </c>
      <c r="R63" s="18" t="s">
        <v>154</v>
      </c>
      <c r="S63" s="17" t="s">
        <v>154</v>
      </c>
      <c r="T63" s="18" t="s">
        <v>154</v>
      </c>
    </row>
    <row r="64" spans="1:20" x14ac:dyDescent="0.25">
      <c r="A64" s="11" t="s">
        <v>197</v>
      </c>
      <c r="B64" s="17" t="s">
        <v>154</v>
      </c>
      <c r="C64" s="17" t="s">
        <v>154</v>
      </c>
      <c r="D64" s="18" t="s">
        <v>154</v>
      </c>
      <c r="E64" s="17" t="s">
        <v>154</v>
      </c>
      <c r="F64" s="18" t="s">
        <v>154</v>
      </c>
      <c r="G64" s="17" t="s">
        <v>154</v>
      </c>
      <c r="H64" s="18" t="s">
        <v>154</v>
      </c>
      <c r="I64" s="17" t="s">
        <v>154</v>
      </c>
      <c r="J64" s="18" t="s">
        <v>154</v>
      </c>
      <c r="K64" s="17" t="s">
        <v>154</v>
      </c>
      <c r="L64" s="18" t="s">
        <v>154</v>
      </c>
      <c r="M64" s="17" t="s">
        <v>154</v>
      </c>
      <c r="N64" s="18" t="s">
        <v>154</v>
      </c>
      <c r="O64" s="17" t="s">
        <v>154</v>
      </c>
      <c r="P64" s="18" t="s">
        <v>154</v>
      </c>
      <c r="Q64" s="17" t="s">
        <v>154</v>
      </c>
      <c r="R64" s="18" t="s">
        <v>154</v>
      </c>
      <c r="S64" s="17" t="s">
        <v>154</v>
      </c>
      <c r="T64" s="18" t="s">
        <v>154</v>
      </c>
    </row>
    <row r="65" spans="1:20" x14ac:dyDescent="0.25">
      <c r="A65" s="11" t="s">
        <v>198</v>
      </c>
      <c r="B65" s="17" t="s">
        <v>154</v>
      </c>
      <c r="C65" s="17" t="s">
        <v>154</v>
      </c>
      <c r="D65" s="18" t="s">
        <v>154</v>
      </c>
      <c r="E65" s="17" t="s">
        <v>154</v>
      </c>
      <c r="F65" s="18" t="s">
        <v>154</v>
      </c>
      <c r="G65" s="17" t="s">
        <v>154</v>
      </c>
      <c r="H65" s="18" t="s">
        <v>154</v>
      </c>
      <c r="I65" s="17" t="s">
        <v>154</v>
      </c>
      <c r="J65" s="18" t="s">
        <v>154</v>
      </c>
      <c r="K65" s="17" t="s">
        <v>154</v>
      </c>
      <c r="L65" s="18" t="s">
        <v>154</v>
      </c>
      <c r="M65" s="17" t="s">
        <v>154</v>
      </c>
      <c r="N65" s="18" t="s">
        <v>154</v>
      </c>
      <c r="O65" s="17" t="s">
        <v>154</v>
      </c>
      <c r="P65" s="18" t="s">
        <v>154</v>
      </c>
      <c r="Q65" s="17" t="s">
        <v>154</v>
      </c>
      <c r="R65" s="18" t="s">
        <v>154</v>
      </c>
      <c r="S65" s="17" t="s">
        <v>154</v>
      </c>
      <c r="T65" s="18" t="s">
        <v>154</v>
      </c>
    </row>
    <row r="66" spans="1:20" x14ac:dyDescent="0.25">
      <c r="A66" s="11" t="s">
        <v>199</v>
      </c>
      <c r="B66" s="13">
        <v>5665</v>
      </c>
      <c r="C66" s="14">
        <f>(4788/B66*100)</f>
        <v>84.518976169461595</v>
      </c>
      <c r="D66" s="15">
        <v>877</v>
      </c>
      <c r="E66" s="14">
        <v>92.359130570000005</v>
      </c>
      <c r="F66" s="16">
        <v>0.88774832000000004</v>
      </c>
      <c r="G66" s="14">
        <v>2.3840707399999999</v>
      </c>
      <c r="H66" s="16">
        <v>0.52634961999999996</v>
      </c>
      <c r="I66" s="14">
        <v>5.2567986900000001</v>
      </c>
      <c r="J66" s="16">
        <v>0.87229075</v>
      </c>
      <c r="K66" s="14" t="s">
        <v>139</v>
      </c>
      <c r="L66" s="16" t="s">
        <v>139</v>
      </c>
      <c r="M66" s="14">
        <v>0</v>
      </c>
      <c r="N66" s="16">
        <v>0</v>
      </c>
      <c r="O66" s="14">
        <v>0</v>
      </c>
      <c r="P66" s="16">
        <v>0</v>
      </c>
      <c r="Q66" s="14">
        <v>0</v>
      </c>
      <c r="R66" s="16">
        <v>0</v>
      </c>
      <c r="S66" s="14">
        <v>0</v>
      </c>
      <c r="T66" s="16">
        <v>0</v>
      </c>
    </row>
    <row r="67" spans="1:20" x14ac:dyDescent="0.25">
      <c r="A67" s="11" t="s">
        <v>200</v>
      </c>
      <c r="B67" s="13">
        <v>6971</v>
      </c>
      <c r="C67" s="14">
        <f>(6151/B67*100)</f>
        <v>88.236981781666898</v>
      </c>
      <c r="D67" s="15">
        <v>820</v>
      </c>
      <c r="E67" s="14">
        <v>92.248602950000006</v>
      </c>
      <c r="F67" s="16">
        <v>0.99612504999999996</v>
      </c>
      <c r="G67" s="14">
        <v>3.5923429800000002</v>
      </c>
      <c r="H67" s="16">
        <v>0.59030205000000002</v>
      </c>
      <c r="I67" s="14">
        <v>4.1590540699999998</v>
      </c>
      <c r="J67" s="16">
        <v>0.80011536999999999</v>
      </c>
      <c r="K67" s="14" t="s">
        <v>139</v>
      </c>
      <c r="L67" s="16" t="s">
        <v>139</v>
      </c>
      <c r="M67" s="14">
        <v>0</v>
      </c>
      <c r="N67" s="16">
        <v>0</v>
      </c>
      <c r="O67" s="14">
        <v>0</v>
      </c>
      <c r="P67" s="16">
        <v>0</v>
      </c>
      <c r="Q67" s="14">
        <v>0</v>
      </c>
      <c r="R67" s="16">
        <v>0</v>
      </c>
      <c r="S67" s="14">
        <v>0</v>
      </c>
      <c r="T67" s="16">
        <v>0</v>
      </c>
    </row>
    <row r="68" spans="1:20" x14ac:dyDescent="0.25">
      <c r="A68" s="11" t="s">
        <v>201</v>
      </c>
      <c r="B68" s="17" t="s">
        <v>154</v>
      </c>
      <c r="C68" s="17" t="s">
        <v>154</v>
      </c>
      <c r="D68" s="18" t="s">
        <v>154</v>
      </c>
      <c r="E68" s="17" t="s">
        <v>154</v>
      </c>
      <c r="F68" s="18" t="s">
        <v>154</v>
      </c>
      <c r="G68" s="17" t="s">
        <v>154</v>
      </c>
      <c r="H68" s="18" t="s">
        <v>154</v>
      </c>
      <c r="I68" s="17" t="s">
        <v>154</v>
      </c>
      <c r="J68" s="18" t="s">
        <v>154</v>
      </c>
      <c r="K68" s="17" t="s">
        <v>154</v>
      </c>
      <c r="L68" s="18" t="s">
        <v>154</v>
      </c>
      <c r="M68" s="17" t="s">
        <v>154</v>
      </c>
      <c r="N68" s="18" t="s">
        <v>154</v>
      </c>
      <c r="O68" s="17" t="s">
        <v>154</v>
      </c>
      <c r="P68" s="18" t="s">
        <v>154</v>
      </c>
      <c r="Q68" s="17" t="s">
        <v>154</v>
      </c>
      <c r="R68" s="18" t="s">
        <v>154</v>
      </c>
      <c r="S68" s="17" t="s">
        <v>154</v>
      </c>
      <c r="T68" s="18" t="s">
        <v>154</v>
      </c>
    </row>
    <row r="69" spans="1:20" x14ac:dyDescent="0.25">
      <c r="A69" s="11" t="s">
        <v>202</v>
      </c>
      <c r="B69" s="17" t="s">
        <v>154</v>
      </c>
      <c r="C69" s="17" t="s">
        <v>154</v>
      </c>
      <c r="D69" s="18" t="s">
        <v>154</v>
      </c>
      <c r="E69" s="17" t="s">
        <v>154</v>
      </c>
      <c r="F69" s="18" t="s">
        <v>154</v>
      </c>
      <c r="G69" s="17" t="s">
        <v>154</v>
      </c>
      <c r="H69" s="18" t="s">
        <v>154</v>
      </c>
      <c r="I69" s="17" t="s">
        <v>154</v>
      </c>
      <c r="J69" s="18" t="s">
        <v>154</v>
      </c>
      <c r="K69" s="17" t="s">
        <v>154</v>
      </c>
      <c r="L69" s="18" t="s">
        <v>154</v>
      </c>
      <c r="M69" s="17" t="s">
        <v>154</v>
      </c>
      <c r="N69" s="18" t="s">
        <v>154</v>
      </c>
      <c r="O69" s="17" t="s">
        <v>154</v>
      </c>
      <c r="P69" s="18" t="s">
        <v>154</v>
      </c>
      <c r="Q69" s="17" t="s">
        <v>154</v>
      </c>
      <c r="R69" s="18" t="s">
        <v>154</v>
      </c>
      <c r="S69" s="17" t="s">
        <v>154</v>
      </c>
      <c r="T69" s="18" t="s">
        <v>154</v>
      </c>
    </row>
    <row r="70" spans="1:20" x14ac:dyDescent="0.25">
      <c r="A70" s="11" t="s">
        <v>203</v>
      </c>
      <c r="B70" s="13">
        <v>6036</v>
      </c>
      <c r="C70" s="14">
        <f>(5110/B70*100)</f>
        <v>84.658714380384353</v>
      </c>
      <c r="D70" s="15">
        <v>926</v>
      </c>
      <c r="E70" s="14">
        <v>77.893958670000004</v>
      </c>
      <c r="F70" s="16">
        <v>1.4445849100000001</v>
      </c>
      <c r="G70" s="14">
        <v>8.6975507800000003</v>
      </c>
      <c r="H70" s="16">
        <v>1.00467825</v>
      </c>
      <c r="I70" s="14">
        <v>13.40849055</v>
      </c>
      <c r="J70" s="16">
        <v>1.2978223</v>
      </c>
      <c r="K70" s="14" t="s">
        <v>139</v>
      </c>
      <c r="L70" s="16" t="s">
        <v>139</v>
      </c>
      <c r="M70" s="14">
        <v>0</v>
      </c>
      <c r="N70" s="16">
        <v>0</v>
      </c>
      <c r="O70" s="14">
        <v>0</v>
      </c>
      <c r="P70" s="16">
        <v>0</v>
      </c>
      <c r="Q70" s="14">
        <v>0</v>
      </c>
      <c r="R70" s="16">
        <v>0</v>
      </c>
      <c r="S70" s="14">
        <v>0</v>
      </c>
      <c r="T70" s="16">
        <v>0</v>
      </c>
    </row>
    <row r="71" spans="1:20" x14ac:dyDescent="0.25">
      <c r="A71" s="11" t="s">
        <v>204</v>
      </c>
      <c r="B71" s="17" t="s">
        <v>154</v>
      </c>
      <c r="C71" s="17" t="s">
        <v>154</v>
      </c>
      <c r="D71" s="18" t="s">
        <v>154</v>
      </c>
      <c r="E71" s="17" t="s">
        <v>154</v>
      </c>
      <c r="F71" s="18" t="s">
        <v>154</v>
      </c>
      <c r="G71" s="17" t="s">
        <v>154</v>
      </c>
      <c r="H71" s="18" t="s">
        <v>154</v>
      </c>
      <c r="I71" s="17" t="s">
        <v>154</v>
      </c>
      <c r="J71" s="18" t="s">
        <v>154</v>
      </c>
      <c r="K71" s="17" t="s">
        <v>154</v>
      </c>
      <c r="L71" s="18" t="s">
        <v>154</v>
      </c>
      <c r="M71" s="17" t="s">
        <v>154</v>
      </c>
      <c r="N71" s="18" t="s">
        <v>154</v>
      </c>
      <c r="O71" s="17" t="s">
        <v>154</v>
      </c>
      <c r="P71" s="18" t="s">
        <v>154</v>
      </c>
      <c r="Q71" s="17" t="s">
        <v>154</v>
      </c>
      <c r="R71" s="18" t="s">
        <v>154</v>
      </c>
      <c r="S71" s="17" t="s">
        <v>154</v>
      </c>
      <c r="T71" s="18" t="s">
        <v>154</v>
      </c>
    </row>
    <row r="72" spans="1:20" x14ac:dyDescent="0.25">
      <c r="A72" s="11" t="s">
        <v>205</v>
      </c>
      <c r="B72" s="13">
        <v>7708</v>
      </c>
      <c r="C72" s="14">
        <f>(6405/B72*100)</f>
        <v>83.095485210171248</v>
      </c>
      <c r="D72" s="15">
        <v>1303</v>
      </c>
      <c r="E72" s="14">
        <v>78.646271670000004</v>
      </c>
      <c r="F72" s="16">
        <v>1.0795895499999999</v>
      </c>
      <c r="G72" s="14">
        <v>7.8764473700000002</v>
      </c>
      <c r="H72" s="16">
        <v>0.71257661999999999</v>
      </c>
      <c r="I72" s="14">
        <v>13.47728096</v>
      </c>
      <c r="J72" s="16">
        <v>1.01634866</v>
      </c>
      <c r="K72" s="14" t="s">
        <v>139</v>
      </c>
      <c r="L72" s="16" t="s">
        <v>139</v>
      </c>
      <c r="M72" s="14">
        <v>0</v>
      </c>
      <c r="N72" s="16">
        <v>0</v>
      </c>
      <c r="O72" s="14">
        <v>0</v>
      </c>
      <c r="P72" s="16">
        <v>0</v>
      </c>
      <c r="Q72" s="14">
        <v>0</v>
      </c>
      <c r="R72" s="16">
        <v>0</v>
      </c>
      <c r="S72" s="14">
        <v>0</v>
      </c>
      <c r="T72" s="16">
        <v>0</v>
      </c>
    </row>
    <row r="73" spans="1:20" x14ac:dyDescent="0.25">
      <c r="A73" s="11" t="s">
        <v>206</v>
      </c>
      <c r="B73" s="13">
        <v>8249</v>
      </c>
      <c r="C73" s="14">
        <f>(7077/B73*100)</f>
        <v>85.792217238453148</v>
      </c>
      <c r="D73" s="15">
        <v>1172</v>
      </c>
      <c r="E73" s="14">
        <v>88.281357650000004</v>
      </c>
      <c r="F73" s="16">
        <v>1.12681115</v>
      </c>
      <c r="G73" s="14">
        <v>3.8432245599999999</v>
      </c>
      <c r="H73" s="16">
        <v>0.52293434999999999</v>
      </c>
      <c r="I73" s="14">
        <v>7.8754177900000002</v>
      </c>
      <c r="J73" s="16">
        <v>0.94324132000000005</v>
      </c>
      <c r="K73" s="14" t="s">
        <v>139</v>
      </c>
      <c r="L73" s="16" t="s">
        <v>139</v>
      </c>
      <c r="M73" s="14">
        <v>0</v>
      </c>
      <c r="N73" s="16">
        <v>0</v>
      </c>
      <c r="O73" s="14">
        <v>0</v>
      </c>
      <c r="P73" s="16">
        <v>0</v>
      </c>
      <c r="Q73" s="14">
        <v>0</v>
      </c>
      <c r="R73" s="16">
        <v>0</v>
      </c>
      <c r="S73" s="14">
        <v>0</v>
      </c>
      <c r="T73" s="16">
        <v>0</v>
      </c>
    </row>
    <row r="74" spans="1:20" x14ac:dyDescent="0.25">
      <c r="A74" s="11" t="s">
        <v>207</v>
      </c>
      <c r="B74" s="17" t="s">
        <v>154</v>
      </c>
      <c r="C74" s="17" t="s">
        <v>154</v>
      </c>
      <c r="D74" s="18" t="s">
        <v>154</v>
      </c>
      <c r="E74" s="17" t="s">
        <v>154</v>
      </c>
      <c r="F74" s="18" t="s">
        <v>154</v>
      </c>
      <c r="G74" s="17" t="s">
        <v>154</v>
      </c>
      <c r="H74" s="18" t="s">
        <v>154</v>
      </c>
      <c r="I74" s="17" t="s">
        <v>154</v>
      </c>
      <c r="J74" s="18" t="s">
        <v>154</v>
      </c>
      <c r="K74" s="17" t="s">
        <v>154</v>
      </c>
      <c r="L74" s="18" t="s">
        <v>154</v>
      </c>
      <c r="M74" s="17" t="s">
        <v>154</v>
      </c>
      <c r="N74" s="18" t="s">
        <v>154</v>
      </c>
      <c r="O74" s="17" t="s">
        <v>154</v>
      </c>
      <c r="P74" s="18" t="s">
        <v>154</v>
      </c>
      <c r="Q74" s="17" t="s">
        <v>154</v>
      </c>
      <c r="R74" s="18" t="s">
        <v>154</v>
      </c>
      <c r="S74" s="17" t="s">
        <v>154</v>
      </c>
      <c r="T74" s="18" t="s">
        <v>154</v>
      </c>
    </row>
    <row r="75" spans="1:20" x14ac:dyDescent="0.25">
      <c r="A75" s="11" t="s">
        <v>208</v>
      </c>
      <c r="B75" s="13">
        <v>5375</v>
      </c>
      <c r="C75" s="14">
        <f>(4594/B75*100)</f>
        <v>85.469767441860469</v>
      </c>
      <c r="D75" s="15">
        <v>781</v>
      </c>
      <c r="E75" s="14">
        <v>96.202924969999998</v>
      </c>
      <c r="F75" s="16">
        <v>0.67540518000000005</v>
      </c>
      <c r="G75" s="14">
        <v>1.97887357</v>
      </c>
      <c r="H75" s="16">
        <v>0.47159920999999999</v>
      </c>
      <c r="I75" s="14">
        <v>1.81820146</v>
      </c>
      <c r="J75" s="16">
        <v>0.48726784000000001</v>
      </c>
      <c r="K75" s="14" t="s">
        <v>139</v>
      </c>
      <c r="L75" s="16" t="s">
        <v>139</v>
      </c>
      <c r="M75" s="14">
        <v>0</v>
      </c>
      <c r="N75" s="16">
        <v>0</v>
      </c>
      <c r="O75" s="14">
        <v>0</v>
      </c>
      <c r="P75" s="16">
        <v>0</v>
      </c>
      <c r="Q75" s="14">
        <v>0</v>
      </c>
      <c r="R75" s="16">
        <v>0</v>
      </c>
      <c r="S75" s="14">
        <v>0</v>
      </c>
      <c r="T75" s="16">
        <v>0</v>
      </c>
    </row>
    <row r="76" spans="1:20" x14ac:dyDescent="0.25">
      <c r="A76" s="11" t="s">
        <v>209</v>
      </c>
      <c r="B76" s="13">
        <v>14167</v>
      </c>
      <c r="C76" s="14">
        <f>(11823/B76*100)</f>
        <v>83.454506952777592</v>
      </c>
      <c r="D76" s="15">
        <v>2344</v>
      </c>
      <c r="E76" s="14">
        <v>87.818649339999993</v>
      </c>
      <c r="F76" s="16">
        <v>0.99454125999999998</v>
      </c>
      <c r="G76" s="14">
        <v>4.1737045500000001</v>
      </c>
      <c r="H76" s="16">
        <v>0.62326068000000001</v>
      </c>
      <c r="I76" s="14">
        <v>8.0076461099999996</v>
      </c>
      <c r="J76" s="16">
        <v>0.78457036000000002</v>
      </c>
      <c r="K76" s="14" t="s">
        <v>139</v>
      </c>
      <c r="L76" s="16" t="s">
        <v>139</v>
      </c>
      <c r="M76" s="14">
        <v>0</v>
      </c>
      <c r="N76" s="16">
        <v>0</v>
      </c>
      <c r="O76" s="14">
        <v>0</v>
      </c>
      <c r="P76" s="16">
        <v>0</v>
      </c>
      <c r="Q76" s="14">
        <v>0</v>
      </c>
      <c r="R76" s="16">
        <v>0</v>
      </c>
      <c r="S76" s="14">
        <v>0</v>
      </c>
      <c r="T76" s="16">
        <v>0</v>
      </c>
    </row>
    <row r="77" spans="1:20" x14ac:dyDescent="0.25">
      <c r="A77" s="11" t="s">
        <v>210</v>
      </c>
      <c r="B77" s="13">
        <v>6062</v>
      </c>
      <c r="C77" s="14">
        <f>(5164/B77*100)</f>
        <v>85.186407126360947</v>
      </c>
      <c r="D77" s="15">
        <v>898</v>
      </c>
      <c r="E77" s="14">
        <v>91.049963360000007</v>
      </c>
      <c r="F77" s="16">
        <v>1.08027601</v>
      </c>
      <c r="G77" s="14">
        <v>5.6139386499999997</v>
      </c>
      <c r="H77" s="16">
        <v>0.83992886</v>
      </c>
      <c r="I77" s="14">
        <v>3.3360979899999998</v>
      </c>
      <c r="J77" s="16">
        <v>0.67204330999999995</v>
      </c>
      <c r="K77" s="14" t="s">
        <v>139</v>
      </c>
      <c r="L77" s="16" t="s">
        <v>139</v>
      </c>
      <c r="M77" s="14">
        <v>0</v>
      </c>
      <c r="N77" s="16">
        <v>0</v>
      </c>
      <c r="O77" s="14">
        <v>0</v>
      </c>
      <c r="P77" s="16">
        <v>0</v>
      </c>
      <c r="Q77" s="14">
        <v>0</v>
      </c>
      <c r="R77" s="16">
        <v>0</v>
      </c>
      <c r="S77" s="14">
        <v>0</v>
      </c>
      <c r="T77" s="16">
        <v>0</v>
      </c>
    </row>
    <row r="78" spans="1:20" x14ac:dyDescent="0.25">
      <c r="A78" s="11" t="s">
        <v>211</v>
      </c>
      <c r="B78" s="17" t="s">
        <v>154</v>
      </c>
      <c r="C78" s="17" t="s">
        <v>154</v>
      </c>
      <c r="D78" s="18" t="s">
        <v>154</v>
      </c>
      <c r="E78" s="17" t="s">
        <v>154</v>
      </c>
      <c r="F78" s="18" t="s">
        <v>154</v>
      </c>
      <c r="G78" s="17" t="s">
        <v>154</v>
      </c>
      <c r="H78" s="18" t="s">
        <v>154</v>
      </c>
      <c r="I78" s="17" t="s">
        <v>154</v>
      </c>
      <c r="J78" s="18" t="s">
        <v>154</v>
      </c>
      <c r="K78" s="17" t="s">
        <v>154</v>
      </c>
      <c r="L78" s="18" t="s">
        <v>154</v>
      </c>
      <c r="M78" s="17" t="s">
        <v>154</v>
      </c>
      <c r="N78" s="18" t="s">
        <v>154</v>
      </c>
      <c r="O78" s="17" t="s">
        <v>154</v>
      </c>
      <c r="P78" s="18" t="s">
        <v>154</v>
      </c>
      <c r="Q78" s="17" t="s">
        <v>154</v>
      </c>
      <c r="R78" s="18" t="s">
        <v>154</v>
      </c>
      <c r="S78" s="17" t="s">
        <v>154</v>
      </c>
      <c r="T78" s="18" t="s">
        <v>154</v>
      </c>
    </row>
    <row r="79" spans="1:20" ht="24.95" customHeight="1" x14ac:dyDescent="0.25">
      <c r="A79" s="11" t="s">
        <v>212</v>
      </c>
      <c r="B79" s="17" t="s">
        <v>154</v>
      </c>
      <c r="C79" s="17" t="s">
        <v>154</v>
      </c>
      <c r="D79" s="18" t="s">
        <v>154</v>
      </c>
      <c r="E79" s="17" t="s">
        <v>154</v>
      </c>
      <c r="F79" s="18" t="s">
        <v>154</v>
      </c>
      <c r="G79" s="17" t="s">
        <v>154</v>
      </c>
      <c r="H79" s="18" t="s">
        <v>154</v>
      </c>
      <c r="I79" s="17" t="s">
        <v>154</v>
      </c>
      <c r="J79" s="18" t="s">
        <v>154</v>
      </c>
      <c r="K79" s="17" t="s">
        <v>154</v>
      </c>
      <c r="L79" s="18" t="s">
        <v>154</v>
      </c>
      <c r="M79" s="17" t="s">
        <v>154</v>
      </c>
      <c r="N79" s="18" t="s">
        <v>154</v>
      </c>
      <c r="O79" s="17" t="s">
        <v>154</v>
      </c>
      <c r="P79" s="18" t="s">
        <v>154</v>
      </c>
      <c r="Q79" s="17" t="s">
        <v>154</v>
      </c>
      <c r="R79" s="18" t="s">
        <v>154</v>
      </c>
      <c r="S79" s="17" t="s">
        <v>154</v>
      </c>
      <c r="T79" s="18" t="s">
        <v>154</v>
      </c>
    </row>
    <row r="80" spans="1:20" x14ac:dyDescent="0.25">
      <c r="A80" s="11" t="s">
        <v>213</v>
      </c>
      <c r="B80" s="17" t="s">
        <v>154</v>
      </c>
      <c r="C80" s="17" t="s">
        <v>154</v>
      </c>
      <c r="D80" s="18" t="s">
        <v>154</v>
      </c>
      <c r="E80" s="17" t="s">
        <v>154</v>
      </c>
      <c r="F80" s="18" t="s">
        <v>154</v>
      </c>
      <c r="G80" s="17" t="s">
        <v>154</v>
      </c>
      <c r="H80" s="18" t="s">
        <v>154</v>
      </c>
      <c r="I80" s="17" t="s">
        <v>154</v>
      </c>
      <c r="J80" s="18" t="s">
        <v>154</v>
      </c>
      <c r="K80" s="17" t="s">
        <v>154</v>
      </c>
      <c r="L80" s="18" t="s">
        <v>154</v>
      </c>
      <c r="M80" s="17" t="s">
        <v>154</v>
      </c>
      <c r="N80" s="18" t="s">
        <v>154</v>
      </c>
      <c r="O80" s="17" t="s">
        <v>154</v>
      </c>
      <c r="P80" s="18" t="s">
        <v>154</v>
      </c>
      <c r="Q80" s="17" t="s">
        <v>154</v>
      </c>
      <c r="R80" s="18" t="s">
        <v>154</v>
      </c>
      <c r="S80" s="17" t="s">
        <v>154</v>
      </c>
      <c r="T80" s="18" t="s">
        <v>154</v>
      </c>
    </row>
    <row r="81" spans="1:20" x14ac:dyDescent="0.25">
      <c r="A81" s="19" t="s">
        <v>214</v>
      </c>
      <c r="B81" s="13">
        <v>8861</v>
      </c>
      <c r="C81" s="14">
        <f>(7383/B81*100)</f>
        <v>83.320167024037914</v>
      </c>
      <c r="D81" s="15">
        <v>1478</v>
      </c>
      <c r="E81" s="14">
        <v>89.033340999999993</v>
      </c>
      <c r="F81" s="16">
        <v>1.00491412</v>
      </c>
      <c r="G81" s="14">
        <v>5.0053846799999997</v>
      </c>
      <c r="H81" s="16">
        <v>0.70364996000000002</v>
      </c>
      <c r="I81" s="14">
        <v>5.9612743200000002</v>
      </c>
      <c r="J81" s="16">
        <v>0.71570615999999998</v>
      </c>
      <c r="K81" s="14" t="s">
        <v>139</v>
      </c>
      <c r="L81" s="16" t="s">
        <v>139</v>
      </c>
      <c r="M81" s="14">
        <v>0</v>
      </c>
      <c r="N81" s="16">
        <v>0</v>
      </c>
      <c r="O81" s="14">
        <v>0</v>
      </c>
      <c r="P81" s="16">
        <v>0</v>
      </c>
      <c r="Q81" s="14">
        <v>0</v>
      </c>
      <c r="R81" s="16">
        <v>0</v>
      </c>
      <c r="S81" s="14">
        <v>0</v>
      </c>
      <c r="T81" s="16">
        <v>0</v>
      </c>
    </row>
    <row r="82" spans="1:20" x14ac:dyDescent="0.25">
      <c r="A82" s="20"/>
      <c r="B82" s="20" t="s">
        <v>215</v>
      </c>
      <c r="C82" s="20" t="s">
        <v>215</v>
      </c>
      <c r="D82" s="20" t="s">
        <v>215</v>
      </c>
      <c r="E82" s="20" t="s">
        <v>215</v>
      </c>
      <c r="F82" s="20" t="s">
        <v>215</v>
      </c>
      <c r="G82" s="20" t="s">
        <v>215</v>
      </c>
      <c r="H82" s="20" t="s">
        <v>215</v>
      </c>
      <c r="I82" s="20" t="s">
        <v>215</v>
      </c>
      <c r="J82" s="20" t="s">
        <v>215</v>
      </c>
      <c r="K82" s="20" t="s">
        <v>215</v>
      </c>
      <c r="L82" s="20" t="s">
        <v>215</v>
      </c>
      <c r="M82" s="20" t="s">
        <v>215</v>
      </c>
      <c r="N82" s="20" t="s">
        <v>215</v>
      </c>
      <c r="O82" s="20" t="s">
        <v>215</v>
      </c>
      <c r="P82" s="20" t="s">
        <v>215</v>
      </c>
      <c r="Q82" s="20" t="s">
        <v>215</v>
      </c>
      <c r="R82" s="20" t="s">
        <v>215</v>
      </c>
      <c r="S82" s="20" t="s">
        <v>215</v>
      </c>
      <c r="T82" s="20" t="s">
        <v>215</v>
      </c>
    </row>
    <row r="83" spans="1:20" x14ac:dyDescent="0.25">
      <c r="A83" s="3" t="s">
        <v>216</v>
      </c>
    </row>
    <row r="84" spans="1:20" x14ac:dyDescent="0.25">
      <c r="A84" s="22" t="s">
        <v>217</v>
      </c>
      <c r="B84" s="23"/>
      <c r="C84" s="23"/>
      <c r="D84" s="23"/>
      <c r="E84" s="23"/>
      <c r="F84" s="23"/>
      <c r="G84" s="23"/>
      <c r="H84" s="23"/>
      <c r="I84" s="23"/>
      <c r="J84" s="23"/>
      <c r="K84" s="23"/>
      <c r="L84" s="23"/>
      <c r="M84" s="23"/>
      <c r="N84" s="23"/>
      <c r="O84" s="23"/>
      <c r="P84" s="23"/>
      <c r="Q84" s="23"/>
      <c r="R84" s="23"/>
      <c r="S84" s="23"/>
      <c r="T84" s="23"/>
    </row>
    <row r="85" spans="1:20" x14ac:dyDescent="0.25">
      <c r="A85" s="22" t="s">
        <v>218</v>
      </c>
      <c r="B85" s="23"/>
      <c r="C85" s="23"/>
      <c r="D85" s="23"/>
      <c r="E85" s="23"/>
      <c r="F85" s="23"/>
      <c r="G85" s="23"/>
      <c r="H85" s="23"/>
      <c r="I85" s="23"/>
      <c r="J85" s="23"/>
      <c r="K85" s="23"/>
      <c r="L85" s="23"/>
      <c r="M85" s="23"/>
      <c r="N85" s="23"/>
      <c r="O85" s="23"/>
      <c r="P85" s="23"/>
      <c r="Q85" s="23"/>
      <c r="R85" s="23"/>
      <c r="S85" s="23"/>
      <c r="T85" s="23"/>
    </row>
    <row r="86" spans="1:20" ht="30" customHeight="1" x14ac:dyDescent="0.25">
      <c r="A86" s="22" t="s">
        <v>219</v>
      </c>
      <c r="B86" s="23"/>
      <c r="C86" s="23"/>
      <c r="D86" s="23"/>
      <c r="E86" s="23"/>
      <c r="F86" s="23"/>
      <c r="G86" s="23"/>
      <c r="H86" s="23"/>
      <c r="I86" s="23"/>
      <c r="J86" s="23"/>
      <c r="K86" s="23"/>
      <c r="L86" s="23"/>
      <c r="M86" s="23"/>
      <c r="N86" s="23"/>
      <c r="O86" s="23"/>
      <c r="P86" s="23"/>
      <c r="Q86" s="23"/>
      <c r="R86" s="23"/>
      <c r="S86" s="23"/>
      <c r="T86" s="23"/>
    </row>
    <row r="87" spans="1:20" ht="30" customHeight="1" x14ac:dyDescent="0.25">
      <c r="A87" s="22" t="s">
        <v>215</v>
      </c>
      <c r="B87" s="23"/>
      <c r="C87" s="23"/>
      <c r="D87" s="23"/>
      <c r="E87" s="23"/>
      <c r="F87" s="23"/>
      <c r="G87" s="23"/>
      <c r="H87" s="23"/>
      <c r="I87" s="23"/>
      <c r="J87" s="23"/>
      <c r="K87" s="23"/>
      <c r="L87" s="23"/>
      <c r="M87" s="23"/>
      <c r="N87" s="23"/>
      <c r="O87" s="23"/>
      <c r="P87" s="23"/>
      <c r="Q87" s="23"/>
      <c r="R87" s="23"/>
      <c r="S87" s="23"/>
      <c r="T87" s="23"/>
    </row>
    <row r="88" spans="1:20" ht="30" customHeight="1" x14ac:dyDescent="0.25">
      <c r="A88" s="22" t="s">
        <v>220</v>
      </c>
      <c r="B88" s="23"/>
      <c r="C88" s="23"/>
      <c r="D88" s="23"/>
      <c r="E88" s="23"/>
      <c r="F88" s="23"/>
      <c r="G88" s="23"/>
      <c r="H88" s="23"/>
      <c r="I88" s="23"/>
      <c r="J88" s="23"/>
      <c r="K88" s="23"/>
      <c r="L88" s="23"/>
      <c r="M88" s="23"/>
      <c r="N88" s="23"/>
      <c r="O88" s="23"/>
      <c r="P88" s="23"/>
      <c r="Q88" s="23"/>
      <c r="R88" s="23"/>
      <c r="S88" s="23"/>
      <c r="T88" s="23"/>
    </row>
    <row r="89" spans="1:20" ht="30" customHeight="1" x14ac:dyDescent="0.25">
      <c r="A89" s="22" t="s">
        <v>221</v>
      </c>
      <c r="B89" s="23"/>
      <c r="C89" s="23"/>
      <c r="D89" s="23"/>
      <c r="E89" s="23"/>
      <c r="F89" s="23"/>
      <c r="G89" s="23"/>
      <c r="H89" s="23"/>
      <c r="I89" s="23"/>
      <c r="J89" s="23"/>
      <c r="K89" s="23"/>
      <c r="L89" s="23"/>
      <c r="M89" s="23"/>
      <c r="N89" s="23"/>
      <c r="O89" s="23"/>
      <c r="P89" s="23"/>
      <c r="Q89" s="23"/>
      <c r="R89" s="23"/>
      <c r="S89" s="23"/>
      <c r="T89" s="23"/>
    </row>
    <row r="90" spans="1:20" ht="30" customHeight="1" x14ac:dyDescent="0.25">
      <c r="A90" s="22" t="s">
        <v>222</v>
      </c>
      <c r="B90" s="23"/>
      <c r="C90" s="23"/>
      <c r="D90" s="23"/>
      <c r="E90" s="23"/>
      <c r="F90" s="23"/>
      <c r="G90" s="23"/>
      <c r="H90" s="23"/>
      <c r="I90" s="23"/>
      <c r="J90" s="23"/>
      <c r="K90" s="23"/>
      <c r="L90" s="23"/>
      <c r="M90" s="23"/>
      <c r="N90" s="23"/>
      <c r="O90" s="23"/>
      <c r="P90" s="23"/>
      <c r="Q90" s="23"/>
      <c r="R90" s="23"/>
      <c r="S90" s="23"/>
      <c r="T90" s="23"/>
    </row>
    <row r="91" spans="1:20" ht="30" customHeight="1" x14ac:dyDescent="0.25">
      <c r="A91" s="22" t="s">
        <v>223</v>
      </c>
      <c r="B91" s="23"/>
      <c r="C91" s="23"/>
      <c r="D91" s="23"/>
      <c r="E91" s="23"/>
      <c r="F91" s="23"/>
      <c r="G91" s="23"/>
      <c r="H91" s="23"/>
      <c r="I91" s="23"/>
      <c r="J91" s="23"/>
      <c r="K91" s="23"/>
      <c r="L91" s="23"/>
      <c r="M91" s="23"/>
      <c r="N91" s="23"/>
      <c r="O91" s="23"/>
      <c r="P91" s="23"/>
      <c r="Q91" s="23"/>
      <c r="R91" s="23"/>
      <c r="S91" s="23"/>
      <c r="T91" s="23"/>
    </row>
    <row r="92" spans="1:20" ht="30" customHeight="1" x14ac:dyDescent="0.25">
      <c r="A92" s="22" t="s">
        <v>224</v>
      </c>
      <c r="B92" s="23"/>
      <c r="C92" s="23"/>
      <c r="D92" s="23"/>
      <c r="E92" s="23"/>
      <c r="F92" s="23"/>
      <c r="G92" s="23"/>
      <c r="H92" s="23"/>
      <c r="I92" s="23"/>
      <c r="J92" s="23"/>
      <c r="K92" s="23"/>
      <c r="L92" s="23"/>
      <c r="M92" s="23"/>
      <c r="N92" s="23"/>
      <c r="O92" s="23"/>
      <c r="P92" s="23"/>
      <c r="Q92" s="23"/>
      <c r="R92" s="23"/>
      <c r="S92" s="23"/>
      <c r="T92" s="23"/>
    </row>
    <row r="93" spans="1:20" ht="30" customHeight="1" x14ac:dyDescent="0.25">
      <c r="A93" s="22" t="s">
        <v>225</v>
      </c>
      <c r="B93" s="23"/>
      <c r="C93" s="23"/>
      <c r="D93" s="23"/>
      <c r="E93" s="23"/>
      <c r="F93" s="23"/>
      <c r="G93" s="23"/>
      <c r="H93" s="23"/>
      <c r="I93" s="23"/>
      <c r="J93" s="23"/>
      <c r="K93" s="23"/>
      <c r="L93" s="23"/>
      <c r="M93" s="23"/>
      <c r="N93" s="23"/>
      <c r="O93" s="23"/>
      <c r="P93" s="23"/>
      <c r="Q93" s="23"/>
      <c r="R93" s="23"/>
      <c r="S93" s="23"/>
      <c r="T93" s="23"/>
    </row>
    <row r="94" spans="1:20" ht="30" customHeight="1" x14ac:dyDescent="0.25">
      <c r="A94" s="22" t="s">
        <v>226</v>
      </c>
      <c r="B94" s="23"/>
      <c r="C94" s="23"/>
      <c r="D94" s="23"/>
      <c r="E94" s="23"/>
      <c r="F94" s="23"/>
      <c r="G94" s="23"/>
      <c r="H94" s="23"/>
      <c r="I94" s="23"/>
      <c r="J94" s="23"/>
      <c r="K94" s="23"/>
      <c r="L94" s="23"/>
      <c r="M94" s="23"/>
      <c r="N94" s="23"/>
      <c r="O94" s="23"/>
      <c r="P94" s="23"/>
      <c r="Q94" s="23"/>
      <c r="R94" s="23"/>
      <c r="S94" s="23"/>
      <c r="T94" s="23"/>
    </row>
    <row r="95" spans="1:20" ht="30" customHeight="1" x14ac:dyDescent="0.25">
      <c r="A95" s="22" t="s">
        <v>227</v>
      </c>
      <c r="B95" s="23"/>
      <c r="C95" s="23"/>
      <c r="D95" s="23"/>
      <c r="E95" s="23"/>
      <c r="F95" s="23"/>
      <c r="G95" s="23"/>
      <c r="H95" s="23"/>
      <c r="I95" s="23"/>
      <c r="J95" s="23"/>
      <c r="K95" s="23"/>
      <c r="L95" s="23"/>
      <c r="M95" s="23"/>
      <c r="N95" s="23"/>
      <c r="O95" s="23"/>
      <c r="P95" s="23"/>
      <c r="Q95" s="23"/>
      <c r="R95" s="23"/>
      <c r="S95" s="23"/>
      <c r="T95" s="23"/>
    </row>
    <row r="96" spans="1:20" ht="30" customHeight="1" x14ac:dyDescent="0.25">
      <c r="A96" s="22" t="s">
        <v>228</v>
      </c>
      <c r="B96" s="23"/>
      <c r="C96" s="23"/>
      <c r="D96" s="23"/>
      <c r="E96" s="23"/>
      <c r="F96" s="23"/>
      <c r="G96" s="23"/>
      <c r="H96" s="23"/>
      <c r="I96" s="23"/>
      <c r="J96" s="23"/>
      <c r="K96" s="23"/>
      <c r="L96" s="23"/>
      <c r="M96" s="23"/>
      <c r="N96" s="23"/>
      <c r="O96" s="23"/>
      <c r="P96" s="23"/>
      <c r="Q96" s="23"/>
      <c r="R96" s="23"/>
      <c r="S96" s="23"/>
      <c r="T96" s="23"/>
    </row>
  </sheetData>
  <mergeCells count="23">
    <mergeCell ref="O4:P4"/>
    <mergeCell ref="Q4:R4"/>
    <mergeCell ref="S4:T4"/>
    <mergeCell ref="A1:T1"/>
    <mergeCell ref="A2:T2"/>
    <mergeCell ref="E4:F4"/>
    <mergeCell ref="G4:H4"/>
    <mergeCell ref="I4:J4"/>
    <mergeCell ref="K4:L4"/>
    <mergeCell ref="M4:N4"/>
    <mergeCell ref="A84:T84"/>
    <mergeCell ref="A85:T85"/>
    <mergeCell ref="A86:T86"/>
    <mergeCell ref="A87:T87"/>
    <mergeCell ref="A88:T88"/>
    <mergeCell ref="A94:T94"/>
    <mergeCell ref="A95:T95"/>
    <mergeCell ref="A96:T96"/>
    <mergeCell ref="A89:T89"/>
    <mergeCell ref="A90:T90"/>
    <mergeCell ref="A91:T91"/>
    <mergeCell ref="A92:T92"/>
    <mergeCell ref="A93:T93"/>
  </mergeCells>
  <pageMargins left="0.75" right="0.75" top="1" bottom="1" header="0.5" footer="0.5"/>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2"/>
  <dimension ref="A1:R96"/>
  <sheetViews>
    <sheetView zoomScale="80" workbookViewId="0">
      <pane xSplit="4" topLeftCell="E1" activePane="topRight" state="frozen"/>
      <selection sqref="A1:R1"/>
      <selection pane="topRight" sqref="A1:R1"/>
    </sheetView>
  </sheetViews>
  <sheetFormatPr defaultColWidth="11.42578125" defaultRowHeight="15" x14ac:dyDescent="0.25"/>
  <cols>
    <col min="1" max="1" width="50" customWidth="1"/>
  </cols>
  <sheetData>
    <row r="1" spans="1:18" x14ac:dyDescent="0.25">
      <c r="A1" s="26" t="s">
        <v>122</v>
      </c>
      <c r="B1" s="23"/>
      <c r="C1" s="23"/>
      <c r="D1" s="23"/>
      <c r="E1" s="23"/>
      <c r="F1" s="23"/>
      <c r="G1" s="23"/>
      <c r="H1" s="23"/>
      <c r="I1" s="23"/>
      <c r="J1" s="23"/>
      <c r="K1" s="23"/>
      <c r="L1" s="23"/>
      <c r="M1" s="23"/>
      <c r="N1" s="23"/>
      <c r="O1" s="23"/>
      <c r="P1" s="23"/>
      <c r="Q1" s="23"/>
      <c r="R1" s="23"/>
    </row>
    <row r="2" spans="1:18" x14ac:dyDescent="0.25">
      <c r="A2" s="27" t="s">
        <v>278</v>
      </c>
      <c r="B2" s="23"/>
      <c r="C2" s="23"/>
      <c r="D2" s="23"/>
      <c r="E2" s="23"/>
      <c r="F2" s="23"/>
      <c r="G2" s="23"/>
      <c r="H2" s="23"/>
      <c r="I2" s="23"/>
      <c r="J2" s="23"/>
      <c r="K2" s="23"/>
      <c r="L2" s="23"/>
      <c r="M2" s="23"/>
      <c r="N2" s="23"/>
      <c r="O2" s="23"/>
      <c r="P2" s="23"/>
      <c r="Q2" s="23"/>
      <c r="R2" s="23"/>
    </row>
    <row r="4" spans="1:18" ht="30" customHeight="1" x14ac:dyDescent="0.25">
      <c r="A4" s="4"/>
      <c r="B4" s="5" t="s">
        <v>123</v>
      </c>
      <c r="C4" s="5" t="s">
        <v>124</v>
      </c>
      <c r="D4" s="6" t="s">
        <v>123</v>
      </c>
      <c r="E4" s="24" t="s">
        <v>125</v>
      </c>
      <c r="F4" s="25"/>
      <c r="G4" s="24" t="s">
        <v>126</v>
      </c>
      <c r="H4" s="25"/>
      <c r="I4" s="24" t="s">
        <v>127</v>
      </c>
      <c r="J4" s="25"/>
      <c r="K4" s="24" t="s">
        <v>128</v>
      </c>
      <c r="L4" s="25"/>
      <c r="M4" s="24" t="s">
        <v>129</v>
      </c>
      <c r="N4" s="25"/>
      <c r="O4" s="24" t="s">
        <v>130</v>
      </c>
      <c r="P4" s="25"/>
      <c r="Q4" s="24" t="s">
        <v>131</v>
      </c>
      <c r="R4" s="25"/>
    </row>
    <row r="5" spans="1:18" x14ac:dyDescent="0.25">
      <c r="A5" s="7"/>
      <c r="B5" s="8" t="s">
        <v>132</v>
      </c>
      <c r="C5" s="8" t="s">
        <v>133</v>
      </c>
      <c r="D5" s="7" t="s">
        <v>134</v>
      </c>
      <c r="E5" s="8" t="s">
        <v>135</v>
      </c>
      <c r="F5" s="7" t="s">
        <v>136</v>
      </c>
      <c r="G5" s="8" t="s">
        <v>135</v>
      </c>
      <c r="H5" s="7" t="s">
        <v>136</v>
      </c>
      <c r="I5" s="8" t="s">
        <v>135</v>
      </c>
      <c r="J5" s="7" t="s">
        <v>136</v>
      </c>
      <c r="K5" s="8" t="s">
        <v>135</v>
      </c>
      <c r="L5" s="7" t="s">
        <v>136</v>
      </c>
      <c r="M5" s="8" t="s">
        <v>135</v>
      </c>
      <c r="N5" s="7" t="s">
        <v>136</v>
      </c>
      <c r="O5" s="8" t="s">
        <v>135</v>
      </c>
      <c r="P5" s="7" t="s">
        <v>136</v>
      </c>
      <c r="Q5" s="8" t="s">
        <v>135</v>
      </c>
      <c r="R5" s="7" t="s">
        <v>136</v>
      </c>
    </row>
    <row r="6" spans="1:18" x14ac:dyDescent="0.25">
      <c r="A6" s="9" t="s">
        <v>137</v>
      </c>
      <c r="B6" s="10"/>
      <c r="C6" s="10"/>
      <c r="D6" s="11"/>
      <c r="E6" s="10"/>
      <c r="F6" s="11"/>
      <c r="G6" s="10"/>
      <c r="H6" s="11"/>
      <c r="I6" s="10"/>
      <c r="J6" s="11"/>
      <c r="K6" s="10"/>
      <c r="L6" s="11"/>
      <c r="M6" s="10"/>
      <c r="N6" s="11"/>
      <c r="O6" s="10"/>
      <c r="P6" s="11"/>
      <c r="Q6" s="10"/>
      <c r="R6" s="12"/>
    </row>
    <row r="7" spans="1:18" x14ac:dyDescent="0.25">
      <c r="A7" s="11" t="s">
        <v>138</v>
      </c>
      <c r="B7" s="13">
        <v>14530</v>
      </c>
      <c r="C7" s="14">
        <f>(12070/B7*100)</f>
        <v>83.06951135581555</v>
      </c>
      <c r="D7" s="15">
        <v>2460</v>
      </c>
      <c r="E7" s="14">
        <v>42.153947729999999</v>
      </c>
      <c r="F7" s="16">
        <v>1.2742569399999999</v>
      </c>
      <c r="G7" s="14">
        <v>57.846052270000001</v>
      </c>
      <c r="H7" s="16">
        <v>1.2742569399999999</v>
      </c>
      <c r="I7" s="14" t="s">
        <v>139</v>
      </c>
      <c r="J7" s="16" t="s">
        <v>139</v>
      </c>
      <c r="K7" s="14">
        <v>0</v>
      </c>
      <c r="L7" s="16">
        <v>0</v>
      </c>
      <c r="M7" s="14">
        <v>0</v>
      </c>
      <c r="N7" s="16">
        <v>0</v>
      </c>
      <c r="O7" s="14">
        <v>0</v>
      </c>
      <c r="P7" s="16">
        <v>0</v>
      </c>
      <c r="Q7" s="14">
        <v>0</v>
      </c>
      <c r="R7" s="16">
        <v>0</v>
      </c>
    </row>
    <row r="8" spans="1:18" x14ac:dyDescent="0.25">
      <c r="A8" s="11" t="s">
        <v>140</v>
      </c>
      <c r="B8" s="13">
        <v>7007</v>
      </c>
      <c r="C8" s="14">
        <f>(5805/B8*100)</f>
        <v>82.845725702868549</v>
      </c>
      <c r="D8" s="15">
        <v>1202</v>
      </c>
      <c r="E8" s="14">
        <v>57.49046517</v>
      </c>
      <c r="F8" s="16">
        <v>1.3082981899999999</v>
      </c>
      <c r="G8" s="14">
        <v>42.50953483</v>
      </c>
      <c r="H8" s="16">
        <v>1.3082981899999999</v>
      </c>
      <c r="I8" s="14" t="s">
        <v>139</v>
      </c>
      <c r="J8" s="16" t="s">
        <v>139</v>
      </c>
      <c r="K8" s="14">
        <v>0</v>
      </c>
      <c r="L8" s="16">
        <v>0</v>
      </c>
      <c r="M8" s="14">
        <v>0</v>
      </c>
      <c r="N8" s="16">
        <v>0</v>
      </c>
      <c r="O8" s="14">
        <v>0</v>
      </c>
      <c r="P8" s="16">
        <v>0</v>
      </c>
      <c r="Q8" s="14">
        <v>0</v>
      </c>
      <c r="R8" s="16">
        <v>0</v>
      </c>
    </row>
    <row r="9" spans="1:18" x14ac:dyDescent="0.25">
      <c r="A9" s="11" t="s">
        <v>141</v>
      </c>
      <c r="B9" s="13">
        <v>9651</v>
      </c>
      <c r="C9" s="14">
        <f>(8032/B9*100)</f>
        <v>83.224536317480059</v>
      </c>
      <c r="D9" s="15">
        <v>1619</v>
      </c>
      <c r="E9" s="14">
        <v>55.293914899999997</v>
      </c>
      <c r="F9" s="16">
        <v>1.3257137400000001</v>
      </c>
      <c r="G9" s="14">
        <v>44.706085100000003</v>
      </c>
      <c r="H9" s="16">
        <v>1.3257137400000001</v>
      </c>
      <c r="I9" s="14" t="s">
        <v>139</v>
      </c>
      <c r="J9" s="16" t="s">
        <v>139</v>
      </c>
      <c r="K9" s="14">
        <v>0</v>
      </c>
      <c r="L9" s="16">
        <v>0</v>
      </c>
      <c r="M9" s="14">
        <v>0</v>
      </c>
      <c r="N9" s="16">
        <v>0</v>
      </c>
      <c r="O9" s="14">
        <v>0</v>
      </c>
      <c r="P9" s="16">
        <v>0</v>
      </c>
      <c r="Q9" s="14">
        <v>0</v>
      </c>
      <c r="R9" s="16">
        <v>0</v>
      </c>
    </row>
    <row r="10" spans="1:18" x14ac:dyDescent="0.25">
      <c r="A10" s="11" t="s">
        <v>142</v>
      </c>
      <c r="B10" s="13">
        <v>20058</v>
      </c>
      <c r="C10" s="14">
        <f>(16617/B10*100)</f>
        <v>82.844750224349383</v>
      </c>
      <c r="D10" s="15">
        <v>3441</v>
      </c>
      <c r="E10" s="14">
        <v>41.327791259999998</v>
      </c>
      <c r="F10" s="16">
        <v>1.09931092</v>
      </c>
      <c r="G10" s="14">
        <v>58.672208740000002</v>
      </c>
      <c r="H10" s="16">
        <v>1.09931092</v>
      </c>
      <c r="I10" s="14" t="s">
        <v>139</v>
      </c>
      <c r="J10" s="16" t="s">
        <v>139</v>
      </c>
      <c r="K10" s="14">
        <v>0</v>
      </c>
      <c r="L10" s="16">
        <v>0</v>
      </c>
      <c r="M10" s="14">
        <v>0</v>
      </c>
      <c r="N10" s="16">
        <v>0</v>
      </c>
      <c r="O10" s="14">
        <v>0</v>
      </c>
      <c r="P10" s="16">
        <v>0</v>
      </c>
      <c r="Q10" s="14">
        <v>0</v>
      </c>
      <c r="R10" s="16">
        <v>0</v>
      </c>
    </row>
    <row r="11" spans="1:18" x14ac:dyDescent="0.25">
      <c r="A11" s="11" t="s">
        <v>143</v>
      </c>
      <c r="B11" s="13">
        <v>7053</v>
      </c>
      <c r="C11" s="14">
        <f>(5834/B11*100)</f>
        <v>82.716574507301857</v>
      </c>
      <c r="D11" s="15">
        <v>1219</v>
      </c>
      <c r="E11" s="14">
        <v>54.542314660000002</v>
      </c>
      <c r="F11" s="16">
        <v>1.82932815</v>
      </c>
      <c r="G11" s="14">
        <v>45.457685339999998</v>
      </c>
      <c r="H11" s="16">
        <v>1.82932815</v>
      </c>
      <c r="I11" s="14" t="s">
        <v>139</v>
      </c>
      <c r="J11" s="16" t="s">
        <v>139</v>
      </c>
      <c r="K11" s="14">
        <v>0</v>
      </c>
      <c r="L11" s="16">
        <v>0</v>
      </c>
      <c r="M11" s="14">
        <v>0</v>
      </c>
      <c r="N11" s="16">
        <v>0</v>
      </c>
      <c r="O11" s="14">
        <v>0</v>
      </c>
      <c r="P11" s="16">
        <v>0</v>
      </c>
      <c r="Q11" s="14">
        <v>0</v>
      </c>
      <c r="R11" s="16">
        <v>0</v>
      </c>
    </row>
    <row r="12" spans="1:18" x14ac:dyDescent="0.25">
      <c r="A12" s="11" t="s">
        <v>144</v>
      </c>
      <c r="B12" s="13">
        <v>6894</v>
      </c>
      <c r="C12" s="14">
        <f>(5713/B12*100)</f>
        <v>82.86916158978822</v>
      </c>
      <c r="D12" s="15">
        <v>1181</v>
      </c>
      <c r="E12" s="14">
        <v>47.666241790000001</v>
      </c>
      <c r="F12" s="16">
        <v>1.86923748</v>
      </c>
      <c r="G12" s="14">
        <v>52.333758209999999</v>
      </c>
      <c r="H12" s="16">
        <v>1.86923748</v>
      </c>
      <c r="I12" s="14" t="s">
        <v>139</v>
      </c>
      <c r="J12" s="16" t="s">
        <v>139</v>
      </c>
      <c r="K12" s="14">
        <v>0</v>
      </c>
      <c r="L12" s="16">
        <v>0</v>
      </c>
      <c r="M12" s="14">
        <v>0</v>
      </c>
      <c r="N12" s="16">
        <v>0</v>
      </c>
      <c r="O12" s="14">
        <v>0</v>
      </c>
      <c r="P12" s="16">
        <v>0</v>
      </c>
      <c r="Q12" s="14">
        <v>0</v>
      </c>
      <c r="R12" s="16">
        <v>0</v>
      </c>
    </row>
    <row r="13" spans="1:18" x14ac:dyDescent="0.25">
      <c r="A13" s="11" t="s">
        <v>145</v>
      </c>
      <c r="B13" s="13">
        <v>7161</v>
      </c>
      <c r="C13" s="14">
        <f>(5998/B13*100)</f>
        <v>83.759251501186981</v>
      </c>
      <c r="D13" s="15">
        <v>1163</v>
      </c>
      <c r="E13" s="14">
        <v>49.288114759999999</v>
      </c>
      <c r="F13" s="16">
        <v>1.8002328299999999</v>
      </c>
      <c r="G13" s="14">
        <v>50.711885240000001</v>
      </c>
      <c r="H13" s="16">
        <v>1.8002328299999999</v>
      </c>
      <c r="I13" s="14" t="s">
        <v>139</v>
      </c>
      <c r="J13" s="16" t="s">
        <v>139</v>
      </c>
      <c r="K13" s="14">
        <v>0</v>
      </c>
      <c r="L13" s="16">
        <v>0</v>
      </c>
      <c r="M13" s="14">
        <v>0</v>
      </c>
      <c r="N13" s="16">
        <v>0</v>
      </c>
      <c r="O13" s="14">
        <v>0</v>
      </c>
      <c r="P13" s="16">
        <v>0</v>
      </c>
      <c r="Q13" s="14">
        <v>0</v>
      </c>
      <c r="R13" s="16">
        <v>0</v>
      </c>
    </row>
    <row r="14" spans="1:18" x14ac:dyDescent="0.25">
      <c r="A14" s="11" t="s">
        <v>146</v>
      </c>
      <c r="B14" s="13">
        <v>5587</v>
      </c>
      <c r="C14" s="14">
        <f>(4629/B14*100)</f>
        <v>82.853051727223914</v>
      </c>
      <c r="D14" s="15">
        <v>958</v>
      </c>
      <c r="E14" s="14">
        <v>44.447858099999998</v>
      </c>
      <c r="F14" s="16">
        <v>1.7643382299999999</v>
      </c>
      <c r="G14" s="14">
        <v>55.552141900000002</v>
      </c>
      <c r="H14" s="16">
        <v>1.7643382299999999</v>
      </c>
      <c r="I14" s="14" t="s">
        <v>139</v>
      </c>
      <c r="J14" s="16" t="s">
        <v>139</v>
      </c>
      <c r="K14" s="14">
        <v>0</v>
      </c>
      <c r="L14" s="16">
        <v>0</v>
      </c>
      <c r="M14" s="14">
        <v>0</v>
      </c>
      <c r="N14" s="16">
        <v>0</v>
      </c>
      <c r="O14" s="14">
        <v>0</v>
      </c>
      <c r="P14" s="16">
        <v>0</v>
      </c>
      <c r="Q14" s="14">
        <v>0</v>
      </c>
      <c r="R14" s="16">
        <v>0</v>
      </c>
    </row>
    <row r="15" spans="1:18" x14ac:dyDescent="0.25">
      <c r="A15" s="11" t="s">
        <v>147</v>
      </c>
      <c r="B15" s="13">
        <v>5882</v>
      </c>
      <c r="C15" s="14">
        <f>(4865/B15*100)</f>
        <v>82.709962597755876</v>
      </c>
      <c r="D15" s="15">
        <v>1017</v>
      </c>
      <c r="E15" s="14">
        <v>44.179740340000002</v>
      </c>
      <c r="F15" s="16">
        <v>1.62666884</v>
      </c>
      <c r="G15" s="14">
        <v>55.820259659999998</v>
      </c>
      <c r="H15" s="16">
        <v>1.62666884</v>
      </c>
      <c r="I15" s="14" t="s">
        <v>139</v>
      </c>
      <c r="J15" s="16" t="s">
        <v>139</v>
      </c>
      <c r="K15" s="14">
        <v>0</v>
      </c>
      <c r="L15" s="16">
        <v>0</v>
      </c>
      <c r="M15" s="14">
        <v>0</v>
      </c>
      <c r="N15" s="16">
        <v>0</v>
      </c>
      <c r="O15" s="14">
        <v>0</v>
      </c>
      <c r="P15" s="16">
        <v>0</v>
      </c>
      <c r="Q15" s="14">
        <v>0</v>
      </c>
      <c r="R15" s="16">
        <v>0</v>
      </c>
    </row>
    <row r="16" spans="1:18" x14ac:dyDescent="0.25">
      <c r="A16" s="11" t="s">
        <v>148</v>
      </c>
      <c r="B16" s="13">
        <v>6108</v>
      </c>
      <c r="C16" s="14">
        <f>(5039/B16*100)</f>
        <v>82.498362802881459</v>
      </c>
      <c r="D16" s="15">
        <v>1069</v>
      </c>
      <c r="E16" s="14">
        <v>52.851896150000002</v>
      </c>
      <c r="F16" s="16">
        <v>1.67494382</v>
      </c>
      <c r="G16" s="14">
        <v>47.148103849999998</v>
      </c>
      <c r="H16" s="16">
        <v>1.67494382</v>
      </c>
      <c r="I16" s="14" t="s">
        <v>139</v>
      </c>
      <c r="J16" s="16" t="s">
        <v>139</v>
      </c>
      <c r="K16" s="14">
        <v>0</v>
      </c>
      <c r="L16" s="16">
        <v>0</v>
      </c>
      <c r="M16" s="14">
        <v>0</v>
      </c>
      <c r="N16" s="16">
        <v>0</v>
      </c>
      <c r="O16" s="14">
        <v>0</v>
      </c>
      <c r="P16" s="16">
        <v>0</v>
      </c>
      <c r="Q16" s="14">
        <v>0</v>
      </c>
      <c r="R16" s="16">
        <v>0</v>
      </c>
    </row>
    <row r="17" spans="1:18" x14ac:dyDescent="0.25">
      <c r="A17" s="11" t="s">
        <v>149</v>
      </c>
      <c r="B17" s="13">
        <v>6504</v>
      </c>
      <c r="C17" s="14">
        <f>(5391/B17*100)</f>
        <v>82.887453874538735</v>
      </c>
      <c r="D17" s="15">
        <v>1113</v>
      </c>
      <c r="E17" s="14">
        <v>54.224376020000001</v>
      </c>
      <c r="F17" s="16">
        <v>1.7328300000000001</v>
      </c>
      <c r="G17" s="14">
        <v>45.775623979999999</v>
      </c>
      <c r="H17" s="16">
        <v>1.7328300000000001</v>
      </c>
      <c r="I17" s="14" t="s">
        <v>139</v>
      </c>
      <c r="J17" s="16" t="s">
        <v>139</v>
      </c>
      <c r="K17" s="14">
        <v>0</v>
      </c>
      <c r="L17" s="16">
        <v>0</v>
      </c>
      <c r="M17" s="14">
        <v>0</v>
      </c>
      <c r="N17" s="16">
        <v>0</v>
      </c>
      <c r="O17" s="14">
        <v>0</v>
      </c>
      <c r="P17" s="16">
        <v>0</v>
      </c>
      <c r="Q17" s="14">
        <v>0</v>
      </c>
      <c r="R17" s="16">
        <v>0</v>
      </c>
    </row>
    <row r="18" spans="1:18" x14ac:dyDescent="0.25">
      <c r="A18" s="11" t="s">
        <v>150</v>
      </c>
      <c r="B18" s="13">
        <v>5532</v>
      </c>
      <c r="C18" s="14">
        <f>(4617/B18*100)</f>
        <v>83.459869848156188</v>
      </c>
      <c r="D18" s="15">
        <v>915</v>
      </c>
      <c r="E18" s="14">
        <v>62.862399799999999</v>
      </c>
      <c r="F18" s="16">
        <v>1.95687185</v>
      </c>
      <c r="G18" s="14">
        <v>37.137600200000001</v>
      </c>
      <c r="H18" s="16">
        <v>1.95687185</v>
      </c>
      <c r="I18" s="14" t="s">
        <v>139</v>
      </c>
      <c r="J18" s="16" t="s">
        <v>139</v>
      </c>
      <c r="K18" s="14">
        <v>0</v>
      </c>
      <c r="L18" s="16">
        <v>0</v>
      </c>
      <c r="M18" s="14">
        <v>0</v>
      </c>
      <c r="N18" s="16">
        <v>0</v>
      </c>
      <c r="O18" s="14">
        <v>0</v>
      </c>
      <c r="P18" s="16">
        <v>0</v>
      </c>
      <c r="Q18" s="14">
        <v>0</v>
      </c>
      <c r="R18" s="16">
        <v>0</v>
      </c>
    </row>
    <row r="19" spans="1:18" x14ac:dyDescent="0.25">
      <c r="A19" s="11" t="s">
        <v>151</v>
      </c>
      <c r="B19" s="13">
        <v>5658</v>
      </c>
      <c r="C19" s="14">
        <f>(4682/B19*100)</f>
        <v>82.750088370448921</v>
      </c>
      <c r="D19" s="15">
        <v>976</v>
      </c>
      <c r="E19" s="14">
        <v>47.291959890000001</v>
      </c>
      <c r="F19" s="16">
        <v>1.6971847</v>
      </c>
      <c r="G19" s="14">
        <v>52.708040109999999</v>
      </c>
      <c r="H19" s="16">
        <v>1.6971847</v>
      </c>
      <c r="I19" s="14" t="s">
        <v>139</v>
      </c>
      <c r="J19" s="16" t="s">
        <v>139</v>
      </c>
      <c r="K19" s="14">
        <v>0</v>
      </c>
      <c r="L19" s="16">
        <v>0</v>
      </c>
      <c r="M19" s="14">
        <v>0</v>
      </c>
      <c r="N19" s="16">
        <v>0</v>
      </c>
      <c r="O19" s="14">
        <v>0</v>
      </c>
      <c r="P19" s="16">
        <v>0</v>
      </c>
      <c r="Q19" s="14">
        <v>0</v>
      </c>
      <c r="R19" s="16">
        <v>0</v>
      </c>
    </row>
    <row r="20" spans="1:18" x14ac:dyDescent="0.25">
      <c r="A20" s="11" t="s">
        <v>152</v>
      </c>
      <c r="B20" s="13">
        <v>3371</v>
      </c>
      <c r="C20" s="14">
        <f>(2800/B20*100)</f>
        <v>83.061406110946308</v>
      </c>
      <c r="D20" s="15">
        <v>571</v>
      </c>
      <c r="E20" s="14">
        <v>57.735390099999996</v>
      </c>
      <c r="F20" s="16">
        <v>2.3251157</v>
      </c>
      <c r="G20" s="14">
        <v>42.264609900000004</v>
      </c>
      <c r="H20" s="16">
        <v>2.3251157</v>
      </c>
      <c r="I20" s="14" t="s">
        <v>139</v>
      </c>
      <c r="J20" s="16" t="s">
        <v>139</v>
      </c>
      <c r="K20" s="14">
        <v>0</v>
      </c>
      <c r="L20" s="16">
        <v>0</v>
      </c>
      <c r="M20" s="14">
        <v>0</v>
      </c>
      <c r="N20" s="16">
        <v>0</v>
      </c>
      <c r="O20" s="14">
        <v>0</v>
      </c>
      <c r="P20" s="16">
        <v>0</v>
      </c>
      <c r="Q20" s="14">
        <v>0</v>
      </c>
      <c r="R20" s="16">
        <v>0</v>
      </c>
    </row>
    <row r="21" spans="1:18" x14ac:dyDescent="0.25">
      <c r="A21" s="11" t="s">
        <v>153</v>
      </c>
      <c r="B21" s="17" t="s">
        <v>154</v>
      </c>
      <c r="C21" s="17" t="s">
        <v>154</v>
      </c>
      <c r="D21" s="18" t="s">
        <v>154</v>
      </c>
      <c r="E21" s="17" t="s">
        <v>154</v>
      </c>
      <c r="F21" s="18" t="s">
        <v>154</v>
      </c>
      <c r="G21" s="17" t="s">
        <v>154</v>
      </c>
      <c r="H21" s="18" t="s">
        <v>154</v>
      </c>
      <c r="I21" s="17" t="s">
        <v>154</v>
      </c>
      <c r="J21" s="18" t="s">
        <v>154</v>
      </c>
      <c r="K21" s="17" t="s">
        <v>154</v>
      </c>
      <c r="L21" s="18" t="s">
        <v>154</v>
      </c>
      <c r="M21" s="17" t="s">
        <v>154</v>
      </c>
      <c r="N21" s="18" t="s">
        <v>154</v>
      </c>
      <c r="O21" s="17" t="s">
        <v>154</v>
      </c>
      <c r="P21" s="18" t="s">
        <v>154</v>
      </c>
      <c r="Q21" s="17" t="s">
        <v>154</v>
      </c>
      <c r="R21" s="18" t="s">
        <v>154</v>
      </c>
    </row>
    <row r="22" spans="1:18" x14ac:dyDescent="0.25">
      <c r="A22" s="11" t="s">
        <v>155</v>
      </c>
      <c r="B22" s="13">
        <v>6598</v>
      </c>
      <c r="C22" s="14">
        <f>(5561/B22*100)</f>
        <v>84.283116095786596</v>
      </c>
      <c r="D22" s="15">
        <v>1037</v>
      </c>
      <c r="E22" s="14">
        <v>53.389985799999998</v>
      </c>
      <c r="F22" s="16">
        <v>1.73395447</v>
      </c>
      <c r="G22" s="14">
        <v>46.610014200000002</v>
      </c>
      <c r="H22" s="16">
        <v>1.73395447</v>
      </c>
      <c r="I22" s="14" t="s">
        <v>139</v>
      </c>
      <c r="J22" s="16" t="s">
        <v>139</v>
      </c>
      <c r="K22" s="14">
        <v>0</v>
      </c>
      <c r="L22" s="16">
        <v>0</v>
      </c>
      <c r="M22" s="14">
        <v>0</v>
      </c>
      <c r="N22" s="16">
        <v>0</v>
      </c>
      <c r="O22" s="14">
        <v>0</v>
      </c>
      <c r="P22" s="16">
        <v>0</v>
      </c>
      <c r="Q22" s="14">
        <v>0</v>
      </c>
      <c r="R22" s="16">
        <v>0</v>
      </c>
    </row>
    <row r="23" spans="1:18" x14ac:dyDescent="0.25">
      <c r="A23" s="11" t="s">
        <v>156</v>
      </c>
      <c r="B23" s="13">
        <v>11583</v>
      </c>
      <c r="C23" s="14">
        <f>(9588/B23*100)</f>
        <v>82.77648277648278</v>
      </c>
      <c r="D23" s="15">
        <v>1995</v>
      </c>
      <c r="E23" s="14">
        <v>48.93493951</v>
      </c>
      <c r="F23" s="16">
        <v>1.8915486800000001</v>
      </c>
      <c r="G23" s="14">
        <v>51.06506049</v>
      </c>
      <c r="H23" s="16">
        <v>1.8915486800000001</v>
      </c>
      <c r="I23" s="14" t="s">
        <v>139</v>
      </c>
      <c r="J23" s="16" t="s">
        <v>139</v>
      </c>
      <c r="K23" s="14">
        <v>0</v>
      </c>
      <c r="L23" s="16">
        <v>0</v>
      </c>
      <c r="M23" s="14">
        <v>0</v>
      </c>
      <c r="N23" s="16">
        <v>0</v>
      </c>
      <c r="O23" s="14">
        <v>0</v>
      </c>
      <c r="P23" s="16">
        <v>0</v>
      </c>
      <c r="Q23" s="14">
        <v>0</v>
      </c>
      <c r="R23" s="16">
        <v>0</v>
      </c>
    </row>
    <row r="24" spans="1:18" x14ac:dyDescent="0.25">
      <c r="A24" s="11" t="s">
        <v>157</v>
      </c>
      <c r="B24" s="13">
        <v>6647</v>
      </c>
      <c r="C24" s="14">
        <f>(5465/B24*100)</f>
        <v>82.217541748157061</v>
      </c>
      <c r="D24" s="15">
        <v>1182</v>
      </c>
      <c r="E24" s="14">
        <v>49.686820939999997</v>
      </c>
      <c r="F24" s="16">
        <v>1.3792573800000001</v>
      </c>
      <c r="G24" s="14">
        <v>50.313179060000003</v>
      </c>
      <c r="H24" s="16">
        <v>1.3792573800000001</v>
      </c>
      <c r="I24" s="14" t="s">
        <v>139</v>
      </c>
      <c r="J24" s="16" t="s">
        <v>139</v>
      </c>
      <c r="K24" s="14">
        <v>0</v>
      </c>
      <c r="L24" s="16">
        <v>0</v>
      </c>
      <c r="M24" s="14">
        <v>0</v>
      </c>
      <c r="N24" s="16">
        <v>0</v>
      </c>
      <c r="O24" s="14">
        <v>0</v>
      </c>
      <c r="P24" s="16">
        <v>0</v>
      </c>
      <c r="Q24" s="14">
        <v>0</v>
      </c>
      <c r="R24" s="16">
        <v>0</v>
      </c>
    </row>
    <row r="25" spans="1:18" x14ac:dyDescent="0.25">
      <c r="A25" s="11" t="s">
        <v>158</v>
      </c>
      <c r="B25" s="13">
        <v>5581</v>
      </c>
      <c r="C25" s="14">
        <f>(4601/B25*100)</f>
        <v>82.440422863286145</v>
      </c>
      <c r="D25" s="15">
        <v>980</v>
      </c>
      <c r="E25" s="14">
        <v>45.401483939999999</v>
      </c>
      <c r="F25" s="16">
        <v>1.5993076100000001</v>
      </c>
      <c r="G25" s="14">
        <v>54.598516060000001</v>
      </c>
      <c r="H25" s="16">
        <v>1.5993076100000001</v>
      </c>
      <c r="I25" s="14" t="s">
        <v>139</v>
      </c>
      <c r="J25" s="16" t="s">
        <v>139</v>
      </c>
      <c r="K25" s="14">
        <v>0</v>
      </c>
      <c r="L25" s="16">
        <v>0</v>
      </c>
      <c r="M25" s="14">
        <v>0</v>
      </c>
      <c r="N25" s="16">
        <v>0</v>
      </c>
      <c r="O25" s="14">
        <v>0</v>
      </c>
      <c r="P25" s="16">
        <v>0</v>
      </c>
      <c r="Q25" s="14">
        <v>0</v>
      </c>
      <c r="R25" s="16">
        <v>0</v>
      </c>
    </row>
    <row r="26" spans="1:18" x14ac:dyDescent="0.25">
      <c r="A26" s="11" t="s">
        <v>159</v>
      </c>
      <c r="B26" s="13">
        <v>4869</v>
      </c>
      <c r="C26" s="14">
        <f>(4035/B26*100)</f>
        <v>82.871226124460875</v>
      </c>
      <c r="D26" s="15">
        <v>834</v>
      </c>
      <c r="E26" s="14">
        <v>48.760960769999997</v>
      </c>
      <c r="F26" s="16">
        <v>1.8552467699999999</v>
      </c>
      <c r="G26" s="14">
        <v>51.239039230000003</v>
      </c>
      <c r="H26" s="16">
        <v>1.8552467699999999</v>
      </c>
      <c r="I26" s="14" t="s">
        <v>139</v>
      </c>
      <c r="J26" s="16" t="s">
        <v>139</v>
      </c>
      <c r="K26" s="14">
        <v>0</v>
      </c>
      <c r="L26" s="16">
        <v>0</v>
      </c>
      <c r="M26" s="14">
        <v>0</v>
      </c>
      <c r="N26" s="16">
        <v>0</v>
      </c>
      <c r="O26" s="14">
        <v>0</v>
      </c>
      <c r="P26" s="16">
        <v>0</v>
      </c>
      <c r="Q26" s="14">
        <v>0</v>
      </c>
      <c r="R26" s="16">
        <v>0</v>
      </c>
    </row>
    <row r="27" spans="1:18" x14ac:dyDescent="0.25">
      <c r="A27" s="11" t="s">
        <v>160</v>
      </c>
      <c r="B27" s="13">
        <v>5299</v>
      </c>
      <c r="C27" s="14">
        <f>(4386/B27*100)</f>
        <v>82.770334025287795</v>
      </c>
      <c r="D27" s="15">
        <v>913</v>
      </c>
      <c r="E27" s="14">
        <v>56.354217230000003</v>
      </c>
      <c r="F27" s="16">
        <v>1.51210997</v>
      </c>
      <c r="G27" s="14">
        <v>43.645782769999997</v>
      </c>
      <c r="H27" s="16">
        <v>1.51210997</v>
      </c>
      <c r="I27" s="14" t="s">
        <v>139</v>
      </c>
      <c r="J27" s="16" t="s">
        <v>139</v>
      </c>
      <c r="K27" s="14">
        <v>0</v>
      </c>
      <c r="L27" s="16">
        <v>0</v>
      </c>
      <c r="M27" s="14">
        <v>0</v>
      </c>
      <c r="N27" s="16">
        <v>0</v>
      </c>
      <c r="O27" s="14">
        <v>0</v>
      </c>
      <c r="P27" s="16">
        <v>0</v>
      </c>
      <c r="Q27" s="14">
        <v>0</v>
      </c>
      <c r="R27" s="16">
        <v>0</v>
      </c>
    </row>
    <row r="28" spans="1:18" x14ac:dyDescent="0.25">
      <c r="A28" s="11" t="s">
        <v>161</v>
      </c>
      <c r="B28" s="13">
        <v>7568</v>
      </c>
      <c r="C28" s="14">
        <f>(6279/B28*100)</f>
        <v>82.967758985200845</v>
      </c>
      <c r="D28" s="15">
        <v>1289</v>
      </c>
      <c r="E28" s="14">
        <v>54.170687389999998</v>
      </c>
      <c r="F28" s="16">
        <v>1.71655924</v>
      </c>
      <c r="G28" s="14">
        <v>45.829312610000002</v>
      </c>
      <c r="H28" s="16">
        <v>1.71655924</v>
      </c>
      <c r="I28" s="14" t="s">
        <v>139</v>
      </c>
      <c r="J28" s="16" t="s">
        <v>139</v>
      </c>
      <c r="K28" s="14">
        <v>0</v>
      </c>
      <c r="L28" s="16">
        <v>0</v>
      </c>
      <c r="M28" s="14">
        <v>0</v>
      </c>
      <c r="N28" s="16">
        <v>0</v>
      </c>
      <c r="O28" s="14">
        <v>0</v>
      </c>
      <c r="P28" s="16">
        <v>0</v>
      </c>
      <c r="Q28" s="14">
        <v>0</v>
      </c>
      <c r="R28" s="16">
        <v>0</v>
      </c>
    </row>
    <row r="29" spans="1:18" x14ac:dyDescent="0.25">
      <c r="A29" s="11" t="s">
        <v>162</v>
      </c>
      <c r="B29" s="13">
        <v>5385</v>
      </c>
      <c r="C29" s="14">
        <f>(4466/B29*100)</f>
        <v>82.934076137418757</v>
      </c>
      <c r="D29" s="15">
        <v>919</v>
      </c>
      <c r="E29" s="14">
        <v>53.638759440000001</v>
      </c>
      <c r="F29" s="16">
        <v>1.65370361</v>
      </c>
      <c r="G29" s="14">
        <v>46.361240559999999</v>
      </c>
      <c r="H29" s="16">
        <v>1.65370361</v>
      </c>
      <c r="I29" s="14" t="s">
        <v>139</v>
      </c>
      <c r="J29" s="16" t="s">
        <v>139</v>
      </c>
      <c r="K29" s="14">
        <v>0</v>
      </c>
      <c r="L29" s="16">
        <v>0</v>
      </c>
      <c r="M29" s="14">
        <v>0</v>
      </c>
      <c r="N29" s="16">
        <v>0</v>
      </c>
      <c r="O29" s="14">
        <v>0</v>
      </c>
      <c r="P29" s="16">
        <v>0</v>
      </c>
      <c r="Q29" s="14">
        <v>0</v>
      </c>
      <c r="R29" s="16">
        <v>0</v>
      </c>
    </row>
    <row r="30" spans="1:18" x14ac:dyDescent="0.25">
      <c r="A30" s="11" t="s">
        <v>163</v>
      </c>
      <c r="B30" s="13">
        <v>4520</v>
      </c>
      <c r="C30" s="14">
        <f>(3740/B30*100)</f>
        <v>82.743362831858406</v>
      </c>
      <c r="D30" s="15">
        <v>780</v>
      </c>
      <c r="E30" s="14">
        <v>42.967899119999998</v>
      </c>
      <c r="F30" s="16">
        <v>1.9263082899999999</v>
      </c>
      <c r="G30" s="14">
        <v>57.032100880000002</v>
      </c>
      <c r="H30" s="16">
        <v>1.9263082899999999</v>
      </c>
      <c r="I30" s="14" t="s">
        <v>139</v>
      </c>
      <c r="J30" s="16" t="s">
        <v>139</v>
      </c>
      <c r="K30" s="14">
        <v>0</v>
      </c>
      <c r="L30" s="16">
        <v>0</v>
      </c>
      <c r="M30" s="14">
        <v>0</v>
      </c>
      <c r="N30" s="16">
        <v>0</v>
      </c>
      <c r="O30" s="14">
        <v>0</v>
      </c>
      <c r="P30" s="16">
        <v>0</v>
      </c>
      <c r="Q30" s="14">
        <v>0</v>
      </c>
      <c r="R30" s="16">
        <v>0</v>
      </c>
    </row>
    <row r="31" spans="1:18" x14ac:dyDescent="0.25">
      <c r="A31" s="11" t="s">
        <v>164</v>
      </c>
      <c r="B31" s="13">
        <v>5456</v>
      </c>
      <c r="C31" s="14">
        <f>(4485/B31*100)</f>
        <v>82.203079178885631</v>
      </c>
      <c r="D31" s="15">
        <v>971</v>
      </c>
      <c r="E31" s="14">
        <v>45.066081580000002</v>
      </c>
      <c r="F31" s="16">
        <v>1.43691992</v>
      </c>
      <c r="G31" s="14">
        <v>54.933918419999998</v>
      </c>
      <c r="H31" s="16">
        <v>1.43691992</v>
      </c>
      <c r="I31" s="14" t="s">
        <v>139</v>
      </c>
      <c r="J31" s="16" t="s">
        <v>139</v>
      </c>
      <c r="K31" s="14">
        <v>0</v>
      </c>
      <c r="L31" s="16">
        <v>0</v>
      </c>
      <c r="M31" s="14">
        <v>0</v>
      </c>
      <c r="N31" s="16">
        <v>0</v>
      </c>
      <c r="O31" s="14">
        <v>0</v>
      </c>
      <c r="P31" s="16">
        <v>0</v>
      </c>
      <c r="Q31" s="14">
        <v>0</v>
      </c>
      <c r="R31" s="16">
        <v>0</v>
      </c>
    </row>
    <row r="32" spans="1:18" x14ac:dyDescent="0.25">
      <c r="A32" s="11" t="s">
        <v>165</v>
      </c>
      <c r="B32" s="17" t="s">
        <v>154</v>
      </c>
      <c r="C32" s="17" t="s">
        <v>154</v>
      </c>
      <c r="D32" s="18" t="s">
        <v>154</v>
      </c>
      <c r="E32" s="17" t="s">
        <v>154</v>
      </c>
      <c r="F32" s="18" t="s">
        <v>154</v>
      </c>
      <c r="G32" s="17" t="s">
        <v>154</v>
      </c>
      <c r="H32" s="18" t="s">
        <v>154</v>
      </c>
      <c r="I32" s="17" t="s">
        <v>154</v>
      </c>
      <c r="J32" s="18" t="s">
        <v>154</v>
      </c>
      <c r="K32" s="17" t="s">
        <v>154</v>
      </c>
      <c r="L32" s="18" t="s">
        <v>154</v>
      </c>
      <c r="M32" s="17" t="s">
        <v>154</v>
      </c>
      <c r="N32" s="18" t="s">
        <v>154</v>
      </c>
      <c r="O32" s="17" t="s">
        <v>154</v>
      </c>
      <c r="P32" s="18" t="s">
        <v>154</v>
      </c>
      <c r="Q32" s="17" t="s">
        <v>154</v>
      </c>
      <c r="R32" s="18" t="s">
        <v>154</v>
      </c>
    </row>
    <row r="33" spans="1:18" x14ac:dyDescent="0.25">
      <c r="A33" s="11" t="s">
        <v>166</v>
      </c>
      <c r="B33" s="13">
        <v>7325</v>
      </c>
      <c r="C33" s="14">
        <f>(6050/B33*100)</f>
        <v>82.593856655290097</v>
      </c>
      <c r="D33" s="15">
        <v>1275</v>
      </c>
      <c r="E33" s="14">
        <v>49.779264840000003</v>
      </c>
      <c r="F33" s="16">
        <v>1.98263291</v>
      </c>
      <c r="G33" s="14">
        <v>50.220735159999997</v>
      </c>
      <c r="H33" s="16">
        <v>1.98263291</v>
      </c>
      <c r="I33" s="14" t="s">
        <v>139</v>
      </c>
      <c r="J33" s="16" t="s">
        <v>139</v>
      </c>
      <c r="K33" s="14">
        <v>0</v>
      </c>
      <c r="L33" s="16">
        <v>0</v>
      </c>
      <c r="M33" s="14">
        <v>0</v>
      </c>
      <c r="N33" s="16">
        <v>0</v>
      </c>
      <c r="O33" s="14">
        <v>0</v>
      </c>
      <c r="P33" s="16">
        <v>0</v>
      </c>
      <c r="Q33" s="14">
        <v>0</v>
      </c>
      <c r="R33" s="16">
        <v>0</v>
      </c>
    </row>
    <row r="34" spans="1:18" x14ac:dyDescent="0.25">
      <c r="A34" s="11" t="s">
        <v>167</v>
      </c>
      <c r="B34" s="13">
        <v>6350</v>
      </c>
      <c r="C34" s="14">
        <f>(5295/B34*100)</f>
        <v>83.385826771653555</v>
      </c>
      <c r="D34" s="15">
        <v>1055</v>
      </c>
      <c r="E34" s="14">
        <v>48.837405799999999</v>
      </c>
      <c r="F34" s="16">
        <v>1.67178369</v>
      </c>
      <c r="G34" s="14">
        <v>51.162594200000001</v>
      </c>
      <c r="H34" s="16">
        <v>1.67178369</v>
      </c>
      <c r="I34" s="14" t="s">
        <v>139</v>
      </c>
      <c r="J34" s="16" t="s">
        <v>139</v>
      </c>
      <c r="K34" s="14">
        <v>0</v>
      </c>
      <c r="L34" s="16">
        <v>0</v>
      </c>
      <c r="M34" s="14">
        <v>0</v>
      </c>
      <c r="N34" s="16">
        <v>0</v>
      </c>
      <c r="O34" s="14">
        <v>0</v>
      </c>
      <c r="P34" s="16">
        <v>0</v>
      </c>
      <c r="Q34" s="14">
        <v>0</v>
      </c>
      <c r="R34" s="16">
        <v>0</v>
      </c>
    </row>
    <row r="35" spans="1:18" x14ac:dyDescent="0.25">
      <c r="A35" s="11" t="s">
        <v>168</v>
      </c>
      <c r="B35" s="13">
        <v>6406</v>
      </c>
      <c r="C35" s="14">
        <f>(5326/B35*100)</f>
        <v>83.140805494848578</v>
      </c>
      <c r="D35" s="15">
        <v>1080</v>
      </c>
      <c r="E35" s="14">
        <v>43.051585549999999</v>
      </c>
      <c r="F35" s="16">
        <v>1.7653671799999999</v>
      </c>
      <c r="G35" s="14">
        <v>56.948414450000001</v>
      </c>
      <c r="H35" s="16">
        <v>1.7653671799999999</v>
      </c>
      <c r="I35" s="14" t="s">
        <v>139</v>
      </c>
      <c r="J35" s="16" t="s">
        <v>139</v>
      </c>
      <c r="K35" s="14">
        <v>0</v>
      </c>
      <c r="L35" s="16">
        <v>0</v>
      </c>
      <c r="M35" s="14">
        <v>0</v>
      </c>
      <c r="N35" s="16">
        <v>0</v>
      </c>
      <c r="O35" s="14">
        <v>0</v>
      </c>
      <c r="P35" s="16">
        <v>0</v>
      </c>
      <c r="Q35" s="14">
        <v>0</v>
      </c>
      <c r="R35" s="16">
        <v>0</v>
      </c>
    </row>
    <row r="36" spans="1:18" x14ac:dyDescent="0.25">
      <c r="A36" s="11" t="s">
        <v>169</v>
      </c>
      <c r="B36" s="13">
        <v>6736</v>
      </c>
      <c r="C36" s="14">
        <f>(5579/B36*100)</f>
        <v>82.823634204275535</v>
      </c>
      <c r="D36" s="15">
        <v>1157</v>
      </c>
      <c r="E36" s="14">
        <v>50.444903150000002</v>
      </c>
      <c r="F36" s="16">
        <v>1.41297845</v>
      </c>
      <c r="G36" s="14">
        <v>49.555096849999998</v>
      </c>
      <c r="H36" s="16">
        <v>1.41297845</v>
      </c>
      <c r="I36" s="14" t="s">
        <v>139</v>
      </c>
      <c r="J36" s="16" t="s">
        <v>139</v>
      </c>
      <c r="K36" s="14">
        <v>0</v>
      </c>
      <c r="L36" s="16">
        <v>0</v>
      </c>
      <c r="M36" s="14">
        <v>0</v>
      </c>
      <c r="N36" s="16">
        <v>0</v>
      </c>
      <c r="O36" s="14">
        <v>0</v>
      </c>
      <c r="P36" s="16">
        <v>0</v>
      </c>
      <c r="Q36" s="14">
        <v>0</v>
      </c>
      <c r="R36" s="16">
        <v>0</v>
      </c>
    </row>
    <row r="37" spans="1:18" x14ac:dyDescent="0.25">
      <c r="A37" s="11" t="s">
        <v>170</v>
      </c>
      <c r="B37" s="13">
        <v>5458</v>
      </c>
      <c r="C37" s="14">
        <f>(4514/B37*100)</f>
        <v>82.704287284719683</v>
      </c>
      <c r="D37" s="15">
        <v>944</v>
      </c>
      <c r="E37" s="14">
        <v>51.524134170000004</v>
      </c>
      <c r="F37" s="16">
        <v>1.77003701</v>
      </c>
      <c r="G37" s="14">
        <v>48.475865829999996</v>
      </c>
      <c r="H37" s="16">
        <v>1.77003701</v>
      </c>
      <c r="I37" s="14" t="s">
        <v>139</v>
      </c>
      <c r="J37" s="16" t="s">
        <v>139</v>
      </c>
      <c r="K37" s="14">
        <v>0</v>
      </c>
      <c r="L37" s="16">
        <v>0</v>
      </c>
      <c r="M37" s="14">
        <v>0</v>
      </c>
      <c r="N37" s="16">
        <v>0</v>
      </c>
      <c r="O37" s="14">
        <v>0</v>
      </c>
      <c r="P37" s="16">
        <v>0</v>
      </c>
      <c r="Q37" s="14">
        <v>0</v>
      </c>
      <c r="R37" s="16">
        <v>0</v>
      </c>
    </row>
    <row r="38" spans="1:18" x14ac:dyDescent="0.25">
      <c r="A38" s="11" t="s">
        <v>171</v>
      </c>
      <c r="B38" s="17" t="s">
        <v>154</v>
      </c>
      <c r="C38" s="17" t="s">
        <v>154</v>
      </c>
      <c r="D38" s="18" t="s">
        <v>154</v>
      </c>
      <c r="E38" s="17" t="s">
        <v>154</v>
      </c>
      <c r="F38" s="18" t="s">
        <v>154</v>
      </c>
      <c r="G38" s="17" t="s">
        <v>154</v>
      </c>
      <c r="H38" s="18" t="s">
        <v>154</v>
      </c>
      <c r="I38" s="17" t="s">
        <v>154</v>
      </c>
      <c r="J38" s="18" t="s">
        <v>154</v>
      </c>
      <c r="K38" s="17" t="s">
        <v>154</v>
      </c>
      <c r="L38" s="18" t="s">
        <v>154</v>
      </c>
      <c r="M38" s="17" t="s">
        <v>154</v>
      </c>
      <c r="N38" s="18" t="s">
        <v>154</v>
      </c>
      <c r="O38" s="17" t="s">
        <v>154</v>
      </c>
      <c r="P38" s="18" t="s">
        <v>154</v>
      </c>
      <c r="Q38" s="17" t="s">
        <v>154</v>
      </c>
      <c r="R38" s="18" t="s">
        <v>154</v>
      </c>
    </row>
    <row r="39" spans="1:18" x14ac:dyDescent="0.25">
      <c r="A39" s="11" t="s">
        <v>172</v>
      </c>
      <c r="B39" s="13">
        <v>5895</v>
      </c>
      <c r="C39" s="14">
        <f>(4868/B39*100)</f>
        <v>82.578456318914334</v>
      </c>
      <c r="D39" s="15">
        <v>1027</v>
      </c>
      <c r="E39" s="14">
        <v>57.417894320000002</v>
      </c>
      <c r="F39" s="16">
        <v>1.81648375</v>
      </c>
      <c r="G39" s="14">
        <v>42.582105679999998</v>
      </c>
      <c r="H39" s="16">
        <v>1.81648375</v>
      </c>
      <c r="I39" s="14" t="s">
        <v>139</v>
      </c>
      <c r="J39" s="16" t="s">
        <v>139</v>
      </c>
      <c r="K39" s="14">
        <v>0</v>
      </c>
      <c r="L39" s="16">
        <v>0</v>
      </c>
      <c r="M39" s="14">
        <v>0</v>
      </c>
      <c r="N39" s="16">
        <v>0</v>
      </c>
      <c r="O39" s="14">
        <v>0</v>
      </c>
      <c r="P39" s="16">
        <v>0</v>
      </c>
      <c r="Q39" s="14">
        <v>0</v>
      </c>
      <c r="R39" s="16">
        <v>0</v>
      </c>
    </row>
    <row r="40" spans="1:18" x14ac:dyDescent="0.25">
      <c r="A40" s="11" t="s">
        <v>173</v>
      </c>
      <c r="B40" s="13">
        <v>14157</v>
      </c>
      <c r="C40" s="14">
        <f>(11668/B40*100)</f>
        <v>82.418591509500601</v>
      </c>
      <c r="D40" s="15">
        <v>2489</v>
      </c>
      <c r="E40" s="14">
        <v>46.527004980000001</v>
      </c>
      <c r="F40" s="16">
        <v>1.4771285700000001</v>
      </c>
      <c r="G40" s="14">
        <v>53.472995019999999</v>
      </c>
      <c r="H40" s="16">
        <v>1.4771285700000001</v>
      </c>
      <c r="I40" s="14" t="s">
        <v>139</v>
      </c>
      <c r="J40" s="16" t="s">
        <v>139</v>
      </c>
      <c r="K40" s="14">
        <v>0</v>
      </c>
      <c r="L40" s="16">
        <v>0</v>
      </c>
      <c r="M40" s="14">
        <v>0</v>
      </c>
      <c r="N40" s="16">
        <v>0</v>
      </c>
      <c r="O40" s="14">
        <v>0</v>
      </c>
      <c r="P40" s="16">
        <v>0</v>
      </c>
      <c r="Q40" s="14">
        <v>0</v>
      </c>
      <c r="R40" s="16">
        <v>0</v>
      </c>
    </row>
    <row r="41" spans="1:18" x14ac:dyDescent="0.25">
      <c r="A41" s="11" t="s">
        <v>174</v>
      </c>
      <c r="B41" s="13">
        <v>5712</v>
      </c>
      <c r="C41" s="14">
        <f>(4739/B41*100)</f>
        <v>82.965686274509807</v>
      </c>
      <c r="D41" s="15">
        <v>973</v>
      </c>
      <c r="E41" s="14">
        <v>45.49282676</v>
      </c>
      <c r="F41" s="16">
        <v>1.7912964</v>
      </c>
      <c r="G41" s="14">
        <v>54.50717324</v>
      </c>
      <c r="H41" s="16">
        <v>1.7912964</v>
      </c>
      <c r="I41" s="14" t="s">
        <v>139</v>
      </c>
      <c r="J41" s="16" t="s">
        <v>139</v>
      </c>
      <c r="K41" s="14">
        <v>0</v>
      </c>
      <c r="L41" s="16">
        <v>0</v>
      </c>
      <c r="M41" s="14">
        <v>0</v>
      </c>
      <c r="N41" s="16">
        <v>0</v>
      </c>
      <c r="O41" s="14">
        <v>0</v>
      </c>
      <c r="P41" s="16">
        <v>0</v>
      </c>
      <c r="Q41" s="14">
        <v>0</v>
      </c>
      <c r="R41" s="16">
        <v>0</v>
      </c>
    </row>
    <row r="42" spans="1:18" x14ac:dyDescent="0.25">
      <c r="A42" s="11" t="s">
        <v>175</v>
      </c>
      <c r="B42" s="13">
        <f>IF(COUNT(B7:B41) &gt; 0, AVERAGE(B7:B41), "\u2014")</f>
        <v>7266.90625</v>
      </c>
      <c r="C42" s="14">
        <f>IF(COUNT(C7:C41) &gt; 0, AVERAGE(C7:C41), "—")</f>
        <v>82.886507869102488</v>
      </c>
      <c r="D42" s="15">
        <f>IF(COUNT(D7:D41) &gt; 0, AVERAGE(D7:D41), "—")</f>
        <v>1243.875</v>
      </c>
      <c r="E42" s="14">
        <f>IF(COUNT(E7:E41) &gt; 0, AVERAGE(E7:E41), "—")</f>
        <v>50.08760206125001</v>
      </c>
      <c r="F42" s="16">
        <f>IF(COUNT(F7:F41) &gt; 0, SQRT(SUMSQ(F7:F41)/(COUNT(F7:F41)*COUNT(F7:F41)) ), "—")</f>
        <v>0.29967034133213255</v>
      </c>
      <c r="G42" s="14">
        <f>IF(COUNT(G7:G41) &gt; 0, AVERAGE(G7:G41), "—")</f>
        <v>49.91239793874999</v>
      </c>
      <c r="H42" s="16">
        <f>IF(COUNT(H7:H41) &gt; 0, SQRT(SUMSQ(H7:H41)/(COUNT(H7:H41)*COUNT(H7:H41)) ), "—")</f>
        <v>0.29967034133213255</v>
      </c>
      <c r="I42" s="14" t="str">
        <f>IF(COUNT(I7:I41) &gt; 0, AVERAGE(I7:I41), "—")</f>
        <v>—</v>
      </c>
      <c r="J42" s="16" t="str">
        <f>IF(COUNT(J7:J41) &gt; 0, SQRT(SUMSQ(J7:J41)/(COUNT(J7:J41)*COUNT(J7:J41)) ), "—")</f>
        <v>—</v>
      </c>
      <c r="K42" s="14">
        <f>IF(COUNT(K7:K41) &gt; 0, AVERAGE(K7:K41), "—")</f>
        <v>0</v>
      </c>
      <c r="L42" s="16">
        <f>IF(COUNT(L7:L41) &gt; 0, SQRT(SUMSQ(L7:L41)/(COUNT(L7:L41)*COUNT(L7:L41)) ), "—")</f>
        <v>0</v>
      </c>
      <c r="M42" s="14">
        <f>IF(COUNT(M7:M41) &gt; 0, AVERAGE(M7:M41), "—")</f>
        <v>0</v>
      </c>
      <c r="N42" s="16">
        <f>IF(COUNT(N7:N41) &gt; 0, SQRT(SUMSQ(N7:N41)/(COUNT(N7:N41)*COUNT(N7:N41)) ), "—")</f>
        <v>0</v>
      </c>
      <c r="O42" s="14">
        <f>IF(COUNT(O7:O41) &gt; 0, AVERAGE(O7:O41), "—")</f>
        <v>0</v>
      </c>
      <c r="P42" s="16">
        <f>IF(COUNT(P7:P41) &gt; 0, SQRT(SUMSQ(P7:P41)/(COUNT(P7:P41)*COUNT(P7:P41)) ), "—")</f>
        <v>0</v>
      </c>
      <c r="Q42" s="14">
        <f>IF(COUNT(Q7:Q41) &gt; 0, AVERAGE(Q7:Q41), "—")</f>
        <v>0</v>
      </c>
      <c r="R42" s="16">
        <f>IF(COUNT(R7:R41) &gt; 0, SQRT(SUMSQ(R7:R41)/(COUNT(R7:R41)*COUNT(R7:R41)) ), "—")</f>
        <v>0</v>
      </c>
    </row>
    <row r="43" spans="1:18" x14ac:dyDescent="0.25">
      <c r="A43" s="9" t="s">
        <v>176</v>
      </c>
      <c r="B43" s="10"/>
      <c r="C43" s="10"/>
      <c r="D43" s="11"/>
      <c r="E43" s="10"/>
      <c r="F43" s="11"/>
      <c r="G43" s="10"/>
      <c r="H43" s="11"/>
      <c r="I43" s="10"/>
      <c r="J43" s="11"/>
      <c r="K43" s="10"/>
      <c r="L43" s="11"/>
      <c r="M43" s="10"/>
      <c r="N43" s="11"/>
      <c r="O43" s="10"/>
      <c r="P43" s="11"/>
      <c r="Q43" s="10"/>
      <c r="R43" s="12"/>
    </row>
    <row r="44" spans="1:18" x14ac:dyDescent="0.25">
      <c r="A44" s="11" t="s">
        <v>177</v>
      </c>
      <c r="B44" s="17" t="s">
        <v>154</v>
      </c>
      <c r="C44" s="17" t="s">
        <v>154</v>
      </c>
      <c r="D44" s="18" t="s">
        <v>154</v>
      </c>
      <c r="E44" s="17" t="s">
        <v>154</v>
      </c>
      <c r="F44" s="18" t="s">
        <v>154</v>
      </c>
      <c r="G44" s="17" t="s">
        <v>154</v>
      </c>
      <c r="H44" s="18" t="s">
        <v>154</v>
      </c>
      <c r="I44" s="17" t="s">
        <v>154</v>
      </c>
      <c r="J44" s="18" t="s">
        <v>154</v>
      </c>
      <c r="K44" s="17" t="s">
        <v>154</v>
      </c>
      <c r="L44" s="18" t="s">
        <v>154</v>
      </c>
      <c r="M44" s="17" t="s">
        <v>154</v>
      </c>
      <c r="N44" s="18" t="s">
        <v>154</v>
      </c>
      <c r="O44" s="17" t="s">
        <v>154</v>
      </c>
      <c r="P44" s="18" t="s">
        <v>154</v>
      </c>
      <c r="Q44" s="17" t="s">
        <v>154</v>
      </c>
      <c r="R44" s="18" t="s">
        <v>154</v>
      </c>
    </row>
    <row r="45" spans="1:18" x14ac:dyDescent="0.25">
      <c r="A45" s="11" t="s">
        <v>178</v>
      </c>
      <c r="B45" s="17" t="s">
        <v>154</v>
      </c>
      <c r="C45" s="17" t="s">
        <v>154</v>
      </c>
      <c r="D45" s="18" t="s">
        <v>154</v>
      </c>
      <c r="E45" s="17" t="s">
        <v>154</v>
      </c>
      <c r="F45" s="18" t="s">
        <v>154</v>
      </c>
      <c r="G45" s="17" t="s">
        <v>154</v>
      </c>
      <c r="H45" s="18" t="s">
        <v>154</v>
      </c>
      <c r="I45" s="17" t="s">
        <v>154</v>
      </c>
      <c r="J45" s="18" t="s">
        <v>154</v>
      </c>
      <c r="K45" s="17" t="s">
        <v>154</v>
      </c>
      <c r="L45" s="18" t="s">
        <v>154</v>
      </c>
      <c r="M45" s="17" t="s">
        <v>154</v>
      </c>
      <c r="N45" s="18" t="s">
        <v>154</v>
      </c>
      <c r="O45" s="17" t="s">
        <v>154</v>
      </c>
      <c r="P45" s="18" t="s">
        <v>154</v>
      </c>
      <c r="Q45" s="17" t="s">
        <v>154</v>
      </c>
      <c r="R45" s="18" t="s">
        <v>154</v>
      </c>
    </row>
    <row r="46" spans="1:18" x14ac:dyDescent="0.25">
      <c r="A46" s="11" t="s">
        <v>179</v>
      </c>
      <c r="B46" s="13">
        <v>23141</v>
      </c>
      <c r="C46" s="14">
        <f>(19431/B46*100)</f>
        <v>83.967849271855144</v>
      </c>
      <c r="D46" s="15">
        <v>3710</v>
      </c>
      <c r="E46" s="14">
        <v>61.467402030000002</v>
      </c>
      <c r="F46" s="16">
        <v>1.1010626400000001</v>
      </c>
      <c r="G46" s="14">
        <v>38.532597969999998</v>
      </c>
      <c r="H46" s="16">
        <v>1.1010626400000001</v>
      </c>
      <c r="I46" s="14" t="s">
        <v>139</v>
      </c>
      <c r="J46" s="16" t="s">
        <v>139</v>
      </c>
      <c r="K46" s="14">
        <v>0</v>
      </c>
      <c r="L46" s="16">
        <v>0</v>
      </c>
      <c r="M46" s="14">
        <v>0</v>
      </c>
      <c r="N46" s="16">
        <v>0</v>
      </c>
      <c r="O46" s="14">
        <v>0</v>
      </c>
      <c r="P46" s="16">
        <v>0</v>
      </c>
      <c r="Q46" s="14">
        <v>0</v>
      </c>
      <c r="R46" s="16">
        <v>0</v>
      </c>
    </row>
    <row r="47" spans="1:18" x14ac:dyDescent="0.25">
      <c r="A47" s="11" t="s">
        <v>180</v>
      </c>
      <c r="B47" s="13">
        <v>5928</v>
      </c>
      <c r="C47" s="14">
        <f>(4911/B47*100)</f>
        <v>82.844129554655865</v>
      </c>
      <c r="D47" s="15">
        <v>1017</v>
      </c>
      <c r="E47" s="14">
        <v>58.039534979999999</v>
      </c>
      <c r="F47" s="16">
        <v>1.7351148700000001</v>
      </c>
      <c r="G47" s="14">
        <v>41.960465020000001</v>
      </c>
      <c r="H47" s="16">
        <v>1.7351148700000001</v>
      </c>
      <c r="I47" s="14" t="s">
        <v>139</v>
      </c>
      <c r="J47" s="16" t="s">
        <v>139</v>
      </c>
      <c r="K47" s="14">
        <v>0</v>
      </c>
      <c r="L47" s="16">
        <v>0</v>
      </c>
      <c r="M47" s="14">
        <v>0</v>
      </c>
      <c r="N47" s="16">
        <v>0</v>
      </c>
      <c r="O47" s="14">
        <v>0</v>
      </c>
      <c r="P47" s="16">
        <v>0</v>
      </c>
      <c r="Q47" s="14">
        <v>0</v>
      </c>
      <c r="R47" s="16">
        <v>0</v>
      </c>
    </row>
    <row r="48" spans="1:18" x14ac:dyDescent="0.25">
      <c r="A48" s="11" t="s">
        <v>181</v>
      </c>
      <c r="B48" s="13">
        <v>9841</v>
      </c>
      <c r="C48" s="14">
        <f>(8127/B48*100)</f>
        <v>82.583070826135554</v>
      </c>
      <c r="D48" s="15">
        <v>1714</v>
      </c>
      <c r="E48" s="14">
        <v>52.065626000000002</v>
      </c>
      <c r="F48" s="16">
        <v>1.6023564699999999</v>
      </c>
      <c r="G48" s="14">
        <v>47.934373999999998</v>
      </c>
      <c r="H48" s="16">
        <v>1.6023564699999999</v>
      </c>
      <c r="I48" s="14" t="s">
        <v>139</v>
      </c>
      <c r="J48" s="16" t="s">
        <v>139</v>
      </c>
      <c r="K48" s="14">
        <v>0</v>
      </c>
      <c r="L48" s="16">
        <v>0</v>
      </c>
      <c r="M48" s="14">
        <v>0</v>
      </c>
      <c r="N48" s="16">
        <v>0</v>
      </c>
      <c r="O48" s="14">
        <v>0</v>
      </c>
      <c r="P48" s="16">
        <v>0</v>
      </c>
      <c r="Q48" s="14">
        <v>0</v>
      </c>
      <c r="R48" s="16">
        <v>0</v>
      </c>
    </row>
    <row r="49" spans="1:18" x14ac:dyDescent="0.25">
      <c r="A49" s="11" t="s">
        <v>182</v>
      </c>
      <c r="B49" s="17" t="s">
        <v>154</v>
      </c>
      <c r="C49" s="17" t="s">
        <v>154</v>
      </c>
      <c r="D49" s="18" t="s">
        <v>154</v>
      </c>
      <c r="E49" s="17" t="s">
        <v>154</v>
      </c>
      <c r="F49" s="18" t="s">
        <v>154</v>
      </c>
      <c r="G49" s="17" t="s">
        <v>154</v>
      </c>
      <c r="H49" s="18" t="s">
        <v>154</v>
      </c>
      <c r="I49" s="17" t="s">
        <v>154</v>
      </c>
      <c r="J49" s="18" t="s">
        <v>154</v>
      </c>
      <c r="K49" s="17" t="s">
        <v>154</v>
      </c>
      <c r="L49" s="18" t="s">
        <v>154</v>
      </c>
      <c r="M49" s="17" t="s">
        <v>154</v>
      </c>
      <c r="N49" s="18" t="s">
        <v>154</v>
      </c>
      <c r="O49" s="17" t="s">
        <v>154</v>
      </c>
      <c r="P49" s="18" t="s">
        <v>154</v>
      </c>
      <c r="Q49" s="17" t="s">
        <v>154</v>
      </c>
      <c r="R49" s="18" t="s">
        <v>154</v>
      </c>
    </row>
    <row r="50" spans="1:18" x14ac:dyDescent="0.25">
      <c r="A50" s="11" t="s">
        <v>183</v>
      </c>
      <c r="B50" s="13">
        <v>11795</v>
      </c>
      <c r="C50" s="14">
        <f>(9777/B50*100)</f>
        <v>82.891055532005083</v>
      </c>
      <c r="D50" s="15">
        <v>2018</v>
      </c>
      <c r="E50" s="14">
        <v>52.947255310000003</v>
      </c>
      <c r="F50" s="16">
        <v>1.3080630099999999</v>
      </c>
      <c r="G50" s="14">
        <v>47.052744689999997</v>
      </c>
      <c r="H50" s="16">
        <v>1.3080630099999999</v>
      </c>
      <c r="I50" s="14" t="s">
        <v>139</v>
      </c>
      <c r="J50" s="16" t="s">
        <v>139</v>
      </c>
      <c r="K50" s="14">
        <v>0</v>
      </c>
      <c r="L50" s="16">
        <v>0</v>
      </c>
      <c r="M50" s="14">
        <v>0</v>
      </c>
      <c r="N50" s="16">
        <v>0</v>
      </c>
      <c r="O50" s="14">
        <v>0</v>
      </c>
      <c r="P50" s="16">
        <v>0</v>
      </c>
      <c r="Q50" s="14">
        <v>0</v>
      </c>
      <c r="R50" s="16">
        <v>0</v>
      </c>
    </row>
    <row r="51" spans="1:18" x14ac:dyDescent="0.25">
      <c r="A51" s="11" t="s">
        <v>184</v>
      </c>
      <c r="B51" s="13">
        <v>6866</v>
      </c>
      <c r="C51" s="14">
        <f>(5813/B51*100)</f>
        <v>84.663559568890179</v>
      </c>
      <c r="D51" s="15">
        <v>1053</v>
      </c>
      <c r="E51" s="14">
        <v>61.454367079999997</v>
      </c>
      <c r="F51" s="16">
        <v>1.7093407</v>
      </c>
      <c r="G51" s="14">
        <v>38.545632920000003</v>
      </c>
      <c r="H51" s="16">
        <v>1.7093407</v>
      </c>
      <c r="I51" s="14" t="s">
        <v>139</v>
      </c>
      <c r="J51" s="16" t="s">
        <v>139</v>
      </c>
      <c r="K51" s="14">
        <v>0</v>
      </c>
      <c r="L51" s="16">
        <v>0</v>
      </c>
      <c r="M51" s="14">
        <v>0</v>
      </c>
      <c r="N51" s="16">
        <v>0</v>
      </c>
      <c r="O51" s="14">
        <v>0</v>
      </c>
      <c r="P51" s="16">
        <v>0</v>
      </c>
      <c r="Q51" s="14">
        <v>0</v>
      </c>
      <c r="R51" s="16">
        <v>0</v>
      </c>
    </row>
    <row r="52" spans="1:18" x14ac:dyDescent="0.25">
      <c r="A52" s="11" t="s">
        <v>185</v>
      </c>
      <c r="B52" s="13">
        <v>5809</v>
      </c>
      <c r="C52" s="14">
        <f>(4817/B52*100)</f>
        <v>82.923050438974016</v>
      </c>
      <c r="D52" s="15">
        <v>992</v>
      </c>
      <c r="E52" s="14">
        <v>53.601077959999998</v>
      </c>
      <c r="F52" s="16">
        <v>2.06017984</v>
      </c>
      <c r="G52" s="14">
        <v>46.398922040000002</v>
      </c>
      <c r="H52" s="16">
        <v>2.06017984</v>
      </c>
      <c r="I52" s="14" t="s">
        <v>139</v>
      </c>
      <c r="J52" s="16" t="s">
        <v>139</v>
      </c>
      <c r="K52" s="14">
        <v>0</v>
      </c>
      <c r="L52" s="16">
        <v>0</v>
      </c>
      <c r="M52" s="14">
        <v>0</v>
      </c>
      <c r="N52" s="16">
        <v>0</v>
      </c>
      <c r="O52" s="14">
        <v>0</v>
      </c>
      <c r="P52" s="16">
        <v>0</v>
      </c>
      <c r="Q52" s="14">
        <v>0</v>
      </c>
      <c r="R52" s="16">
        <v>0</v>
      </c>
    </row>
    <row r="53" spans="1:18" x14ac:dyDescent="0.25">
      <c r="A53" s="11" t="s">
        <v>186</v>
      </c>
      <c r="B53" s="13">
        <v>5571</v>
      </c>
      <c r="C53" s="14">
        <f>(4595/B53*100)</f>
        <v>82.480703643870044</v>
      </c>
      <c r="D53" s="15">
        <v>976</v>
      </c>
      <c r="E53" s="14">
        <v>60.913727969999997</v>
      </c>
      <c r="F53" s="16">
        <v>1.6127645799999999</v>
      </c>
      <c r="G53" s="14">
        <v>39.086272030000003</v>
      </c>
      <c r="H53" s="16">
        <v>1.6127645799999999</v>
      </c>
      <c r="I53" s="14" t="s">
        <v>139</v>
      </c>
      <c r="J53" s="16" t="s">
        <v>139</v>
      </c>
      <c r="K53" s="14">
        <v>0</v>
      </c>
      <c r="L53" s="16">
        <v>0</v>
      </c>
      <c r="M53" s="14">
        <v>0</v>
      </c>
      <c r="N53" s="16">
        <v>0</v>
      </c>
      <c r="O53" s="14">
        <v>0</v>
      </c>
      <c r="P53" s="16">
        <v>0</v>
      </c>
      <c r="Q53" s="14">
        <v>0</v>
      </c>
      <c r="R53" s="16">
        <v>0</v>
      </c>
    </row>
    <row r="54" spans="1:18" x14ac:dyDescent="0.25">
      <c r="A54" s="11" t="s">
        <v>187</v>
      </c>
      <c r="B54" s="17" t="s">
        <v>154</v>
      </c>
      <c r="C54" s="17" t="s">
        <v>154</v>
      </c>
      <c r="D54" s="18" t="s">
        <v>154</v>
      </c>
      <c r="E54" s="17" t="s">
        <v>154</v>
      </c>
      <c r="F54" s="18" t="s">
        <v>154</v>
      </c>
      <c r="G54" s="17" t="s">
        <v>154</v>
      </c>
      <c r="H54" s="18" t="s">
        <v>154</v>
      </c>
      <c r="I54" s="17" t="s">
        <v>154</v>
      </c>
      <c r="J54" s="18" t="s">
        <v>154</v>
      </c>
      <c r="K54" s="17" t="s">
        <v>154</v>
      </c>
      <c r="L54" s="18" t="s">
        <v>154</v>
      </c>
      <c r="M54" s="17" t="s">
        <v>154</v>
      </c>
      <c r="N54" s="18" t="s">
        <v>154</v>
      </c>
      <c r="O54" s="17" t="s">
        <v>154</v>
      </c>
      <c r="P54" s="18" t="s">
        <v>154</v>
      </c>
      <c r="Q54" s="17" t="s">
        <v>154</v>
      </c>
      <c r="R54" s="18" t="s">
        <v>154</v>
      </c>
    </row>
    <row r="55" spans="1:18" x14ac:dyDescent="0.25">
      <c r="A55" s="11" t="s">
        <v>188</v>
      </c>
      <c r="B55" s="17" t="s">
        <v>154</v>
      </c>
      <c r="C55" s="17" t="s">
        <v>154</v>
      </c>
      <c r="D55" s="18" t="s">
        <v>154</v>
      </c>
      <c r="E55" s="17" t="s">
        <v>154</v>
      </c>
      <c r="F55" s="18" t="s">
        <v>154</v>
      </c>
      <c r="G55" s="17" t="s">
        <v>154</v>
      </c>
      <c r="H55" s="18" t="s">
        <v>154</v>
      </c>
      <c r="I55" s="17" t="s">
        <v>154</v>
      </c>
      <c r="J55" s="18" t="s">
        <v>154</v>
      </c>
      <c r="K55" s="17" t="s">
        <v>154</v>
      </c>
      <c r="L55" s="18" t="s">
        <v>154</v>
      </c>
      <c r="M55" s="17" t="s">
        <v>154</v>
      </c>
      <c r="N55" s="18" t="s">
        <v>154</v>
      </c>
      <c r="O55" s="17" t="s">
        <v>154</v>
      </c>
      <c r="P55" s="18" t="s">
        <v>154</v>
      </c>
      <c r="Q55" s="17" t="s">
        <v>154</v>
      </c>
      <c r="R55" s="18" t="s">
        <v>154</v>
      </c>
    </row>
    <row r="56" spans="1:18" x14ac:dyDescent="0.25">
      <c r="A56" s="11" t="s">
        <v>189</v>
      </c>
      <c r="B56" s="13">
        <v>5359</v>
      </c>
      <c r="C56" s="14">
        <f>(4425/B56*100)</f>
        <v>82.57137525657771</v>
      </c>
      <c r="D56" s="15">
        <v>934</v>
      </c>
      <c r="E56" s="14">
        <v>46.442741159999997</v>
      </c>
      <c r="F56" s="16">
        <v>1.7045174999999999</v>
      </c>
      <c r="G56" s="14">
        <v>53.557258840000003</v>
      </c>
      <c r="H56" s="16">
        <v>1.7045174999999999</v>
      </c>
      <c r="I56" s="14" t="s">
        <v>139</v>
      </c>
      <c r="J56" s="16" t="s">
        <v>139</v>
      </c>
      <c r="K56" s="14">
        <v>0</v>
      </c>
      <c r="L56" s="16">
        <v>0</v>
      </c>
      <c r="M56" s="14">
        <v>0</v>
      </c>
      <c r="N56" s="16">
        <v>0</v>
      </c>
      <c r="O56" s="14">
        <v>0</v>
      </c>
      <c r="P56" s="16">
        <v>0</v>
      </c>
      <c r="Q56" s="14">
        <v>0</v>
      </c>
      <c r="R56" s="16">
        <v>0</v>
      </c>
    </row>
    <row r="57" spans="1:18" x14ac:dyDescent="0.25">
      <c r="A57" s="11" t="s">
        <v>190</v>
      </c>
      <c r="B57" s="17" t="s">
        <v>154</v>
      </c>
      <c r="C57" s="17" t="s">
        <v>154</v>
      </c>
      <c r="D57" s="18" t="s">
        <v>154</v>
      </c>
      <c r="E57" s="17" t="s">
        <v>154</v>
      </c>
      <c r="F57" s="18" t="s">
        <v>154</v>
      </c>
      <c r="G57" s="17" t="s">
        <v>154</v>
      </c>
      <c r="H57" s="18" t="s">
        <v>154</v>
      </c>
      <c r="I57" s="17" t="s">
        <v>154</v>
      </c>
      <c r="J57" s="18" t="s">
        <v>154</v>
      </c>
      <c r="K57" s="17" t="s">
        <v>154</v>
      </c>
      <c r="L57" s="18" t="s">
        <v>154</v>
      </c>
      <c r="M57" s="17" t="s">
        <v>154</v>
      </c>
      <c r="N57" s="18" t="s">
        <v>154</v>
      </c>
      <c r="O57" s="17" t="s">
        <v>154</v>
      </c>
      <c r="P57" s="18" t="s">
        <v>154</v>
      </c>
      <c r="Q57" s="17" t="s">
        <v>154</v>
      </c>
      <c r="R57" s="18" t="s">
        <v>154</v>
      </c>
    </row>
    <row r="58" spans="1:18" x14ac:dyDescent="0.25">
      <c r="A58" s="11" t="s">
        <v>191</v>
      </c>
      <c r="B58" s="17" t="s">
        <v>154</v>
      </c>
      <c r="C58" s="17" t="s">
        <v>154</v>
      </c>
      <c r="D58" s="18" t="s">
        <v>154</v>
      </c>
      <c r="E58" s="17" t="s">
        <v>154</v>
      </c>
      <c r="F58" s="18" t="s">
        <v>154</v>
      </c>
      <c r="G58" s="17" t="s">
        <v>154</v>
      </c>
      <c r="H58" s="18" t="s">
        <v>154</v>
      </c>
      <c r="I58" s="17" t="s">
        <v>154</v>
      </c>
      <c r="J58" s="18" t="s">
        <v>154</v>
      </c>
      <c r="K58" s="17" t="s">
        <v>154</v>
      </c>
      <c r="L58" s="18" t="s">
        <v>154</v>
      </c>
      <c r="M58" s="17" t="s">
        <v>154</v>
      </c>
      <c r="N58" s="18" t="s">
        <v>154</v>
      </c>
      <c r="O58" s="17" t="s">
        <v>154</v>
      </c>
      <c r="P58" s="18" t="s">
        <v>154</v>
      </c>
      <c r="Q58" s="17" t="s">
        <v>154</v>
      </c>
      <c r="R58" s="18" t="s">
        <v>154</v>
      </c>
    </row>
    <row r="59" spans="1:18" x14ac:dyDescent="0.25">
      <c r="A59" s="11" t="s">
        <v>192</v>
      </c>
      <c r="B59" s="17" t="s">
        <v>154</v>
      </c>
      <c r="C59" s="17" t="s">
        <v>154</v>
      </c>
      <c r="D59" s="18" t="s">
        <v>154</v>
      </c>
      <c r="E59" s="17" t="s">
        <v>154</v>
      </c>
      <c r="F59" s="18" t="s">
        <v>154</v>
      </c>
      <c r="G59" s="17" t="s">
        <v>154</v>
      </c>
      <c r="H59" s="18" t="s">
        <v>154</v>
      </c>
      <c r="I59" s="17" t="s">
        <v>154</v>
      </c>
      <c r="J59" s="18" t="s">
        <v>154</v>
      </c>
      <c r="K59" s="17" t="s">
        <v>154</v>
      </c>
      <c r="L59" s="18" t="s">
        <v>154</v>
      </c>
      <c r="M59" s="17" t="s">
        <v>154</v>
      </c>
      <c r="N59" s="18" t="s">
        <v>154</v>
      </c>
      <c r="O59" s="17" t="s">
        <v>154</v>
      </c>
      <c r="P59" s="18" t="s">
        <v>154</v>
      </c>
      <c r="Q59" s="17" t="s">
        <v>154</v>
      </c>
      <c r="R59" s="18" t="s">
        <v>154</v>
      </c>
    </row>
    <row r="60" spans="1:18" x14ac:dyDescent="0.25">
      <c r="A60" s="11" t="s">
        <v>193</v>
      </c>
      <c r="B60" s="17" t="s">
        <v>154</v>
      </c>
      <c r="C60" s="17" t="s">
        <v>154</v>
      </c>
      <c r="D60" s="18" t="s">
        <v>154</v>
      </c>
      <c r="E60" s="17" t="s">
        <v>154</v>
      </c>
      <c r="F60" s="18" t="s">
        <v>154</v>
      </c>
      <c r="G60" s="17" t="s">
        <v>154</v>
      </c>
      <c r="H60" s="18" t="s">
        <v>154</v>
      </c>
      <c r="I60" s="17" t="s">
        <v>154</v>
      </c>
      <c r="J60" s="18" t="s">
        <v>154</v>
      </c>
      <c r="K60" s="17" t="s">
        <v>154</v>
      </c>
      <c r="L60" s="18" t="s">
        <v>154</v>
      </c>
      <c r="M60" s="17" t="s">
        <v>154</v>
      </c>
      <c r="N60" s="18" t="s">
        <v>154</v>
      </c>
      <c r="O60" s="17" t="s">
        <v>154</v>
      </c>
      <c r="P60" s="18" t="s">
        <v>154</v>
      </c>
      <c r="Q60" s="17" t="s">
        <v>154</v>
      </c>
      <c r="R60" s="18" t="s">
        <v>154</v>
      </c>
    </row>
    <row r="61" spans="1:18" x14ac:dyDescent="0.25">
      <c r="A61" s="11" t="s">
        <v>194</v>
      </c>
      <c r="B61" s="13">
        <v>6525</v>
      </c>
      <c r="C61" s="14">
        <f>(5404/B61*100)</f>
        <v>82.819923371647505</v>
      </c>
      <c r="D61" s="15">
        <v>1121</v>
      </c>
      <c r="E61" s="14">
        <v>51.326478739999999</v>
      </c>
      <c r="F61" s="16">
        <v>1.6786449699999999</v>
      </c>
      <c r="G61" s="14">
        <v>48.673521260000001</v>
      </c>
      <c r="H61" s="16">
        <v>1.6786449699999999</v>
      </c>
      <c r="I61" s="14" t="s">
        <v>139</v>
      </c>
      <c r="J61" s="16" t="s">
        <v>139</v>
      </c>
      <c r="K61" s="14">
        <v>0</v>
      </c>
      <c r="L61" s="16">
        <v>0</v>
      </c>
      <c r="M61" s="14">
        <v>0</v>
      </c>
      <c r="N61" s="16">
        <v>0</v>
      </c>
      <c r="O61" s="14">
        <v>0</v>
      </c>
      <c r="P61" s="16">
        <v>0</v>
      </c>
      <c r="Q61" s="14">
        <v>0</v>
      </c>
      <c r="R61" s="16">
        <v>0</v>
      </c>
    </row>
    <row r="62" spans="1:18" x14ac:dyDescent="0.25">
      <c r="A62" s="11" t="s">
        <v>195</v>
      </c>
      <c r="B62" s="13">
        <v>4476</v>
      </c>
      <c r="C62" s="14">
        <f>(3709/B62*100)</f>
        <v>82.864164432529037</v>
      </c>
      <c r="D62" s="15">
        <v>767</v>
      </c>
      <c r="E62" s="14">
        <v>44.357619390000004</v>
      </c>
      <c r="F62" s="16">
        <v>1.6622497599999999</v>
      </c>
      <c r="G62" s="14">
        <v>55.642380609999996</v>
      </c>
      <c r="H62" s="16">
        <v>1.6622497599999999</v>
      </c>
      <c r="I62" s="14" t="s">
        <v>139</v>
      </c>
      <c r="J62" s="16" t="s">
        <v>139</v>
      </c>
      <c r="K62" s="14">
        <v>0</v>
      </c>
      <c r="L62" s="16">
        <v>0</v>
      </c>
      <c r="M62" s="14">
        <v>0</v>
      </c>
      <c r="N62" s="16">
        <v>0</v>
      </c>
      <c r="O62" s="14">
        <v>0</v>
      </c>
      <c r="P62" s="16">
        <v>0</v>
      </c>
      <c r="Q62" s="14">
        <v>0</v>
      </c>
      <c r="R62" s="16">
        <v>0</v>
      </c>
    </row>
    <row r="63" spans="1:18" x14ac:dyDescent="0.25">
      <c r="A63" s="11" t="s">
        <v>196</v>
      </c>
      <c r="B63" s="17" t="s">
        <v>154</v>
      </c>
      <c r="C63" s="17" t="s">
        <v>154</v>
      </c>
      <c r="D63" s="18" t="s">
        <v>154</v>
      </c>
      <c r="E63" s="17" t="s">
        <v>154</v>
      </c>
      <c r="F63" s="18" t="s">
        <v>154</v>
      </c>
      <c r="G63" s="17" t="s">
        <v>154</v>
      </c>
      <c r="H63" s="18" t="s">
        <v>154</v>
      </c>
      <c r="I63" s="17" t="s">
        <v>154</v>
      </c>
      <c r="J63" s="18" t="s">
        <v>154</v>
      </c>
      <c r="K63" s="17" t="s">
        <v>154</v>
      </c>
      <c r="L63" s="18" t="s">
        <v>154</v>
      </c>
      <c r="M63" s="17" t="s">
        <v>154</v>
      </c>
      <c r="N63" s="18" t="s">
        <v>154</v>
      </c>
      <c r="O63" s="17" t="s">
        <v>154</v>
      </c>
      <c r="P63" s="18" t="s">
        <v>154</v>
      </c>
      <c r="Q63" s="17" t="s">
        <v>154</v>
      </c>
      <c r="R63" s="18" t="s">
        <v>154</v>
      </c>
    </row>
    <row r="64" spans="1:18" x14ac:dyDescent="0.25">
      <c r="A64" s="11" t="s">
        <v>197</v>
      </c>
      <c r="B64" s="17" t="s">
        <v>154</v>
      </c>
      <c r="C64" s="17" t="s">
        <v>154</v>
      </c>
      <c r="D64" s="18" t="s">
        <v>154</v>
      </c>
      <c r="E64" s="17" t="s">
        <v>154</v>
      </c>
      <c r="F64" s="18" t="s">
        <v>154</v>
      </c>
      <c r="G64" s="17" t="s">
        <v>154</v>
      </c>
      <c r="H64" s="18" t="s">
        <v>154</v>
      </c>
      <c r="I64" s="17" t="s">
        <v>154</v>
      </c>
      <c r="J64" s="18" t="s">
        <v>154</v>
      </c>
      <c r="K64" s="17" t="s">
        <v>154</v>
      </c>
      <c r="L64" s="18" t="s">
        <v>154</v>
      </c>
      <c r="M64" s="17" t="s">
        <v>154</v>
      </c>
      <c r="N64" s="18" t="s">
        <v>154</v>
      </c>
      <c r="O64" s="17" t="s">
        <v>154</v>
      </c>
      <c r="P64" s="18" t="s">
        <v>154</v>
      </c>
      <c r="Q64" s="17" t="s">
        <v>154</v>
      </c>
      <c r="R64" s="18" t="s">
        <v>154</v>
      </c>
    </row>
    <row r="65" spans="1:18" x14ac:dyDescent="0.25">
      <c r="A65" s="11" t="s">
        <v>198</v>
      </c>
      <c r="B65" s="17" t="s">
        <v>154</v>
      </c>
      <c r="C65" s="17" t="s">
        <v>154</v>
      </c>
      <c r="D65" s="18" t="s">
        <v>154</v>
      </c>
      <c r="E65" s="17" t="s">
        <v>154</v>
      </c>
      <c r="F65" s="18" t="s">
        <v>154</v>
      </c>
      <c r="G65" s="17" t="s">
        <v>154</v>
      </c>
      <c r="H65" s="18" t="s">
        <v>154</v>
      </c>
      <c r="I65" s="17" t="s">
        <v>154</v>
      </c>
      <c r="J65" s="18" t="s">
        <v>154</v>
      </c>
      <c r="K65" s="17" t="s">
        <v>154</v>
      </c>
      <c r="L65" s="18" t="s">
        <v>154</v>
      </c>
      <c r="M65" s="17" t="s">
        <v>154</v>
      </c>
      <c r="N65" s="18" t="s">
        <v>154</v>
      </c>
      <c r="O65" s="17" t="s">
        <v>154</v>
      </c>
      <c r="P65" s="18" t="s">
        <v>154</v>
      </c>
      <c r="Q65" s="17" t="s">
        <v>154</v>
      </c>
      <c r="R65" s="18" t="s">
        <v>154</v>
      </c>
    </row>
    <row r="66" spans="1:18" x14ac:dyDescent="0.25">
      <c r="A66" s="11" t="s">
        <v>199</v>
      </c>
      <c r="B66" s="13">
        <v>5665</v>
      </c>
      <c r="C66" s="14">
        <f>(4693/B66*100)</f>
        <v>82.842012356575466</v>
      </c>
      <c r="D66" s="15">
        <v>972</v>
      </c>
      <c r="E66" s="14">
        <v>66.419101019999999</v>
      </c>
      <c r="F66" s="16">
        <v>1.48163727</v>
      </c>
      <c r="G66" s="14">
        <v>33.580898980000001</v>
      </c>
      <c r="H66" s="16">
        <v>1.48163727</v>
      </c>
      <c r="I66" s="14" t="s">
        <v>139</v>
      </c>
      <c r="J66" s="16" t="s">
        <v>139</v>
      </c>
      <c r="K66" s="14">
        <v>0</v>
      </c>
      <c r="L66" s="16">
        <v>0</v>
      </c>
      <c r="M66" s="14">
        <v>0</v>
      </c>
      <c r="N66" s="16">
        <v>0</v>
      </c>
      <c r="O66" s="14">
        <v>0</v>
      </c>
      <c r="P66" s="16">
        <v>0</v>
      </c>
      <c r="Q66" s="14">
        <v>0</v>
      </c>
      <c r="R66" s="16">
        <v>0</v>
      </c>
    </row>
    <row r="67" spans="1:18" x14ac:dyDescent="0.25">
      <c r="A67" s="11" t="s">
        <v>200</v>
      </c>
      <c r="B67" s="13">
        <v>6971</v>
      </c>
      <c r="C67" s="14">
        <f>(5817/B67*100)</f>
        <v>83.445703629321471</v>
      </c>
      <c r="D67" s="15">
        <v>1154</v>
      </c>
      <c r="E67" s="14">
        <v>61.95215803</v>
      </c>
      <c r="F67" s="16">
        <v>1.5282840499999999</v>
      </c>
      <c r="G67" s="14">
        <v>38.04784197</v>
      </c>
      <c r="H67" s="16">
        <v>1.5282840499999999</v>
      </c>
      <c r="I67" s="14" t="s">
        <v>139</v>
      </c>
      <c r="J67" s="16" t="s">
        <v>139</v>
      </c>
      <c r="K67" s="14">
        <v>0</v>
      </c>
      <c r="L67" s="16">
        <v>0</v>
      </c>
      <c r="M67" s="14">
        <v>0</v>
      </c>
      <c r="N67" s="16">
        <v>0</v>
      </c>
      <c r="O67" s="14">
        <v>0</v>
      </c>
      <c r="P67" s="16">
        <v>0</v>
      </c>
      <c r="Q67" s="14">
        <v>0</v>
      </c>
      <c r="R67" s="16">
        <v>0</v>
      </c>
    </row>
    <row r="68" spans="1:18" x14ac:dyDescent="0.25">
      <c r="A68" s="11" t="s">
        <v>201</v>
      </c>
      <c r="B68" s="17" t="s">
        <v>154</v>
      </c>
      <c r="C68" s="17" t="s">
        <v>154</v>
      </c>
      <c r="D68" s="18" t="s">
        <v>154</v>
      </c>
      <c r="E68" s="17" t="s">
        <v>154</v>
      </c>
      <c r="F68" s="18" t="s">
        <v>154</v>
      </c>
      <c r="G68" s="17" t="s">
        <v>154</v>
      </c>
      <c r="H68" s="18" t="s">
        <v>154</v>
      </c>
      <c r="I68" s="17" t="s">
        <v>154</v>
      </c>
      <c r="J68" s="18" t="s">
        <v>154</v>
      </c>
      <c r="K68" s="17" t="s">
        <v>154</v>
      </c>
      <c r="L68" s="18" t="s">
        <v>154</v>
      </c>
      <c r="M68" s="17" t="s">
        <v>154</v>
      </c>
      <c r="N68" s="18" t="s">
        <v>154</v>
      </c>
      <c r="O68" s="17" t="s">
        <v>154</v>
      </c>
      <c r="P68" s="18" t="s">
        <v>154</v>
      </c>
      <c r="Q68" s="17" t="s">
        <v>154</v>
      </c>
      <c r="R68" s="18" t="s">
        <v>154</v>
      </c>
    </row>
    <row r="69" spans="1:18" x14ac:dyDescent="0.25">
      <c r="A69" s="11" t="s">
        <v>202</v>
      </c>
      <c r="B69" s="17" t="s">
        <v>154</v>
      </c>
      <c r="C69" s="17" t="s">
        <v>154</v>
      </c>
      <c r="D69" s="18" t="s">
        <v>154</v>
      </c>
      <c r="E69" s="17" t="s">
        <v>154</v>
      </c>
      <c r="F69" s="18" t="s">
        <v>154</v>
      </c>
      <c r="G69" s="17" t="s">
        <v>154</v>
      </c>
      <c r="H69" s="18" t="s">
        <v>154</v>
      </c>
      <c r="I69" s="17" t="s">
        <v>154</v>
      </c>
      <c r="J69" s="18" t="s">
        <v>154</v>
      </c>
      <c r="K69" s="17" t="s">
        <v>154</v>
      </c>
      <c r="L69" s="18" t="s">
        <v>154</v>
      </c>
      <c r="M69" s="17" t="s">
        <v>154</v>
      </c>
      <c r="N69" s="18" t="s">
        <v>154</v>
      </c>
      <c r="O69" s="17" t="s">
        <v>154</v>
      </c>
      <c r="P69" s="18" t="s">
        <v>154</v>
      </c>
      <c r="Q69" s="17" t="s">
        <v>154</v>
      </c>
      <c r="R69" s="18" t="s">
        <v>154</v>
      </c>
    </row>
    <row r="70" spans="1:18" x14ac:dyDescent="0.25">
      <c r="A70" s="11" t="s">
        <v>203</v>
      </c>
      <c r="B70" s="13">
        <v>6036</v>
      </c>
      <c r="C70" s="14">
        <f>(4994/B70*100)</f>
        <v>82.736911862160369</v>
      </c>
      <c r="D70" s="15">
        <v>1042</v>
      </c>
      <c r="E70" s="14">
        <v>49.455368649999997</v>
      </c>
      <c r="F70" s="16">
        <v>1.4822205399999999</v>
      </c>
      <c r="G70" s="14">
        <v>50.544631350000003</v>
      </c>
      <c r="H70" s="16">
        <v>1.4822205399999999</v>
      </c>
      <c r="I70" s="14" t="s">
        <v>139</v>
      </c>
      <c r="J70" s="16" t="s">
        <v>139</v>
      </c>
      <c r="K70" s="14">
        <v>0</v>
      </c>
      <c r="L70" s="16">
        <v>0</v>
      </c>
      <c r="M70" s="14">
        <v>0</v>
      </c>
      <c r="N70" s="16">
        <v>0</v>
      </c>
      <c r="O70" s="14">
        <v>0</v>
      </c>
      <c r="P70" s="16">
        <v>0</v>
      </c>
      <c r="Q70" s="14">
        <v>0</v>
      </c>
      <c r="R70" s="16">
        <v>0</v>
      </c>
    </row>
    <row r="71" spans="1:18" x14ac:dyDescent="0.25">
      <c r="A71" s="11" t="s">
        <v>204</v>
      </c>
      <c r="B71" s="17" t="s">
        <v>154</v>
      </c>
      <c r="C71" s="17" t="s">
        <v>154</v>
      </c>
      <c r="D71" s="18" t="s">
        <v>154</v>
      </c>
      <c r="E71" s="17" t="s">
        <v>154</v>
      </c>
      <c r="F71" s="18" t="s">
        <v>154</v>
      </c>
      <c r="G71" s="17" t="s">
        <v>154</v>
      </c>
      <c r="H71" s="18" t="s">
        <v>154</v>
      </c>
      <c r="I71" s="17" t="s">
        <v>154</v>
      </c>
      <c r="J71" s="18" t="s">
        <v>154</v>
      </c>
      <c r="K71" s="17" t="s">
        <v>154</v>
      </c>
      <c r="L71" s="18" t="s">
        <v>154</v>
      </c>
      <c r="M71" s="17" t="s">
        <v>154</v>
      </c>
      <c r="N71" s="18" t="s">
        <v>154</v>
      </c>
      <c r="O71" s="17" t="s">
        <v>154</v>
      </c>
      <c r="P71" s="18" t="s">
        <v>154</v>
      </c>
      <c r="Q71" s="17" t="s">
        <v>154</v>
      </c>
      <c r="R71" s="18" t="s">
        <v>154</v>
      </c>
    </row>
    <row r="72" spans="1:18" x14ac:dyDescent="0.25">
      <c r="A72" s="11" t="s">
        <v>205</v>
      </c>
      <c r="B72" s="13">
        <v>7708</v>
      </c>
      <c r="C72" s="14">
        <f>(6393/B72*100)</f>
        <v>82.939802802283353</v>
      </c>
      <c r="D72" s="15">
        <v>1315</v>
      </c>
      <c r="E72" s="14">
        <v>47.328055890000002</v>
      </c>
      <c r="F72" s="16">
        <v>1.5779426700000001</v>
      </c>
      <c r="G72" s="14">
        <v>52.671944109999998</v>
      </c>
      <c r="H72" s="16">
        <v>1.5779426700000001</v>
      </c>
      <c r="I72" s="14" t="s">
        <v>139</v>
      </c>
      <c r="J72" s="16" t="s">
        <v>139</v>
      </c>
      <c r="K72" s="14">
        <v>0</v>
      </c>
      <c r="L72" s="16">
        <v>0</v>
      </c>
      <c r="M72" s="14">
        <v>0</v>
      </c>
      <c r="N72" s="16">
        <v>0</v>
      </c>
      <c r="O72" s="14">
        <v>0</v>
      </c>
      <c r="P72" s="16">
        <v>0</v>
      </c>
      <c r="Q72" s="14">
        <v>0</v>
      </c>
      <c r="R72" s="16">
        <v>0</v>
      </c>
    </row>
    <row r="73" spans="1:18" x14ac:dyDescent="0.25">
      <c r="A73" s="11" t="s">
        <v>206</v>
      </c>
      <c r="B73" s="13">
        <v>8249</v>
      </c>
      <c r="C73" s="14">
        <f>(6839/B73*100)</f>
        <v>82.907019032610023</v>
      </c>
      <c r="D73" s="15">
        <v>1410</v>
      </c>
      <c r="E73" s="14">
        <v>58.22757481</v>
      </c>
      <c r="F73" s="16">
        <v>1.6876168199999999</v>
      </c>
      <c r="G73" s="14">
        <v>41.77242519</v>
      </c>
      <c r="H73" s="16">
        <v>1.6876168199999999</v>
      </c>
      <c r="I73" s="14" t="s">
        <v>139</v>
      </c>
      <c r="J73" s="16" t="s">
        <v>139</v>
      </c>
      <c r="K73" s="14">
        <v>0</v>
      </c>
      <c r="L73" s="16">
        <v>0</v>
      </c>
      <c r="M73" s="14">
        <v>0</v>
      </c>
      <c r="N73" s="16">
        <v>0</v>
      </c>
      <c r="O73" s="14">
        <v>0</v>
      </c>
      <c r="P73" s="16">
        <v>0</v>
      </c>
      <c r="Q73" s="14">
        <v>0</v>
      </c>
      <c r="R73" s="16">
        <v>0</v>
      </c>
    </row>
    <row r="74" spans="1:18" x14ac:dyDescent="0.25">
      <c r="A74" s="11" t="s">
        <v>207</v>
      </c>
      <c r="B74" s="17" t="s">
        <v>154</v>
      </c>
      <c r="C74" s="17" t="s">
        <v>154</v>
      </c>
      <c r="D74" s="18" t="s">
        <v>154</v>
      </c>
      <c r="E74" s="17" t="s">
        <v>154</v>
      </c>
      <c r="F74" s="18" t="s">
        <v>154</v>
      </c>
      <c r="G74" s="17" t="s">
        <v>154</v>
      </c>
      <c r="H74" s="18" t="s">
        <v>154</v>
      </c>
      <c r="I74" s="17" t="s">
        <v>154</v>
      </c>
      <c r="J74" s="18" t="s">
        <v>154</v>
      </c>
      <c r="K74" s="17" t="s">
        <v>154</v>
      </c>
      <c r="L74" s="18" t="s">
        <v>154</v>
      </c>
      <c r="M74" s="17" t="s">
        <v>154</v>
      </c>
      <c r="N74" s="18" t="s">
        <v>154</v>
      </c>
      <c r="O74" s="17" t="s">
        <v>154</v>
      </c>
      <c r="P74" s="18" t="s">
        <v>154</v>
      </c>
      <c r="Q74" s="17" t="s">
        <v>154</v>
      </c>
      <c r="R74" s="18" t="s">
        <v>154</v>
      </c>
    </row>
    <row r="75" spans="1:18" x14ac:dyDescent="0.25">
      <c r="A75" s="11" t="s">
        <v>208</v>
      </c>
      <c r="B75" s="13">
        <v>5375</v>
      </c>
      <c r="C75" s="14">
        <f>(4527/B75*100)</f>
        <v>84.223255813953486</v>
      </c>
      <c r="D75" s="15">
        <v>848</v>
      </c>
      <c r="E75" s="14">
        <v>63.604937020000001</v>
      </c>
      <c r="F75" s="16">
        <v>1.7323598</v>
      </c>
      <c r="G75" s="14">
        <v>36.395062979999999</v>
      </c>
      <c r="H75" s="16">
        <v>1.7323598</v>
      </c>
      <c r="I75" s="14" t="s">
        <v>139</v>
      </c>
      <c r="J75" s="16" t="s">
        <v>139</v>
      </c>
      <c r="K75" s="14">
        <v>0</v>
      </c>
      <c r="L75" s="16">
        <v>0</v>
      </c>
      <c r="M75" s="14">
        <v>0</v>
      </c>
      <c r="N75" s="16">
        <v>0</v>
      </c>
      <c r="O75" s="14">
        <v>0</v>
      </c>
      <c r="P75" s="16">
        <v>0</v>
      </c>
      <c r="Q75" s="14">
        <v>0</v>
      </c>
      <c r="R75" s="16">
        <v>0</v>
      </c>
    </row>
    <row r="76" spans="1:18" x14ac:dyDescent="0.25">
      <c r="A76" s="11" t="s">
        <v>209</v>
      </c>
      <c r="B76" s="13">
        <v>14167</v>
      </c>
      <c r="C76" s="14">
        <f>(11734/B76*100)</f>
        <v>82.826286440319052</v>
      </c>
      <c r="D76" s="15">
        <v>2433</v>
      </c>
      <c r="E76" s="14">
        <v>58.577011599999999</v>
      </c>
      <c r="F76" s="16">
        <v>1.4192771099999999</v>
      </c>
      <c r="G76" s="14">
        <v>41.422988400000001</v>
      </c>
      <c r="H76" s="16">
        <v>1.4192771099999999</v>
      </c>
      <c r="I76" s="14" t="s">
        <v>139</v>
      </c>
      <c r="J76" s="16" t="s">
        <v>139</v>
      </c>
      <c r="K76" s="14">
        <v>0</v>
      </c>
      <c r="L76" s="16">
        <v>0</v>
      </c>
      <c r="M76" s="14">
        <v>0</v>
      </c>
      <c r="N76" s="16">
        <v>0</v>
      </c>
      <c r="O76" s="14">
        <v>0</v>
      </c>
      <c r="P76" s="16">
        <v>0</v>
      </c>
      <c r="Q76" s="14">
        <v>0</v>
      </c>
      <c r="R76" s="16">
        <v>0</v>
      </c>
    </row>
    <row r="77" spans="1:18" x14ac:dyDescent="0.25">
      <c r="A77" s="11" t="s">
        <v>210</v>
      </c>
      <c r="B77" s="13">
        <v>6062</v>
      </c>
      <c r="C77" s="14">
        <f>(4996/B77*100)</f>
        <v>82.415044539755854</v>
      </c>
      <c r="D77" s="15">
        <v>1066</v>
      </c>
      <c r="E77" s="14">
        <v>59.791311090000001</v>
      </c>
      <c r="F77" s="16">
        <v>1.6345904499999999</v>
      </c>
      <c r="G77" s="14">
        <v>40.208688909999999</v>
      </c>
      <c r="H77" s="16">
        <v>1.6345904499999999</v>
      </c>
      <c r="I77" s="14" t="s">
        <v>139</v>
      </c>
      <c r="J77" s="16" t="s">
        <v>139</v>
      </c>
      <c r="K77" s="14">
        <v>0</v>
      </c>
      <c r="L77" s="16">
        <v>0</v>
      </c>
      <c r="M77" s="14">
        <v>0</v>
      </c>
      <c r="N77" s="16">
        <v>0</v>
      </c>
      <c r="O77" s="14">
        <v>0</v>
      </c>
      <c r="P77" s="16">
        <v>0</v>
      </c>
      <c r="Q77" s="14">
        <v>0</v>
      </c>
      <c r="R77" s="16">
        <v>0</v>
      </c>
    </row>
    <row r="78" spans="1:18" x14ac:dyDescent="0.25">
      <c r="A78" s="11" t="s">
        <v>211</v>
      </c>
      <c r="B78" s="17" t="s">
        <v>154</v>
      </c>
      <c r="C78" s="17" t="s">
        <v>154</v>
      </c>
      <c r="D78" s="18" t="s">
        <v>154</v>
      </c>
      <c r="E78" s="17" t="s">
        <v>154</v>
      </c>
      <c r="F78" s="18" t="s">
        <v>154</v>
      </c>
      <c r="G78" s="17" t="s">
        <v>154</v>
      </c>
      <c r="H78" s="18" t="s">
        <v>154</v>
      </c>
      <c r="I78" s="17" t="s">
        <v>154</v>
      </c>
      <c r="J78" s="18" t="s">
        <v>154</v>
      </c>
      <c r="K78" s="17" t="s">
        <v>154</v>
      </c>
      <c r="L78" s="18" t="s">
        <v>154</v>
      </c>
      <c r="M78" s="17" t="s">
        <v>154</v>
      </c>
      <c r="N78" s="18" t="s">
        <v>154</v>
      </c>
      <c r="O78" s="17" t="s">
        <v>154</v>
      </c>
      <c r="P78" s="18" t="s">
        <v>154</v>
      </c>
      <c r="Q78" s="17" t="s">
        <v>154</v>
      </c>
      <c r="R78" s="18" t="s">
        <v>154</v>
      </c>
    </row>
    <row r="79" spans="1:18" ht="24.95" customHeight="1" x14ac:dyDescent="0.25">
      <c r="A79" s="11" t="s">
        <v>212</v>
      </c>
      <c r="B79" s="17" t="s">
        <v>154</v>
      </c>
      <c r="C79" s="17" t="s">
        <v>154</v>
      </c>
      <c r="D79" s="18" t="s">
        <v>154</v>
      </c>
      <c r="E79" s="17" t="s">
        <v>154</v>
      </c>
      <c r="F79" s="18" t="s">
        <v>154</v>
      </c>
      <c r="G79" s="17" t="s">
        <v>154</v>
      </c>
      <c r="H79" s="18" t="s">
        <v>154</v>
      </c>
      <c r="I79" s="17" t="s">
        <v>154</v>
      </c>
      <c r="J79" s="18" t="s">
        <v>154</v>
      </c>
      <c r="K79" s="17" t="s">
        <v>154</v>
      </c>
      <c r="L79" s="18" t="s">
        <v>154</v>
      </c>
      <c r="M79" s="17" t="s">
        <v>154</v>
      </c>
      <c r="N79" s="18" t="s">
        <v>154</v>
      </c>
      <c r="O79" s="17" t="s">
        <v>154</v>
      </c>
      <c r="P79" s="18" t="s">
        <v>154</v>
      </c>
      <c r="Q79" s="17" t="s">
        <v>154</v>
      </c>
      <c r="R79" s="18" t="s">
        <v>154</v>
      </c>
    </row>
    <row r="80" spans="1:18" x14ac:dyDescent="0.25">
      <c r="A80" s="11" t="s">
        <v>213</v>
      </c>
      <c r="B80" s="17" t="s">
        <v>154</v>
      </c>
      <c r="C80" s="17" t="s">
        <v>154</v>
      </c>
      <c r="D80" s="18" t="s">
        <v>154</v>
      </c>
      <c r="E80" s="17" t="s">
        <v>154</v>
      </c>
      <c r="F80" s="18" t="s">
        <v>154</v>
      </c>
      <c r="G80" s="17" t="s">
        <v>154</v>
      </c>
      <c r="H80" s="18" t="s">
        <v>154</v>
      </c>
      <c r="I80" s="17" t="s">
        <v>154</v>
      </c>
      <c r="J80" s="18" t="s">
        <v>154</v>
      </c>
      <c r="K80" s="17" t="s">
        <v>154</v>
      </c>
      <c r="L80" s="18" t="s">
        <v>154</v>
      </c>
      <c r="M80" s="17" t="s">
        <v>154</v>
      </c>
      <c r="N80" s="18" t="s">
        <v>154</v>
      </c>
      <c r="O80" s="17" t="s">
        <v>154</v>
      </c>
      <c r="P80" s="18" t="s">
        <v>154</v>
      </c>
      <c r="Q80" s="17" t="s">
        <v>154</v>
      </c>
      <c r="R80" s="18" t="s">
        <v>154</v>
      </c>
    </row>
    <row r="81" spans="1:18" x14ac:dyDescent="0.25">
      <c r="A81" s="19" t="s">
        <v>214</v>
      </c>
      <c r="B81" s="13">
        <v>8861</v>
      </c>
      <c r="C81" s="14">
        <f>(7363/B81*100)</f>
        <v>83.094458864687965</v>
      </c>
      <c r="D81" s="15">
        <v>1498</v>
      </c>
      <c r="E81" s="14">
        <v>59.246478179999997</v>
      </c>
      <c r="F81" s="16">
        <v>1.3693617</v>
      </c>
      <c r="G81" s="14">
        <v>40.753521820000003</v>
      </c>
      <c r="H81" s="16">
        <v>1.3693617</v>
      </c>
      <c r="I81" s="14" t="s">
        <v>139</v>
      </c>
      <c r="J81" s="16" t="s">
        <v>139</v>
      </c>
      <c r="K81" s="14">
        <v>0</v>
      </c>
      <c r="L81" s="16">
        <v>0</v>
      </c>
      <c r="M81" s="14">
        <v>0</v>
      </c>
      <c r="N81" s="16">
        <v>0</v>
      </c>
      <c r="O81" s="14">
        <v>0</v>
      </c>
      <c r="P81" s="16">
        <v>0</v>
      </c>
      <c r="Q81" s="14">
        <v>0</v>
      </c>
      <c r="R81" s="16">
        <v>0</v>
      </c>
    </row>
    <row r="82" spans="1:18" x14ac:dyDescent="0.25">
      <c r="A82" s="20"/>
      <c r="B82" s="20" t="s">
        <v>215</v>
      </c>
      <c r="C82" s="20" t="s">
        <v>215</v>
      </c>
      <c r="D82" s="20" t="s">
        <v>215</v>
      </c>
      <c r="E82" s="20" t="s">
        <v>215</v>
      </c>
      <c r="F82" s="20" t="s">
        <v>215</v>
      </c>
      <c r="G82" s="20" t="s">
        <v>215</v>
      </c>
      <c r="H82" s="20" t="s">
        <v>215</v>
      </c>
      <c r="I82" s="20" t="s">
        <v>215</v>
      </c>
      <c r="J82" s="20" t="s">
        <v>215</v>
      </c>
      <c r="K82" s="20" t="s">
        <v>215</v>
      </c>
      <c r="L82" s="20" t="s">
        <v>215</v>
      </c>
      <c r="M82" s="20" t="s">
        <v>215</v>
      </c>
      <c r="N82" s="20" t="s">
        <v>215</v>
      </c>
      <c r="O82" s="20" t="s">
        <v>215</v>
      </c>
      <c r="P82" s="20" t="s">
        <v>215</v>
      </c>
      <c r="Q82" s="20" t="s">
        <v>215</v>
      </c>
      <c r="R82" s="20" t="s">
        <v>215</v>
      </c>
    </row>
    <row r="83" spans="1:18" x14ac:dyDescent="0.25">
      <c r="A83" s="3" t="s">
        <v>216</v>
      </c>
    </row>
    <row r="84" spans="1:18" x14ac:dyDescent="0.25">
      <c r="A84" s="22" t="s">
        <v>217</v>
      </c>
      <c r="B84" s="23"/>
      <c r="C84" s="23"/>
      <c r="D84" s="23"/>
      <c r="E84" s="23"/>
      <c r="F84" s="23"/>
      <c r="G84" s="23"/>
      <c r="H84" s="23"/>
      <c r="I84" s="23"/>
      <c r="J84" s="23"/>
      <c r="K84" s="23"/>
      <c r="L84" s="23"/>
      <c r="M84" s="23"/>
      <c r="N84" s="23"/>
      <c r="O84" s="23"/>
      <c r="P84" s="23"/>
      <c r="Q84" s="23"/>
      <c r="R84" s="23"/>
    </row>
    <row r="85" spans="1:18" x14ac:dyDescent="0.25">
      <c r="A85" s="22" t="s">
        <v>218</v>
      </c>
      <c r="B85" s="23"/>
      <c r="C85" s="23"/>
      <c r="D85" s="23"/>
      <c r="E85" s="23"/>
      <c r="F85" s="23"/>
      <c r="G85" s="23"/>
      <c r="H85" s="23"/>
      <c r="I85" s="23"/>
      <c r="J85" s="23"/>
      <c r="K85" s="23"/>
      <c r="L85" s="23"/>
      <c r="M85" s="23"/>
      <c r="N85" s="23"/>
      <c r="O85" s="23"/>
      <c r="P85" s="23"/>
      <c r="Q85" s="23"/>
      <c r="R85" s="23"/>
    </row>
    <row r="86" spans="1:18" ht="30" customHeight="1" x14ac:dyDescent="0.25">
      <c r="A86" s="22" t="s">
        <v>219</v>
      </c>
      <c r="B86" s="23"/>
      <c r="C86" s="23"/>
      <c r="D86" s="23"/>
      <c r="E86" s="23"/>
      <c r="F86" s="23"/>
      <c r="G86" s="23"/>
      <c r="H86" s="23"/>
      <c r="I86" s="23"/>
      <c r="J86" s="23"/>
      <c r="K86" s="23"/>
      <c r="L86" s="23"/>
      <c r="M86" s="23"/>
      <c r="N86" s="23"/>
      <c r="O86" s="23"/>
      <c r="P86" s="23"/>
      <c r="Q86" s="23"/>
      <c r="R86" s="23"/>
    </row>
    <row r="87" spans="1:18" ht="30" customHeight="1" x14ac:dyDescent="0.25">
      <c r="A87" s="22" t="s">
        <v>215</v>
      </c>
      <c r="B87" s="23"/>
      <c r="C87" s="23"/>
      <c r="D87" s="23"/>
      <c r="E87" s="23"/>
      <c r="F87" s="23"/>
      <c r="G87" s="23"/>
      <c r="H87" s="23"/>
      <c r="I87" s="23"/>
      <c r="J87" s="23"/>
      <c r="K87" s="23"/>
      <c r="L87" s="23"/>
      <c r="M87" s="23"/>
      <c r="N87" s="23"/>
      <c r="O87" s="23"/>
      <c r="P87" s="23"/>
      <c r="Q87" s="23"/>
      <c r="R87" s="23"/>
    </row>
    <row r="88" spans="1:18" ht="30" customHeight="1" x14ac:dyDescent="0.25">
      <c r="A88" s="22" t="s">
        <v>220</v>
      </c>
      <c r="B88" s="23"/>
      <c r="C88" s="23"/>
      <c r="D88" s="23"/>
      <c r="E88" s="23"/>
      <c r="F88" s="23"/>
      <c r="G88" s="23"/>
      <c r="H88" s="23"/>
      <c r="I88" s="23"/>
      <c r="J88" s="23"/>
      <c r="K88" s="23"/>
      <c r="L88" s="23"/>
      <c r="M88" s="23"/>
      <c r="N88" s="23"/>
      <c r="O88" s="23"/>
      <c r="P88" s="23"/>
      <c r="Q88" s="23"/>
      <c r="R88" s="23"/>
    </row>
    <row r="89" spans="1:18" ht="30" customHeight="1" x14ac:dyDescent="0.25">
      <c r="A89" s="22" t="s">
        <v>221</v>
      </c>
      <c r="B89" s="23"/>
      <c r="C89" s="23"/>
      <c r="D89" s="23"/>
      <c r="E89" s="23"/>
      <c r="F89" s="23"/>
      <c r="G89" s="23"/>
      <c r="H89" s="23"/>
      <c r="I89" s="23"/>
      <c r="J89" s="23"/>
      <c r="K89" s="23"/>
      <c r="L89" s="23"/>
      <c r="M89" s="23"/>
      <c r="N89" s="23"/>
      <c r="O89" s="23"/>
      <c r="P89" s="23"/>
      <c r="Q89" s="23"/>
      <c r="R89" s="23"/>
    </row>
    <row r="90" spans="1:18" ht="30" customHeight="1" x14ac:dyDescent="0.25">
      <c r="A90" s="22" t="s">
        <v>222</v>
      </c>
      <c r="B90" s="23"/>
      <c r="C90" s="23"/>
      <c r="D90" s="23"/>
      <c r="E90" s="23"/>
      <c r="F90" s="23"/>
      <c r="G90" s="23"/>
      <c r="H90" s="23"/>
      <c r="I90" s="23"/>
      <c r="J90" s="23"/>
      <c r="K90" s="23"/>
      <c r="L90" s="23"/>
      <c r="M90" s="23"/>
      <c r="N90" s="23"/>
      <c r="O90" s="23"/>
      <c r="P90" s="23"/>
      <c r="Q90" s="23"/>
      <c r="R90" s="23"/>
    </row>
    <row r="91" spans="1:18" ht="30" customHeight="1" x14ac:dyDescent="0.25">
      <c r="A91" s="22" t="s">
        <v>223</v>
      </c>
      <c r="B91" s="23"/>
      <c r="C91" s="23"/>
      <c r="D91" s="23"/>
      <c r="E91" s="23"/>
      <c r="F91" s="23"/>
      <c r="G91" s="23"/>
      <c r="H91" s="23"/>
      <c r="I91" s="23"/>
      <c r="J91" s="23"/>
      <c r="K91" s="23"/>
      <c r="L91" s="23"/>
      <c r="M91" s="23"/>
      <c r="N91" s="23"/>
      <c r="O91" s="23"/>
      <c r="P91" s="23"/>
      <c r="Q91" s="23"/>
      <c r="R91" s="23"/>
    </row>
    <row r="92" spans="1:18" ht="30" customHeight="1" x14ac:dyDescent="0.25">
      <c r="A92" s="22" t="s">
        <v>224</v>
      </c>
      <c r="B92" s="23"/>
      <c r="C92" s="23"/>
      <c r="D92" s="23"/>
      <c r="E92" s="23"/>
      <c r="F92" s="23"/>
      <c r="G92" s="23"/>
      <c r="H92" s="23"/>
      <c r="I92" s="23"/>
      <c r="J92" s="23"/>
      <c r="K92" s="23"/>
      <c r="L92" s="23"/>
      <c r="M92" s="23"/>
      <c r="N92" s="23"/>
      <c r="O92" s="23"/>
      <c r="P92" s="23"/>
      <c r="Q92" s="23"/>
      <c r="R92" s="23"/>
    </row>
    <row r="93" spans="1:18" ht="30" customHeight="1" x14ac:dyDescent="0.25">
      <c r="A93" s="22" t="s">
        <v>225</v>
      </c>
      <c r="B93" s="23"/>
      <c r="C93" s="23"/>
      <c r="D93" s="23"/>
      <c r="E93" s="23"/>
      <c r="F93" s="23"/>
      <c r="G93" s="23"/>
      <c r="H93" s="23"/>
      <c r="I93" s="23"/>
      <c r="J93" s="23"/>
      <c r="K93" s="23"/>
      <c r="L93" s="23"/>
      <c r="M93" s="23"/>
      <c r="N93" s="23"/>
      <c r="O93" s="23"/>
      <c r="P93" s="23"/>
      <c r="Q93" s="23"/>
      <c r="R93" s="23"/>
    </row>
    <row r="94" spans="1:18" ht="30" customHeight="1" x14ac:dyDescent="0.25">
      <c r="A94" s="22" t="s">
        <v>226</v>
      </c>
      <c r="B94" s="23"/>
      <c r="C94" s="23"/>
      <c r="D94" s="23"/>
      <c r="E94" s="23"/>
      <c r="F94" s="23"/>
      <c r="G94" s="23"/>
      <c r="H94" s="23"/>
      <c r="I94" s="23"/>
      <c r="J94" s="23"/>
      <c r="K94" s="23"/>
      <c r="L94" s="23"/>
      <c r="M94" s="23"/>
      <c r="N94" s="23"/>
      <c r="O94" s="23"/>
      <c r="P94" s="23"/>
      <c r="Q94" s="23"/>
      <c r="R94" s="23"/>
    </row>
    <row r="95" spans="1:18" ht="30" customHeight="1" x14ac:dyDescent="0.25">
      <c r="A95" s="22" t="s">
        <v>227</v>
      </c>
      <c r="B95" s="23"/>
      <c r="C95" s="23"/>
      <c r="D95" s="23"/>
      <c r="E95" s="23"/>
      <c r="F95" s="23"/>
      <c r="G95" s="23"/>
      <c r="H95" s="23"/>
      <c r="I95" s="23"/>
      <c r="J95" s="23"/>
      <c r="K95" s="23"/>
      <c r="L95" s="23"/>
      <c r="M95" s="23"/>
      <c r="N95" s="23"/>
      <c r="O95" s="23"/>
      <c r="P95" s="23"/>
      <c r="Q95" s="23"/>
      <c r="R95" s="23"/>
    </row>
    <row r="96" spans="1:18" ht="30" customHeight="1" x14ac:dyDescent="0.25">
      <c r="A96" s="22" t="s">
        <v>228</v>
      </c>
      <c r="B96" s="23"/>
      <c r="C96" s="23"/>
      <c r="D96" s="23"/>
      <c r="E96" s="23"/>
      <c r="F96" s="23"/>
      <c r="G96" s="23"/>
      <c r="H96" s="23"/>
      <c r="I96" s="23"/>
      <c r="J96" s="23"/>
      <c r="K96" s="23"/>
      <c r="L96" s="23"/>
      <c r="M96" s="23"/>
      <c r="N96" s="23"/>
      <c r="O96" s="23"/>
      <c r="P96" s="23"/>
      <c r="Q96" s="23"/>
      <c r="R96" s="23"/>
    </row>
  </sheetData>
  <mergeCells count="22">
    <mergeCell ref="O4:P4"/>
    <mergeCell ref="Q4:R4"/>
    <mergeCell ref="A1:R1"/>
    <mergeCell ref="A2:R2"/>
    <mergeCell ref="A84:R84"/>
    <mergeCell ref="E4:F4"/>
    <mergeCell ref="G4:H4"/>
    <mergeCell ref="I4:J4"/>
    <mergeCell ref="K4:L4"/>
    <mergeCell ref="M4:N4"/>
    <mergeCell ref="A85:R85"/>
    <mergeCell ref="A86:R86"/>
    <mergeCell ref="A87:R87"/>
    <mergeCell ref="A88:R88"/>
    <mergeCell ref="A89:R89"/>
    <mergeCell ref="A95:R95"/>
    <mergeCell ref="A96:R96"/>
    <mergeCell ref="A90:R90"/>
    <mergeCell ref="A91:R91"/>
    <mergeCell ref="A92:R92"/>
    <mergeCell ref="A93:R93"/>
    <mergeCell ref="A94:R94"/>
  </mergeCells>
  <pageMargins left="0.75" right="0.75" top="1" bottom="1" header="0.5" footer="0.5"/>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3"/>
  <dimension ref="A1:T96"/>
  <sheetViews>
    <sheetView zoomScale="80" workbookViewId="0">
      <pane xSplit="4" topLeftCell="E1" activePane="topRight" state="frozen"/>
      <selection sqref="A1:R1"/>
      <selection pane="topRight" sqref="A1:T1"/>
    </sheetView>
  </sheetViews>
  <sheetFormatPr defaultColWidth="11.42578125" defaultRowHeight="15" x14ac:dyDescent="0.25"/>
  <cols>
    <col min="1" max="1" width="50" customWidth="1"/>
  </cols>
  <sheetData>
    <row r="1" spans="1:20" x14ac:dyDescent="0.25">
      <c r="A1" s="26" t="s">
        <v>122</v>
      </c>
      <c r="B1" s="23"/>
      <c r="C1" s="23"/>
      <c r="D1" s="23"/>
      <c r="E1" s="23"/>
      <c r="F1" s="23"/>
      <c r="G1" s="23"/>
      <c r="H1" s="23"/>
      <c r="I1" s="23"/>
      <c r="J1" s="23"/>
      <c r="K1" s="23"/>
      <c r="L1" s="23"/>
      <c r="M1" s="23"/>
      <c r="N1" s="23"/>
      <c r="O1" s="23"/>
      <c r="P1" s="23"/>
      <c r="Q1" s="23"/>
      <c r="R1" s="23"/>
      <c r="S1" s="23"/>
      <c r="T1" s="23"/>
    </row>
    <row r="2" spans="1:20" x14ac:dyDescent="0.25">
      <c r="A2" s="27" t="s">
        <v>279</v>
      </c>
      <c r="B2" s="23"/>
      <c r="C2" s="23"/>
      <c r="D2" s="23"/>
      <c r="E2" s="23"/>
      <c r="F2" s="23"/>
      <c r="G2" s="23"/>
      <c r="H2" s="23"/>
      <c r="I2" s="23"/>
      <c r="J2" s="23"/>
      <c r="K2" s="23"/>
      <c r="L2" s="23"/>
      <c r="M2" s="23"/>
      <c r="N2" s="23"/>
      <c r="O2" s="23"/>
      <c r="P2" s="23"/>
      <c r="Q2" s="23"/>
      <c r="R2" s="23"/>
      <c r="S2" s="23"/>
      <c r="T2" s="23"/>
    </row>
    <row r="4" spans="1:20" ht="30" customHeight="1" x14ac:dyDescent="0.25">
      <c r="A4" s="4"/>
      <c r="B4" s="5" t="s">
        <v>123</v>
      </c>
      <c r="C4" s="5" t="s">
        <v>124</v>
      </c>
      <c r="D4" s="6" t="s">
        <v>123</v>
      </c>
      <c r="E4" s="24" t="s">
        <v>229</v>
      </c>
      <c r="F4" s="25"/>
      <c r="G4" s="24" t="s">
        <v>230</v>
      </c>
      <c r="H4" s="25"/>
      <c r="I4" s="24" t="s">
        <v>232</v>
      </c>
      <c r="J4" s="25"/>
      <c r="K4" s="24" t="s">
        <v>127</v>
      </c>
      <c r="L4" s="25"/>
      <c r="M4" s="24" t="s">
        <v>128</v>
      </c>
      <c r="N4" s="25"/>
      <c r="O4" s="24" t="s">
        <v>129</v>
      </c>
      <c r="P4" s="25"/>
      <c r="Q4" s="24" t="s">
        <v>130</v>
      </c>
      <c r="R4" s="25"/>
      <c r="S4" s="24" t="s">
        <v>131</v>
      </c>
      <c r="T4" s="25"/>
    </row>
    <row r="5" spans="1:20" x14ac:dyDescent="0.25">
      <c r="A5" s="7"/>
      <c r="B5" s="8" t="s">
        <v>132</v>
      </c>
      <c r="C5" s="8" t="s">
        <v>133</v>
      </c>
      <c r="D5" s="7" t="s">
        <v>134</v>
      </c>
      <c r="E5" s="8" t="s">
        <v>135</v>
      </c>
      <c r="F5" s="7" t="s">
        <v>136</v>
      </c>
      <c r="G5" s="8" t="s">
        <v>135</v>
      </c>
      <c r="H5" s="7" t="s">
        <v>136</v>
      </c>
      <c r="I5" s="8" t="s">
        <v>135</v>
      </c>
      <c r="J5" s="7" t="s">
        <v>136</v>
      </c>
      <c r="K5" s="8" t="s">
        <v>135</v>
      </c>
      <c r="L5" s="7" t="s">
        <v>136</v>
      </c>
      <c r="M5" s="8" t="s">
        <v>135</v>
      </c>
      <c r="N5" s="7" t="s">
        <v>136</v>
      </c>
      <c r="O5" s="8" t="s">
        <v>135</v>
      </c>
      <c r="P5" s="7" t="s">
        <v>136</v>
      </c>
      <c r="Q5" s="8" t="s">
        <v>135</v>
      </c>
      <c r="R5" s="7" t="s">
        <v>136</v>
      </c>
      <c r="S5" s="8" t="s">
        <v>135</v>
      </c>
      <c r="T5" s="7" t="s">
        <v>136</v>
      </c>
    </row>
    <row r="6" spans="1:20" x14ac:dyDescent="0.25">
      <c r="A6" s="9" t="s">
        <v>137</v>
      </c>
      <c r="B6" s="10"/>
      <c r="C6" s="10"/>
      <c r="D6" s="11"/>
      <c r="E6" s="10"/>
      <c r="F6" s="11"/>
      <c r="G6" s="10"/>
      <c r="H6" s="11"/>
      <c r="I6" s="10"/>
      <c r="J6" s="11"/>
      <c r="K6" s="10"/>
      <c r="L6" s="11"/>
      <c r="M6" s="10"/>
      <c r="N6" s="11"/>
      <c r="O6" s="10"/>
      <c r="P6" s="11"/>
      <c r="Q6" s="10"/>
      <c r="R6" s="11"/>
      <c r="S6" s="10"/>
      <c r="T6" s="12"/>
    </row>
    <row r="7" spans="1:20" x14ac:dyDescent="0.25">
      <c r="A7" s="11" t="s">
        <v>138</v>
      </c>
      <c r="B7" s="13">
        <v>14530</v>
      </c>
      <c r="C7" s="14">
        <f>(12073/B7*100)</f>
        <v>83.090158293186505</v>
      </c>
      <c r="D7" s="15">
        <v>2457</v>
      </c>
      <c r="E7" s="14">
        <v>22.461020959999999</v>
      </c>
      <c r="F7" s="16">
        <v>1.04858852</v>
      </c>
      <c r="G7" s="14">
        <v>30.562713460000001</v>
      </c>
      <c r="H7" s="16">
        <v>1.09897662</v>
      </c>
      <c r="I7" s="14">
        <v>46.976265580000003</v>
      </c>
      <c r="J7" s="16">
        <v>1.10747522</v>
      </c>
      <c r="K7" s="14" t="s">
        <v>139</v>
      </c>
      <c r="L7" s="16" t="s">
        <v>139</v>
      </c>
      <c r="M7" s="14">
        <v>0</v>
      </c>
      <c r="N7" s="16">
        <v>0</v>
      </c>
      <c r="O7" s="14">
        <v>0</v>
      </c>
      <c r="P7" s="16">
        <v>0</v>
      </c>
      <c r="Q7" s="14">
        <v>0</v>
      </c>
      <c r="R7" s="16">
        <v>0</v>
      </c>
      <c r="S7" s="14">
        <v>0</v>
      </c>
      <c r="T7" s="16">
        <v>0</v>
      </c>
    </row>
    <row r="8" spans="1:20" x14ac:dyDescent="0.25">
      <c r="A8" s="11" t="s">
        <v>140</v>
      </c>
      <c r="B8" s="13">
        <v>7007</v>
      </c>
      <c r="C8" s="14">
        <f>(5805/B8*100)</f>
        <v>82.845725702868549</v>
      </c>
      <c r="D8" s="15">
        <v>1202</v>
      </c>
      <c r="E8" s="14">
        <v>22.631990250000001</v>
      </c>
      <c r="F8" s="16">
        <v>1.2904370999999999</v>
      </c>
      <c r="G8" s="14">
        <v>26.402174410000001</v>
      </c>
      <c r="H8" s="16">
        <v>1.21500477</v>
      </c>
      <c r="I8" s="14">
        <v>50.965835339999998</v>
      </c>
      <c r="J8" s="16">
        <v>1.4703089499999999</v>
      </c>
      <c r="K8" s="14" t="s">
        <v>139</v>
      </c>
      <c r="L8" s="16" t="s">
        <v>139</v>
      </c>
      <c r="M8" s="14">
        <v>0</v>
      </c>
      <c r="N8" s="16">
        <v>0</v>
      </c>
      <c r="O8" s="14">
        <v>0</v>
      </c>
      <c r="P8" s="16">
        <v>0</v>
      </c>
      <c r="Q8" s="14">
        <v>0</v>
      </c>
      <c r="R8" s="16">
        <v>0</v>
      </c>
      <c r="S8" s="14">
        <v>0</v>
      </c>
      <c r="T8" s="16">
        <v>0</v>
      </c>
    </row>
    <row r="9" spans="1:20" x14ac:dyDescent="0.25">
      <c r="A9" s="11" t="s">
        <v>141</v>
      </c>
      <c r="B9" s="13">
        <v>9651</v>
      </c>
      <c r="C9" s="14">
        <f>(8032/B9*100)</f>
        <v>83.224536317480059</v>
      </c>
      <c r="D9" s="15">
        <v>1619</v>
      </c>
      <c r="E9" s="14">
        <v>22.606765129999999</v>
      </c>
      <c r="F9" s="16">
        <v>1.1398918499999999</v>
      </c>
      <c r="G9" s="14">
        <v>29.104756569999999</v>
      </c>
      <c r="H9" s="16">
        <v>1.16498993</v>
      </c>
      <c r="I9" s="14">
        <v>48.288478300000001</v>
      </c>
      <c r="J9" s="16">
        <v>1.28816671</v>
      </c>
      <c r="K9" s="14" t="s">
        <v>139</v>
      </c>
      <c r="L9" s="16" t="s">
        <v>139</v>
      </c>
      <c r="M9" s="14">
        <v>0</v>
      </c>
      <c r="N9" s="16">
        <v>0</v>
      </c>
      <c r="O9" s="14">
        <v>0</v>
      </c>
      <c r="P9" s="16">
        <v>0</v>
      </c>
      <c r="Q9" s="14">
        <v>0</v>
      </c>
      <c r="R9" s="16">
        <v>0</v>
      </c>
      <c r="S9" s="14">
        <v>0</v>
      </c>
      <c r="T9" s="16">
        <v>0</v>
      </c>
    </row>
    <row r="10" spans="1:20" x14ac:dyDescent="0.25">
      <c r="A10" s="11" t="s">
        <v>142</v>
      </c>
      <c r="B10" s="13">
        <v>20058</v>
      </c>
      <c r="C10" s="14">
        <f>(16622/B10*100)</f>
        <v>82.869677933991426</v>
      </c>
      <c r="D10" s="15">
        <v>3436</v>
      </c>
      <c r="E10" s="14">
        <v>19.29982481</v>
      </c>
      <c r="F10" s="16">
        <v>0.77734088000000001</v>
      </c>
      <c r="G10" s="14">
        <v>28.867560529999999</v>
      </c>
      <c r="H10" s="16">
        <v>1.0824453599999999</v>
      </c>
      <c r="I10" s="14">
        <v>51.832614659999997</v>
      </c>
      <c r="J10" s="16">
        <v>1.1313098800000001</v>
      </c>
      <c r="K10" s="14" t="s">
        <v>139</v>
      </c>
      <c r="L10" s="16" t="s">
        <v>139</v>
      </c>
      <c r="M10" s="14">
        <v>0</v>
      </c>
      <c r="N10" s="16">
        <v>0</v>
      </c>
      <c r="O10" s="14">
        <v>0</v>
      </c>
      <c r="P10" s="16">
        <v>0</v>
      </c>
      <c r="Q10" s="14">
        <v>0</v>
      </c>
      <c r="R10" s="16">
        <v>0</v>
      </c>
      <c r="S10" s="14">
        <v>0</v>
      </c>
      <c r="T10" s="16">
        <v>0</v>
      </c>
    </row>
    <row r="11" spans="1:20" x14ac:dyDescent="0.25">
      <c r="A11" s="11" t="s">
        <v>143</v>
      </c>
      <c r="B11" s="13">
        <v>7053</v>
      </c>
      <c r="C11" s="14">
        <f>(5836/B11*100)</f>
        <v>82.744931234935493</v>
      </c>
      <c r="D11" s="15">
        <v>1217</v>
      </c>
      <c r="E11" s="14">
        <v>31.47463226</v>
      </c>
      <c r="F11" s="16">
        <v>1.85314588</v>
      </c>
      <c r="G11" s="14">
        <v>34.355348509999999</v>
      </c>
      <c r="H11" s="16">
        <v>1.6870848300000001</v>
      </c>
      <c r="I11" s="14">
        <v>34.170019230000001</v>
      </c>
      <c r="J11" s="16">
        <v>1.52278497</v>
      </c>
      <c r="K11" s="14" t="s">
        <v>139</v>
      </c>
      <c r="L11" s="16" t="s">
        <v>139</v>
      </c>
      <c r="M11" s="14">
        <v>0</v>
      </c>
      <c r="N11" s="16">
        <v>0</v>
      </c>
      <c r="O11" s="14">
        <v>0</v>
      </c>
      <c r="P11" s="16">
        <v>0</v>
      </c>
      <c r="Q11" s="14">
        <v>0</v>
      </c>
      <c r="R11" s="16">
        <v>0</v>
      </c>
      <c r="S11" s="14">
        <v>0</v>
      </c>
      <c r="T11" s="16">
        <v>0</v>
      </c>
    </row>
    <row r="12" spans="1:20" x14ac:dyDescent="0.25">
      <c r="A12" s="11" t="s">
        <v>144</v>
      </c>
      <c r="B12" s="13">
        <v>6894</v>
      </c>
      <c r="C12" s="14">
        <f>(5713/B12*100)</f>
        <v>82.86916158978822</v>
      </c>
      <c r="D12" s="15">
        <v>1181</v>
      </c>
      <c r="E12" s="14">
        <v>23.978625009999998</v>
      </c>
      <c r="F12" s="16">
        <v>1.3772882500000001</v>
      </c>
      <c r="G12" s="14">
        <v>27.122803990000001</v>
      </c>
      <c r="H12" s="16">
        <v>1.489989</v>
      </c>
      <c r="I12" s="14">
        <v>48.898570999999997</v>
      </c>
      <c r="J12" s="16">
        <v>1.51952311</v>
      </c>
      <c r="K12" s="14" t="s">
        <v>139</v>
      </c>
      <c r="L12" s="16" t="s">
        <v>139</v>
      </c>
      <c r="M12" s="14">
        <v>0</v>
      </c>
      <c r="N12" s="16">
        <v>0</v>
      </c>
      <c r="O12" s="14">
        <v>0</v>
      </c>
      <c r="P12" s="16">
        <v>0</v>
      </c>
      <c r="Q12" s="14">
        <v>0</v>
      </c>
      <c r="R12" s="16">
        <v>0</v>
      </c>
      <c r="S12" s="14">
        <v>0</v>
      </c>
      <c r="T12" s="16">
        <v>0</v>
      </c>
    </row>
    <row r="13" spans="1:20" x14ac:dyDescent="0.25">
      <c r="A13" s="11" t="s">
        <v>145</v>
      </c>
      <c r="B13" s="13">
        <v>7161</v>
      </c>
      <c r="C13" s="14">
        <f>(5999/B13*100)</f>
        <v>83.773216031280555</v>
      </c>
      <c r="D13" s="15">
        <v>1162</v>
      </c>
      <c r="E13" s="14">
        <v>28.944150449999999</v>
      </c>
      <c r="F13" s="16">
        <v>1.6055267900000001</v>
      </c>
      <c r="G13" s="14">
        <v>33.539095789999998</v>
      </c>
      <c r="H13" s="16">
        <v>1.6372773</v>
      </c>
      <c r="I13" s="14">
        <v>37.51675376</v>
      </c>
      <c r="J13" s="16">
        <v>1.8188122900000001</v>
      </c>
      <c r="K13" s="14" t="s">
        <v>139</v>
      </c>
      <c r="L13" s="16" t="s">
        <v>139</v>
      </c>
      <c r="M13" s="14">
        <v>0</v>
      </c>
      <c r="N13" s="16">
        <v>0</v>
      </c>
      <c r="O13" s="14">
        <v>0</v>
      </c>
      <c r="P13" s="16">
        <v>0</v>
      </c>
      <c r="Q13" s="14">
        <v>0</v>
      </c>
      <c r="R13" s="16">
        <v>0</v>
      </c>
      <c r="S13" s="14">
        <v>0</v>
      </c>
      <c r="T13" s="16">
        <v>0</v>
      </c>
    </row>
    <row r="14" spans="1:20" x14ac:dyDescent="0.25">
      <c r="A14" s="11" t="s">
        <v>146</v>
      </c>
      <c r="B14" s="13">
        <v>5587</v>
      </c>
      <c r="C14" s="14">
        <f>(4629/B14*100)</f>
        <v>82.853051727223914</v>
      </c>
      <c r="D14" s="15">
        <v>958</v>
      </c>
      <c r="E14" s="14">
        <v>17.536938190000001</v>
      </c>
      <c r="F14" s="16">
        <v>1.3037915600000001</v>
      </c>
      <c r="G14" s="14">
        <v>29.211291450000001</v>
      </c>
      <c r="H14" s="16">
        <v>1.5598604199999999</v>
      </c>
      <c r="I14" s="14">
        <v>53.251770360000002</v>
      </c>
      <c r="J14" s="16">
        <v>1.7097002699999999</v>
      </c>
      <c r="K14" s="14" t="s">
        <v>139</v>
      </c>
      <c r="L14" s="16" t="s">
        <v>139</v>
      </c>
      <c r="M14" s="14">
        <v>0</v>
      </c>
      <c r="N14" s="16">
        <v>0</v>
      </c>
      <c r="O14" s="14">
        <v>0</v>
      </c>
      <c r="P14" s="16">
        <v>0</v>
      </c>
      <c r="Q14" s="14">
        <v>0</v>
      </c>
      <c r="R14" s="16">
        <v>0</v>
      </c>
      <c r="S14" s="14">
        <v>0</v>
      </c>
      <c r="T14" s="16">
        <v>0</v>
      </c>
    </row>
    <row r="15" spans="1:20" x14ac:dyDescent="0.25">
      <c r="A15" s="11" t="s">
        <v>147</v>
      </c>
      <c r="B15" s="13">
        <v>5882</v>
      </c>
      <c r="C15" s="14">
        <f>(4866/B15*100)</f>
        <v>82.726963617817077</v>
      </c>
      <c r="D15" s="15">
        <v>1016</v>
      </c>
      <c r="E15" s="14">
        <v>27.706364310000001</v>
      </c>
      <c r="F15" s="16">
        <v>1.55084694</v>
      </c>
      <c r="G15" s="14">
        <v>27.532092680000002</v>
      </c>
      <c r="H15" s="16">
        <v>1.4322719399999999</v>
      </c>
      <c r="I15" s="14">
        <v>44.761543000000003</v>
      </c>
      <c r="J15" s="16">
        <v>1.5196878899999999</v>
      </c>
      <c r="K15" s="14" t="s">
        <v>139</v>
      </c>
      <c r="L15" s="16" t="s">
        <v>139</v>
      </c>
      <c r="M15" s="14">
        <v>0</v>
      </c>
      <c r="N15" s="16">
        <v>0</v>
      </c>
      <c r="O15" s="14">
        <v>0</v>
      </c>
      <c r="P15" s="16">
        <v>0</v>
      </c>
      <c r="Q15" s="14">
        <v>0</v>
      </c>
      <c r="R15" s="16">
        <v>0</v>
      </c>
      <c r="S15" s="14">
        <v>0</v>
      </c>
      <c r="T15" s="16">
        <v>0</v>
      </c>
    </row>
    <row r="16" spans="1:20" x14ac:dyDescent="0.25">
      <c r="A16" s="11" t="s">
        <v>148</v>
      </c>
      <c r="B16" s="13">
        <v>6108</v>
      </c>
      <c r="C16" s="14">
        <f>(5039/B16*100)</f>
        <v>82.498362802881459</v>
      </c>
      <c r="D16" s="15">
        <v>1069</v>
      </c>
      <c r="E16" s="14">
        <v>24.195422690000001</v>
      </c>
      <c r="F16" s="16">
        <v>1.5588737399999999</v>
      </c>
      <c r="G16" s="14">
        <v>28.973629549999998</v>
      </c>
      <c r="H16" s="16">
        <v>1.2916417200000001</v>
      </c>
      <c r="I16" s="14">
        <v>46.830947760000001</v>
      </c>
      <c r="J16" s="16">
        <v>1.6342368700000001</v>
      </c>
      <c r="K16" s="14" t="s">
        <v>139</v>
      </c>
      <c r="L16" s="16" t="s">
        <v>139</v>
      </c>
      <c r="M16" s="14">
        <v>0</v>
      </c>
      <c r="N16" s="16">
        <v>0</v>
      </c>
      <c r="O16" s="14">
        <v>0</v>
      </c>
      <c r="P16" s="16">
        <v>0</v>
      </c>
      <c r="Q16" s="14">
        <v>0</v>
      </c>
      <c r="R16" s="16">
        <v>0</v>
      </c>
      <c r="S16" s="14">
        <v>0</v>
      </c>
      <c r="T16" s="16">
        <v>0</v>
      </c>
    </row>
    <row r="17" spans="1:20" x14ac:dyDescent="0.25">
      <c r="A17" s="11" t="s">
        <v>149</v>
      </c>
      <c r="B17" s="13">
        <v>6504</v>
      </c>
      <c r="C17" s="14">
        <f>(5391/B17*100)</f>
        <v>82.887453874538735</v>
      </c>
      <c r="D17" s="15">
        <v>1113</v>
      </c>
      <c r="E17" s="14">
        <v>22.13348727</v>
      </c>
      <c r="F17" s="16">
        <v>1.60673233</v>
      </c>
      <c r="G17" s="14">
        <v>27.329029649999999</v>
      </c>
      <c r="H17" s="16">
        <v>1.61923971</v>
      </c>
      <c r="I17" s="14">
        <v>50.537483080000001</v>
      </c>
      <c r="J17" s="16">
        <v>1.56911366</v>
      </c>
      <c r="K17" s="14" t="s">
        <v>139</v>
      </c>
      <c r="L17" s="16" t="s">
        <v>139</v>
      </c>
      <c r="M17" s="14">
        <v>0</v>
      </c>
      <c r="N17" s="16">
        <v>0</v>
      </c>
      <c r="O17" s="14">
        <v>0</v>
      </c>
      <c r="P17" s="16">
        <v>0</v>
      </c>
      <c r="Q17" s="14">
        <v>0</v>
      </c>
      <c r="R17" s="16">
        <v>0</v>
      </c>
      <c r="S17" s="14">
        <v>0</v>
      </c>
      <c r="T17" s="16">
        <v>0</v>
      </c>
    </row>
    <row r="18" spans="1:20" x14ac:dyDescent="0.25">
      <c r="A18" s="11" t="s">
        <v>150</v>
      </c>
      <c r="B18" s="13">
        <v>5532</v>
      </c>
      <c r="C18" s="14">
        <f>(4618/B18*100)</f>
        <v>83.477946493130872</v>
      </c>
      <c r="D18" s="15">
        <v>914</v>
      </c>
      <c r="E18" s="14">
        <v>34.648641640000001</v>
      </c>
      <c r="F18" s="16">
        <v>1.9951547199999999</v>
      </c>
      <c r="G18" s="14">
        <v>30.870042810000001</v>
      </c>
      <c r="H18" s="16">
        <v>1.55594889</v>
      </c>
      <c r="I18" s="14">
        <v>34.481315549999998</v>
      </c>
      <c r="J18" s="16">
        <v>1.8183684899999999</v>
      </c>
      <c r="K18" s="14" t="s">
        <v>139</v>
      </c>
      <c r="L18" s="16" t="s">
        <v>139</v>
      </c>
      <c r="M18" s="14">
        <v>0</v>
      </c>
      <c r="N18" s="16">
        <v>0</v>
      </c>
      <c r="O18" s="14">
        <v>0</v>
      </c>
      <c r="P18" s="16">
        <v>0</v>
      </c>
      <c r="Q18" s="14">
        <v>0</v>
      </c>
      <c r="R18" s="16">
        <v>0</v>
      </c>
      <c r="S18" s="14">
        <v>0</v>
      </c>
      <c r="T18" s="16">
        <v>0</v>
      </c>
    </row>
    <row r="19" spans="1:20" x14ac:dyDescent="0.25">
      <c r="A19" s="11" t="s">
        <v>151</v>
      </c>
      <c r="B19" s="13">
        <v>5658</v>
      </c>
      <c r="C19" s="14">
        <f>(4683/B19*100)</f>
        <v>82.7677624602333</v>
      </c>
      <c r="D19" s="15">
        <v>975</v>
      </c>
      <c r="E19" s="14">
        <v>32.634768000000001</v>
      </c>
      <c r="F19" s="16">
        <v>1.55023895</v>
      </c>
      <c r="G19" s="14">
        <v>28.98512118</v>
      </c>
      <c r="H19" s="16">
        <v>1.5618773100000001</v>
      </c>
      <c r="I19" s="14">
        <v>38.380110809999998</v>
      </c>
      <c r="J19" s="16">
        <v>1.75598323</v>
      </c>
      <c r="K19" s="14" t="s">
        <v>139</v>
      </c>
      <c r="L19" s="16" t="s">
        <v>139</v>
      </c>
      <c r="M19" s="14">
        <v>0</v>
      </c>
      <c r="N19" s="16">
        <v>0</v>
      </c>
      <c r="O19" s="14">
        <v>0</v>
      </c>
      <c r="P19" s="16">
        <v>0</v>
      </c>
      <c r="Q19" s="14">
        <v>0</v>
      </c>
      <c r="R19" s="16">
        <v>0</v>
      </c>
      <c r="S19" s="14">
        <v>0</v>
      </c>
      <c r="T19" s="16">
        <v>0</v>
      </c>
    </row>
    <row r="20" spans="1:20" x14ac:dyDescent="0.25">
      <c r="A20" s="11" t="s">
        <v>152</v>
      </c>
      <c r="B20" s="13">
        <v>3371</v>
      </c>
      <c r="C20" s="14">
        <f>(2800/B20*100)</f>
        <v>83.061406110946308</v>
      </c>
      <c r="D20" s="15">
        <v>571</v>
      </c>
      <c r="E20" s="14">
        <v>25.077646219999998</v>
      </c>
      <c r="F20" s="16">
        <v>1.7149355900000001</v>
      </c>
      <c r="G20" s="14">
        <v>31.73361195</v>
      </c>
      <c r="H20" s="16">
        <v>1.9885649400000001</v>
      </c>
      <c r="I20" s="14">
        <v>43.188741829999998</v>
      </c>
      <c r="J20" s="16">
        <v>2.02121963</v>
      </c>
      <c r="K20" s="14" t="s">
        <v>139</v>
      </c>
      <c r="L20" s="16" t="s">
        <v>139</v>
      </c>
      <c r="M20" s="14">
        <v>0</v>
      </c>
      <c r="N20" s="16">
        <v>0</v>
      </c>
      <c r="O20" s="14">
        <v>0</v>
      </c>
      <c r="P20" s="16">
        <v>0</v>
      </c>
      <c r="Q20" s="14">
        <v>0</v>
      </c>
      <c r="R20" s="16">
        <v>0</v>
      </c>
      <c r="S20" s="14">
        <v>0</v>
      </c>
      <c r="T20" s="16">
        <v>0</v>
      </c>
    </row>
    <row r="21" spans="1:20" x14ac:dyDescent="0.25">
      <c r="A21" s="11" t="s">
        <v>153</v>
      </c>
      <c r="B21" s="17" t="s">
        <v>154</v>
      </c>
      <c r="C21" s="17" t="s">
        <v>154</v>
      </c>
      <c r="D21" s="18" t="s">
        <v>154</v>
      </c>
      <c r="E21" s="17" t="s">
        <v>154</v>
      </c>
      <c r="F21" s="18" t="s">
        <v>154</v>
      </c>
      <c r="G21" s="17" t="s">
        <v>154</v>
      </c>
      <c r="H21" s="18" t="s">
        <v>154</v>
      </c>
      <c r="I21" s="17" t="s">
        <v>154</v>
      </c>
      <c r="J21" s="18" t="s">
        <v>154</v>
      </c>
      <c r="K21" s="17" t="s">
        <v>154</v>
      </c>
      <c r="L21" s="18" t="s">
        <v>154</v>
      </c>
      <c r="M21" s="17" t="s">
        <v>154</v>
      </c>
      <c r="N21" s="18" t="s">
        <v>154</v>
      </c>
      <c r="O21" s="17" t="s">
        <v>154</v>
      </c>
      <c r="P21" s="18" t="s">
        <v>154</v>
      </c>
      <c r="Q21" s="17" t="s">
        <v>154</v>
      </c>
      <c r="R21" s="18" t="s">
        <v>154</v>
      </c>
      <c r="S21" s="17" t="s">
        <v>154</v>
      </c>
      <c r="T21" s="18" t="s">
        <v>154</v>
      </c>
    </row>
    <row r="22" spans="1:20" x14ac:dyDescent="0.25">
      <c r="A22" s="11" t="s">
        <v>155</v>
      </c>
      <c r="B22" s="13">
        <v>6598</v>
      </c>
      <c r="C22" s="14">
        <f>(5561/B22*100)</f>
        <v>84.283116095786596</v>
      </c>
      <c r="D22" s="15">
        <v>1037</v>
      </c>
      <c r="E22" s="14">
        <v>32.823768739999998</v>
      </c>
      <c r="F22" s="16">
        <v>1.6059034400000001</v>
      </c>
      <c r="G22" s="14">
        <v>25.0001742</v>
      </c>
      <c r="H22" s="16">
        <v>1.2951480500000001</v>
      </c>
      <c r="I22" s="14">
        <v>42.176057069999999</v>
      </c>
      <c r="J22" s="16">
        <v>2.0589459899999998</v>
      </c>
      <c r="K22" s="14" t="s">
        <v>139</v>
      </c>
      <c r="L22" s="16" t="s">
        <v>139</v>
      </c>
      <c r="M22" s="14">
        <v>0</v>
      </c>
      <c r="N22" s="16">
        <v>0</v>
      </c>
      <c r="O22" s="14">
        <v>0</v>
      </c>
      <c r="P22" s="16">
        <v>0</v>
      </c>
      <c r="Q22" s="14">
        <v>0</v>
      </c>
      <c r="R22" s="16">
        <v>0</v>
      </c>
      <c r="S22" s="14">
        <v>0</v>
      </c>
      <c r="T22" s="16">
        <v>0</v>
      </c>
    </row>
    <row r="23" spans="1:20" x14ac:dyDescent="0.25">
      <c r="A23" s="11" t="s">
        <v>156</v>
      </c>
      <c r="B23" s="13">
        <v>11583</v>
      </c>
      <c r="C23" s="14">
        <f>(9588/B23*100)</f>
        <v>82.77648277648278</v>
      </c>
      <c r="D23" s="15">
        <v>1995</v>
      </c>
      <c r="E23" s="14">
        <v>28.706909620000001</v>
      </c>
      <c r="F23" s="16">
        <v>1.4803082400000001</v>
      </c>
      <c r="G23" s="14">
        <v>31.528325550000002</v>
      </c>
      <c r="H23" s="16">
        <v>1.6380444000000001</v>
      </c>
      <c r="I23" s="14">
        <v>39.764764829999997</v>
      </c>
      <c r="J23" s="16">
        <v>1.6218444299999999</v>
      </c>
      <c r="K23" s="14" t="s">
        <v>139</v>
      </c>
      <c r="L23" s="16" t="s">
        <v>139</v>
      </c>
      <c r="M23" s="14">
        <v>0</v>
      </c>
      <c r="N23" s="16">
        <v>0</v>
      </c>
      <c r="O23" s="14">
        <v>0</v>
      </c>
      <c r="P23" s="16">
        <v>0</v>
      </c>
      <c r="Q23" s="14">
        <v>0</v>
      </c>
      <c r="R23" s="16">
        <v>0</v>
      </c>
      <c r="S23" s="14">
        <v>0</v>
      </c>
      <c r="T23" s="16">
        <v>0</v>
      </c>
    </row>
    <row r="24" spans="1:20" x14ac:dyDescent="0.25">
      <c r="A24" s="11" t="s">
        <v>157</v>
      </c>
      <c r="B24" s="13">
        <v>6647</v>
      </c>
      <c r="C24" s="14">
        <f>(5465/B24*100)</f>
        <v>82.217541748157061</v>
      </c>
      <c r="D24" s="15">
        <v>1182</v>
      </c>
      <c r="E24" s="14">
        <v>27.264016009999999</v>
      </c>
      <c r="F24" s="16">
        <v>1.38412259</v>
      </c>
      <c r="G24" s="14">
        <v>29.891488460000001</v>
      </c>
      <c r="H24" s="16">
        <v>1.2742787</v>
      </c>
      <c r="I24" s="14">
        <v>42.844495530000003</v>
      </c>
      <c r="J24" s="16">
        <v>1.4693533599999999</v>
      </c>
      <c r="K24" s="14" t="s">
        <v>139</v>
      </c>
      <c r="L24" s="16" t="s">
        <v>139</v>
      </c>
      <c r="M24" s="14">
        <v>0</v>
      </c>
      <c r="N24" s="16">
        <v>0</v>
      </c>
      <c r="O24" s="14">
        <v>0</v>
      </c>
      <c r="P24" s="16">
        <v>0</v>
      </c>
      <c r="Q24" s="14">
        <v>0</v>
      </c>
      <c r="R24" s="16">
        <v>0</v>
      </c>
      <c r="S24" s="14">
        <v>0</v>
      </c>
      <c r="T24" s="16">
        <v>0</v>
      </c>
    </row>
    <row r="25" spans="1:20" x14ac:dyDescent="0.25">
      <c r="A25" s="11" t="s">
        <v>158</v>
      </c>
      <c r="B25" s="13">
        <v>5581</v>
      </c>
      <c r="C25" s="14">
        <f>(4601/B25*100)</f>
        <v>82.440422863286145</v>
      </c>
      <c r="D25" s="15">
        <v>980</v>
      </c>
      <c r="E25" s="14">
        <v>24.055019120000001</v>
      </c>
      <c r="F25" s="16">
        <v>1.3785044399999999</v>
      </c>
      <c r="G25" s="14">
        <v>26.666156640000001</v>
      </c>
      <c r="H25" s="16">
        <v>1.4943748800000001</v>
      </c>
      <c r="I25" s="14">
        <v>49.278824239999999</v>
      </c>
      <c r="J25" s="16">
        <v>1.71743048</v>
      </c>
      <c r="K25" s="14" t="s">
        <v>139</v>
      </c>
      <c r="L25" s="16" t="s">
        <v>139</v>
      </c>
      <c r="M25" s="14">
        <v>0</v>
      </c>
      <c r="N25" s="16">
        <v>0</v>
      </c>
      <c r="O25" s="14">
        <v>0</v>
      </c>
      <c r="P25" s="16">
        <v>0</v>
      </c>
      <c r="Q25" s="14">
        <v>0</v>
      </c>
      <c r="R25" s="16">
        <v>0</v>
      </c>
      <c r="S25" s="14">
        <v>0</v>
      </c>
      <c r="T25" s="16">
        <v>0</v>
      </c>
    </row>
    <row r="26" spans="1:20" x14ac:dyDescent="0.25">
      <c r="A26" s="11" t="s">
        <v>159</v>
      </c>
      <c r="B26" s="13">
        <v>4869</v>
      </c>
      <c r="C26" s="14">
        <f>(4035/B26*100)</f>
        <v>82.871226124460875</v>
      </c>
      <c r="D26" s="15">
        <v>834</v>
      </c>
      <c r="E26" s="14">
        <v>24.662720610000001</v>
      </c>
      <c r="F26" s="16">
        <v>1.59812745</v>
      </c>
      <c r="G26" s="14">
        <v>29.24707626</v>
      </c>
      <c r="H26" s="16">
        <v>1.54246029</v>
      </c>
      <c r="I26" s="14">
        <v>46.090203129999999</v>
      </c>
      <c r="J26" s="16">
        <v>1.4973595</v>
      </c>
      <c r="K26" s="14" t="s">
        <v>139</v>
      </c>
      <c r="L26" s="16" t="s">
        <v>139</v>
      </c>
      <c r="M26" s="14">
        <v>0</v>
      </c>
      <c r="N26" s="16">
        <v>0</v>
      </c>
      <c r="O26" s="14">
        <v>0</v>
      </c>
      <c r="P26" s="16">
        <v>0</v>
      </c>
      <c r="Q26" s="14">
        <v>0</v>
      </c>
      <c r="R26" s="16">
        <v>0</v>
      </c>
      <c r="S26" s="14">
        <v>0</v>
      </c>
      <c r="T26" s="16">
        <v>0</v>
      </c>
    </row>
    <row r="27" spans="1:20" x14ac:dyDescent="0.25">
      <c r="A27" s="11" t="s">
        <v>160</v>
      </c>
      <c r="B27" s="13">
        <v>5299</v>
      </c>
      <c r="C27" s="14">
        <f>(4386/B27*100)</f>
        <v>82.770334025287795</v>
      </c>
      <c r="D27" s="15">
        <v>913</v>
      </c>
      <c r="E27" s="14">
        <v>26.73873296</v>
      </c>
      <c r="F27" s="16">
        <v>1.4024706899999999</v>
      </c>
      <c r="G27" s="14">
        <v>28.49900439</v>
      </c>
      <c r="H27" s="16">
        <v>1.5973646100000001</v>
      </c>
      <c r="I27" s="14">
        <v>44.762262640000003</v>
      </c>
      <c r="J27" s="16">
        <v>1.65437897</v>
      </c>
      <c r="K27" s="14" t="s">
        <v>139</v>
      </c>
      <c r="L27" s="16" t="s">
        <v>139</v>
      </c>
      <c r="M27" s="14">
        <v>0</v>
      </c>
      <c r="N27" s="16">
        <v>0</v>
      </c>
      <c r="O27" s="14">
        <v>0</v>
      </c>
      <c r="P27" s="16">
        <v>0</v>
      </c>
      <c r="Q27" s="14">
        <v>0</v>
      </c>
      <c r="R27" s="16">
        <v>0</v>
      </c>
      <c r="S27" s="14">
        <v>0</v>
      </c>
      <c r="T27" s="16">
        <v>0</v>
      </c>
    </row>
    <row r="28" spans="1:20" x14ac:dyDescent="0.25">
      <c r="A28" s="11" t="s">
        <v>161</v>
      </c>
      <c r="B28" s="13">
        <v>7568</v>
      </c>
      <c r="C28" s="14">
        <f>(6285/B28*100)</f>
        <v>83.047040169133197</v>
      </c>
      <c r="D28" s="15">
        <v>1283</v>
      </c>
      <c r="E28" s="14">
        <v>29.74547995</v>
      </c>
      <c r="F28" s="16">
        <v>1.71393354</v>
      </c>
      <c r="G28" s="14">
        <v>27.180231110000001</v>
      </c>
      <c r="H28" s="16">
        <v>1.3563972500000001</v>
      </c>
      <c r="I28" s="14">
        <v>43.074288950000003</v>
      </c>
      <c r="J28" s="16">
        <v>1.67353828</v>
      </c>
      <c r="K28" s="14" t="s">
        <v>139</v>
      </c>
      <c r="L28" s="16" t="s">
        <v>139</v>
      </c>
      <c r="M28" s="14">
        <v>0</v>
      </c>
      <c r="N28" s="16">
        <v>0</v>
      </c>
      <c r="O28" s="14">
        <v>0</v>
      </c>
      <c r="P28" s="16">
        <v>0</v>
      </c>
      <c r="Q28" s="14">
        <v>0</v>
      </c>
      <c r="R28" s="16">
        <v>0</v>
      </c>
      <c r="S28" s="14">
        <v>0</v>
      </c>
      <c r="T28" s="16">
        <v>0</v>
      </c>
    </row>
    <row r="29" spans="1:20" x14ac:dyDescent="0.25">
      <c r="A29" s="11" t="s">
        <v>162</v>
      </c>
      <c r="B29" s="13">
        <v>5385</v>
      </c>
      <c r="C29" s="14">
        <f>(4466/B29*100)</f>
        <v>82.934076137418757</v>
      </c>
      <c r="D29" s="15">
        <v>919</v>
      </c>
      <c r="E29" s="14">
        <v>23.32743615</v>
      </c>
      <c r="F29" s="16">
        <v>1.5434274299999999</v>
      </c>
      <c r="G29" s="14">
        <v>30.043513470000001</v>
      </c>
      <c r="H29" s="16">
        <v>1.40313036</v>
      </c>
      <c r="I29" s="14">
        <v>46.629050380000002</v>
      </c>
      <c r="J29" s="16">
        <v>1.4946177</v>
      </c>
      <c r="K29" s="14" t="s">
        <v>139</v>
      </c>
      <c r="L29" s="16" t="s">
        <v>139</v>
      </c>
      <c r="M29" s="14">
        <v>0</v>
      </c>
      <c r="N29" s="16">
        <v>0</v>
      </c>
      <c r="O29" s="14">
        <v>0</v>
      </c>
      <c r="P29" s="16">
        <v>0</v>
      </c>
      <c r="Q29" s="14">
        <v>0</v>
      </c>
      <c r="R29" s="16">
        <v>0</v>
      </c>
      <c r="S29" s="14">
        <v>0</v>
      </c>
      <c r="T29" s="16">
        <v>0</v>
      </c>
    </row>
    <row r="30" spans="1:20" x14ac:dyDescent="0.25">
      <c r="A30" s="11" t="s">
        <v>163</v>
      </c>
      <c r="B30" s="13">
        <v>4520</v>
      </c>
      <c r="C30" s="14">
        <f>(3740/B30*100)</f>
        <v>82.743362831858406</v>
      </c>
      <c r="D30" s="15">
        <v>780</v>
      </c>
      <c r="E30" s="14">
        <v>21.750636279999998</v>
      </c>
      <c r="F30" s="16">
        <v>1.5181246100000001</v>
      </c>
      <c r="G30" s="14">
        <v>25.744092949999999</v>
      </c>
      <c r="H30" s="16">
        <v>1.7023045699999999</v>
      </c>
      <c r="I30" s="14">
        <v>52.505270770000003</v>
      </c>
      <c r="J30" s="16">
        <v>2.0627406100000001</v>
      </c>
      <c r="K30" s="14" t="s">
        <v>139</v>
      </c>
      <c r="L30" s="16" t="s">
        <v>139</v>
      </c>
      <c r="M30" s="14">
        <v>0</v>
      </c>
      <c r="N30" s="16">
        <v>0</v>
      </c>
      <c r="O30" s="14">
        <v>0</v>
      </c>
      <c r="P30" s="16">
        <v>0</v>
      </c>
      <c r="Q30" s="14">
        <v>0</v>
      </c>
      <c r="R30" s="16">
        <v>0</v>
      </c>
      <c r="S30" s="14">
        <v>0</v>
      </c>
      <c r="T30" s="16">
        <v>0</v>
      </c>
    </row>
    <row r="31" spans="1:20" x14ac:dyDescent="0.25">
      <c r="A31" s="11" t="s">
        <v>164</v>
      </c>
      <c r="B31" s="13">
        <v>5456</v>
      </c>
      <c r="C31" s="14">
        <f>(4485/B31*100)</f>
        <v>82.203079178885631</v>
      </c>
      <c r="D31" s="15">
        <v>971</v>
      </c>
      <c r="E31" s="14">
        <v>21.525038349999999</v>
      </c>
      <c r="F31" s="16">
        <v>1.25460511</v>
      </c>
      <c r="G31" s="14">
        <v>36.005473049999999</v>
      </c>
      <c r="H31" s="16">
        <v>1.6676554400000001</v>
      </c>
      <c r="I31" s="14">
        <v>42.469488599999998</v>
      </c>
      <c r="J31" s="16">
        <v>1.74053155</v>
      </c>
      <c r="K31" s="14" t="s">
        <v>139</v>
      </c>
      <c r="L31" s="16" t="s">
        <v>139</v>
      </c>
      <c r="M31" s="14">
        <v>0</v>
      </c>
      <c r="N31" s="16">
        <v>0</v>
      </c>
      <c r="O31" s="14">
        <v>0</v>
      </c>
      <c r="P31" s="16">
        <v>0</v>
      </c>
      <c r="Q31" s="14">
        <v>0</v>
      </c>
      <c r="R31" s="16">
        <v>0</v>
      </c>
      <c r="S31" s="14">
        <v>0</v>
      </c>
      <c r="T31" s="16">
        <v>0</v>
      </c>
    </row>
    <row r="32" spans="1:20" x14ac:dyDescent="0.25">
      <c r="A32" s="11" t="s">
        <v>165</v>
      </c>
      <c r="B32" s="17" t="s">
        <v>154</v>
      </c>
      <c r="C32" s="17" t="s">
        <v>154</v>
      </c>
      <c r="D32" s="18" t="s">
        <v>154</v>
      </c>
      <c r="E32" s="17" t="s">
        <v>154</v>
      </c>
      <c r="F32" s="18" t="s">
        <v>154</v>
      </c>
      <c r="G32" s="17" t="s">
        <v>154</v>
      </c>
      <c r="H32" s="18" t="s">
        <v>154</v>
      </c>
      <c r="I32" s="17" t="s">
        <v>154</v>
      </c>
      <c r="J32" s="18" t="s">
        <v>154</v>
      </c>
      <c r="K32" s="17" t="s">
        <v>154</v>
      </c>
      <c r="L32" s="18" t="s">
        <v>154</v>
      </c>
      <c r="M32" s="17" t="s">
        <v>154</v>
      </c>
      <c r="N32" s="18" t="s">
        <v>154</v>
      </c>
      <c r="O32" s="17" t="s">
        <v>154</v>
      </c>
      <c r="P32" s="18" t="s">
        <v>154</v>
      </c>
      <c r="Q32" s="17" t="s">
        <v>154</v>
      </c>
      <c r="R32" s="18" t="s">
        <v>154</v>
      </c>
      <c r="S32" s="17" t="s">
        <v>154</v>
      </c>
      <c r="T32" s="18" t="s">
        <v>154</v>
      </c>
    </row>
    <row r="33" spans="1:20" x14ac:dyDescent="0.25">
      <c r="A33" s="11" t="s">
        <v>166</v>
      </c>
      <c r="B33" s="13">
        <v>7325</v>
      </c>
      <c r="C33" s="14">
        <f>(6051/B33*100)</f>
        <v>82.607508532423211</v>
      </c>
      <c r="D33" s="15">
        <v>1274</v>
      </c>
      <c r="E33" s="14">
        <v>30.611195460000001</v>
      </c>
      <c r="F33" s="16">
        <v>1.50623989</v>
      </c>
      <c r="G33" s="14">
        <v>26.19642705</v>
      </c>
      <c r="H33" s="16">
        <v>1.3899229399999999</v>
      </c>
      <c r="I33" s="14">
        <v>43.192377489999998</v>
      </c>
      <c r="J33" s="16">
        <v>1.85677113</v>
      </c>
      <c r="K33" s="14" t="s">
        <v>139</v>
      </c>
      <c r="L33" s="16" t="s">
        <v>139</v>
      </c>
      <c r="M33" s="14">
        <v>0</v>
      </c>
      <c r="N33" s="16">
        <v>0</v>
      </c>
      <c r="O33" s="14">
        <v>0</v>
      </c>
      <c r="P33" s="16">
        <v>0</v>
      </c>
      <c r="Q33" s="14">
        <v>0</v>
      </c>
      <c r="R33" s="16">
        <v>0</v>
      </c>
      <c r="S33" s="14">
        <v>0</v>
      </c>
      <c r="T33" s="16">
        <v>0</v>
      </c>
    </row>
    <row r="34" spans="1:20" x14ac:dyDescent="0.25">
      <c r="A34" s="11" t="s">
        <v>167</v>
      </c>
      <c r="B34" s="13">
        <v>6350</v>
      </c>
      <c r="C34" s="14">
        <f>(5295/B34*100)</f>
        <v>83.385826771653555</v>
      </c>
      <c r="D34" s="15">
        <v>1055</v>
      </c>
      <c r="E34" s="14">
        <v>28.713118940000001</v>
      </c>
      <c r="F34" s="16">
        <v>1.5587941400000001</v>
      </c>
      <c r="G34" s="14">
        <v>28.383194029999999</v>
      </c>
      <c r="H34" s="16">
        <v>1.44329292</v>
      </c>
      <c r="I34" s="14">
        <v>42.90368703</v>
      </c>
      <c r="J34" s="16">
        <v>1.5377493799999999</v>
      </c>
      <c r="K34" s="14" t="s">
        <v>139</v>
      </c>
      <c r="L34" s="16" t="s">
        <v>139</v>
      </c>
      <c r="M34" s="14">
        <v>0</v>
      </c>
      <c r="N34" s="16">
        <v>0</v>
      </c>
      <c r="O34" s="14">
        <v>0</v>
      </c>
      <c r="P34" s="16">
        <v>0</v>
      </c>
      <c r="Q34" s="14">
        <v>0</v>
      </c>
      <c r="R34" s="16">
        <v>0</v>
      </c>
      <c r="S34" s="14">
        <v>0</v>
      </c>
      <c r="T34" s="16">
        <v>0</v>
      </c>
    </row>
    <row r="35" spans="1:20" x14ac:dyDescent="0.25">
      <c r="A35" s="11" t="s">
        <v>168</v>
      </c>
      <c r="B35" s="13">
        <v>6406</v>
      </c>
      <c r="C35" s="14">
        <f>(5326/B35*100)</f>
        <v>83.140805494848578</v>
      </c>
      <c r="D35" s="15">
        <v>1080</v>
      </c>
      <c r="E35" s="14">
        <v>26.95669491</v>
      </c>
      <c r="F35" s="16">
        <v>1.60003403</v>
      </c>
      <c r="G35" s="14">
        <v>27.303070609999999</v>
      </c>
      <c r="H35" s="16">
        <v>1.83278132</v>
      </c>
      <c r="I35" s="14">
        <v>45.740234479999998</v>
      </c>
      <c r="J35" s="16">
        <v>1.7501928499999999</v>
      </c>
      <c r="K35" s="14" t="s">
        <v>139</v>
      </c>
      <c r="L35" s="16" t="s">
        <v>139</v>
      </c>
      <c r="M35" s="14">
        <v>0</v>
      </c>
      <c r="N35" s="16">
        <v>0</v>
      </c>
      <c r="O35" s="14">
        <v>0</v>
      </c>
      <c r="P35" s="16">
        <v>0</v>
      </c>
      <c r="Q35" s="14">
        <v>0</v>
      </c>
      <c r="R35" s="16">
        <v>0</v>
      </c>
      <c r="S35" s="14">
        <v>0</v>
      </c>
      <c r="T35" s="16">
        <v>0</v>
      </c>
    </row>
    <row r="36" spans="1:20" x14ac:dyDescent="0.25">
      <c r="A36" s="11" t="s">
        <v>169</v>
      </c>
      <c r="B36" s="13">
        <v>6736</v>
      </c>
      <c r="C36" s="14">
        <f>(5579/B36*100)</f>
        <v>82.823634204275535</v>
      </c>
      <c r="D36" s="15">
        <v>1157</v>
      </c>
      <c r="E36" s="14">
        <v>28.385189359999998</v>
      </c>
      <c r="F36" s="16">
        <v>1.53866927</v>
      </c>
      <c r="G36" s="14">
        <v>30.70668482</v>
      </c>
      <c r="H36" s="16">
        <v>1.4732044399999999</v>
      </c>
      <c r="I36" s="14">
        <v>40.908125820000002</v>
      </c>
      <c r="J36" s="16">
        <v>1.3884660200000001</v>
      </c>
      <c r="K36" s="14" t="s">
        <v>139</v>
      </c>
      <c r="L36" s="16" t="s">
        <v>139</v>
      </c>
      <c r="M36" s="14">
        <v>0</v>
      </c>
      <c r="N36" s="16">
        <v>0</v>
      </c>
      <c r="O36" s="14">
        <v>0</v>
      </c>
      <c r="P36" s="16">
        <v>0</v>
      </c>
      <c r="Q36" s="14">
        <v>0</v>
      </c>
      <c r="R36" s="16">
        <v>0</v>
      </c>
      <c r="S36" s="14">
        <v>0</v>
      </c>
      <c r="T36" s="16">
        <v>0</v>
      </c>
    </row>
    <row r="37" spans="1:20" x14ac:dyDescent="0.25">
      <c r="A37" s="11" t="s">
        <v>170</v>
      </c>
      <c r="B37" s="13">
        <v>5458</v>
      </c>
      <c r="C37" s="14">
        <f>(4515/B37*100)</f>
        <v>82.722609014290953</v>
      </c>
      <c r="D37" s="15">
        <v>943</v>
      </c>
      <c r="E37" s="14">
        <v>26.229558470000001</v>
      </c>
      <c r="F37" s="16">
        <v>1.5209811799999999</v>
      </c>
      <c r="G37" s="14">
        <v>29.860045530000001</v>
      </c>
      <c r="H37" s="16">
        <v>1.4441466700000001</v>
      </c>
      <c r="I37" s="14">
        <v>43.910396009999999</v>
      </c>
      <c r="J37" s="16">
        <v>1.7866525900000001</v>
      </c>
      <c r="K37" s="14" t="s">
        <v>139</v>
      </c>
      <c r="L37" s="16" t="s">
        <v>139</v>
      </c>
      <c r="M37" s="14">
        <v>0</v>
      </c>
      <c r="N37" s="16">
        <v>0</v>
      </c>
      <c r="O37" s="14">
        <v>0</v>
      </c>
      <c r="P37" s="16">
        <v>0</v>
      </c>
      <c r="Q37" s="14">
        <v>0</v>
      </c>
      <c r="R37" s="16">
        <v>0</v>
      </c>
      <c r="S37" s="14">
        <v>0</v>
      </c>
      <c r="T37" s="16">
        <v>0</v>
      </c>
    </row>
    <row r="38" spans="1:20" x14ac:dyDescent="0.25">
      <c r="A38" s="11" t="s">
        <v>171</v>
      </c>
      <c r="B38" s="17" t="s">
        <v>154</v>
      </c>
      <c r="C38" s="17" t="s">
        <v>154</v>
      </c>
      <c r="D38" s="18" t="s">
        <v>154</v>
      </c>
      <c r="E38" s="17" t="s">
        <v>154</v>
      </c>
      <c r="F38" s="18" t="s">
        <v>154</v>
      </c>
      <c r="G38" s="17" t="s">
        <v>154</v>
      </c>
      <c r="H38" s="18" t="s">
        <v>154</v>
      </c>
      <c r="I38" s="17" t="s">
        <v>154</v>
      </c>
      <c r="J38" s="18" t="s">
        <v>154</v>
      </c>
      <c r="K38" s="17" t="s">
        <v>154</v>
      </c>
      <c r="L38" s="18" t="s">
        <v>154</v>
      </c>
      <c r="M38" s="17" t="s">
        <v>154</v>
      </c>
      <c r="N38" s="18" t="s">
        <v>154</v>
      </c>
      <c r="O38" s="17" t="s">
        <v>154</v>
      </c>
      <c r="P38" s="18" t="s">
        <v>154</v>
      </c>
      <c r="Q38" s="17" t="s">
        <v>154</v>
      </c>
      <c r="R38" s="18" t="s">
        <v>154</v>
      </c>
      <c r="S38" s="17" t="s">
        <v>154</v>
      </c>
      <c r="T38" s="18" t="s">
        <v>154</v>
      </c>
    </row>
    <row r="39" spans="1:20" x14ac:dyDescent="0.25">
      <c r="A39" s="11" t="s">
        <v>172</v>
      </c>
      <c r="B39" s="13">
        <v>5895</v>
      </c>
      <c r="C39" s="14">
        <f>(4868/B39*100)</f>
        <v>82.578456318914334</v>
      </c>
      <c r="D39" s="15">
        <v>1027</v>
      </c>
      <c r="E39" s="14">
        <v>46.891460119999998</v>
      </c>
      <c r="F39" s="16">
        <v>2.21008615</v>
      </c>
      <c r="G39" s="14">
        <v>34.536041300000001</v>
      </c>
      <c r="H39" s="16">
        <v>1.96412472</v>
      </c>
      <c r="I39" s="14">
        <v>18.572498580000001</v>
      </c>
      <c r="J39" s="16">
        <v>1.74081207</v>
      </c>
      <c r="K39" s="14" t="s">
        <v>139</v>
      </c>
      <c r="L39" s="16" t="s">
        <v>139</v>
      </c>
      <c r="M39" s="14">
        <v>0</v>
      </c>
      <c r="N39" s="16">
        <v>0</v>
      </c>
      <c r="O39" s="14">
        <v>0</v>
      </c>
      <c r="P39" s="16">
        <v>0</v>
      </c>
      <c r="Q39" s="14">
        <v>0</v>
      </c>
      <c r="R39" s="16">
        <v>0</v>
      </c>
      <c r="S39" s="14">
        <v>0</v>
      </c>
      <c r="T39" s="16">
        <v>0</v>
      </c>
    </row>
    <row r="40" spans="1:20" x14ac:dyDescent="0.25">
      <c r="A40" s="11" t="s">
        <v>173</v>
      </c>
      <c r="B40" s="13">
        <v>14157</v>
      </c>
      <c r="C40" s="14">
        <f>(11668/B40*100)</f>
        <v>82.418591509500601</v>
      </c>
      <c r="D40" s="15">
        <v>2489</v>
      </c>
      <c r="E40" s="14">
        <v>24.129254629999998</v>
      </c>
      <c r="F40" s="16">
        <v>1.38994347</v>
      </c>
      <c r="G40" s="14">
        <v>33.827181539999998</v>
      </c>
      <c r="H40" s="16">
        <v>1.4034472099999999</v>
      </c>
      <c r="I40" s="14">
        <v>42.043563829999997</v>
      </c>
      <c r="J40" s="16">
        <v>1.21087732</v>
      </c>
      <c r="K40" s="14" t="s">
        <v>139</v>
      </c>
      <c r="L40" s="16" t="s">
        <v>139</v>
      </c>
      <c r="M40" s="14">
        <v>0</v>
      </c>
      <c r="N40" s="16">
        <v>0</v>
      </c>
      <c r="O40" s="14">
        <v>0</v>
      </c>
      <c r="P40" s="16">
        <v>0</v>
      </c>
      <c r="Q40" s="14">
        <v>0</v>
      </c>
      <c r="R40" s="16">
        <v>0</v>
      </c>
      <c r="S40" s="14">
        <v>0</v>
      </c>
      <c r="T40" s="16">
        <v>0</v>
      </c>
    </row>
    <row r="41" spans="1:20" x14ac:dyDescent="0.25">
      <c r="A41" s="11" t="s">
        <v>174</v>
      </c>
      <c r="B41" s="13">
        <v>5712</v>
      </c>
      <c r="C41" s="14">
        <f>(4739/B41*100)</f>
        <v>82.965686274509807</v>
      </c>
      <c r="D41" s="15">
        <v>973</v>
      </c>
      <c r="E41" s="14">
        <v>25.93941418</v>
      </c>
      <c r="F41" s="16">
        <v>1.61923712</v>
      </c>
      <c r="G41" s="14">
        <v>29.560558660000002</v>
      </c>
      <c r="H41" s="16">
        <v>1.57919532</v>
      </c>
      <c r="I41" s="14">
        <v>44.500027160000002</v>
      </c>
      <c r="J41" s="16">
        <v>1.68130544</v>
      </c>
      <c r="K41" s="14" t="s">
        <v>139</v>
      </c>
      <c r="L41" s="16" t="s">
        <v>139</v>
      </c>
      <c r="M41" s="14">
        <v>0</v>
      </c>
      <c r="N41" s="16">
        <v>0</v>
      </c>
      <c r="O41" s="14">
        <v>0</v>
      </c>
      <c r="P41" s="16">
        <v>0</v>
      </c>
      <c r="Q41" s="14">
        <v>0</v>
      </c>
      <c r="R41" s="16">
        <v>0</v>
      </c>
      <c r="S41" s="14">
        <v>0</v>
      </c>
      <c r="T41" s="16">
        <v>0</v>
      </c>
    </row>
    <row r="42" spans="1:20" x14ac:dyDescent="0.25">
      <c r="A42" s="11" t="s">
        <v>175</v>
      </c>
      <c r="B42" s="13">
        <f>IF(COUNT(B7:B41) &gt; 0, AVERAGE(B7:B41), "\u2014")</f>
        <v>7266.90625</v>
      </c>
      <c r="C42" s="14">
        <f>IF(COUNT(C7:C41) &gt; 0, AVERAGE(C7:C41), "—")</f>
        <v>82.894379820671148</v>
      </c>
      <c r="D42" s="15">
        <f>IF(COUNT(D7:D41) &gt; 0, AVERAGE(D7:D41), "—")</f>
        <v>1243.1875</v>
      </c>
      <c r="E42" s="14">
        <f>IF(COUNT(E7:E41) &gt; 0, AVERAGE(E7:E41), "—")</f>
        <v>26.680810032812502</v>
      </c>
      <c r="F42" s="16">
        <f>IF(COUNT(F7:F41) &gt; 0, SQRT(SUMSQ(F7:F41)/(COUNT(F7:F41)*COUNT(F7:F41)) ), "—")</f>
        <v>0.27009545342903862</v>
      </c>
      <c r="G42" s="14">
        <f>IF(COUNT(G7:G41) &gt; 0, AVERAGE(G7:G41), "—")</f>
        <v>29.524000379687493</v>
      </c>
      <c r="H42" s="16">
        <f>IF(COUNT(H7:H41) &gt; 0, SQRT(SUMSQ(H7:H41)/(COUNT(H7:H41)*COUNT(H7:H41)) ), "—")</f>
        <v>0.26724983622541837</v>
      </c>
      <c r="I42" s="14">
        <f>IF(COUNT(I7:I41) &gt; 0, AVERAGE(I7:I41), "—")</f>
        <v>43.795189587499991</v>
      </c>
      <c r="J42" s="16">
        <f>IF(COUNT(J7:J41) &gt; 0, SQRT(SUMSQ(J7:J41)/(COUNT(J7:J41)*COUNT(J7:J41)) ), "—")</f>
        <v>0.28929325982802823</v>
      </c>
      <c r="K42" s="14" t="str">
        <f>IF(COUNT(K7:K41) &gt; 0, AVERAGE(K7:K41), "—")</f>
        <v>—</v>
      </c>
      <c r="L42" s="16" t="str">
        <f>IF(COUNT(L7:L41) &gt; 0, SQRT(SUMSQ(L7:L41)/(COUNT(L7:L41)*COUNT(L7:L41)) ), "—")</f>
        <v>—</v>
      </c>
      <c r="M42" s="14">
        <f>IF(COUNT(M7:M41) &gt; 0, AVERAGE(M7:M41), "—")</f>
        <v>0</v>
      </c>
      <c r="N42" s="16">
        <f>IF(COUNT(N7:N41) &gt; 0, SQRT(SUMSQ(N7:N41)/(COUNT(N7:N41)*COUNT(N7:N41)) ), "—")</f>
        <v>0</v>
      </c>
      <c r="O42" s="14">
        <f>IF(COUNT(O7:O41) &gt; 0, AVERAGE(O7:O41), "—")</f>
        <v>0</v>
      </c>
      <c r="P42" s="16">
        <f>IF(COUNT(P7:P41) &gt; 0, SQRT(SUMSQ(P7:P41)/(COUNT(P7:P41)*COUNT(P7:P41)) ), "—")</f>
        <v>0</v>
      </c>
      <c r="Q42" s="14">
        <f>IF(COUNT(Q7:Q41) &gt; 0, AVERAGE(Q7:Q41), "—")</f>
        <v>0</v>
      </c>
      <c r="R42" s="16">
        <f>IF(COUNT(R7:R41) &gt; 0, SQRT(SUMSQ(R7:R41)/(COUNT(R7:R41)*COUNT(R7:R41)) ), "—")</f>
        <v>0</v>
      </c>
      <c r="S42" s="14">
        <f>IF(COUNT(S7:S41) &gt; 0, AVERAGE(S7:S41), "—")</f>
        <v>0</v>
      </c>
      <c r="T42" s="16">
        <f>IF(COUNT(T7:T41) &gt; 0, SQRT(SUMSQ(T7:T41)/(COUNT(T7:T41)*COUNT(T7:T41)) ), "—")</f>
        <v>0</v>
      </c>
    </row>
    <row r="43" spans="1:20" x14ac:dyDescent="0.25">
      <c r="A43" s="9" t="s">
        <v>176</v>
      </c>
      <c r="B43" s="10"/>
      <c r="C43" s="10"/>
      <c r="D43" s="11"/>
      <c r="E43" s="10"/>
      <c r="F43" s="11"/>
      <c r="G43" s="10"/>
      <c r="H43" s="11"/>
      <c r="I43" s="10"/>
      <c r="J43" s="11"/>
      <c r="K43" s="10"/>
      <c r="L43" s="11"/>
      <c r="M43" s="10"/>
      <c r="N43" s="11"/>
      <c r="O43" s="10"/>
      <c r="P43" s="11"/>
      <c r="Q43" s="10"/>
      <c r="R43" s="11"/>
      <c r="S43" s="10"/>
      <c r="T43" s="12"/>
    </row>
    <row r="44" spans="1:20" x14ac:dyDescent="0.25">
      <c r="A44" s="11" t="s">
        <v>177</v>
      </c>
      <c r="B44" s="17" t="s">
        <v>154</v>
      </c>
      <c r="C44" s="17" t="s">
        <v>154</v>
      </c>
      <c r="D44" s="18" t="s">
        <v>154</v>
      </c>
      <c r="E44" s="17" t="s">
        <v>154</v>
      </c>
      <c r="F44" s="18" t="s">
        <v>154</v>
      </c>
      <c r="G44" s="17" t="s">
        <v>154</v>
      </c>
      <c r="H44" s="18" t="s">
        <v>154</v>
      </c>
      <c r="I44" s="17" t="s">
        <v>154</v>
      </c>
      <c r="J44" s="18" t="s">
        <v>154</v>
      </c>
      <c r="K44" s="17" t="s">
        <v>154</v>
      </c>
      <c r="L44" s="18" t="s">
        <v>154</v>
      </c>
      <c r="M44" s="17" t="s">
        <v>154</v>
      </c>
      <c r="N44" s="18" t="s">
        <v>154</v>
      </c>
      <c r="O44" s="17" t="s">
        <v>154</v>
      </c>
      <c r="P44" s="18" t="s">
        <v>154</v>
      </c>
      <c r="Q44" s="17" t="s">
        <v>154</v>
      </c>
      <c r="R44" s="18" t="s">
        <v>154</v>
      </c>
      <c r="S44" s="17" t="s">
        <v>154</v>
      </c>
      <c r="T44" s="18" t="s">
        <v>154</v>
      </c>
    </row>
    <row r="45" spans="1:20" x14ac:dyDescent="0.25">
      <c r="A45" s="11" t="s">
        <v>178</v>
      </c>
      <c r="B45" s="17" t="s">
        <v>154</v>
      </c>
      <c r="C45" s="17" t="s">
        <v>154</v>
      </c>
      <c r="D45" s="18" t="s">
        <v>154</v>
      </c>
      <c r="E45" s="17" t="s">
        <v>154</v>
      </c>
      <c r="F45" s="18" t="s">
        <v>154</v>
      </c>
      <c r="G45" s="17" t="s">
        <v>154</v>
      </c>
      <c r="H45" s="18" t="s">
        <v>154</v>
      </c>
      <c r="I45" s="17" t="s">
        <v>154</v>
      </c>
      <c r="J45" s="18" t="s">
        <v>154</v>
      </c>
      <c r="K45" s="17" t="s">
        <v>154</v>
      </c>
      <c r="L45" s="18" t="s">
        <v>154</v>
      </c>
      <c r="M45" s="17" t="s">
        <v>154</v>
      </c>
      <c r="N45" s="18" t="s">
        <v>154</v>
      </c>
      <c r="O45" s="17" t="s">
        <v>154</v>
      </c>
      <c r="P45" s="18" t="s">
        <v>154</v>
      </c>
      <c r="Q45" s="17" t="s">
        <v>154</v>
      </c>
      <c r="R45" s="18" t="s">
        <v>154</v>
      </c>
      <c r="S45" s="17" t="s">
        <v>154</v>
      </c>
      <c r="T45" s="18" t="s">
        <v>154</v>
      </c>
    </row>
    <row r="46" spans="1:20" x14ac:dyDescent="0.25">
      <c r="A46" s="11" t="s">
        <v>179</v>
      </c>
      <c r="B46" s="13">
        <v>23141</v>
      </c>
      <c r="C46" s="14">
        <f>(19489/B46*100)</f>
        <v>84.218486668683283</v>
      </c>
      <c r="D46" s="15">
        <v>3652</v>
      </c>
      <c r="E46" s="14">
        <v>39.858786670000001</v>
      </c>
      <c r="F46" s="16">
        <v>0.93585079999999998</v>
      </c>
      <c r="G46" s="14">
        <v>33.203739229999996</v>
      </c>
      <c r="H46" s="16">
        <v>0.94993746999999995</v>
      </c>
      <c r="I46" s="14">
        <v>26.93747411</v>
      </c>
      <c r="J46" s="16">
        <v>0.91562944999999996</v>
      </c>
      <c r="K46" s="14" t="s">
        <v>139</v>
      </c>
      <c r="L46" s="16" t="s">
        <v>139</v>
      </c>
      <c r="M46" s="14">
        <v>0</v>
      </c>
      <c r="N46" s="16">
        <v>0</v>
      </c>
      <c r="O46" s="14">
        <v>0</v>
      </c>
      <c r="P46" s="16">
        <v>0</v>
      </c>
      <c r="Q46" s="14">
        <v>0</v>
      </c>
      <c r="R46" s="16">
        <v>0</v>
      </c>
      <c r="S46" s="14">
        <v>0</v>
      </c>
      <c r="T46" s="16">
        <v>0</v>
      </c>
    </row>
    <row r="47" spans="1:20" x14ac:dyDescent="0.25">
      <c r="A47" s="11" t="s">
        <v>180</v>
      </c>
      <c r="B47" s="13">
        <v>5928</v>
      </c>
      <c r="C47" s="14">
        <f>(4913/B47*100)</f>
        <v>82.8778677462888</v>
      </c>
      <c r="D47" s="15">
        <v>1015</v>
      </c>
      <c r="E47" s="14">
        <v>37.904863149999997</v>
      </c>
      <c r="F47" s="16">
        <v>1.89669653</v>
      </c>
      <c r="G47" s="14">
        <v>31.84370346</v>
      </c>
      <c r="H47" s="16">
        <v>1.62087487</v>
      </c>
      <c r="I47" s="14">
        <v>30.251433389999999</v>
      </c>
      <c r="J47" s="16">
        <v>1.73681755</v>
      </c>
      <c r="K47" s="14" t="s">
        <v>139</v>
      </c>
      <c r="L47" s="16" t="s">
        <v>139</v>
      </c>
      <c r="M47" s="14">
        <v>0</v>
      </c>
      <c r="N47" s="16">
        <v>0</v>
      </c>
      <c r="O47" s="14">
        <v>0</v>
      </c>
      <c r="P47" s="16">
        <v>0</v>
      </c>
      <c r="Q47" s="14">
        <v>0</v>
      </c>
      <c r="R47" s="16">
        <v>0</v>
      </c>
      <c r="S47" s="14">
        <v>0</v>
      </c>
      <c r="T47" s="16">
        <v>0</v>
      </c>
    </row>
    <row r="48" spans="1:20" x14ac:dyDescent="0.25">
      <c r="A48" s="11" t="s">
        <v>181</v>
      </c>
      <c r="B48" s="13">
        <v>9841</v>
      </c>
      <c r="C48" s="14">
        <f>(8127/B48*100)</f>
        <v>82.583070826135554</v>
      </c>
      <c r="D48" s="15">
        <v>1714</v>
      </c>
      <c r="E48" s="14">
        <v>35.0687377</v>
      </c>
      <c r="F48" s="16">
        <v>1.55359523</v>
      </c>
      <c r="G48" s="14">
        <v>38.02514549</v>
      </c>
      <c r="H48" s="16">
        <v>1.70794376</v>
      </c>
      <c r="I48" s="14">
        <v>26.90611681</v>
      </c>
      <c r="J48" s="16">
        <v>1.68683023</v>
      </c>
      <c r="K48" s="14" t="s">
        <v>139</v>
      </c>
      <c r="L48" s="16" t="s">
        <v>139</v>
      </c>
      <c r="M48" s="14">
        <v>0</v>
      </c>
      <c r="N48" s="16">
        <v>0</v>
      </c>
      <c r="O48" s="14">
        <v>0</v>
      </c>
      <c r="P48" s="16">
        <v>0</v>
      </c>
      <c r="Q48" s="14">
        <v>0</v>
      </c>
      <c r="R48" s="16">
        <v>0</v>
      </c>
      <c r="S48" s="14">
        <v>0</v>
      </c>
      <c r="T48" s="16">
        <v>0</v>
      </c>
    </row>
    <row r="49" spans="1:20" x14ac:dyDescent="0.25">
      <c r="A49" s="11" t="s">
        <v>182</v>
      </c>
      <c r="B49" s="17" t="s">
        <v>154</v>
      </c>
      <c r="C49" s="17" t="s">
        <v>154</v>
      </c>
      <c r="D49" s="18" t="s">
        <v>154</v>
      </c>
      <c r="E49" s="17" t="s">
        <v>154</v>
      </c>
      <c r="F49" s="18" t="s">
        <v>154</v>
      </c>
      <c r="G49" s="17" t="s">
        <v>154</v>
      </c>
      <c r="H49" s="18" t="s">
        <v>154</v>
      </c>
      <c r="I49" s="17" t="s">
        <v>154</v>
      </c>
      <c r="J49" s="18" t="s">
        <v>154</v>
      </c>
      <c r="K49" s="17" t="s">
        <v>154</v>
      </c>
      <c r="L49" s="18" t="s">
        <v>154</v>
      </c>
      <c r="M49" s="17" t="s">
        <v>154</v>
      </c>
      <c r="N49" s="18" t="s">
        <v>154</v>
      </c>
      <c r="O49" s="17" t="s">
        <v>154</v>
      </c>
      <c r="P49" s="18" t="s">
        <v>154</v>
      </c>
      <c r="Q49" s="17" t="s">
        <v>154</v>
      </c>
      <c r="R49" s="18" t="s">
        <v>154</v>
      </c>
      <c r="S49" s="17" t="s">
        <v>154</v>
      </c>
      <c r="T49" s="18" t="s">
        <v>154</v>
      </c>
    </row>
    <row r="50" spans="1:20" x14ac:dyDescent="0.25">
      <c r="A50" s="11" t="s">
        <v>183</v>
      </c>
      <c r="B50" s="13">
        <v>11795</v>
      </c>
      <c r="C50" s="14">
        <f>(9780/B50*100)</f>
        <v>82.916490038151764</v>
      </c>
      <c r="D50" s="15">
        <v>2015</v>
      </c>
      <c r="E50" s="14">
        <v>33.420330980000003</v>
      </c>
      <c r="F50" s="16">
        <v>1.52112425</v>
      </c>
      <c r="G50" s="14">
        <v>32.877532819999999</v>
      </c>
      <c r="H50" s="16">
        <v>1.37788165</v>
      </c>
      <c r="I50" s="14">
        <v>33.702136189999997</v>
      </c>
      <c r="J50" s="16">
        <v>1.8095838799999999</v>
      </c>
      <c r="K50" s="14" t="s">
        <v>139</v>
      </c>
      <c r="L50" s="16" t="s">
        <v>139</v>
      </c>
      <c r="M50" s="14">
        <v>0</v>
      </c>
      <c r="N50" s="16">
        <v>0</v>
      </c>
      <c r="O50" s="14">
        <v>0</v>
      </c>
      <c r="P50" s="16">
        <v>0</v>
      </c>
      <c r="Q50" s="14">
        <v>0</v>
      </c>
      <c r="R50" s="16">
        <v>0</v>
      </c>
      <c r="S50" s="14">
        <v>0</v>
      </c>
      <c r="T50" s="16">
        <v>0</v>
      </c>
    </row>
    <row r="51" spans="1:20" x14ac:dyDescent="0.25">
      <c r="A51" s="11" t="s">
        <v>184</v>
      </c>
      <c r="B51" s="13">
        <v>6866</v>
      </c>
      <c r="C51" s="14">
        <f>(5815/B51*100)</f>
        <v>84.692688610544707</v>
      </c>
      <c r="D51" s="15">
        <v>1051</v>
      </c>
      <c r="E51" s="14">
        <v>37.97511832</v>
      </c>
      <c r="F51" s="16">
        <v>1.6613502899999999</v>
      </c>
      <c r="G51" s="14">
        <v>32.081485620000002</v>
      </c>
      <c r="H51" s="16">
        <v>1.48530158</v>
      </c>
      <c r="I51" s="14">
        <v>29.94339605</v>
      </c>
      <c r="J51" s="16">
        <v>1.59671304</v>
      </c>
      <c r="K51" s="14" t="s">
        <v>139</v>
      </c>
      <c r="L51" s="16" t="s">
        <v>139</v>
      </c>
      <c r="M51" s="14">
        <v>0</v>
      </c>
      <c r="N51" s="16">
        <v>0</v>
      </c>
      <c r="O51" s="14">
        <v>0</v>
      </c>
      <c r="P51" s="16">
        <v>0</v>
      </c>
      <c r="Q51" s="14">
        <v>0</v>
      </c>
      <c r="R51" s="16">
        <v>0</v>
      </c>
      <c r="S51" s="14">
        <v>0</v>
      </c>
      <c r="T51" s="16">
        <v>0</v>
      </c>
    </row>
    <row r="52" spans="1:20" x14ac:dyDescent="0.25">
      <c r="A52" s="11" t="s">
        <v>185</v>
      </c>
      <c r="B52" s="13">
        <v>5809</v>
      </c>
      <c r="C52" s="14">
        <f>(4818/B52*100)</f>
        <v>82.940265105870196</v>
      </c>
      <c r="D52" s="15">
        <v>991</v>
      </c>
      <c r="E52" s="14">
        <v>37.522374190000001</v>
      </c>
      <c r="F52" s="16">
        <v>1.62753729</v>
      </c>
      <c r="G52" s="14">
        <v>29.525478979999999</v>
      </c>
      <c r="H52" s="16">
        <v>1.35982767</v>
      </c>
      <c r="I52" s="14">
        <v>32.952146829999997</v>
      </c>
      <c r="J52" s="16">
        <v>1.37708922</v>
      </c>
      <c r="K52" s="14" t="s">
        <v>139</v>
      </c>
      <c r="L52" s="16" t="s">
        <v>139</v>
      </c>
      <c r="M52" s="14">
        <v>0</v>
      </c>
      <c r="N52" s="16">
        <v>0</v>
      </c>
      <c r="O52" s="14">
        <v>0</v>
      </c>
      <c r="P52" s="16">
        <v>0</v>
      </c>
      <c r="Q52" s="14">
        <v>0</v>
      </c>
      <c r="R52" s="16">
        <v>0</v>
      </c>
      <c r="S52" s="14">
        <v>0</v>
      </c>
      <c r="T52" s="16">
        <v>0</v>
      </c>
    </row>
    <row r="53" spans="1:20" x14ac:dyDescent="0.25">
      <c r="A53" s="11" t="s">
        <v>186</v>
      </c>
      <c r="B53" s="13">
        <v>5571</v>
      </c>
      <c r="C53" s="14">
        <f>(4595/B53*100)</f>
        <v>82.480703643870044</v>
      </c>
      <c r="D53" s="15">
        <v>976</v>
      </c>
      <c r="E53" s="14">
        <v>43.283502210000002</v>
      </c>
      <c r="F53" s="16">
        <v>1.53195937</v>
      </c>
      <c r="G53" s="14">
        <v>32.460392939999998</v>
      </c>
      <c r="H53" s="16">
        <v>1.56573612</v>
      </c>
      <c r="I53" s="14">
        <v>24.25610485</v>
      </c>
      <c r="J53" s="16">
        <v>1.53425338</v>
      </c>
      <c r="K53" s="14" t="s">
        <v>139</v>
      </c>
      <c r="L53" s="16" t="s">
        <v>139</v>
      </c>
      <c r="M53" s="14">
        <v>0</v>
      </c>
      <c r="N53" s="16">
        <v>0</v>
      </c>
      <c r="O53" s="14">
        <v>0</v>
      </c>
      <c r="P53" s="16">
        <v>0</v>
      </c>
      <c r="Q53" s="14">
        <v>0</v>
      </c>
      <c r="R53" s="16">
        <v>0</v>
      </c>
      <c r="S53" s="14">
        <v>0</v>
      </c>
      <c r="T53" s="16">
        <v>0</v>
      </c>
    </row>
    <row r="54" spans="1:20" x14ac:dyDescent="0.25">
      <c r="A54" s="11" t="s">
        <v>187</v>
      </c>
      <c r="B54" s="17" t="s">
        <v>154</v>
      </c>
      <c r="C54" s="17" t="s">
        <v>154</v>
      </c>
      <c r="D54" s="18" t="s">
        <v>154</v>
      </c>
      <c r="E54" s="17" t="s">
        <v>154</v>
      </c>
      <c r="F54" s="18" t="s">
        <v>154</v>
      </c>
      <c r="G54" s="17" t="s">
        <v>154</v>
      </c>
      <c r="H54" s="18" t="s">
        <v>154</v>
      </c>
      <c r="I54" s="17" t="s">
        <v>154</v>
      </c>
      <c r="J54" s="18" t="s">
        <v>154</v>
      </c>
      <c r="K54" s="17" t="s">
        <v>154</v>
      </c>
      <c r="L54" s="18" t="s">
        <v>154</v>
      </c>
      <c r="M54" s="17" t="s">
        <v>154</v>
      </c>
      <c r="N54" s="18" t="s">
        <v>154</v>
      </c>
      <c r="O54" s="17" t="s">
        <v>154</v>
      </c>
      <c r="P54" s="18" t="s">
        <v>154</v>
      </c>
      <c r="Q54" s="17" t="s">
        <v>154</v>
      </c>
      <c r="R54" s="18" t="s">
        <v>154</v>
      </c>
      <c r="S54" s="17" t="s">
        <v>154</v>
      </c>
      <c r="T54" s="18" t="s">
        <v>154</v>
      </c>
    </row>
    <row r="55" spans="1:20" x14ac:dyDescent="0.25">
      <c r="A55" s="11" t="s">
        <v>188</v>
      </c>
      <c r="B55" s="17" t="s">
        <v>154</v>
      </c>
      <c r="C55" s="17" t="s">
        <v>154</v>
      </c>
      <c r="D55" s="18" t="s">
        <v>154</v>
      </c>
      <c r="E55" s="17" t="s">
        <v>154</v>
      </c>
      <c r="F55" s="18" t="s">
        <v>154</v>
      </c>
      <c r="G55" s="17" t="s">
        <v>154</v>
      </c>
      <c r="H55" s="18" t="s">
        <v>154</v>
      </c>
      <c r="I55" s="17" t="s">
        <v>154</v>
      </c>
      <c r="J55" s="18" t="s">
        <v>154</v>
      </c>
      <c r="K55" s="17" t="s">
        <v>154</v>
      </c>
      <c r="L55" s="18" t="s">
        <v>154</v>
      </c>
      <c r="M55" s="17" t="s">
        <v>154</v>
      </c>
      <c r="N55" s="18" t="s">
        <v>154</v>
      </c>
      <c r="O55" s="17" t="s">
        <v>154</v>
      </c>
      <c r="P55" s="18" t="s">
        <v>154</v>
      </c>
      <c r="Q55" s="17" t="s">
        <v>154</v>
      </c>
      <c r="R55" s="18" t="s">
        <v>154</v>
      </c>
      <c r="S55" s="17" t="s">
        <v>154</v>
      </c>
      <c r="T55" s="18" t="s">
        <v>154</v>
      </c>
    </row>
    <row r="56" spans="1:20" x14ac:dyDescent="0.25">
      <c r="A56" s="11" t="s">
        <v>189</v>
      </c>
      <c r="B56" s="13">
        <v>5359</v>
      </c>
      <c r="C56" s="14">
        <f>(4426/B56*100)</f>
        <v>82.590035454375823</v>
      </c>
      <c r="D56" s="15">
        <v>933</v>
      </c>
      <c r="E56" s="14">
        <v>32.40985002</v>
      </c>
      <c r="F56" s="16">
        <v>1.5126188199999999</v>
      </c>
      <c r="G56" s="14">
        <v>32.701727320000003</v>
      </c>
      <c r="H56" s="16">
        <v>1.3636583799999999</v>
      </c>
      <c r="I56" s="14">
        <v>34.888422660000003</v>
      </c>
      <c r="J56" s="16">
        <v>1.5018217</v>
      </c>
      <c r="K56" s="14" t="s">
        <v>139</v>
      </c>
      <c r="L56" s="16" t="s">
        <v>139</v>
      </c>
      <c r="M56" s="14">
        <v>0</v>
      </c>
      <c r="N56" s="16">
        <v>0</v>
      </c>
      <c r="O56" s="14">
        <v>0</v>
      </c>
      <c r="P56" s="16">
        <v>0</v>
      </c>
      <c r="Q56" s="14">
        <v>0</v>
      </c>
      <c r="R56" s="16">
        <v>0</v>
      </c>
      <c r="S56" s="14">
        <v>0</v>
      </c>
      <c r="T56" s="16">
        <v>0</v>
      </c>
    </row>
    <row r="57" spans="1:20" x14ac:dyDescent="0.25">
      <c r="A57" s="11" t="s">
        <v>190</v>
      </c>
      <c r="B57" s="17" t="s">
        <v>154</v>
      </c>
      <c r="C57" s="17" t="s">
        <v>154</v>
      </c>
      <c r="D57" s="18" t="s">
        <v>154</v>
      </c>
      <c r="E57" s="17" t="s">
        <v>154</v>
      </c>
      <c r="F57" s="18" t="s">
        <v>154</v>
      </c>
      <c r="G57" s="17" t="s">
        <v>154</v>
      </c>
      <c r="H57" s="18" t="s">
        <v>154</v>
      </c>
      <c r="I57" s="17" t="s">
        <v>154</v>
      </c>
      <c r="J57" s="18" t="s">
        <v>154</v>
      </c>
      <c r="K57" s="17" t="s">
        <v>154</v>
      </c>
      <c r="L57" s="18" t="s">
        <v>154</v>
      </c>
      <c r="M57" s="17" t="s">
        <v>154</v>
      </c>
      <c r="N57" s="18" t="s">
        <v>154</v>
      </c>
      <c r="O57" s="17" t="s">
        <v>154</v>
      </c>
      <c r="P57" s="18" t="s">
        <v>154</v>
      </c>
      <c r="Q57" s="17" t="s">
        <v>154</v>
      </c>
      <c r="R57" s="18" t="s">
        <v>154</v>
      </c>
      <c r="S57" s="17" t="s">
        <v>154</v>
      </c>
      <c r="T57" s="18" t="s">
        <v>154</v>
      </c>
    </row>
    <row r="58" spans="1:20" x14ac:dyDescent="0.25">
      <c r="A58" s="11" t="s">
        <v>191</v>
      </c>
      <c r="B58" s="17" t="s">
        <v>154</v>
      </c>
      <c r="C58" s="17" t="s">
        <v>154</v>
      </c>
      <c r="D58" s="18" t="s">
        <v>154</v>
      </c>
      <c r="E58" s="17" t="s">
        <v>154</v>
      </c>
      <c r="F58" s="18" t="s">
        <v>154</v>
      </c>
      <c r="G58" s="17" t="s">
        <v>154</v>
      </c>
      <c r="H58" s="18" t="s">
        <v>154</v>
      </c>
      <c r="I58" s="17" t="s">
        <v>154</v>
      </c>
      <c r="J58" s="18" t="s">
        <v>154</v>
      </c>
      <c r="K58" s="17" t="s">
        <v>154</v>
      </c>
      <c r="L58" s="18" t="s">
        <v>154</v>
      </c>
      <c r="M58" s="17" t="s">
        <v>154</v>
      </c>
      <c r="N58" s="18" t="s">
        <v>154</v>
      </c>
      <c r="O58" s="17" t="s">
        <v>154</v>
      </c>
      <c r="P58" s="18" t="s">
        <v>154</v>
      </c>
      <c r="Q58" s="17" t="s">
        <v>154</v>
      </c>
      <c r="R58" s="18" t="s">
        <v>154</v>
      </c>
      <c r="S58" s="17" t="s">
        <v>154</v>
      </c>
      <c r="T58" s="18" t="s">
        <v>154</v>
      </c>
    </row>
    <row r="59" spans="1:20" x14ac:dyDescent="0.25">
      <c r="A59" s="11" t="s">
        <v>192</v>
      </c>
      <c r="B59" s="17" t="s">
        <v>154</v>
      </c>
      <c r="C59" s="17" t="s">
        <v>154</v>
      </c>
      <c r="D59" s="18" t="s">
        <v>154</v>
      </c>
      <c r="E59" s="17" t="s">
        <v>154</v>
      </c>
      <c r="F59" s="18" t="s">
        <v>154</v>
      </c>
      <c r="G59" s="17" t="s">
        <v>154</v>
      </c>
      <c r="H59" s="18" t="s">
        <v>154</v>
      </c>
      <c r="I59" s="17" t="s">
        <v>154</v>
      </c>
      <c r="J59" s="18" t="s">
        <v>154</v>
      </c>
      <c r="K59" s="17" t="s">
        <v>154</v>
      </c>
      <c r="L59" s="18" t="s">
        <v>154</v>
      </c>
      <c r="M59" s="17" t="s">
        <v>154</v>
      </c>
      <c r="N59" s="18" t="s">
        <v>154</v>
      </c>
      <c r="O59" s="17" t="s">
        <v>154</v>
      </c>
      <c r="P59" s="18" t="s">
        <v>154</v>
      </c>
      <c r="Q59" s="17" t="s">
        <v>154</v>
      </c>
      <c r="R59" s="18" t="s">
        <v>154</v>
      </c>
      <c r="S59" s="17" t="s">
        <v>154</v>
      </c>
      <c r="T59" s="18" t="s">
        <v>154</v>
      </c>
    </row>
    <row r="60" spans="1:20" x14ac:dyDescent="0.25">
      <c r="A60" s="11" t="s">
        <v>193</v>
      </c>
      <c r="B60" s="17" t="s">
        <v>154</v>
      </c>
      <c r="C60" s="17" t="s">
        <v>154</v>
      </c>
      <c r="D60" s="18" t="s">
        <v>154</v>
      </c>
      <c r="E60" s="17" t="s">
        <v>154</v>
      </c>
      <c r="F60" s="18" t="s">
        <v>154</v>
      </c>
      <c r="G60" s="17" t="s">
        <v>154</v>
      </c>
      <c r="H60" s="18" t="s">
        <v>154</v>
      </c>
      <c r="I60" s="17" t="s">
        <v>154</v>
      </c>
      <c r="J60" s="18" t="s">
        <v>154</v>
      </c>
      <c r="K60" s="17" t="s">
        <v>154</v>
      </c>
      <c r="L60" s="18" t="s">
        <v>154</v>
      </c>
      <c r="M60" s="17" t="s">
        <v>154</v>
      </c>
      <c r="N60" s="18" t="s">
        <v>154</v>
      </c>
      <c r="O60" s="17" t="s">
        <v>154</v>
      </c>
      <c r="P60" s="18" t="s">
        <v>154</v>
      </c>
      <c r="Q60" s="17" t="s">
        <v>154</v>
      </c>
      <c r="R60" s="18" t="s">
        <v>154</v>
      </c>
      <c r="S60" s="17" t="s">
        <v>154</v>
      </c>
      <c r="T60" s="18" t="s">
        <v>154</v>
      </c>
    </row>
    <row r="61" spans="1:20" x14ac:dyDescent="0.25">
      <c r="A61" s="11" t="s">
        <v>194</v>
      </c>
      <c r="B61" s="13">
        <v>6525</v>
      </c>
      <c r="C61" s="14">
        <f>(5404/B61*100)</f>
        <v>82.819923371647505</v>
      </c>
      <c r="D61" s="15">
        <v>1121</v>
      </c>
      <c r="E61" s="14">
        <v>32.991714940000001</v>
      </c>
      <c r="F61" s="16">
        <v>1.6339514500000001</v>
      </c>
      <c r="G61" s="14">
        <v>34.512637609999999</v>
      </c>
      <c r="H61" s="16">
        <v>1.98701766</v>
      </c>
      <c r="I61" s="14">
        <v>32.49564745</v>
      </c>
      <c r="J61" s="16">
        <v>1.5642372</v>
      </c>
      <c r="K61" s="14" t="s">
        <v>139</v>
      </c>
      <c r="L61" s="16" t="s">
        <v>139</v>
      </c>
      <c r="M61" s="14">
        <v>0</v>
      </c>
      <c r="N61" s="16">
        <v>0</v>
      </c>
      <c r="O61" s="14">
        <v>0</v>
      </c>
      <c r="P61" s="16">
        <v>0</v>
      </c>
      <c r="Q61" s="14">
        <v>0</v>
      </c>
      <c r="R61" s="16">
        <v>0</v>
      </c>
      <c r="S61" s="14">
        <v>0</v>
      </c>
      <c r="T61" s="16">
        <v>0</v>
      </c>
    </row>
    <row r="62" spans="1:20" x14ac:dyDescent="0.25">
      <c r="A62" s="11" t="s">
        <v>195</v>
      </c>
      <c r="B62" s="13">
        <v>4476</v>
      </c>
      <c r="C62" s="14">
        <f>(3709/B62*100)</f>
        <v>82.864164432529037</v>
      </c>
      <c r="D62" s="15">
        <v>767</v>
      </c>
      <c r="E62" s="14">
        <v>34.583647370000001</v>
      </c>
      <c r="F62" s="16">
        <v>1.7214463099999999</v>
      </c>
      <c r="G62" s="14">
        <v>34.420871980000001</v>
      </c>
      <c r="H62" s="16">
        <v>1.6604422400000001</v>
      </c>
      <c r="I62" s="14">
        <v>30.995480650000001</v>
      </c>
      <c r="J62" s="16">
        <v>1.57157298</v>
      </c>
      <c r="K62" s="14" t="s">
        <v>139</v>
      </c>
      <c r="L62" s="16" t="s">
        <v>139</v>
      </c>
      <c r="M62" s="14">
        <v>0</v>
      </c>
      <c r="N62" s="16">
        <v>0</v>
      </c>
      <c r="O62" s="14">
        <v>0</v>
      </c>
      <c r="P62" s="16">
        <v>0</v>
      </c>
      <c r="Q62" s="14">
        <v>0</v>
      </c>
      <c r="R62" s="16">
        <v>0</v>
      </c>
      <c r="S62" s="14">
        <v>0</v>
      </c>
      <c r="T62" s="16">
        <v>0</v>
      </c>
    </row>
    <row r="63" spans="1:20" x14ac:dyDescent="0.25">
      <c r="A63" s="11" t="s">
        <v>196</v>
      </c>
      <c r="B63" s="17" t="s">
        <v>154</v>
      </c>
      <c r="C63" s="17" t="s">
        <v>154</v>
      </c>
      <c r="D63" s="18" t="s">
        <v>154</v>
      </c>
      <c r="E63" s="17" t="s">
        <v>154</v>
      </c>
      <c r="F63" s="18" t="s">
        <v>154</v>
      </c>
      <c r="G63" s="17" t="s">
        <v>154</v>
      </c>
      <c r="H63" s="18" t="s">
        <v>154</v>
      </c>
      <c r="I63" s="17" t="s">
        <v>154</v>
      </c>
      <c r="J63" s="18" t="s">
        <v>154</v>
      </c>
      <c r="K63" s="17" t="s">
        <v>154</v>
      </c>
      <c r="L63" s="18" t="s">
        <v>154</v>
      </c>
      <c r="M63" s="17" t="s">
        <v>154</v>
      </c>
      <c r="N63" s="18" t="s">
        <v>154</v>
      </c>
      <c r="O63" s="17" t="s">
        <v>154</v>
      </c>
      <c r="P63" s="18" t="s">
        <v>154</v>
      </c>
      <c r="Q63" s="17" t="s">
        <v>154</v>
      </c>
      <c r="R63" s="18" t="s">
        <v>154</v>
      </c>
      <c r="S63" s="17" t="s">
        <v>154</v>
      </c>
      <c r="T63" s="18" t="s">
        <v>154</v>
      </c>
    </row>
    <row r="64" spans="1:20" x14ac:dyDescent="0.25">
      <c r="A64" s="11" t="s">
        <v>197</v>
      </c>
      <c r="B64" s="17" t="s">
        <v>154</v>
      </c>
      <c r="C64" s="17" t="s">
        <v>154</v>
      </c>
      <c r="D64" s="18" t="s">
        <v>154</v>
      </c>
      <c r="E64" s="17" t="s">
        <v>154</v>
      </c>
      <c r="F64" s="18" t="s">
        <v>154</v>
      </c>
      <c r="G64" s="17" t="s">
        <v>154</v>
      </c>
      <c r="H64" s="18" t="s">
        <v>154</v>
      </c>
      <c r="I64" s="17" t="s">
        <v>154</v>
      </c>
      <c r="J64" s="18" t="s">
        <v>154</v>
      </c>
      <c r="K64" s="17" t="s">
        <v>154</v>
      </c>
      <c r="L64" s="18" t="s">
        <v>154</v>
      </c>
      <c r="M64" s="17" t="s">
        <v>154</v>
      </c>
      <c r="N64" s="18" t="s">
        <v>154</v>
      </c>
      <c r="O64" s="17" t="s">
        <v>154</v>
      </c>
      <c r="P64" s="18" t="s">
        <v>154</v>
      </c>
      <c r="Q64" s="17" t="s">
        <v>154</v>
      </c>
      <c r="R64" s="18" t="s">
        <v>154</v>
      </c>
      <c r="S64" s="17" t="s">
        <v>154</v>
      </c>
      <c r="T64" s="18" t="s">
        <v>154</v>
      </c>
    </row>
    <row r="65" spans="1:20" x14ac:dyDescent="0.25">
      <c r="A65" s="11" t="s">
        <v>198</v>
      </c>
      <c r="B65" s="17" t="s">
        <v>154</v>
      </c>
      <c r="C65" s="17" t="s">
        <v>154</v>
      </c>
      <c r="D65" s="18" t="s">
        <v>154</v>
      </c>
      <c r="E65" s="17" t="s">
        <v>154</v>
      </c>
      <c r="F65" s="18" t="s">
        <v>154</v>
      </c>
      <c r="G65" s="17" t="s">
        <v>154</v>
      </c>
      <c r="H65" s="18" t="s">
        <v>154</v>
      </c>
      <c r="I65" s="17" t="s">
        <v>154</v>
      </c>
      <c r="J65" s="18" t="s">
        <v>154</v>
      </c>
      <c r="K65" s="17" t="s">
        <v>154</v>
      </c>
      <c r="L65" s="18" t="s">
        <v>154</v>
      </c>
      <c r="M65" s="17" t="s">
        <v>154</v>
      </c>
      <c r="N65" s="18" t="s">
        <v>154</v>
      </c>
      <c r="O65" s="17" t="s">
        <v>154</v>
      </c>
      <c r="P65" s="18" t="s">
        <v>154</v>
      </c>
      <c r="Q65" s="17" t="s">
        <v>154</v>
      </c>
      <c r="R65" s="18" t="s">
        <v>154</v>
      </c>
      <c r="S65" s="17" t="s">
        <v>154</v>
      </c>
      <c r="T65" s="18" t="s">
        <v>154</v>
      </c>
    </row>
    <row r="66" spans="1:20" x14ac:dyDescent="0.25">
      <c r="A66" s="11" t="s">
        <v>199</v>
      </c>
      <c r="B66" s="13">
        <v>5665</v>
      </c>
      <c r="C66" s="14">
        <f>(4694/B66*100)</f>
        <v>82.85966460723742</v>
      </c>
      <c r="D66" s="15">
        <v>971</v>
      </c>
      <c r="E66" s="14">
        <v>43.150913160000002</v>
      </c>
      <c r="F66" s="16">
        <v>1.4113358300000001</v>
      </c>
      <c r="G66" s="14">
        <v>29.357691760000002</v>
      </c>
      <c r="H66" s="16">
        <v>1.3595839000000001</v>
      </c>
      <c r="I66" s="14">
        <v>27.49139508</v>
      </c>
      <c r="J66" s="16">
        <v>1.29134305</v>
      </c>
      <c r="K66" s="14" t="s">
        <v>139</v>
      </c>
      <c r="L66" s="16" t="s">
        <v>139</v>
      </c>
      <c r="M66" s="14">
        <v>0</v>
      </c>
      <c r="N66" s="16">
        <v>0</v>
      </c>
      <c r="O66" s="14">
        <v>0</v>
      </c>
      <c r="P66" s="16">
        <v>0</v>
      </c>
      <c r="Q66" s="14">
        <v>0</v>
      </c>
      <c r="R66" s="16">
        <v>0</v>
      </c>
      <c r="S66" s="14">
        <v>0</v>
      </c>
      <c r="T66" s="16">
        <v>0</v>
      </c>
    </row>
    <row r="67" spans="1:20" x14ac:dyDescent="0.25">
      <c r="A67" s="11" t="s">
        <v>200</v>
      </c>
      <c r="B67" s="13">
        <v>6971</v>
      </c>
      <c r="C67" s="14">
        <f>(5823/B67*100)</f>
        <v>83.531774494333661</v>
      </c>
      <c r="D67" s="15">
        <v>1148</v>
      </c>
      <c r="E67" s="14">
        <v>40.880836780000003</v>
      </c>
      <c r="F67" s="16">
        <v>1.53381045</v>
      </c>
      <c r="G67" s="14">
        <v>33.699849139999998</v>
      </c>
      <c r="H67" s="16">
        <v>1.3692707</v>
      </c>
      <c r="I67" s="14">
        <v>25.419314079999999</v>
      </c>
      <c r="J67" s="16">
        <v>1.5496065299999999</v>
      </c>
      <c r="K67" s="14" t="s">
        <v>139</v>
      </c>
      <c r="L67" s="16" t="s">
        <v>139</v>
      </c>
      <c r="M67" s="14">
        <v>0</v>
      </c>
      <c r="N67" s="16">
        <v>0</v>
      </c>
      <c r="O67" s="14">
        <v>0</v>
      </c>
      <c r="P67" s="16">
        <v>0</v>
      </c>
      <c r="Q67" s="14">
        <v>0</v>
      </c>
      <c r="R67" s="16">
        <v>0</v>
      </c>
      <c r="S67" s="14">
        <v>0</v>
      </c>
      <c r="T67" s="16">
        <v>0</v>
      </c>
    </row>
    <row r="68" spans="1:20" x14ac:dyDescent="0.25">
      <c r="A68" s="11" t="s">
        <v>201</v>
      </c>
      <c r="B68" s="17" t="s">
        <v>154</v>
      </c>
      <c r="C68" s="17" t="s">
        <v>154</v>
      </c>
      <c r="D68" s="18" t="s">
        <v>154</v>
      </c>
      <c r="E68" s="17" t="s">
        <v>154</v>
      </c>
      <c r="F68" s="18" t="s">
        <v>154</v>
      </c>
      <c r="G68" s="17" t="s">
        <v>154</v>
      </c>
      <c r="H68" s="18" t="s">
        <v>154</v>
      </c>
      <c r="I68" s="17" t="s">
        <v>154</v>
      </c>
      <c r="J68" s="18" t="s">
        <v>154</v>
      </c>
      <c r="K68" s="17" t="s">
        <v>154</v>
      </c>
      <c r="L68" s="18" t="s">
        <v>154</v>
      </c>
      <c r="M68" s="17" t="s">
        <v>154</v>
      </c>
      <c r="N68" s="18" t="s">
        <v>154</v>
      </c>
      <c r="O68" s="17" t="s">
        <v>154</v>
      </c>
      <c r="P68" s="18" t="s">
        <v>154</v>
      </c>
      <c r="Q68" s="17" t="s">
        <v>154</v>
      </c>
      <c r="R68" s="18" t="s">
        <v>154</v>
      </c>
      <c r="S68" s="17" t="s">
        <v>154</v>
      </c>
      <c r="T68" s="18" t="s">
        <v>154</v>
      </c>
    </row>
    <row r="69" spans="1:20" x14ac:dyDescent="0.25">
      <c r="A69" s="11" t="s">
        <v>202</v>
      </c>
      <c r="B69" s="17" t="s">
        <v>154</v>
      </c>
      <c r="C69" s="17" t="s">
        <v>154</v>
      </c>
      <c r="D69" s="18" t="s">
        <v>154</v>
      </c>
      <c r="E69" s="17" t="s">
        <v>154</v>
      </c>
      <c r="F69" s="18" t="s">
        <v>154</v>
      </c>
      <c r="G69" s="17" t="s">
        <v>154</v>
      </c>
      <c r="H69" s="18" t="s">
        <v>154</v>
      </c>
      <c r="I69" s="17" t="s">
        <v>154</v>
      </c>
      <c r="J69" s="18" t="s">
        <v>154</v>
      </c>
      <c r="K69" s="17" t="s">
        <v>154</v>
      </c>
      <c r="L69" s="18" t="s">
        <v>154</v>
      </c>
      <c r="M69" s="17" t="s">
        <v>154</v>
      </c>
      <c r="N69" s="18" t="s">
        <v>154</v>
      </c>
      <c r="O69" s="17" t="s">
        <v>154</v>
      </c>
      <c r="P69" s="18" t="s">
        <v>154</v>
      </c>
      <c r="Q69" s="17" t="s">
        <v>154</v>
      </c>
      <c r="R69" s="18" t="s">
        <v>154</v>
      </c>
      <c r="S69" s="17" t="s">
        <v>154</v>
      </c>
      <c r="T69" s="18" t="s">
        <v>154</v>
      </c>
    </row>
    <row r="70" spans="1:20" x14ac:dyDescent="0.25">
      <c r="A70" s="11" t="s">
        <v>203</v>
      </c>
      <c r="B70" s="13">
        <v>6036</v>
      </c>
      <c r="C70" s="14">
        <f>(4993/B70*100)</f>
        <v>82.720344599072234</v>
      </c>
      <c r="D70" s="15">
        <v>1043</v>
      </c>
      <c r="E70" s="14">
        <v>26.283896250000002</v>
      </c>
      <c r="F70" s="16">
        <v>1.6180842499999999</v>
      </c>
      <c r="G70" s="14">
        <v>30.538241299999999</v>
      </c>
      <c r="H70" s="16">
        <v>1.97592429</v>
      </c>
      <c r="I70" s="14">
        <v>43.177862449999999</v>
      </c>
      <c r="J70" s="16">
        <v>1.8518831899999999</v>
      </c>
      <c r="K70" s="14" t="s">
        <v>139</v>
      </c>
      <c r="L70" s="16" t="s">
        <v>139</v>
      </c>
      <c r="M70" s="14">
        <v>0</v>
      </c>
      <c r="N70" s="16">
        <v>0</v>
      </c>
      <c r="O70" s="14">
        <v>0</v>
      </c>
      <c r="P70" s="16">
        <v>0</v>
      </c>
      <c r="Q70" s="14">
        <v>0</v>
      </c>
      <c r="R70" s="16">
        <v>0</v>
      </c>
      <c r="S70" s="14">
        <v>0</v>
      </c>
      <c r="T70" s="16">
        <v>0</v>
      </c>
    </row>
    <row r="71" spans="1:20" x14ac:dyDescent="0.25">
      <c r="A71" s="11" t="s">
        <v>204</v>
      </c>
      <c r="B71" s="17" t="s">
        <v>154</v>
      </c>
      <c r="C71" s="17" t="s">
        <v>154</v>
      </c>
      <c r="D71" s="18" t="s">
        <v>154</v>
      </c>
      <c r="E71" s="17" t="s">
        <v>154</v>
      </c>
      <c r="F71" s="18" t="s">
        <v>154</v>
      </c>
      <c r="G71" s="17" t="s">
        <v>154</v>
      </c>
      <c r="H71" s="18" t="s">
        <v>154</v>
      </c>
      <c r="I71" s="17" t="s">
        <v>154</v>
      </c>
      <c r="J71" s="18" t="s">
        <v>154</v>
      </c>
      <c r="K71" s="17" t="s">
        <v>154</v>
      </c>
      <c r="L71" s="18" t="s">
        <v>154</v>
      </c>
      <c r="M71" s="17" t="s">
        <v>154</v>
      </c>
      <c r="N71" s="18" t="s">
        <v>154</v>
      </c>
      <c r="O71" s="17" t="s">
        <v>154</v>
      </c>
      <c r="P71" s="18" t="s">
        <v>154</v>
      </c>
      <c r="Q71" s="17" t="s">
        <v>154</v>
      </c>
      <c r="R71" s="18" t="s">
        <v>154</v>
      </c>
      <c r="S71" s="17" t="s">
        <v>154</v>
      </c>
      <c r="T71" s="18" t="s">
        <v>154</v>
      </c>
    </row>
    <row r="72" spans="1:20" x14ac:dyDescent="0.25">
      <c r="A72" s="11" t="s">
        <v>205</v>
      </c>
      <c r="B72" s="13">
        <v>7708</v>
      </c>
      <c r="C72" s="14">
        <f>(6393/B72*100)</f>
        <v>82.939802802283353</v>
      </c>
      <c r="D72" s="15">
        <v>1315</v>
      </c>
      <c r="E72" s="14">
        <v>32.146314580000002</v>
      </c>
      <c r="F72" s="16">
        <v>1.3224580800000001</v>
      </c>
      <c r="G72" s="14">
        <v>36.30114889</v>
      </c>
      <c r="H72" s="16">
        <v>1.4431886899999999</v>
      </c>
      <c r="I72" s="14">
        <v>31.552536530000001</v>
      </c>
      <c r="J72" s="16">
        <v>1.4057400900000001</v>
      </c>
      <c r="K72" s="14" t="s">
        <v>139</v>
      </c>
      <c r="L72" s="16" t="s">
        <v>139</v>
      </c>
      <c r="M72" s="14">
        <v>0</v>
      </c>
      <c r="N72" s="16">
        <v>0</v>
      </c>
      <c r="O72" s="14">
        <v>0</v>
      </c>
      <c r="P72" s="16">
        <v>0</v>
      </c>
      <c r="Q72" s="14">
        <v>0</v>
      </c>
      <c r="R72" s="16">
        <v>0</v>
      </c>
      <c r="S72" s="14">
        <v>0</v>
      </c>
      <c r="T72" s="16">
        <v>0</v>
      </c>
    </row>
    <row r="73" spans="1:20" x14ac:dyDescent="0.25">
      <c r="A73" s="11" t="s">
        <v>206</v>
      </c>
      <c r="B73" s="13">
        <v>8249</v>
      </c>
      <c r="C73" s="14">
        <f>(6845/B73*100)</f>
        <v>82.979755121832952</v>
      </c>
      <c r="D73" s="15">
        <v>1404</v>
      </c>
      <c r="E73" s="14">
        <v>41.04082975</v>
      </c>
      <c r="F73" s="16">
        <v>2.0398531599999998</v>
      </c>
      <c r="G73" s="14">
        <v>33.876169509999997</v>
      </c>
      <c r="H73" s="16">
        <v>1.63870073</v>
      </c>
      <c r="I73" s="14">
        <v>25.083000739999999</v>
      </c>
      <c r="J73" s="16">
        <v>1.80272459</v>
      </c>
      <c r="K73" s="14" t="s">
        <v>139</v>
      </c>
      <c r="L73" s="16" t="s">
        <v>139</v>
      </c>
      <c r="M73" s="14">
        <v>0</v>
      </c>
      <c r="N73" s="16">
        <v>0</v>
      </c>
      <c r="O73" s="14">
        <v>0</v>
      </c>
      <c r="P73" s="16">
        <v>0</v>
      </c>
      <c r="Q73" s="14">
        <v>0</v>
      </c>
      <c r="R73" s="16">
        <v>0</v>
      </c>
      <c r="S73" s="14">
        <v>0</v>
      </c>
      <c r="T73" s="16">
        <v>0</v>
      </c>
    </row>
    <row r="74" spans="1:20" x14ac:dyDescent="0.25">
      <c r="A74" s="11" t="s">
        <v>207</v>
      </c>
      <c r="B74" s="17" t="s">
        <v>154</v>
      </c>
      <c r="C74" s="17" t="s">
        <v>154</v>
      </c>
      <c r="D74" s="18" t="s">
        <v>154</v>
      </c>
      <c r="E74" s="17" t="s">
        <v>154</v>
      </c>
      <c r="F74" s="18" t="s">
        <v>154</v>
      </c>
      <c r="G74" s="17" t="s">
        <v>154</v>
      </c>
      <c r="H74" s="18" t="s">
        <v>154</v>
      </c>
      <c r="I74" s="17" t="s">
        <v>154</v>
      </c>
      <c r="J74" s="18" t="s">
        <v>154</v>
      </c>
      <c r="K74" s="17" t="s">
        <v>154</v>
      </c>
      <c r="L74" s="18" t="s">
        <v>154</v>
      </c>
      <c r="M74" s="17" t="s">
        <v>154</v>
      </c>
      <c r="N74" s="18" t="s">
        <v>154</v>
      </c>
      <c r="O74" s="17" t="s">
        <v>154</v>
      </c>
      <c r="P74" s="18" t="s">
        <v>154</v>
      </c>
      <c r="Q74" s="17" t="s">
        <v>154</v>
      </c>
      <c r="R74" s="18" t="s">
        <v>154</v>
      </c>
      <c r="S74" s="17" t="s">
        <v>154</v>
      </c>
      <c r="T74" s="18" t="s">
        <v>154</v>
      </c>
    </row>
    <row r="75" spans="1:20" x14ac:dyDescent="0.25">
      <c r="A75" s="11" t="s">
        <v>208</v>
      </c>
      <c r="B75" s="13">
        <v>5375</v>
      </c>
      <c r="C75" s="14">
        <f>(4531/B75*100)</f>
        <v>84.297674418604657</v>
      </c>
      <c r="D75" s="15">
        <v>844</v>
      </c>
      <c r="E75" s="14">
        <v>52.296278129999997</v>
      </c>
      <c r="F75" s="16">
        <v>1.6022298100000001</v>
      </c>
      <c r="G75" s="14">
        <v>31.26515762</v>
      </c>
      <c r="H75" s="16">
        <v>1.50016203</v>
      </c>
      <c r="I75" s="14">
        <v>16.438564240000002</v>
      </c>
      <c r="J75" s="16">
        <v>1.2582444800000001</v>
      </c>
      <c r="K75" s="14" t="s">
        <v>139</v>
      </c>
      <c r="L75" s="16" t="s">
        <v>139</v>
      </c>
      <c r="M75" s="14">
        <v>0</v>
      </c>
      <c r="N75" s="16">
        <v>0</v>
      </c>
      <c r="O75" s="14">
        <v>0</v>
      </c>
      <c r="P75" s="16">
        <v>0</v>
      </c>
      <c r="Q75" s="14">
        <v>0</v>
      </c>
      <c r="R75" s="16">
        <v>0</v>
      </c>
      <c r="S75" s="14">
        <v>0</v>
      </c>
      <c r="T75" s="16">
        <v>0</v>
      </c>
    </row>
    <row r="76" spans="1:20" x14ac:dyDescent="0.25">
      <c r="A76" s="11" t="s">
        <v>209</v>
      </c>
      <c r="B76" s="13">
        <v>14167</v>
      </c>
      <c r="C76" s="14">
        <f>(11735/B76*100)</f>
        <v>82.833345097762404</v>
      </c>
      <c r="D76" s="15">
        <v>2432</v>
      </c>
      <c r="E76" s="14">
        <v>40.271075889999999</v>
      </c>
      <c r="F76" s="16">
        <v>1.3042105100000001</v>
      </c>
      <c r="G76" s="14">
        <v>31.098657750000001</v>
      </c>
      <c r="H76" s="16">
        <v>1.0817543999999999</v>
      </c>
      <c r="I76" s="14">
        <v>28.63026636</v>
      </c>
      <c r="J76" s="16">
        <v>1.0655954999999999</v>
      </c>
      <c r="K76" s="14" t="s">
        <v>139</v>
      </c>
      <c r="L76" s="16" t="s">
        <v>139</v>
      </c>
      <c r="M76" s="14">
        <v>0</v>
      </c>
      <c r="N76" s="16">
        <v>0</v>
      </c>
      <c r="O76" s="14">
        <v>0</v>
      </c>
      <c r="P76" s="16">
        <v>0</v>
      </c>
      <c r="Q76" s="14">
        <v>0</v>
      </c>
      <c r="R76" s="16">
        <v>0</v>
      </c>
      <c r="S76" s="14">
        <v>0</v>
      </c>
      <c r="T76" s="16">
        <v>0</v>
      </c>
    </row>
    <row r="77" spans="1:20" x14ac:dyDescent="0.25">
      <c r="A77" s="11" t="s">
        <v>210</v>
      </c>
      <c r="B77" s="13">
        <v>6062</v>
      </c>
      <c r="C77" s="14">
        <f>(4996/B77*100)</f>
        <v>82.415044539755854</v>
      </c>
      <c r="D77" s="15">
        <v>1066</v>
      </c>
      <c r="E77" s="14">
        <v>39.309683909999997</v>
      </c>
      <c r="F77" s="16">
        <v>1.61777869</v>
      </c>
      <c r="G77" s="14">
        <v>31.634931850000001</v>
      </c>
      <c r="H77" s="16">
        <v>1.5041807599999999</v>
      </c>
      <c r="I77" s="14">
        <v>29.055384239999999</v>
      </c>
      <c r="J77" s="16">
        <v>1.3324339000000001</v>
      </c>
      <c r="K77" s="14" t="s">
        <v>139</v>
      </c>
      <c r="L77" s="16" t="s">
        <v>139</v>
      </c>
      <c r="M77" s="14">
        <v>0</v>
      </c>
      <c r="N77" s="16">
        <v>0</v>
      </c>
      <c r="O77" s="14">
        <v>0</v>
      </c>
      <c r="P77" s="16">
        <v>0</v>
      </c>
      <c r="Q77" s="14">
        <v>0</v>
      </c>
      <c r="R77" s="16">
        <v>0</v>
      </c>
      <c r="S77" s="14">
        <v>0</v>
      </c>
      <c r="T77" s="16">
        <v>0</v>
      </c>
    </row>
    <row r="78" spans="1:20" x14ac:dyDescent="0.25">
      <c r="A78" s="11" t="s">
        <v>211</v>
      </c>
      <c r="B78" s="17" t="s">
        <v>154</v>
      </c>
      <c r="C78" s="17" t="s">
        <v>154</v>
      </c>
      <c r="D78" s="18" t="s">
        <v>154</v>
      </c>
      <c r="E78" s="17" t="s">
        <v>154</v>
      </c>
      <c r="F78" s="18" t="s">
        <v>154</v>
      </c>
      <c r="G78" s="17" t="s">
        <v>154</v>
      </c>
      <c r="H78" s="18" t="s">
        <v>154</v>
      </c>
      <c r="I78" s="17" t="s">
        <v>154</v>
      </c>
      <c r="J78" s="18" t="s">
        <v>154</v>
      </c>
      <c r="K78" s="17" t="s">
        <v>154</v>
      </c>
      <c r="L78" s="18" t="s">
        <v>154</v>
      </c>
      <c r="M78" s="17" t="s">
        <v>154</v>
      </c>
      <c r="N78" s="18" t="s">
        <v>154</v>
      </c>
      <c r="O78" s="17" t="s">
        <v>154</v>
      </c>
      <c r="P78" s="18" t="s">
        <v>154</v>
      </c>
      <c r="Q78" s="17" t="s">
        <v>154</v>
      </c>
      <c r="R78" s="18" t="s">
        <v>154</v>
      </c>
      <c r="S78" s="17" t="s">
        <v>154</v>
      </c>
      <c r="T78" s="18" t="s">
        <v>154</v>
      </c>
    </row>
    <row r="79" spans="1:20" ht="24.95" customHeight="1" x14ac:dyDescent="0.25">
      <c r="A79" s="11" t="s">
        <v>212</v>
      </c>
      <c r="B79" s="17" t="s">
        <v>154</v>
      </c>
      <c r="C79" s="17" t="s">
        <v>154</v>
      </c>
      <c r="D79" s="18" t="s">
        <v>154</v>
      </c>
      <c r="E79" s="17" t="s">
        <v>154</v>
      </c>
      <c r="F79" s="18" t="s">
        <v>154</v>
      </c>
      <c r="G79" s="17" t="s">
        <v>154</v>
      </c>
      <c r="H79" s="18" t="s">
        <v>154</v>
      </c>
      <c r="I79" s="17" t="s">
        <v>154</v>
      </c>
      <c r="J79" s="18" t="s">
        <v>154</v>
      </c>
      <c r="K79" s="17" t="s">
        <v>154</v>
      </c>
      <c r="L79" s="18" t="s">
        <v>154</v>
      </c>
      <c r="M79" s="17" t="s">
        <v>154</v>
      </c>
      <c r="N79" s="18" t="s">
        <v>154</v>
      </c>
      <c r="O79" s="17" t="s">
        <v>154</v>
      </c>
      <c r="P79" s="18" t="s">
        <v>154</v>
      </c>
      <c r="Q79" s="17" t="s">
        <v>154</v>
      </c>
      <c r="R79" s="18" t="s">
        <v>154</v>
      </c>
      <c r="S79" s="17" t="s">
        <v>154</v>
      </c>
      <c r="T79" s="18" t="s">
        <v>154</v>
      </c>
    </row>
    <row r="80" spans="1:20" x14ac:dyDescent="0.25">
      <c r="A80" s="11" t="s">
        <v>213</v>
      </c>
      <c r="B80" s="17" t="s">
        <v>154</v>
      </c>
      <c r="C80" s="17" t="s">
        <v>154</v>
      </c>
      <c r="D80" s="18" t="s">
        <v>154</v>
      </c>
      <c r="E80" s="17" t="s">
        <v>154</v>
      </c>
      <c r="F80" s="18" t="s">
        <v>154</v>
      </c>
      <c r="G80" s="17" t="s">
        <v>154</v>
      </c>
      <c r="H80" s="18" t="s">
        <v>154</v>
      </c>
      <c r="I80" s="17" t="s">
        <v>154</v>
      </c>
      <c r="J80" s="18" t="s">
        <v>154</v>
      </c>
      <c r="K80" s="17" t="s">
        <v>154</v>
      </c>
      <c r="L80" s="18" t="s">
        <v>154</v>
      </c>
      <c r="M80" s="17" t="s">
        <v>154</v>
      </c>
      <c r="N80" s="18" t="s">
        <v>154</v>
      </c>
      <c r="O80" s="17" t="s">
        <v>154</v>
      </c>
      <c r="P80" s="18" t="s">
        <v>154</v>
      </c>
      <c r="Q80" s="17" t="s">
        <v>154</v>
      </c>
      <c r="R80" s="18" t="s">
        <v>154</v>
      </c>
      <c r="S80" s="17" t="s">
        <v>154</v>
      </c>
      <c r="T80" s="18" t="s">
        <v>154</v>
      </c>
    </row>
    <row r="81" spans="1:20" x14ac:dyDescent="0.25">
      <c r="A81" s="19" t="s">
        <v>214</v>
      </c>
      <c r="B81" s="13">
        <v>8861</v>
      </c>
      <c r="C81" s="14">
        <f>(7363/B81*100)</f>
        <v>83.094458864687965</v>
      </c>
      <c r="D81" s="15">
        <v>1498</v>
      </c>
      <c r="E81" s="14">
        <v>40.544603440000003</v>
      </c>
      <c r="F81" s="16">
        <v>1.3963726999999999</v>
      </c>
      <c r="G81" s="14">
        <v>35.487780890000003</v>
      </c>
      <c r="H81" s="16">
        <v>1.55229968</v>
      </c>
      <c r="I81" s="14">
        <v>23.967615670000001</v>
      </c>
      <c r="J81" s="16">
        <v>1.41913242</v>
      </c>
      <c r="K81" s="14" t="s">
        <v>139</v>
      </c>
      <c r="L81" s="16" t="s">
        <v>139</v>
      </c>
      <c r="M81" s="14">
        <v>0</v>
      </c>
      <c r="N81" s="16">
        <v>0</v>
      </c>
      <c r="O81" s="14">
        <v>0</v>
      </c>
      <c r="P81" s="16">
        <v>0</v>
      </c>
      <c r="Q81" s="14">
        <v>0</v>
      </c>
      <c r="R81" s="16">
        <v>0</v>
      </c>
      <c r="S81" s="14">
        <v>0</v>
      </c>
      <c r="T81" s="16">
        <v>0</v>
      </c>
    </row>
    <row r="82" spans="1:20" x14ac:dyDescent="0.25">
      <c r="A82" s="20"/>
      <c r="B82" s="20" t="s">
        <v>215</v>
      </c>
      <c r="C82" s="20" t="s">
        <v>215</v>
      </c>
      <c r="D82" s="20" t="s">
        <v>215</v>
      </c>
      <c r="E82" s="20" t="s">
        <v>215</v>
      </c>
      <c r="F82" s="20" t="s">
        <v>215</v>
      </c>
      <c r="G82" s="20" t="s">
        <v>215</v>
      </c>
      <c r="H82" s="20" t="s">
        <v>215</v>
      </c>
      <c r="I82" s="20" t="s">
        <v>215</v>
      </c>
      <c r="J82" s="20" t="s">
        <v>215</v>
      </c>
      <c r="K82" s="20" t="s">
        <v>215</v>
      </c>
      <c r="L82" s="20" t="s">
        <v>215</v>
      </c>
      <c r="M82" s="20" t="s">
        <v>215</v>
      </c>
      <c r="N82" s="20" t="s">
        <v>215</v>
      </c>
      <c r="O82" s="20" t="s">
        <v>215</v>
      </c>
      <c r="P82" s="20" t="s">
        <v>215</v>
      </c>
      <c r="Q82" s="20" t="s">
        <v>215</v>
      </c>
      <c r="R82" s="20" t="s">
        <v>215</v>
      </c>
      <c r="S82" s="20" t="s">
        <v>215</v>
      </c>
      <c r="T82" s="20" t="s">
        <v>215</v>
      </c>
    </row>
    <row r="83" spans="1:20" x14ac:dyDescent="0.25">
      <c r="A83" s="3" t="s">
        <v>216</v>
      </c>
    </row>
    <row r="84" spans="1:20" x14ac:dyDescent="0.25">
      <c r="A84" s="22" t="s">
        <v>217</v>
      </c>
      <c r="B84" s="23"/>
      <c r="C84" s="23"/>
      <c r="D84" s="23"/>
      <c r="E84" s="23"/>
      <c r="F84" s="23"/>
      <c r="G84" s="23"/>
      <c r="H84" s="23"/>
      <c r="I84" s="23"/>
      <c r="J84" s="23"/>
      <c r="K84" s="23"/>
      <c r="L84" s="23"/>
      <c r="M84" s="23"/>
      <c r="N84" s="23"/>
      <c r="O84" s="23"/>
      <c r="P84" s="23"/>
      <c r="Q84" s="23"/>
      <c r="R84" s="23"/>
      <c r="S84" s="23"/>
      <c r="T84" s="23"/>
    </row>
    <row r="85" spans="1:20" x14ac:dyDescent="0.25">
      <c r="A85" s="22" t="s">
        <v>218</v>
      </c>
      <c r="B85" s="23"/>
      <c r="C85" s="23"/>
      <c r="D85" s="23"/>
      <c r="E85" s="23"/>
      <c r="F85" s="23"/>
      <c r="G85" s="23"/>
      <c r="H85" s="23"/>
      <c r="I85" s="23"/>
      <c r="J85" s="23"/>
      <c r="K85" s="23"/>
      <c r="L85" s="23"/>
      <c r="M85" s="23"/>
      <c r="N85" s="23"/>
      <c r="O85" s="23"/>
      <c r="P85" s="23"/>
      <c r="Q85" s="23"/>
      <c r="R85" s="23"/>
      <c r="S85" s="23"/>
      <c r="T85" s="23"/>
    </row>
    <row r="86" spans="1:20" ht="30" customHeight="1" x14ac:dyDescent="0.25">
      <c r="A86" s="22" t="s">
        <v>219</v>
      </c>
      <c r="B86" s="23"/>
      <c r="C86" s="23"/>
      <c r="D86" s="23"/>
      <c r="E86" s="23"/>
      <c r="F86" s="23"/>
      <c r="G86" s="23"/>
      <c r="H86" s="23"/>
      <c r="I86" s="23"/>
      <c r="J86" s="23"/>
      <c r="K86" s="23"/>
      <c r="L86" s="23"/>
      <c r="M86" s="23"/>
      <c r="N86" s="23"/>
      <c r="O86" s="23"/>
      <c r="P86" s="23"/>
      <c r="Q86" s="23"/>
      <c r="R86" s="23"/>
      <c r="S86" s="23"/>
      <c r="T86" s="23"/>
    </row>
    <row r="87" spans="1:20" ht="30" customHeight="1" x14ac:dyDescent="0.25">
      <c r="A87" s="22" t="s">
        <v>215</v>
      </c>
      <c r="B87" s="23"/>
      <c r="C87" s="23"/>
      <c r="D87" s="23"/>
      <c r="E87" s="23"/>
      <c r="F87" s="23"/>
      <c r="G87" s="23"/>
      <c r="H87" s="23"/>
      <c r="I87" s="23"/>
      <c r="J87" s="23"/>
      <c r="K87" s="23"/>
      <c r="L87" s="23"/>
      <c r="M87" s="23"/>
      <c r="N87" s="23"/>
      <c r="O87" s="23"/>
      <c r="P87" s="23"/>
      <c r="Q87" s="23"/>
      <c r="R87" s="23"/>
      <c r="S87" s="23"/>
      <c r="T87" s="23"/>
    </row>
    <row r="88" spans="1:20" ht="30" customHeight="1" x14ac:dyDescent="0.25">
      <c r="A88" s="22" t="s">
        <v>220</v>
      </c>
      <c r="B88" s="23"/>
      <c r="C88" s="23"/>
      <c r="D88" s="23"/>
      <c r="E88" s="23"/>
      <c r="F88" s="23"/>
      <c r="G88" s="23"/>
      <c r="H88" s="23"/>
      <c r="I88" s="23"/>
      <c r="J88" s="23"/>
      <c r="K88" s="23"/>
      <c r="L88" s="23"/>
      <c r="M88" s="23"/>
      <c r="N88" s="23"/>
      <c r="O88" s="23"/>
      <c r="P88" s="23"/>
      <c r="Q88" s="23"/>
      <c r="R88" s="23"/>
      <c r="S88" s="23"/>
      <c r="T88" s="23"/>
    </row>
    <row r="89" spans="1:20" ht="30" customHeight="1" x14ac:dyDescent="0.25">
      <c r="A89" s="22" t="s">
        <v>221</v>
      </c>
      <c r="B89" s="23"/>
      <c r="C89" s="23"/>
      <c r="D89" s="23"/>
      <c r="E89" s="23"/>
      <c r="F89" s="23"/>
      <c r="G89" s="23"/>
      <c r="H89" s="23"/>
      <c r="I89" s="23"/>
      <c r="J89" s="23"/>
      <c r="K89" s="23"/>
      <c r="L89" s="23"/>
      <c r="M89" s="23"/>
      <c r="N89" s="23"/>
      <c r="O89" s="23"/>
      <c r="P89" s="23"/>
      <c r="Q89" s="23"/>
      <c r="R89" s="23"/>
      <c r="S89" s="23"/>
      <c r="T89" s="23"/>
    </row>
    <row r="90" spans="1:20" ht="30" customHeight="1" x14ac:dyDescent="0.25">
      <c r="A90" s="22" t="s">
        <v>222</v>
      </c>
      <c r="B90" s="23"/>
      <c r="C90" s="23"/>
      <c r="D90" s="23"/>
      <c r="E90" s="23"/>
      <c r="F90" s="23"/>
      <c r="G90" s="23"/>
      <c r="H90" s="23"/>
      <c r="I90" s="23"/>
      <c r="J90" s="23"/>
      <c r="K90" s="23"/>
      <c r="L90" s="23"/>
      <c r="M90" s="23"/>
      <c r="N90" s="23"/>
      <c r="O90" s="23"/>
      <c r="P90" s="23"/>
      <c r="Q90" s="23"/>
      <c r="R90" s="23"/>
      <c r="S90" s="23"/>
      <c r="T90" s="23"/>
    </row>
    <row r="91" spans="1:20" ht="30" customHeight="1" x14ac:dyDescent="0.25">
      <c r="A91" s="22" t="s">
        <v>223</v>
      </c>
      <c r="B91" s="23"/>
      <c r="C91" s="23"/>
      <c r="D91" s="23"/>
      <c r="E91" s="23"/>
      <c r="F91" s="23"/>
      <c r="G91" s="23"/>
      <c r="H91" s="23"/>
      <c r="I91" s="23"/>
      <c r="J91" s="23"/>
      <c r="K91" s="23"/>
      <c r="L91" s="23"/>
      <c r="M91" s="23"/>
      <c r="N91" s="23"/>
      <c r="O91" s="23"/>
      <c r="P91" s="23"/>
      <c r="Q91" s="23"/>
      <c r="R91" s="23"/>
      <c r="S91" s="23"/>
      <c r="T91" s="23"/>
    </row>
    <row r="92" spans="1:20" ht="30" customHeight="1" x14ac:dyDescent="0.25">
      <c r="A92" s="22" t="s">
        <v>224</v>
      </c>
      <c r="B92" s="23"/>
      <c r="C92" s="23"/>
      <c r="D92" s="23"/>
      <c r="E92" s="23"/>
      <c r="F92" s="23"/>
      <c r="G92" s="23"/>
      <c r="H92" s="23"/>
      <c r="I92" s="23"/>
      <c r="J92" s="23"/>
      <c r="K92" s="23"/>
      <c r="L92" s="23"/>
      <c r="M92" s="23"/>
      <c r="N92" s="23"/>
      <c r="O92" s="23"/>
      <c r="P92" s="23"/>
      <c r="Q92" s="23"/>
      <c r="R92" s="23"/>
      <c r="S92" s="23"/>
      <c r="T92" s="23"/>
    </row>
    <row r="93" spans="1:20" ht="30" customHeight="1" x14ac:dyDescent="0.25">
      <c r="A93" s="22" t="s">
        <v>225</v>
      </c>
      <c r="B93" s="23"/>
      <c r="C93" s="23"/>
      <c r="D93" s="23"/>
      <c r="E93" s="23"/>
      <c r="F93" s="23"/>
      <c r="G93" s="23"/>
      <c r="H93" s="23"/>
      <c r="I93" s="23"/>
      <c r="J93" s="23"/>
      <c r="K93" s="23"/>
      <c r="L93" s="23"/>
      <c r="M93" s="23"/>
      <c r="N93" s="23"/>
      <c r="O93" s="23"/>
      <c r="P93" s="23"/>
      <c r="Q93" s="23"/>
      <c r="R93" s="23"/>
      <c r="S93" s="23"/>
      <c r="T93" s="23"/>
    </row>
    <row r="94" spans="1:20" ht="30" customHeight="1" x14ac:dyDescent="0.25">
      <c r="A94" s="22" t="s">
        <v>226</v>
      </c>
      <c r="B94" s="23"/>
      <c r="C94" s="23"/>
      <c r="D94" s="23"/>
      <c r="E94" s="23"/>
      <c r="F94" s="23"/>
      <c r="G94" s="23"/>
      <c r="H94" s="23"/>
      <c r="I94" s="23"/>
      <c r="J94" s="23"/>
      <c r="K94" s="23"/>
      <c r="L94" s="23"/>
      <c r="M94" s="23"/>
      <c r="N94" s="23"/>
      <c r="O94" s="23"/>
      <c r="P94" s="23"/>
      <c r="Q94" s="23"/>
      <c r="R94" s="23"/>
      <c r="S94" s="23"/>
      <c r="T94" s="23"/>
    </row>
    <row r="95" spans="1:20" ht="30" customHeight="1" x14ac:dyDescent="0.25">
      <c r="A95" s="22" t="s">
        <v>227</v>
      </c>
      <c r="B95" s="23"/>
      <c r="C95" s="23"/>
      <c r="D95" s="23"/>
      <c r="E95" s="23"/>
      <c r="F95" s="23"/>
      <c r="G95" s="23"/>
      <c r="H95" s="23"/>
      <c r="I95" s="23"/>
      <c r="J95" s="23"/>
      <c r="K95" s="23"/>
      <c r="L95" s="23"/>
      <c r="M95" s="23"/>
      <c r="N95" s="23"/>
      <c r="O95" s="23"/>
      <c r="P95" s="23"/>
      <c r="Q95" s="23"/>
      <c r="R95" s="23"/>
      <c r="S95" s="23"/>
      <c r="T95" s="23"/>
    </row>
    <row r="96" spans="1:20" ht="30" customHeight="1" x14ac:dyDescent="0.25">
      <c r="A96" s="22" t="s">
        <v>228</v>
      </c>
      <c r="B96" s="23"/>
      <c r="C96" s="23"/>
      <c r="D96" s="23"/>
      <c r="E96" s="23"/>
      <c r="F96" s="23"/>
      <c r="G96" s="23"/>
      <c r="H96" s="23"/>
      <c r="I96" s="23"/>
      <c r="J96" s="23"/>
      <c r="K96" s="23"/>
      <c r="L96" s="23"/>
      <c r="M96" s="23"/>
      <c r="N96" s="23"/>
      <c r="O96" s="23"/>
      <c r="P96" s="23"/>
      <c r="Q96" s="23"/>
      <c r="R96" s="23"/>
      <c r="S96" s="23"/>
      <c r="T96" s="23"/>
    </row>
  </sheetData>
  <mergeCells count="23">
    <mergeCell ref="O4:P4"/>
    <mergeCell ref="Q4:R4"/>
    <mergeCell ref="S4:T4"/>
    <mergeCell ref="A1:T1"/>
    <mergeCell ref="A2:T2"/>
    <mergeCell ref="E4:F4"/>
    <mergeCell ref="G4:H4"/>
    <mergeCell ref="I4:J4"/>
    <mergeCell ref="K4:L4"/>
    <mergeCell ref="M4:N4"/>
    <mergeCell ref="A84:T84"/>
    <mergeCell ref="A85:T85"/>
    <mergeCell ref="A86:T86"/>
    <mergeCell ref="A87:T87"/>
    <mergeCell ref="A88:T88"/>
    <mergeCell ref="A94:T94"/>
    <mergeCell ref="A95:T95"/>
    <mergeCell ref="A96:T96"/>
    <mergeCell ref="A89:T89"/>
    <mergeCell ref="A90:T90"/>
    <mergeCell ref="A91:T91"/>
    <mergeCell ref="A92:T92"/>
    <mergeCell ref="A93:T93"/>
  </mergeCells>
  <pageMargins left="0.75" right="0.75" top="1" bottom="1" header="0.5" footer="0.5"/>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4"/>
  <dimension ref="A1:R96"/>
  <sheetViews>
    <sheetView zoomScale="80" workbookViewId="0">
      <pane xSplit="4" topLeftCell="E1" activePane="topRight" state="frozen"/>
      <selection sqref="A1:R1"/>
      <selection pane="topRight" sqref="A1:R1"/>
    </sheetView>
  </sheetViews>
  <sheetFormatPr defaultColWidth="11.42578125" defaultRowHeight="15" x14ac:dyDescent="0.25"/>
  <cols>
    <col min="1" max="1" width="50" customWidth="1"/>
  </cols>
  <sheetData>
    <row r="1" spans="1:18" x14ac:dyDescent="0.25">
      <c r="A1" s="26" t="s">
        <v>122</v>
      </c>
      <c r="B1" s="23"/>
      <c r="C1" s="23"/>
      <c r="D1" s="23"/>
      <c r="E1" s="23"/>
      <c r="F1" s="23"/>
      <c r="G1" s="23"/>
      <c r="H1" s="23"/>
      <c r="I1" s="23"/>
      <c r="J1" s="23"/>
      <c r="K1" s="23"/>
      <c r="L1" s="23"/>
      <c r="M1" s="23"/>
      <c r="N1" s="23"/>
      <c r="O1" s="23"/>
      <c r="P1" s="23"/>
      <c r="Q1" s="23"/>
      <c r="R1" s="23"/>
    </row>
    <row r="2" spans="1:18" x14ac:dyDescent="0.25">
      <c r="A2" s="27" t="s">
        <v>280</v>
      </c>
      <c r="B2" s="23"/>
      <c r="C2" s="23"/>
      <c r="D2" s="23"/>
      <c r="E2" s="23"/>
      <c r="F2" s="23"/>
      <c r="G2" s="23"/>
      <c r="H2" s="23"/>
      <c r="I2" s="23"/>
      <c r="J2" s="23"/>
      <c r="K2" s="23"/>
      <c r="L2" s="23"/>
      <c r="M2" s="23"/>
      <c r="N2" s="23"/>
      <c r="O2" s="23"/>
      <c r="P2" s="23"/>
      <c r="Q2" s="23"/>
      <c r="R2" s="23"/>
    </row>
    <row r="4" spans="1:18" ht="30" customHeight="1" x14ac:dyDescent="0.25">
      <c r="A4" s="4"/>
      <c r="B4" s="5" t="s">
        <v>123</v>
      </c>
      <c r="C4" s="5" t="s">
        <v>124</v>
      </c>
      <c r="D4" s="6" t="s">
        <v>123</v>
      </c>
      <c r="E4" s="24" t="s">
        <v>125</v>
      </c>
      <c r="F4" s="25"/>
      <c r="G4" s="24" t="s">
        <v>126</v>
      </c>
      <c r="H4" s="25"/>
      <c r="I4" s="24" t="s">
        <v>127</v>
      </c>
      <c r="J4" s="25"/>
      <c r="K4" s="24" t="s">
        <v>128</v>
      </c>
      <c r="L4" s="25"/>
      <c r="M4" s="24" t="s">
        <v>129</v>
      </c>
      <c r="N4" s="25"/>
      <c r="O4" s="24" t="s">
        <v>130</v>
      </c>
      <c r="P4" s="25"/>
      <c r="Q4" s="24" t="s">
        <v>131</v>
      </c>
      <c r="R4" s="25"/>
    </row>
    <row r="5" spans="1:18" x14ac:dyDescent="0.25">
      <c r="A5" s="7"/>
      <c r="B5" s="8" t="s">
        <v>132</v>
      </c>
      <c r="C5" s="8" t="s">
        <v>133</v>
      </c>
      <c r="D5" s="7" t="s">
        <v>134</v>
      </c>
      <c r="E5" s="8" t="s">
        <v>135</v>
      </c>
      <c r="F5" s="7" t="s">
        <v>136</v>
      </c>
      <c r="G5" s="8" t="s">
        <v>135</v>
      </c>
      <c r="H5" s="7" t="s">
        <v>136</v>
      </c>
      <c r="I5" s="8" t="s">
        <v>135</v>
      </c>
      <c r="J5" s="7" t="s">
        <v>136</v>
      </c>
      <c r="K5" s="8" t="s">
        <v>135</v>
      </c>
      <c r="L5" s="7" t="s">
        <v>136</v>
      </c>
      <c r="M5" s="8" t="s">
        <v>135</v>
      </c>
      <c r="N5" s="7" t="s">
        <v>136</v>
      </c>
      <c r="O5" s="8" t="s">
        <v>135</v>
      </c>
      <c r="P5" s="7" t="s">
        <v>136</v>
      </c>
      <c r="Q5" s="8" t="s">
        <v>135</v>
      </c>
      <c r="R5" s="7" t="s">
        <v>136</v>
      </c>
    </row>
    <row r="6" spans="1:18" x14ac:dyDescent="0.25">
      <c r="A6" s="9" t="s">
        <v>137</v>
      </c>
      <c r="B6" s="10"/>
      <c r="C6" s="10"/>
      <c r="D6" s="11"/>
      <c r="E6" s="10"/>
      <c r="F6" s="11"/>
      <c r="G6" s="10"/>
      <c r="H6" s="11"/>
      <c r="I6" s="10"/>
      <c r="J6" s="11"/>
      <c r="K6" s="10"/>
      <c r="L6" s="11"/>
      <c r="M6" s="10"/>
      <c r="N6" s="11"/>
      <c r="O6" s="10"/>
      <c r="P6" s="11"/>
      <c r="Q6" s="10"/>
      <c r="R6" s="12"/>
    </row>
    <row r="7" spans="1:18" x14ac:dyDescent="0.25">
      <c r="A7" s="11" t="s">
        <v>138</v>
      </c>
      <c r="B7" s="13">
        <v>14530</v>
      </c>
      <c r="C7" s="14">
        <f>(12103/B7*100)</f>
        <v>83.296627666896072</v>
      </c>
      <c r="D7" s="15">
        <v>2427</v>
      </c>
      <c r="E7" s="14">
        <v>71.708634059999994</v>
      </c>
      <c r="F7" s="16">
        <v>1.01307503</v>
      </c>
      <c r="G7" s="14">
        <v>28.291365939999999</v>
      </c>
      <c r="H7" s="16">
        <v>1.01307503</v>
      </c>
      <c r="I7" s="14" t="s">
        <v>139</v>
      </c>
      <c r="J7" s="16" t="s">
        <v>139</v>
      </c>
      <c r="K7" s="14">
        <v>0</v>
      </c>
      <c r="L7" s="16">
        <v>0</v>
      </c>
      <c r="M7" s="14">
        <v>0</v>
      </c>
      <c r="N7" s="16">
        <v>0</v>
      </c>
      <c r="O7" s="14">
        <v>0</v>
      </c>
      <c r="P7" s="16">
        <v>0</v>
      </c>
      <c r="Q7" s="14">
        <v>0</v>
      </c>
      <c r="R7" s="16">
        <v>0</v>
      </c>
    </row>
    <row r="8" spans="1:18" x14ac:dyDescent="0.25">
      <c r="A8" s="11" t="s">
        <v>140</v>
      </c>
      <c r="B8" s="13">
        <v>7007</v>
      </c>
      <c r="C8" s="14">
        <f>(5812/B8*100)</f>
        <v>82.94562580276866</v>
      </c>
      <c r="D8" s="15">
        <v>1195</v>
      </c>
      <c r="E8" s="14">
        <v>71.436743280000002</v>
      </c>
      <c r="F8" s="16">
        <v>1.2400561299999999</v>
      </c>
      <c r="G8" s="14">
        <v>28.563256719999998</v>
      </c>
      <c r="H8" s="16">
        <v>1.2400561299999999</v>
      </c>
      <c r="I8" s="14" t="s">
        <v>139</v>
      </c>
      <c r="J8" s="16" t="s">
        <v>139</v>
      </c>
      <c r="K8" s="14">
        <v>0</v>
      </c>
      <c r="L8" s="16">
        <v>0</v>
      </c>
      <c r="M8" s="14">
        <v>0</v>
      </c>
      <c r="N8" s="16">
        <v>0</v>
      </c>
      <c r="O8" s="14">
        <v>0</v>
      </c>
      <c r="P8" s="16">
        <v>0</v>
      </c>
      <c r="Q8" s="14">
        <v>0</v>
      </c>
      <c r="R8" s="16">
        <v>0</v>
      </c>
    </row>
    <row r="9" spans="1:18" x14ac:dyDescent="0.25">
      <c r="A9" s="11" t="s">
        <v>141</v>
      </c>
      <c r="B9" s="13">
        <v>9651</v>
      </c>
      <c r="C9" s="14">
        <f>(8044/B9*100)</f>
        <v>83.34887576416952</v>
      </c>
      <c r="D9" s="15">
        <v>1607</v>
      </c>
      <c r="E9" s="14">
        <v>59.03976376</v>
      </c>
      <c r="F9" s="16">
        <v>1.2499236300000001</v>
      </c>
      <c r="G9" s="14">
        <v>40.96023624</v>
      </c>
      <c r="H9" s="16">
        <v>1.2499236300000001</v>
      </c>
      <c r="I9" s="14" t="s">
        <v>139</v>
      </c>
      <c r="J9" s="16" t="s">
        <v>139</v>
      </c>
      <c r="K9" s="14">
        <v>0</v>
      </c>
      <c r="L9" s="16">
        <v>0</v>
      </c>
      <c r="M9" s="14">
        <v>0</v>
      </c>
      <c r="N9" s="16">
        <v>0</v>
      </c>
      <c r="O9" s="14">
        <v>0</v>
      </c>
      <c r="P9" s="16">
        <v>0</v>
      </c>
      <c r="Q9" s="14">
        <v>0</v>
      </c>
      <c r="R9" s="16">
        <v>0</v>
      </c>
    </row>
    <row r="10" spans="1:18" x14ac:dyDescent="0.25">
      <c r="A10" s="11" t="s">
        <v>142</v>
      </c>
      <c r="B10" s="13">
        <v>20058</v>
      </c>
      <c r="C10" s="14">
        <f>(16638/B10*100)</f>
        <v>82.949446604845946</v>
      </c>
      <c r="D10" s="15">
        <v>3420</v>
      </c>
      <c r="E10" s="14">
        <v>70.236807600000006</v>
      </c>
      <c r="F10" s="16">
        <v>1.09058521</v>
      </c>
      <c r="G10" s="14">
        <v>29.763192400000001</v>
      </c>
      <c r="H10" s="16">
        <v>1.09058521</v>
      </c>
      <c r="I10" s="14" t="s">
        <v>139</v>
      </c>
      <c r="J10" s="16" t="s">
        <v>139</v>
      </c>
      <c r="K10" s="14">
        <v>0</v>
      </c>
      <c r="L10" s="16">
        <v>0</v>
      </c>
      <c r="M10" s="14">
        <v>0</v>
      </c>
      <c r="N10" s="16">
        <v>0</v>
      </c>
      <c r="O10" s="14">
        <v>0</v>
      </c>
      <c r="P10" s="16">
        <v>0</v>
      </c>
      <c r="Q10" s="14">
        <v>0</v>
      </c>
      <c r="R10" s="16">
        <v>0</v>
      </c>
    </row>
    <row r="11" spans="1:18" x14ac:dyDescent="0.25">
      <c r="A11" s="11" t="s">
        <v>143</v>
      </c>
      <c r="B11" s="13">
        <v>7053</v>
      </c>
      <c r="C11" s="14">
        <f>(5851/B11*100)</f>
        <v>82.957606692187724</v>
      </c>
      <c r="D11" s="15">
        <v>1202</v>
      </c>
      <c r="E11" s="14">
        <v>82.973439299999995</v>
      </c>
      <c r="F11" s="16">
        <v>1.2525945599999999</v>
      </c>
      <c r="G11" s="14">
        <v>17.026560700000001</v>
      </c>
      <c r="H11" s="16">
        <v>1.2525945599999999</v>
      </c>
      <c r="I11" s="14" t="s">
        <v>139</v>
      </c>
      <c r="J11" s="16" t="s">
        <v>139</v>
      </c>
      <c r="K11" s="14">
        <v>0</v>
      </c>
      <c r="L11" s="16">
        <v>0</v>
      </c>
      <c r="M11" s="14">
        <v>0</v>
      </c>
      <c r="N11" s="16">
        <v>0</v>
      </c>
      <c r="O11" s="14">
        <v>0</v>
      </c>
      <c r="P11" s="16">
        <v>0</v>
      </c>
      <c r="Q11" s="14">
        <v>0</v>
      </c>
      <c r="R11" s="16">
        <v>0</v>
      </c>
    </row>
    <row r="12" spans="1:18" x14ac:dyDescent="0.25">
      <c r="A12" s="11" t="s">
        <v>144</v>
      </c>
      <c r="B12" s="13">
        <v>6894</v>
      </c>
      <c r="C12" s="14">
        <f>(5720/B12*100)</f>
        <v>82.970699158688717</v>
      </c>
      <c r="D12" s="15">
        <v>1174</v>
      </c>
      <c r="E12" s="14">
        <v>67.963936399999994</v>
      </c>
      <c r="F12" s="16">
        <v>1.48369606</v>
      </c>
      <c r="G12" s="14">
        <v>32.036063599999999</v>
      </c>
      <c r="H12" s="16">
        <v>1.48369606</v>
      </c>
      <c r="I12" s="14" t="s">
        <v>139</v>
      </c>
      <c r="J12" s="16" t="s">
        <v>139</v>
      </c>
      <c r="K12" s="14">
        <v>0</v>
      </c>
      <c r="L12" s="16">
        <v>0</v>
      </c>
      <c r="M12" s="14">
        <v>0</v>
      </c>
      <c r="N12" s="16">
        <v>0</v>
      </c>
      <c r="O12" s="14">
        <v>0</v>
      </c>
      <c r="P12" s="16">
        <v>0</v>
      </c>
      <c r="Q12" s="14">
        <v>0</v>
      </c>
      <c r="R12" s="16">
        <v>0</v>
      </c>
    </row>
    <row r="13" spans="1:18" x14ac:dyDescent="0.25">
      <c r="A13" s="11" t="s">
        <v>145</v>
      </c>
      <c r="B13" s="13">
        <v>7161</v>
      </c>
      <c r="C13" s="14">
        <f>(6008/B13*100)</f>
        <v>83.898896802122607</v>
      </c>
      <c r="D13" s="15">
        <v>1153</v>
      </c>
      <c r="E13" s="14">
        <v>65.385300900000004</v>
      </c>
      <c r="F13" s="16">
        <v>1.47270156</v>
      </c>
      <c r="G13" s="14">
        <v>34.614699100000003</v>
      </c>
      <c r="H13" s="16">
        <v>1.47270156</v>
      </c>
      <c r="I13" s="14" t="s">
        <v>139</v>
      </c>
      <c r="J13" s="16" t="s">
        <v>139</v>
      </c>
      <c r="K13" s="14">
        <v>0</v>
      </c>
      <c r="L13" s="16">
        <v>0</v>
      </c>
      <c r="M13" s="14">
        <v>0</v>
      </c>
      <c r="N13" s="16">
        <v>0</v>
      </c>
      <c r="O13" s="14">
        <v>0</v>
      </c>
      <c r="P13" s="16">
        <v>0</v>
      </c>
      <c r="Q13" s="14">
        <v>0</v>
      </c>
      <c r="R13" s="16">
        <v>0</v>
      </c>
    </row>
    <row r="14" spans="1:18" x14ac:dyDescent="0.25">
      <c r="A14" s="11" t="s">
        <v>146</v>
      </c>
      <c r="B14" s="13">
        <v>5587</v>
      </c>
      <c r="C14" s="14">
        <f>(4631/B14*100)</f>
        <v>82.888849114014675</v>
      </c>
      <c r="D14" s="15">
        <v>956</v>
      </c>
      <c r="E14" s="14">
        <v>64.090858580000003</v>
      </c>
      <c r="F14" s="16">
        <v>1.7232888399999999</v>
      </c>
      <c r="G14" s="14">
        <v>35.909141419999997</v>
      </c>
      <c r="H14" s="16">
        <v>1.7232888399999999</v>
      </c>
      <c r="I14" s="14" t="s">
        <v>139</v>
      </c>
      <c r="J14" s="16" t="s">
        <v>139</v>
      </c>
      <c r="K14" s="14">
        <v>0</v>
      </c>
      <c r="L14" s="16">
        <v>0</v>
      </c>
      <c r="M14" s="14">
        <v>0</v>
      </c>
      <c r="N14" s="16">
        <v>0</v>
      </c>
      <c r="O14" s="14">
        <v>0</v>
      </c>
      <c r="P14" s="16">
        <v>0</v>
      </c>
      <c r="Q14" s="14">
        <v>0</v>
      </c>
      <c r="R14" s="16">
        <v>0</v>
      </c>
    </row>
    <row r="15" spans="1:18" x14ac:dyDescent="0.25">
      <c r="A15" s="11" t="s">
        <v>147</v>
      </c>
      <c r="B15" s="13">
        <v>5882</v>
      </c>
      <c r="C15" s="14">
        <f>(4867/B15*100)</f>
        <v>82.743964637878278</v>
      </c>
      <c r="D15" s="15">
        <v>1015</v>
      </c>
      <c r="E15" s="14">
        <v>64.046395169999997</v>
      </c>
      <c r="F15" s="16">
        <v>1.53407151</v>
      </c>
      <c r="G15" s="14">
        <v>35.953604830000003</v>
      </c>
      <c r="H15" s="16">
        <v>1.53407151</v>
      </c>
      <c r="I15" s="14" t="s">
        <v>139</v>
      </c>
      <c r="J15" s="16" t="s">
        <v>139</v>
      </c>
      <c r="K15" s="14">
        <v>0</v>
      </c>
      <c r="L15" s="16">
        <v>0</v>
      </c>
      <c r="M15" s="14">
        <v>0</v>
      </c>
      <c r="N15" s="16">
        <v>0</v>
      </c>
      <c r="O15" s="14">
        <v>0</v>
      </c>
      <c r="P15" s="16">
        <v>0</v>
      </c>
      <c r="Q15" s="14">
        <v>0</v>
      </c>
      <c r="R15" s="16">
        <v>0</v>
      </c>
    </row>
    <row r="16" spans="1:18" x14ac:dyDescent="0.25">
      <c r="A16" s="11" t="s">
        <v>148</v>
      </c>
      <c r="B16" s="13">
        <v>6108</v>
      </c>
      <c r="C16" s="14">
        <f>(5047/B16*100)</f>
        <v>82.629338572364105</v>
      </c>
      <c r="D16" s="15">
        <v>1061</v>
      </c>
      <c r="E16" s="14">
        <v>58.283642270000001</v>
      </c>
      <c r="F16" s="16">
        <v>1.7253730199999999</v>
      </c>
      <c r="G16" s="14">
        <v>41.716357729999999</v>
      </c>
      <c r="H16" s="16">
        <v>1.7253730199999999</v>
      </c>
      <c r="I16" s="14" t="s">
        <v>139</v>
      </c>
      <c r="J16" s="16" t="s">
        <v>139</v>
      </c>
      <c r="K16" s="14">
        <v>0</v>
      </c>
      <c r="L16" s="16">
        <v>0</v>
      </c>
      <c r="M16" s="14">
        <v>0</v>
      </c>
      <c r="N16" s="16">
        <v>0</v>
      </c>
      <c r="O16" s="14">
        <v>0</v>
      </c>
      <c r="P16" s="16">
        <v>0</v>
      </c>
      <c r="Q16" s="14">
        <v>0</v>
      </c>
      <c r="R16" s="16">
        <v>0</v>
      </c>
    </row>
    <row r="17" spans="1:18" x14ac:dyDescent="0.25">
      <c r="A17" s="11" t="s">
        <v>149</v>
      </c>
      <c r="B17" s="13">
        <v>6504</v>
      </c>
      <c r="C17" s="14">
        <f>(5401/B17*100)</f>
        <v>83.041205412054126</v>
      </c>
      <c r="D17" s="15">
        <v>1103</v>
      </c>
      <c r="E17" s="14">
        <v>72.983386229999994</v>
      </c>
      <c r="F17" s="16">
        <v>1.4161923199999999</v>
      </c>
      <c r="G17" s="14">
        <v>27.016613769999999</v>
      </c>
      <c r="H17" s="16">
        <v>1.4161923199999999</v>
      </c>
      <c r="I17" s="14" t="s">
        <v>139</v>
      </c>
      <c r="J17" s="16" t="s">
        <v>139</v>
      </c>
      <c r="K17" s="14">
        <v>0</v>
      </c>
      <c r="L17" s="16">
        <v>0</v>
      </c>
      <c r="M17" s="14">
        <v>0</v>
      </c>
      <c r="N17" s="16">
        <v>0</v>
      </c>
      <c r="O17" s="14">
        <v>0</v>
      </c>
      <c r="P17" s="16">
        <v>0</v>
      </c>
      <c r="Q17" s="14">
        <v>0</v>
      </c>
      <c r="R17" s="16">
        <v>0</v>
      </c>
    </row>
    <row r="18" spans="1:18" x14ac:dyDescent="0.25">
      <c r="A18" s="11" t="s">
        <v>150</v>
      </c>
      <c r="B18" s="13">
        <v>5532</v>
      </c>
      <c r="C18" s="14">
        <f>(4618/B18*100)</f>
        <v>83.477946493130872</v>
      </c>
      <c r="D18" s="15">
        <v>914</v>
      </c>
      <c r="E18" s="14">
        <v>64.437586679999995</v>
      </c>
      <c r="F18" s="16">
        <v>1.57787202</v>
      </c>
      <c r="G18" s="14">
        <v>35.562413319999997</v>
      </c>
      <c r="H18" s="16">
        <v>1.57787202</v>
      </c>
      <c r="I18" s="14" t="s">
        <v>139</v>
      </c>
      <c r="J18" s="16" t="s">
        <v>139</v>
      </c>
      <c r="K18" s="14">
        <v>0</v>
      </c>
      <c r="L18" s="16">
        <v>0</v>
      </c>
      <c r="M18" s="14">
        <v>0</v>
      </c>
      <c r="N18" s="16">
        <v>0</v>
      </c>
      <c r="O18" s="14">
        <v>0</v>
      </c>
      <c r="P18" s="16">
        <v>0</v>
      </c>
      <c r="Q18" s="14">
        <v>0</v>
      </c>
      <c r="R18" s="16">
        <v>0</v>
      </c>
    </row>
    <row r="19" spans="1:18" x14ac:dyDescent="0.25">
      <c r="A19" s="11" t="s">
        <v>151</v>
      </c>
      <c r="B19" s="13">
        <v>5658</v>
      </c>
      <c r="C19" s="14">
        <f>(4693/B19*100)</f>
        <v>82.944503358077057</v>
      </c>
      <c r="D19" s="15">
        <v>965</v>
      </c>
      <c r="E19" s="14">
        <v>56.826103699999997</v>
      </c>
      <c r="F19" s="16">
        <v>1.69086245</v>
      </c>
      <c r="G19" s="14">
        <v>43.173896300000003</v>
      </c>
      <c r="H19" s="16">
        <v>1.69086245</v>
      </c>
      <c r="I19" s="14" t="s">
        <v>139</v>
      </c>
      <c r="J19" s="16" t="s">
        <v>139</v>
      </c>
      <c r="K19" s="14">
        <v>0</v>
      </c>
      <c r="L19" s="16">
        <v>0</v>
      </c>
      <c r="M19" s="14">
        <v>0</v>
      </c>
      <c r="N19" s="16">
        <v>0</v>
      </c>
      <c r="O19" s="14">
        <v>0</v>
      </c>
      <c r="P19" s="16">
        <v>0</v>
      </c>
      <c r="Q19" s="14">
        <v>0</v>
      </c>
      <c r="R19" s="16">
        <v>0</v>
      </c>
    </row>
    <row r="20" spans="1:18" x14ac:dyDescent="0.25">
      <c r="A20" s="11" t="s">
        <v>152</v>
      </c>
      <c r="B20" s="13">
        <v>3371</v>
      </c>
      <c r="C20" s="14">
        <f>(2807/B20*100)</f>
        <v>83.26905962622368</v>
      </c>
      <c r="D20" s="15">
        <v>564</v>
      </c>
      <c r="E20" s="14">
        <v>74.337408339999996</v>
      </c>
      <c r="F20" s="16">
        <v>1.79865297</v>
      </c>
      <c r="G20" s="14">
        <v>25.66259166</v>
      </c>
      <c r="H20" s="16">
        <v>1.79865297</v>
      </c>
      <c r="I20" s="14" t="s">
        <v>139</v>
      </c>
      <c r="J20" s="16" t="s">
        <v>139</v>
      </c>
      <c r="K20" s="14">
        <v>0</v>
      </c>
      <c r="L20" s="16">
        <v>0</v>
      </c>
      <c r="M20" s="14">
        <v>0</v>
      </c>
      <c r="N20" s="16">
        <v>0</v>
      </c>
      <c r="O20" s="14">
        <v>0</v>
      </c>
      <c r="P20" s="16">
        <v>0</v>
      </c>
      <c r="Q20" s="14">
        <v>0</v>
      </c>
      <c r="R20" s="16">
        <v>0</v>
      </c>
    </row>
    <row r="21" spans="1:18" x14ac:dyDescent="0.25">
      <c r="A21" s="11" t="s">
        <v>153</v>
      </c>
      <c r="B21" s="17" t="s">
        <v>154</v>
      </c>
      <c r="C21" s="17" t="s">
        <v>154</v>
      </c>
      <c r="D21" s="18" t="s">
        <v>154</v>
      </c>
      <c r="E21" s="17" t="s">
        <v>154</v>
      </c>
      <c r="F21" s="18" t="s">
        <v>154</v>
      </c>
      <c r="G21" s="17" t="s">
        <v>154</v>
      </c>
      <c r="H21" s="18" t="s">
        <v>154</v>
      </c>
      <c r="I21" s="17" t="s">
        <v>154</v>
      </c>
      <c r="J21" s="18" t="s">
        <v>154</v>
      </c>
      <c r="K21" s="17" t="s">
        <v>154</v>
      </c>
      <c r="L21" s="18" t="s">
        <v>154</v>
      </c>
      <c r="M21" s="17" t="s">
        <v>154</v>
      </c>
      <c r="N21" s="18" t="s">
        <v>154</v>
      </c>
      <c r="O21" s="17" t="s">
        <v>154</v>
      </c>
      <c r="P21" s="18" t="s">
        <v>154</v>
      </c>
      <c r="Q21" s="17" t="s">
        <v>154</v>
      </c>
      <c r="R21" s="18" t="s">
        <v>154</v>
      </c>
    </row>
    <row r="22" spans="1:18" x14ac:dyDescent="0.25">
      <c r="A22" s="11" t="s">
        <v>155</v>
      </c>
      <c r="B22" s="13">
        <v>6598</v>
      </c>
      <c r="C22" s="14">
        <f>(5567/B22*100)</f>
        <v>84.374052743255533</v>
      </c>
      <c r="D22" s="15">
        <v>1031</v>
      </c>
      <c r="E22" s="14">
        <v>61.672794140000001</v>
      </c>
      <c r="F22" s="16">
        <v>1.9741815599999999</v>
      </c>
      <c r="G22" s="14">
        <v>38.327205859999999</v>
      </c>
      <c r="H22" s="16">
        <v>1.9741815599999999</v>
      </c>
      <c r="I22" s="14" t="s">
        <v>139</v>
      </c>
      <c r="J22" s="16" t="s">
        <v>139</v>
      </c>
      <c r="K22" s="14">
        <v>0</v>
      </c>
      <c r="L22" s="16">
        <v>0</v>
      </c>
      <c r="M22" s="14">
        <v>0</v>
      </c>
      <c r="N22" s="16">
        <v>0</v>
      </c>
      <c r="O22" s="14">
        <v>0</v>
      </c>
      <c r="P22" s="16">
        <v>0</v>
      </c>
      <c r="Q22" s="14">
        <v>0</v>
      </c>
      <c r="R22" s="16">
        <v>0</v>
      </c>
    </row>
    <row r="23" spans="1:18" x14ac:dyDescent="0.25">
      <c r="A23" s="11" t="s">
        <v>156</v>
      </c>
      <c r="B23" s="13">
        <v>11583</v>
      </c>
      <c r="C23" s="14">
        <f>(9592/B23*100)</f>
        <v>82.81101614434948</v>
      </c>
      <c r="D23" s="15">
        <v>1991</v>
      </c>
      <c r="E23" s="14">
        <v>70.119586350000006</v>
      </c>
      <c r="F23" s="16">
        <v>1.28414224</v>
      </c>
      <c r="G23" s="14">
        <v>29.880413650000001</v>
      </c>
      <c r="H23" s="16">
        <v>1.28414224</v>
      </c>
      <c r="I23" s="14" t="s">
        <v>139</v>
      </c>
      <c r="J23" s="16" t="s">
        <v>139</v>
      </c>
      <c r="K23" s="14">
        <v>0</v>
      </c>
      <c r="L23" s="16">
        <v>0</v>
      </c>
      <c r="M23" s="14">
        <v>0</v>
      </c>
      <c r="N23" s="16">
        <v>0</v>
      </c>
      <c r="O23" s="14">
        <v>0</v>
      </c>
      <c r="P23" s="16">
        <v>0</v>
      </c>
      <c r="Q23" s="14">
        <v>0</v>
      </c>
      <c r="R23" s="16">
        <v>0</v>
      </c>
    </row>
    <row r="24" spans="1:18" x14ac:dyDescent="0.25">
      <c r="A24" s="11" t="s">
        <v>157</v>
      </c>
      <c r="B24" s="13">
        <v>6647</v>
      </c>
      <c r="C24" s="14">
        <f>(5467/B24*100)</f>
        <v>82.247630510004512</v>
      </c>
      <c r="D24" s="15">
        <v>1180</v>
      </c>
      <c r="E24" s="14">
        <v>43.643557360000003</v>
      </c>
      <c r="F24" s="16">
        <v>1.5239123800000001</v>
      </c>
      <c r="G24" s="14">
        <v>56.356442639999997</v>
      </c>
      <c r="H24" s="16">
        <v>1.5239123800000001</v>
      </c>
      <c r="I24" s="14" t="s">
        <v>139</v>
      </c>
      <c r="J24" s="16" t="s">
        <v>139</v>
      </c>
      <c r="K24" s="14">
        <v>0</v>
      </c>
      <c r="L24" s="16">
        <v>0</v>
      </c>
      <c r="M24" s="14">
        <v>0</v>
      </c>
      <c r="N24" s="16">
        <v>0</v>
      </c>
      <c r="O24" s="14">
        <v>0</v>
      </c>
      <c r="P24" s="16">
        <v>0</v>
      </c>
      <c r="Q24" s="14">
        <v>0</v>
      </c>
      <c r="R24" s="16">
        <v>0</v>
      </c>
    </row>
    <row r="25" spans="1:18" x14ac:dyDescent="0.25">
      <c r="A25" s="11" t="s">
        <v>158</v>
      </c>
      <c r="B25" s="13">
        <v>5581</v>
      </c>
      <c r="C25" s="14">
        <f>(4597/B25*100)</f>
        <v>82.368751119870993</v>
      </c>
      <c r="D25" s="15">
        <v>984</v>
      </c>
      <c r="E25" s="14">
        <v>59.986361700000003</v>
      </c>
      <c r="F25" s="16">
        <v>1.6811665099999999</v>
      </c>
      <c r="G25" s="14">
        <v>40.013638299999997</v>
      </c>
      <c r="H25" s="16">
        <v>1.6811665099999999</v>
      </c>
      <c r="I25" s="14" t="s">
        <v>139</v>
      </c>
      <c r="J25" s="16" t="s">
        <v>139</v>
      </c>
      <c r="K25" s="14">
        <v>0</v>
      </c>
      <c r="L25" s="16">
        <v>0</v>
      </c>
      <c r="M25" s="14">
        <v>0</v>
      </c>
      <c r="N25" s="16">
        <v>0</v>
      </c>
      <c r="O25" s="14">
        <v>0</v>
      </c>
      <c r="P25" s="16">
        <v>0</v>
      </c>
      <c r="Q25" s="14">
        <v>0</v>
      </c>
      <c r="R25" s="16">
        <v>0</v>
      </c>
    </row>
    <row r="26" spans="1:18" x14ac:dyDescent="0.25">
      <c r="A26" s="11" t="s">
        <v>159</v>
      </c>
      <c r="B26" s="13">
        <v>4869</v>
      </c>
      <c r="C26" s="14">
        <f>(4032/B26*100)</f>
        <v>82.809611829944558</v>
      </c>
      <c r="D26" s="15">
        <v>837</v>
      </c>
      <c r="E26" s="14">
        <v>69.728161499999999</v>
      </c>
      <c r="F26" s="16">
        <v>1.7117754999999999</v>
      </c>
      <c r="G26" s="14">
        <v>30.271838500000001</v>
      </c>
      <c r="H26" s="16">
        <v>1.7117754999999999</v>
      </c>
      <c r="I26" s="14" t="s">
        <v>139</v>
      </c>
      <c r="J26" s="16" t="s">
        <v>139</v>
      </c>
      <c r="K26" s="14">
        <v>0</v>
      </c>
      <c r="L26" s="16">
        <v>0</v>
      </c>
      <c r="M26" s="14">
        <v>0</v>
      </c>
      <c r="N26" s="16">
        <v>0</v>
      </c>
      <c r="O26" s="14">
        <v>0</v>
      </c>
      <c r="P26" s="16">
        <v>0</v>
      </c>
      <c r="Q26" s="14">
        <v>0</v>
      </c>
      <c r="R26" s="16">
        <v>0</v>
      </c>
    </row>
    <row r="27" spans="1:18" x14ac:dyDescent="0.25">
      <c r="A27" s="11" t="s">
        <v>160</v>
      </c>
      <c r="B27" s="13">
        <v>5299</v>
      </c>
      <c r="C27" s="14">
        <f>(4397/B27*100)</f>
        <v>82.977920362332512</v>
      </c>
      <c r="D27" s="15">
        <v>902</v>
      </c>
      <c r="E27" s="14">
        <v>70.466471429999999</v>
      </c>
      <c r="F27" s="16">
        <v>1.3485999500000001</v>
      </c>
      <c r="G27" s="14">
        <v>29.533528570000001</v>
      </c>
      <c r="H27" s="16">
        <v>1.3485999500000001</v>
      </c>
      <c r="I27" s="14" t="s">
        <v>139</v>
      </c>
      <c r="J27" s="16" t="s">
        <v>139</v>
      </c>
      <c r="K27" s="14">
        <v>0</v>
      </c>
      <c r="L27" s="16">
        <v>0</v>
      </c>
      <c r="M27" s="14">
        <v>0</v>
      </c>
      <c r="N27" s="16">
        <v>0</v>
      </c>
      <c r="O27" s="14">
        <v>0</v>
      </c>
      <c r="P27" s="16">
        <v>0</v>
      </c>
      <c r="Q27" s="14">
        <v>0</v>
      </c>
      <c r="R27" s="16">
        <v>0</v>
      </c>
    </row>
    <row r="28" spans="1:18" x14ac:dyDescent="0.25">
      <c r="A28" s="11" t="s">
        <v>161</v>
      </c>
      <c r="B28" s="13">
        <v>7568</v>
      </c>
      <c r="C28" s="14">
        <f>(6322/B28*100)</f>
        <v>83.535940803382672</v>
      </c>
      <c r="D28" s="15">
        <v>1246</v>
      </c>
      <c r="E28" s="14">
        <v>72.396624500000001</v>
      </c>
      <c r="F28" s="16">
        <v>1.3356947699999999</v>
      </c>
      <c r="G28" s="14">
        <v>27.603375499999999</v>
      </c>
      <c r="H28" s="16">
        <v>1.3356947699999999</v>
      </c>
      <c r="I28" s="14" t="s">
        <v>139</v>
      </c>
      <c r="J28" s="16" t="s">
        <v>139</v>
      </c>
      <c r="K28" s="14">
        <v>0</v>
      </c>
      <c r="L28" s="16">
        <v>0</v>
      </c>
      <c r="M28" s="14">
        <v>0</v>
      </c>
      <c r="N28" s="16">
        <v>0</v>
      </c>
      <c r="O28" s="14">
        <v>0</v>
      </c>
      <c r="P28" s="16">
        <v>0</v>
      </c>
      <c r="Q28" s="14">
        <v>0</v>
      </c>
      <c r="R28" s="16">
        <v>0</v>
      </c>
    </row>
    <row r="29" spans="1:18" x14ac:dyDescent="0.25">
      <c r="A29" s="11" t="s">
        <v>162</v>
      </c>
      <c r="B29" s="13">
        <v>5385</v>
      </c>
      <c r="C29" s="14">
        <f>(4466/B29*100)</f>
        <v>82.934076137418757</v>
      </c>
      <c r="D29" s="15">
        <v>919</v>
      </c>
      <c r="E29" s="14">
        <v>66.316445729999998</v>
      </c>
      <c r="F29" s="16">
        <v>1.5336105499999999</v>
      </c>
      <c r="G29" s="14">
        <v>33.683554270000002</v>
      </c>
      <c r="H29" s="16">
        <v>1.5336105499999999</v>
      </c>
      <c r="I29" s="14" t="s">
        <v>139</v>
      </c>
      <c r="J29" s="16" t="s">
        <v>139</v>
      </c>
      <c r="K29" s="14">
        <v>0</v>
      </c>
      <c r="L29" s="16">
        <v>0</v>
      </c>
      <c r="M29" s="14">
        <v>0</v>
      </c>
      <c r="N29" s="16">
        <v>0</v>
      </c>
      <c r="O29" s="14">
        <v>0</v>
      </c>
      <c r="P29" s="16">
        <v>0</v>
      </c>
      <c r="Q29" s="14">
        <v>0</v>
      </c>
      <c r="R29" s="16">
        <v>0</v>
      </c>
    </row>
    <row r="30" spans="1:18" x14ac:dyDescent="0.25">
      <c r="A30" s="11" t="s">
        <v>163</v>
      </c>
      <c r="B30" s="13">
        <v>4520</v>
      </c>
      <c r="C30" s="14">
        <f>(3753/B30*100)</f>
        <v>83.030973451327441</v>
      </c>
      <c r="D30" s="15">
        <v>767</v>
      </c>
      <c r="E30" s="14">
        <v>75.668201839999995</v>
      </c>
      <c r="F30" s="16">
        <v>1.48213639</v>
      </c>
      <c r="G30" s="14">
        <v>24.331798160000002</v>
      </c>
      <c r="H30" s="16">
        <v>1.48213639</v>
      </c>
      <c r="I30" s="14" t="s">
        <v>139</v>
      </c>
      <c r="J30" s="16" t="s">
        <v>139</v>
      </c>
      <c r="K30" s="14">
        <v>0</v>
      </c>
      <c r="L30" s="16">
        <v>0</v>
      </c>
      <c r="M30" s="14">
        <v>0</v>
      </c>
      <c r="N30" s="16">
        <v>0</v>
      </c>
      <c r="O30" s="14">
        <v>0</v>
      </c>
      <c r="P30" s="16">
        <v>0</v>
      </c>
      <c r="Q30" s="14">
        <v>0</v>
      </c>
      <c r="R30" s="16">
        <v>0</v>
      </c>
    </row>
    <row r="31" spans="1:18" x14ac:dyDescent="0.25">
      <c r="A31" s="11" t="s">
        <v>164</v>
      </c>
      <c r="B31" s="13">
        <v>5456</v>
      </c>
      <c r="C31" s="14">
        <f>(4490/B31*100)</f>
        <v>82.294721407624635</v>
      </c>
      <c r="D31" s="15">
        <v>966</v>
      </c>
      <c r="E31" s="14">
        <v>75.744476559999995</v>
      </c>
      <c r="F31" s="16">
        <v>1.3254934</v>
      </c>
      <c r="G31" s="14">
        <v>24.255523440000001</v>
      </c>
      <c r="H31" s="16">
        <v>1.3254934</v>
      </c>
      <c r="I31" s="14" t="s">
        <v>139</v>
      </c>
      <c r="J31" s="16" t="s">
        <v>139</v>
      </c>
      <c r="K31" s="14">
        <v>0</v>
      </c>
      <c r="L31" s="16">
        <v>0</v>
      </c>
      <c r="M31" s="14">
        <v>0</v>
      </c>
      <c r="N31" s="16">
        <v>0</v>
      </c>
      <c r="O31" s="14">
        <v>0</v>
      </c>
      <c r="P31" s="16">
        <v>0</v>
      </c>
      <c r="Q31" s="14">
        <v>0</v>
      </c>
      <c r="R31" s="16">
        <v>0</v>
      </c>
    </row>
    <row r="32" spans="1:18" x14ac:dyDescent="0.25">
      <c r="A32" s="11" t="s">
        <v>165</v>
      </c>
      <c r="B32" s="17" t="s">
        <v>154</v>
      </c>
      <c r="C32" s="17" t="s">
        <v>154</v>
      </c>
      <c r="D32" s="18" t="s">
        <v>154</v>
      </c>
      <c r="E32" s="17" t="s">
        <v>154</v>
      </c>
      <c r="F32" s="18" t="s">
        <v>154</v>
      </c>
      <c r="G32" s="17" t="s">
        <v>154</v>
      </c>
      <c r="H32" s="18" t="s">
        <v>154</v>
      </c>
      <c r="I32" s="17" t="s">
        <v>154</v>
      </c>
      <c r="J32" s="18" t="s">
        <v>154</v>
      </c>
      <c r="K32" s="17" t="s">
        <v>154</v>
      </c>
      <c r="L32" s="18" t="s">
        <v>154</v>
      </c>
      <c r="M32" s="17" t="s">
        <v>154</v>
      </c>
      <c r="N32" s="18" t="s">
        <v>154</v>
      </c>
      <c r="O32" s="17" t="s">
        <v>154</v>
      </c>
      <c r="P32" s="18" t="s">
        <v>154</v>
      </c>
      <c r="Q32" s="17" t="s">
        <v>154</v>
      </c>
      <c r="R32" s="18" t="s">
        <v>154</v>
      </c>
    </row>
    <row r="33" spans="1:18" x14ac:dyDescent="0.25">
      <c r="A33" s="11" t="s">
        <v>166</v>
      </c>
      <c r="B33" s="13">
        <v>7325</v>
      </c>
      <c r="C33" s="14">
        <f>(6062/B33*100)</f>
        <v>82.757679180887365</v>
      </c>
      <c r="D33" s="15">
        <v>1263</v>
      </c>
      <c r="E33" s="14">
        <v>77.420882570000003</v>
      </c>
      <c r="F33" s="16">
        <v>1.2185075299999999</v>
      </c>
      <c r="G33" s="14">
        <v>22.57911743</v>
      </c>
      <c r="H33" s="16">
        <v>1.2185075299999999</v>
      </c>
      <c r="I33" s="14" t="s">
        <v>139</v>
      </c>
      <c r="J33" s="16" t="s">
        <v>139</v>
      </c>
      <c r="K33" s="14">
        <v>0</v>
      </c>
      <c r="L33" s="16">
        <v>0</v>
      </c>
      <c r="M33" s="14">
        <v>0</v>
      </c>
      <c r="N33" s="16">
        <v>0</v>
      </c>
      <c r="O33" s="14">
        <v>0</v>
      </c>
      <c r="P33" s="16">
        <v>0</v>
      </c>
      <c r="Q33" s="14">
        <v>0</v>
      </c>
      <c r="R33" s="16">
        <v>0</v>
      </c>
    </row>
    <row r="34" spans="1:18" x14ac:dyDescent="0.25">
      <c r="A34" s="11" t="s">
        <v>167</v>
      </c>
      <c r="B34" s="13">
        <v>6350</v>
      </c>
      <c r="C34" s="14">
        <f>(5302/B34*100)</f>
        <v>83.496062992125985</v>
      </c>
      <c r="D34" s="15">
        <v>1048</v>
      </c>
      <c r="E34" s="14">
        <v>73.016331530000002</v>
      </c>
      <c r="F34" s="16">
        <v>1.1851673199999999</v>
      </c>
      <c r="G34" s="14">
        <v>26.983668470000001</v>
      </c>
      <c r="H34" s="16">
        <v>1.1851673199999999</v>
      </c>
      <c r="I34" s="14" t="s">
        <v>139</v>
      </c>
      <c r="J34" s="16" t="s">
        <v>139</v>
      </c>
      <c r="K34" s="14">
        <v>0</v>
      </c>
      <c r="L34" s="16">
        <v>0</v>
      </c>
      <c r="M34" s="14">
        <v>0</v>
      </c>
      <c r="N34" s="16">
        <v>0</v>
      </c>
      <c r="O34" s="14">
        <v>0</v>
      </c>
      <c r="P34" s="16">
        <v>0</v>
      </c>
      <c r="Q34" s="14">
        <v>0</v>
      </c>
      <c r="R34" s="16">
        <v>0</v>
      </c>
    </row>
    <row r="35" spans="1:18" x14ac:dyDescent="0.25">
      <c r="A35" s="11" t="s">
        <v>168</v>
      </c>
      <c r="B35" s="13">
        <v>6406</v>
      </c>
      <c r="C35" s="14">
        <f>(5326/B35*100)</f>
        <v>83.140805494848578</v>
      </c>
      <c r="D35" s="15">
        <v>1080</v>
      </c>
      <c r="E35" s="14">
        <v>63.17711783</v>
      </c>
      <c r="F35" s="16">
        <v>1.9071910000000001</v>
      </c>
      <c r="G35" s="14">
        <v>36.82288217</v>
      </c>
      <c r="H35" s="16">
        <v>1.9071910000000001</v>
      </c>
      <c r="I35" s="14" t="s">
        <v>139</v>
      </c>
      <c r="J35" s="16" t="s">
        <v>139</v>
      </c>
      <c r="K35" s="14">
        <v>0</v>
      </c>
      <c r="L35" s="16">
        <v>0</v>
      </c>
      <c r="M35" s="14">
        <v>0</v>
      </c>
      <c r="N35" s="16">
        <v>0</v>
      </c>
      <c r="O35" s="14">
        <v>0</v>
      </c>
      <c r="P35" s="16">
        <v>0</v>
      </c>
      <c r="Q35" s="14">
        <v>0</v>
      </c>
      <c r="R35" s="16">
        <v>0</v>
      </c>
    </row>
    <row r="36" spans="1:18" x14ac:dyDescent="0.25">
      <c r="A36" s="11" t="s">
        <v>169</v>
      </c>
      <c r="B36" s="13">
        <v>6736</v>
      </c>
      <c r="C36" s="14">
        <f>(5591/B36*100)</f>
        <v>83.001781472684087</v>
      </c>
      <c r="D36" s="15">
        <v>1145</v>
      </c>
      <c r="E36" s="14">
        <v>69.309660699999995</v>
      </c>
      <c r="F36" s="16">
        <v>1.50942011</v>
      </c>
      <c r="G36" s="14">
        <v>30.690339300000002</v>
      </c>
      <c r="H36" s="16">
        <v>1.50942011</v>
      </c>
      <c r="I36" s="14" t="s">
        <v>139</v>
      </c>
      <c r="J36" s="16" t="s">
        <v>139</v>
      </c>
      <c r="K36" s="14">
        <v>0</v>
      </c>
      <c r="L36" s="16">
        <v>0</v>
      </c>
      <c r="M36" s="14">
        <v>0</v>
      </c>
      <c r="N36" s="16">
        <v>0</v>
      </c>
      <c r="O36" s="14">
        <v>0</v>
      </c>
      <c r="P36" s="16">
        <v>0</v>
      </c>
      <c r="Q36" s="14">
        <v>0</v>
      </c>
      <c r="R36" s="16">
        <v>0</v>
      </c>
    </row>
    <row r="37" spans="1:18" x14ac:dyDescent="0.25">
      <c r="A37" s="11" t="s">
        <v>170</v>
      </c>
      <c r="B37" s="13">
        <v>5458</v>
      </c>
      <c r="C37" s="14">
        <f>(4522/B37*100)</f>
        <v>82.850861121289853</v>
      </c>
      <c r="D37" s="15">
        <v>936</v>
      </c>
      <c r="E37" s="14">
        <v>70.619749089999999</v>
      </c>
      <c r="F37" s="16">
        <v>1.5803016400000001</v>
      </c>
      <c r="G37" s="14">
        <v>29.380250910000001</v>
      </c>
      <c r="H37" s="16">
        <v>1.5803016400000001</v>
      </c>
      <c r="I37" s="14" t="s">
        <v>139</v>
      </c>
      <c r="J37" s="16" t="s">
        <v>139</v>
      </c>
      <c r="K37" s="14">
        <v>0</v>
      </c>
      <c r="L37" s="16">
        <v>0</v>
      </c>
      <c r="M37" s="14">
        <v>0</v>
      </c>
      <c r="N37" s="16">
        <v>0</v>
      </c>
      <c r="O37" s="14">
        <v>0</v>
      </c>
      <c r="P37" s="16">
        <v>0</v>
      </c>
      <c r="Q37" s="14">
        <v>0</v>
      </c>
      <c r="R37" s="16">
        <v>0</v>
      </c>
    </row>
    <row r="38" spans="1:18" x14ac:dyDescent="0.25">
      <c r="A38" s="11" t="s">
        <v>171</v>
      </c>
      <c r="B38" s="17" t="s">
        <v>154</v>
      </c>
      <c r="C38" s="17" t="s">
        <v>154</v>
      </c>
      <c r="D38" s="18" t="s">
        <v>154</v>
      </c>
      <c r="E38" s="17" t="s">
        <v>154</v>
      </c>
      <c r="F38" s="18" t="s">
        <v>154</v>
      </c>
      <c r="G38" s="17" t="s">
        <v>154</v>
      </c>
      <c r="H38" s="18" t="s">
        <v>154</v>
      </c>
      <c r="I38" s="17" t="s">
        <v>154</v>
      </c>
      <c r="J38" s="18" t="s">
        <v>154</v>
      </c>
      <c r="K38" s="17" t="s">
        <v>154</v>
      </c>
      <c r="L38" s="18" t="s">
        <v>154</v>
      </c>
      <c r="M38" s="17" t="s">
        <v>154</v>
      </c>
      <c r="N38" s="18" t="s">
        <v>154</v>
      </c>
      <c r="O38" s="17" t="s">
        <v>154</v>
      </c>
      <c r="P38" s="18" t="s">
        <v>154</v>
      </c>
      <c r="Q38" s="17" t="s">
        <v>154</v>
      </c>
      <c r="R38" s="18" t="s">
        <v>154</v>
      </c>
    </row>
    <row r="39" spans="1:18" x14ac:dyDescent="0.25">
      <c r="A39" s="11" t="s">
        <v>172</v>
      </c>
      <c r="B39" s="13">
        <v>5895</v>
      </c>
      <c r="C39" s="14">
        <f>(4865/B39*100)</f>
        <v>82.527565733672603</v>
      </c>
      <c r="D39" s="15">
        <v>1030</v>
      </c>
      <c r="E39" s="14">
        <v>68.411931469999999</v>
      </c>
      <c r="F39" s="16">
        <v>1.83713986</v>
      </c>
      <c r="G39" s="14">
        <v>31.588068530000001</v>
      </c>
      <c r="H39" s="16">
        <v>1.83713986</v>
      </c>
      <c r="I39" s="14" t="s">
        <v>139</v>
      </c>
      <c r="J39" s="16" t="s">
        <v>139</v>
      </c>
      <c r="K39" s="14">
        <v>0</v>
      </c>
      <c r="L39" s="16">
        <v>0</v>
      </c>
      <c r="M39" s="14">
        <v>0</v>
      </c>
      <c r="N39" s="16">
        <v>0</v>
      </c>
      <c r="O39" s="14">
        <v>0</v>
      </c>
      <c r="P39" s="16">
        <v>0</v>
      </c>
      <c r="Q39" s="14">
        <v>0</v>
      </c>
      <c r="R39" s="16">
        <v>0</v>
      </c>
    </row>
    <row r="40" spans="1:18" x14ac:dyDescent="0.25">
      <c r="A40" s="11" t="s">
        <v>173</v>
      </c>
      <c r="B40" s="13">
        <v>14157</v>
      </c>
      <c r="C40" s="14">
        <f>(11676/B40*100)</f>
        <v>82.475100656918841</v>
      </c>
      <c r="D40" s="15">
        <v>2481</v>
      </c>
      <c r="E40" s="14">
        <v>78.79993734</v>
      </c>
      <c r="F40" s="16">
        <v>1.18973766</v>
      </c>
      <c r="G40" s="14">
        <v>21.20006266</v>
      </c>
      <c r="H40" s="16">
        <v>1.18973766</v>
      </c>
      <c r="I40" s="14" t="s">
        <v>139</v>
      </c>
      <c r="J40" s="16" t="s">
        <v>139</v>
      </c>
      <c r="K40" s="14">
        <v>0</v>
      </c>
      <c r="L40" s="16">
        <v>0</v>
      </c>
      <c r="M40" s="14">
        <v>0</v>
      </c>
      <c r="N40" s="16">
        <v>0</v>
      </c>
      <c r="O40" s="14">
        <v>0</v>
      </c>
      <c r="P40" s="16">
        <v>0</v>
      </c>
      <c r="Q40" s="14">
        <v>0</v>
      </c>
      <c r="R40" s="16">
        <v>0</v>
      </c>
    </row>
    <row r="41" spans="1:18" x14ac:dyDescent="0.25">
      <c r="A41" s="11" t="s">
        <v>174</v>
      </c>
      <c r="B41" s="13">
        <v>5712</v>
      </c>
      <c r="C41" s="14">
        <f>(4753/B41*100)</f>
        <v>83.210784313725497</v>
      </c>
      <c r="D41" s="15">
        <v>959</v>
      </c>
      <c r="E41" s="14">
        <v>73.408313579999998</v>
      </c>
      <c r="F41" s="16">
        <v>1.6192829099999999</v>
      </c>
      <c r="G41" s="14">
        <v>26.591686419999998</v>
      </c>
      <c r="H41" s="16">
        <v>1.6192829099999999</v>
      </c>
      <c r="I41" s="14" t="s">
        <v>139</v>
      </c>
      <c r="J41" s="16" t="s">
        <v>139</v>
      </c>
      <c r="K41" s="14">
        <v>0</v>
      </c>
      <c r="L41" s="16">
        <v>0</v>
      </c>
      <c r="M41" s="14">
        <v>0</v>
      </c>
      <c r="N41" s="16">
        <v>0</v>
      </c>
      <c r="O41" s="14">
        <v>0</v>
      </c>
      <c r="P41" s="16">
        <v>0</v>
      </c>
      <c r="Q41" s="14">
        <v>0</v>
      </c>
      <c r="R41" s="16">
        <v>0</v>
      </c>
    </row>
    <row r="42" spans="1:18" x14ac:dyDescent="0.25">
      <c r="A42" s="11" t="s">
        <v>175</v>
      </c>
      <c r="B42" s="13">
        <f>IF(COUNT(B7:B41) &gt; 0, AVERAGE(B7:B41), "\u2014")</f>
        <v>7266.90625</v>
      </c>
      <c r="C42" s="14">
        <f>IF(COUNT(C7:C41) &gt; 0, AVERAGE(C7:C41), "—")</f>
        <v>83.006499411908919</v>
      </c>
      <c r="D42" s="15">
        <f>IF(COUNT(D7:D41) &gt; 0, AVERAGE(D7:D41), "—")</f>
        <v>1235.03125</v>
      </c>
      <c r="E42" s="14">
        <f>IF(COUNT(E7:E41) &gt; 0, AVERAGE(E7:E41), "—")</f>
        <v>68.239269109062477</v>
      </c>
      <c r="F42" s="16">
        <f>IF(COUNT(F7:F41) &gt; 0, SQRT(SUMSQ(F7:F41)/(COUNT(F7:F41)*COUNT(F7:F41)) ), "—")</f>
        <v>0.26588800421605047</v>
      </c>
      <c r="G42" s="14">
        <f>IF(COUNT(G7:G41) &gt; 0, AVERAGE(G7:G41), "—")</f>
        <v>31.760730890937495</v>
      </c>
      <c r="H42" s="16">
        <f>IF(COUNT(H7:H41) &gt; 0, SQRT(SUMSQ(H7:H41)/(COUNT(H7:H41)*COUNT(H7:H41)) ), "—")</f>
        <v>0.26588800421605047</v>
      </c>
      <c r="I42" s="14" t="str">
        <f>IF(COUNT(I7:I41) &gt; 0, AVERAGE(I7:I41), "—")</f>
        <v>—</v>
      </c>
      <c r="J42" s="16" t="str">
        <f>IF(COUNT(J7:J41) &gt; 0, SQRT(SUMSQ(J7:J41)/(COUNT(J7:J41)*COUNT(J7:J41)) ), "—")</f>
        <v>—</v>
      </c>
      <c r="K42" s="14">
        <f>IF(COUNT(K7:K41) &gt; 0, AVERAGE(K7:K41), "—")</f>
        <v>0</v>
      </c>
      <c r="L42" s="16">
        <f>IF(COUNT(L7:L41) &gt; 0, SQRT(SUMSQ(L7:L41)/(COUNT(L7:L41)*COUNT(L7:L41)) ), "—")</f>
        <v>0</v>
      </c>
      <c r="M42" s="14">
        <f>IF(COUNT(M7:M41) &gt; 0, AVERAGE(M7:M41), "—")</f>
        <v>0</v>
      </c>
      <c r="N42" s="16">
        <f>IF(COUNT(N7:N41) &gt; 0, SQRT(SUMSQ(N7:N41)/(COUNT(N7:N41)*COUNT(N7:N41)) ), "—")</f>
        <v>0</v>
      </c>
      <c r="O42" s="14">
        <f>IF(COUNT(O7:O41) &gt; 0, AVERAGE(O7:O41), "—")</f>
        <v>0</v>
      </c>
      <c r="P42" s="16">
        <f>IF(COUNT(P7:P41) &gt; 0, SQRT(SUMSQ(P7:P41)/(COUNT(P7:P41)*COUNT(P7:P41)) ), "—")</f>
        <v>0</v>
      </c>
      <c r="Q42" s="14">
        <f>IF(COUNT(Q7:Q41) &gt; 0, AVERAGE(Q7:Q41), "—")</f>
        <v>0</v>
      </c>
      <c r="R42" s="16">
        <f>IF(COUNT(R7:R41) &gt; 0, SQRT(SUMSQ(R7:R41)/(COUNT(R7:R41)*COUNT(R7:R41)) ), "—")</f>
        <v>0</v>
      </c>
    </row>
    <row r="43" spans="1:18" x14ac:dyDescent="0.25">
      <c r="A43" s="9" t="s">
        <v>176</v>
      </c>
      <c r="B43" s="10"/>
      <c r="C43" s="10"/>
      <c r="D43" s="11"/>
      <c r="E43" s="10"/>
      <c r="F43" s="11"/>
      <c r="G43" s="10"/>
      <c r="H43" s="11"/>
      <c r="I43" s="10"/>
      <c r="J43" s="11"/>
      <c r="K43" s="10"/>
      <c r="L43" s="11"/>
      <c r="M43" s="10"/>
      <c r="N43" s="11"/>
      <c r="O43" s="10"/>
      <c r="P43" s="11"/>
      <c r="Q43" s="10"/>
      <c r="R43" s="12"/>
    </row>
    <row r="44" spans="1:18" x14ac:dyDescent="0.25">
      <c r="A44" s="11" t="s">
        <v>177</v>
      </c>
      <c r="B44" s="17" t="s">
        <v>154</v>
      </c>
      <c r="C44" s="17" t="s">
        <v>154</v>
      </c>
      <c r="D44" s="18" t="s">
        <v>154</v>
      </c>
      <c r="E44" s="17" t="s">
        <v>154</v>
      </c>
      <c r="F44" s="18" t="s">
        <v>154</v>
      </c>
      <c r="G44" s="17" t="s">
        <v>154</v>
      </c>
      <c r="H44" s="18" t="s">
        <v>154</v>
      </c>
      <c r="I44" s="17" t="s">
        <v>154</v>
      </c>
      <c r="J44" s="18" t="s">
        <v>154</v>
      </c>
      <c r="K44" s="17" t="s">
        <v>154</v>
      </c>
      <c r="L44" s="18" t="s">
        <v>154</v>
      </c>
      <c r="M44" s="17" t="s">
        <v>154</v>
      </c>
      <c r="N44" s="18" t="s">
        <v>154</v>
      </c>
      <c r="O44" s="17" t="s">
        <v>154</v>
      </c>
      <c r="P44" s="18" t="s">
        <v>154</v>
      </c>
      <c r="Q44" s="17" t="s">
        <v>154</v>
      </c>
      <c r="R44" s="18" t="s">
        <v>154</v>
      </c>
    </row>
    <row r="45" spans="1:18" x14ac:dyDescent="0.25">
      <c r="A45" s="11" t="s">
        <v>178</v>
      </c>
      <c r="B45" s="17" t="s">
        <v>154</v>
      </c>
      <c r="C45" s="17" t="s">
        <v>154</v>
      </c>
      <c r="D45" s="18" t="s">
        <v>154</v>
      </c>
      <c r="E45" s="17" t="s">
        <v>154</v>
      </c>
      <c r="F45" s="18" t="s">
        <v>154</v>
      </c>
      <c r="G45" s="17" t="s">
        <v>154</v>
      </c>
      <c r="H45" s="18" t="s">
        <v>154</v>
      </c>
      <c r="I45" s="17" t="s">
        <v>154</v>
      </c>
      <c r="J45" s="18" t="s">
        <v>154</v>
      </c>
      <c r="K45" s="17" t="s">
        <v>154</v>
      </c>
      <c r="L45" s="18" t="s">
        <v>154</v>
      </c>
      <c r="M45" s="17" t="s">
        <v>154</v>
      </c>
      <c r="N45" s="18" t="s">
        <v>154</v>
      </c>
      <c r="O45" s="17" t="s">
        <v>154</v>
      </c>
      <c r="P45" s="18" t="s">
        <v>154</v>
      </c>
      <c r="Q45" s="17" t="s">
        <v>154</v>
      </c>
      <c r="R45" s="18" t="s">
        <v>154</v>
      </c>
    </row>
    <row r="46" spans="1:18" x14ac:dyDescent="0.25">
      <c r="A46" s="11" t="s">
        <v>179</v>
      </c>
      <c r="B46" s="13">
        <v>23141</v>
      </c>
      <c r="C46" s="14">
        <f>(19783/B46*100)</f>
        <v>85.488958990536275</v>
      </c>
      <c r="D46" s="15">
        <v>3358</v>
      </c>
      <c r="E46" s="14">
        <v>75.580643839999993</v>
      </c>
      <c r="F46" s="16">
        <v>0.94777873999999995</v>
      </c>
      <c r="G46" s="14">
        <v>24.41935616</v>
      </c>
      <c r="H46" s="16">
        <v>0.94777873999999995</v>
      </c>
      <c r="I46" s="14" t="s">
        <v>139</v>
      </c>
      <c r="J46" s="16" t="s">
        <v>139</v>
      </c>
      <c r="K46" s="14">
        <v>0</v>
      </c>
      <c r="L46" s="16">
        <v>0</v>
      </c>
      <c r="M46" s="14">
        <v>0</v>
      </c>
      <c r="N46" s="16">
        <v>0</v>
      </c>
      <c r="O46" s="14">
        <v>0</v>
      </c>
      <c r="P46" s="16">
        <v>0</v>
      </c>
      <c r="Q46" s="14">
        <v>0</v>
      </c>
      <c r="R46" s="16">
        <v>0</v>
      </c>
    </row>
    <row r="47" spans="1:18" x14ac:dyDescent="0.25">
      <c r="A47" s="11" t="s">
        <v>180</v>
      </c>
      <c r="B47" s="13">
        <v>5928</v>
      </c>
      <c r="C47" s="14">
        <f>(4923/B47*100)</f>
        <v>83.046558704453446</v>
      </c>
      <c r="D47" s="15">
        <v>1005</v>
      </c>
      <c r="E47" s="14">
        <v>65.411038430000005</v>
      </c>
      <c r="F47" s="16">
        <v>1.43775791</v>
      </c>
      <c r="G47" s="14">
        <v>34.588961570000002</v>
      </c>
      <c r="H47" s="16">
        <v>1.43775791</v>
      </c>
      <c r="I47" s="14" t="s">
        <v>139</v>
      </c>
      <c r="J47" s="16" t="s">
        <v>139</v>
      </c>
      <c r="K47" s="14">
        <v>0</v>
      </c>
      <c r="L47" s="16">
        <v>0</v>
      </c>
      <c r="M47" s="14">
        <v>0</v>
      </c>
      <c r="N47" s="16">
        <v>0</v>
      </c>
      <c r="O47" s="14">
        <v>0</v>
      </c>
      <c r="P47" s="16">
        <v>0</v>
      </c>
      <c r="Q47" s="14">
        <v>0</v>
      </c>
      <c r="R47" s="16">
        <v>0</v>
      </c>
    </row>
    <row r="48" spans="1:18" x14ac:dyDescent="0.25">
      <c r="A48" s="11" t="s">
        <v>181</v>
      </c>
      <c r="B48" s="13">
        <v>9841</v>
      </c>
      <c r="C48" s="14">
        <f>(8132/B48*100)</f>
        <v>82.633878670866778</v>
      </c>
      <c r="D48" s="15">
        <v>1709</v>
      </c>
      <c r="E48" s="14">
        <v>61.178849309999997</v>
      </c>
      <c r="F48" s="16">
        <v>1.56971142</v>
      </c>
      <c r="G48" s="14">
        <v>38.821150690000003</v>
      </c>
      <c r="H48" s="16">
        <v>1.56971142</v>
      </c>
      <c r="I48" s="14" t="s">
        <v>139</v>
      </c>
      <c r="J48" s="16" t="s">
        <v>139</v>
      </c>
      <c r="K48" s="14">
        <v>0</v>
      </c>
      <c r="L48" s="16">
        <v>0</v>
      </c>
      <c r="M48" s="14">
        <v>0</v>
      </c>
      <c r="N48" s="16">
        <v>0</v>
      </c>
      <c r="O48" s="14">
        <v>0</v>
      </c>
      <c r="P48" s="16">
        <v>0</v>
      </c>
      <c r="Q48" s="14">
        <v>0</v>
      </c>
      <c r="R48" s="16">
        <v>0</v>
      </c>
    </row>
    <row r="49" spans="1:18" x14ac:dyDescent="0.25">
      <c r="A49" s="11" t="s">
        <v>182</v>
      </c>
      <c r="B49" s="17" t="s">
        <v>154</v>
      </c>
      <c r="C49" s="17" t="s">
        <v>154</v>
      </c>
      <c r="D49" s="18" t="s">
        <v>154</v>
      </c>
      <c r="E49" s="17" t="s">
        <v>154</v>
      </c>
      <c r="F49" s="18" t="s">
        <v>154</v>
      </c>
      <c r="G49" s="17" t="s">
        <v>154</v>
      </c>
      <c r="H49" s="18" t="s">
        <v>154</v>
      </c>
      <c r="I49" s="17" t="s">
        <v>154</v>
      </c>
      <c r="J49" s="18" t="s">
        <v>154</v>
      </c>
      <c r="K49" s="17" t="s">
        <v>154</v>
      </c>
      <c r="L49" s="18" t="s">
        <v>154</v>
      </c>
      <c r="M49" s="17" t="s">
        <v>154</v>
      </c>
      <c r="N49" s="18" t="s">
        <v>154</v>
      </c>
      <c r="O49" s="17" t="s">
        <v>154</v>
      </c>
      <c r="P49" s="18" t="s">
        <v>154</v>
      </c>
      <c r="Q49" s="17" t="s">
        <v>154</v>
      </c>
      <c r="R49" s="18" t="s">
        <v>154</v>
      </c>
    </row>
    <row r="50" spans="1:18" x14ac:dyDescent="0.25">
      <c r="A50" s="11" t="s">
        <v>183</v>
      </c>
      <c r="B50" s="13">
        <v>11795</v>
      </c>
      <c r="C50" s="14">
        <f>(9826/B50*100)</f>
        <v>83.306485799067403</v>
      </c>
      <c r="D50" s="15">
        <v>1969</v>
      </c>
      <c r="E50" s="14">
        <v>75.38197194</v>
      </c>
      <c r="F50" s="16">
        <v>1.4641839800000001</v>
      </c>
      <c r="G50" s="14">
        <v>24.61802806</v>
      </c>
      <c r="H50" s="16">
        <v>1.4641839800000001</v>
      </c>
      <c r="I50" s="14" t="s">
        <v>139</v>
      </c>
      <c r="J50" s="16" t="s">
        <v>139</v>
      </c>
      <c r="K50" s="14">
        <v>0</v>
      </c>
      <c r="L50" s="16">
        <v>0</v>
      </c>
      <c r="M50" s="14">
        <v>0</v>
      </c>
      <c r="N50" s="16">
        <v>0</v>
      </c>
      <c r="O50" s="14">
        <v>0</v>
      </c>
      <c r="P50" s="16">
        <v>0</v>
      </c>
      <c r="Q50" s="14">
        <v>0</v>
      </c>
      <c r="R50" s="16">
        <v>0</v>
      </c>
    </row>
    <row r="51" spans="1:18" x14ac:dyDescent="0.25">
      <c r="A51" s="11" t="s">
        <v>184</v>
      </c>
      <c r="B51" s="13">
        <v>6866</v>
      </c>
      <c r="C51" s="14">
        <f>(5835/B51*100)</f>
        <v>84.983979027090001</v>
      </c>
      <c r="D51" s="15">
        <v>1031</v>
      </c>
      <c r="E51" s="14">
        <v>68.734364209999995</v>
      </c>
      <c r="F51" s="16">
        <v>1.6672390399999999</v>
      </c>
      <c r="G51" s="14">
        <v>31.265635790000001</v>
      </c>
      <c r="H51" s="16">
        <v>1.6672390399999999</v>
      </c>
      <c r="I51" s="14" t="s">
        <v>139</v>
      </c>
      <c r="J51" s="16" t="s">
        <v>139</v>
      </c>
      <c r="K51" s="14">
        <v>0</v>
      </c>
      <c r="L51" s="16">
        <v>0</v>
      </c>
      <c r="M51" s="14">
        <v>0</v>
      </c>
      <c r="N51" s="16">
        <v>0</v>
      </c>
      <c r="O51" s="14">
        <v>0</v>
      </c>
      <c r="P51" s="16">
        <v>0</v>
      </c>
      <c r="Q51" s="14">
        <v>0</v>
      </c>
      <c r="R51" s="16">
        <v>0</v>
      </c>
    </row>
    <row r="52" spans="1:18" x14ac:dyDescent="0.25">
      <c r="A52" s="11" t="s">
        <v>185</v>
      </c>
      <c r="B52" s="13">
        <v>5809</v>
      </c>
      <c r="C52" s="14">
        <f>(4824/B52*100)</f>
        <v>83.043553107247376</v>
      </c>
      <c r="D52" s="15">
        <v>985</v>
      </c>
      <c r="E52" s="14">
        <v>66.420087120000005</v>
      </c>
      <c r="F52" s="16">
        <v>1.67853389</v>
      </c>
      <c r="G52" s="14">
        <v>33.579912880000002</v>
      </c>
      <c r="H52" s="16">
        <v>1.67853389</v>
      </c>
      <c r="I52" s="14" t="s">
        <v>139</v>
      </c>
      <c r="J52" s="16" t="s">
        <v>139</v>
      </c>
      <c r="K52" s="14">
        <v>0</v>
      </c>
      <c r="L52" s="16">
        <v>0</v>
      </c>
      <c r="M52" s="14">
        <v>0</v>
      </c>
      <c r="N52" s="16">
        <v>0</v>
      </c>
      <c r="O52" s="14">
        <v>0</v>
      </c>
      <c r="P52" s="16">
        <v>0</v>
      </c>
      <c r="Q52" s="14">
        <v>0</v>
      </c>
      <c r="R52" s="16">
        <v>0</v>
      </c>
    </row>
    <row r="53" spans="1:18" x14ac:dyDescent="0.25">
      <c r="A53" s="11" t="s">
        <v>186</v>
      </c>
      <c r="B53" s="13">
        <v>5571</v>
      </c>
      <c r="C53" s="14">
        <f>(4602/B53*100)</f>
        <v>82.606354334948833</v>
      </c>
      <c r="D53" s="15">
        <v>969</v>
      </c>
      <c r="E53" s="14">
        <v>80.740851969999994</v>
      </c>
      <c r="F53" s="16">
        <v>1.2204067000000001</v>
      </c>
      <c r="G53" s="14">
        <v>19.259148029999999</v>
      </c>
      <c r="H53" s="16">
        <v>1.2204067000000001</v>
      </c>
      <c r="I53" s="14" t="s">
        <v>139</v>
      </c>
      <c r="J53" s="16" t="s">
        <v>139</v>
      </c>
      <c r="K53" s="14">
        <v>0</v>
      </c>
      <c r="L53" s="16">
        <v>0</v>
      </c>
      <c r="M53" s="14">
        <v>0</v>
      </c>
      <c r="N53" s="16">
        <v>0</v>
      </c>
      <c r="O53" s="14">
        <v>0</v>
      </c>
      <c r="P53" s="16">
        <v>0</v>
      </c>
      <c r="Q53" s="14">
        <v>0</v>
      </c>
      <c r="R53" s="16">
        <v>0</v>
      </c>
    </row>
    <row r="54" spans="1:18" x14ac:dyDescent="0.25">
      <c r="A54" s="11" t="s">
        <v>187</v>
      </c>
      <c r="B54" s="17" t="s">
        <v>154</v>
      </c>
      <c r="C54" s="17" t="s">
        <v>154</v>
      </c>
      <c r="D54" s="18" t="s">
        <v>154</v>
      </c>
      <c r="E54" s="17" t="s">
        <v>154</v>
      </c>
      <c r="F54" s="18" t="s">
        <v>154</v>
      </c>
      <c r="G54" s="17" t="s">
        <v>154</v>
      </c>
      <c r="H54" s="18" t="s">
        <v>154</v>
      </c>
      <c r="I54" s="17" t="s">
        <v>154</v>
      </c>
      <c r="J54" s="18" t="s">
        <v>154</v>
      </c>
      <c r="K54" s="17" t="s">
        <v>154</v>
      </c>
      <c r="L54" s="18" t="s">
        <v>154</v>
      </c>
      <c r="M54" s="17" t="s">
        <v>154</v>
      </c>
      <c r="N54" s="18" t="s">
        <v>154</v>
      </c>
      <c r="O54" s="17" t="s">
        <v>154</v>
      </c>
      <c r="P54" s="18" t="s">
        <v>154</v>
      </c>
      <c r="Q54" s="17" t="s">
        <v>154</v>
      </c>
      <c r="R54" s="18" t="s">
        <v>154</v>
      </c>
    </row>
    <row r="55" spans="1:18" x14ac:dyDescent="0.25">
      <c r="A55" s="11" t="s">
        <v>188</v>
      </c>
      <c r="B55" s="17" t="s">
        <v>154</v>
      </c>
      <c r="C55" s="17" t="s">
        <v>154</v>
      </c>
      <c r="D55" s="18" t="s">
        <v>154</v>
      </c>
      <c r="E55" s="17" t="s">
        <v>154</v>
      </c>
      <c r="F55" s="18" t="s">
        <v>154</v>
      </c>
      <c r="G55" s="17" t="s">
        <v>154</v>
      </c>
      <c r="H55" s="18" t="s">
        <v>154</v>
      </c>
      <c r="I55" s="17" t="s">
        <v>154</v>
      </c>
      <c r="J55" s="18" t="s">
        <v>154</v>
      </c>
      <c r="K55" s="17" t="s">
        <v>154</v>
      </c>
      <c r="L55" s="18" t="s">
        <v>154</v>
      </c>
      <c r="M55" s="17" t="s">
        <v>154</v>
      </c>
      <c r="N55" s="18" t="s">
        <v>154</v>
      </c>
      <c r="O55" s="17" t="s">
        <v>154</v>
      </c>
      <c r="P55" s="18" t="s">
        <v>154</v>
      </c>
      <c r="Q55" s="17" t="s">
        <v>154</v>
      </c>
      <c r="R55" s="18" t="s">
        <v>154</v>
      </c>
    </row>
    <row r="56" spans="1:18" x14ac:dyDescent="0.25">
      <c r="A56" s="11" t="s">
        <v>189</v>
      </c>
      <c r="B56" s="13">
        <v>5359</v>
      </c>
      <c r="C56" s="14">
        <f>(4424/B56*100)</f>
        <v>82.552715058779626</v>
      </c>
      <c r="D56" s="15">
        <v>935</v>
      </c>
      <c r="E56" s="14">
        <v>42.875552540000001</v>
      </c>
      <c r="F56" s="16">
        <v>1.6827269199999999</v>
      </c>
      <c r="G56" s="14">
        <v>57.124447459999999</v>
      </c>
      <c r="H56" s="16">
        <v>1.6827269199999999</v>
      </c>
      <c r="I56" s="14" t="s">
        <v>139</v>
      </c>
      <c r="J56" s="16" t="s">
        <v>139</v>
      </c>
      <c r="K56" s="14">
        <v>0</v>
      </c>
      <c r="L56" s="16">
        <v>0</v>
      </c>
      <c r="M56" s="14">
        <v>0</v>
      </c>
      <c r="N56" s="16">
        <v>0</v>
      </c>
      <c r="O56" s="14">
        <v>0</v>
      </c>
      <c r="P56" s="16">
        <v>0</v>
      </c>
      <c r="Q56" s="14">
        <v>0</v>
      </c>
      <c r="R56" s="16">
        <v>0</v>
      </c>
    </row>
    <row r="57" spans="1:18" x14ac:dyDescent="0.25">
      <c r="A57" s="11" t="s">
        <v>190</v>
      </c>
      <c r="B57" s="17" t="s">
        <v>154</v>
      </c>
      <c r="C57" s="17" t="s">
        <v>154</v>
      </c>
      <c r="D57" s="18" t="s">
        <v>154</v>
      </c>
      <c r="E57" s="17" t="s">
        <v>154</v>
      </c>
      <c r="F57" s="18" t="s">
        <v>154</v>
      </c>
      <c r="G57" s="17" t="s">
        <v>154</v>
      </c>
      <c r="H57" s="18" t="s">
        <v>154</v>
      </c>
      <c r="I57" s="17" t="s">
        <v>154</v>
      </c>
      <c r="J57" s="18" t="s">
        <v>154</v>
      </c>
      <c r="K57" s="17" t="s">
        <v>154</v>
      </c>
      <c r="L57" s="18" t="s">
        <v>154</v>
      </c>
      <c r="M57" s="17" t="s">
        <v>154</v>
      </c>
      <c r="N57" s="18" t="s">
        <v>154</v>
      </c>
      <c r="O57" s="17" t="s">
        <v>154</v>
      </c>
      <c r="P57" s="18" t="s">
        <v>154</v>
      </c>
      <c r="Q57" s="17" t="s">
        <v>154</v>
      </c>
      <c r="R57" s="18" t="s">
        <v>154</v>
      </c>
    </row>
    <row r="58" spans="1:18" x14ac:dyDescent="0.25">
      <c r="A58" s="11" t="s">
        <v>191</v>
      </c>
      <c r="B58" s="17" t="s">
        <v>154</v>
      </c>
      <c r="C58" s="17" t="s">
        <v>154</v>
      </c>
      <c r="D58" s="18" t="s">
        <v>154</v>
      </c>
      <c r="E58" s="17" t="s">
        <v>154</v>
      </c>
      <c r="F58" s="18" t="s">
        <v>154</v>
      </c>
      <c r="G58" s="17" t="s">
        <v>154</v>
      </c>
      <c r="H58" s="18" t="s">
        <v>154</v>
      </c>
      <c r="I58" s="17" t="s">
        <v>154</v>
      </c>
      <c r="J58" s="18" t="s">
        <v>154</v>
      </c>
      <c r="K58" s="17" t="s">
        <v>154</v>
      </c>
      <c r="L58" s="18" t="s">
        <v>154</v>
      </c>
      <c r="M58" s="17" t="s">
        <v>154</v>
      </c>
      <c r="N58" s="18" t="s">
        <v>154</v>
      </c>
      <c r="O58" s="17" t="s">
        <v>154</v>
      </c>
      <c r="P58" s="18" t="s">
        <v>154</v>
      </c>
      <c r="Q58" s="17" t="s">
        <v>154</v>
      </c>
      <c r="R58" s="18" t="s">
        <v>154</v>
      </c>
    </row>
    <row r="59" spans="1:18" x14ac:dyDescent="0.25">
      <c r="A59" s="11" t="s">
        <v>192</v>
      </c>
      <c r="B59" s="17" t="s">
        <v>154</v>
      </c>
      <c r="C59" s="17" t="s">
        <v>154</v>
      </c>
      <c r="D59" s="18" t="s">
        <v>154</v>
      </c>
      <c r="E59" s="17" t="s">
        <v>154</v>
      </c>
      <c r="F59" s="18" t="s">
        <v>154</v>
      </c>
      <c r="G59" s="17" t="s">
        <v>154</v>
      </c>
      <c r="H59" s="18" t="s">
        <v>154</v>
      </c>
      <c r="I59" s="17" t="s">
        <v>154</v>
      </c>
      <c r="J59" s="18" t="s">
        <v>154</v>
      </c>
      <c r="K59" s="17" t="s">
        <v>154</v>
      </c>
      <c r="L59" s="18" t="s">
        <v>154</v>
      </c>
      <c r="M59" s="17" t="s">
        <v>154</v>
      </c>
      <c r="N59" s="18" t="s">
        <v>154</v>
      </c>
      <c r="O59" s="17" t="s">
        <v>154</v>
      </c>
      <c r="P59" s="18" t="s">
        <v>154</v>
      </c>
      <c r="Q59" s="17" t="s">
        <v>154</v>
      </c>
      <c r="R59" s="18" t="s">
        <v>154</v>
      </c>
    </row>
    <row r="60" spans="1:18" x14ac:dyDescent="0.25">
      <c r="A60" s="11" t="s">
        <v>193</v>
      </c>
      <c r="B60" s="17" t="s">
        <v>154</v>
      </c>
      <c r="C60" s="17" t="s">
        <v>154</v>
      </c>
      <c r="D60" s="18" t="s">
        <v>154</v>
      </c>
      <c r="E60" s="17" t="s">
        <v>154</v>
      </c>
      <c r="F60" s="18" t="s">
        <v>154</v>
      </c>
      <c r="G60" s="17" t="s">
        <v>154</v>
      </c>
      <c r="H60" s="18" t="s">
        <v>154</v>
      </c>
      <c r="I60" s="17" t="s">
        <v>154</v>
      </c>
      <c r="J60" s="18" t="s">
        <v>154</v>
      </c>
      <c r="K60" s="17" t="s">
        <v>154</v>
      </c>
      <c r="L60" s="18" t="s">
        <v>154</v>
      </c>
      <c r="M60" s="17" t="s">
        <v>154</v>
      </c>
      <c r="N60" s="18" t="s">
        <v>154</v>
      </c>
      <c r="O60" s="17" t="s">
        <v>154</v>
      </c>
      <c r="P60" s="18" t="s">
        <v>154</v>
      </c>
      <c r="Q60" s="17" t="s">
        <v>154</v>
      </c>
      <c r="R60" s="18" t="s">
        <v>154</v>
      </c>
    </row>
    <row r="61" spans="1:18" x14ac:dyDescent="0.25">
      <c r="A61" s="11" t="s">
        <v>194</v>
      </c>
      <c r="B61" s="13">
        <v>6525</v>
      </c>
      <c r="C61" s="14">
        <f>(5415/B61*100)</f>
        <v>82.988505747126439</v>
      </c>
      <c r="D61" s="15">
        <v>1110</v>
      </c>
      <c r="E61" s="14">
        <v>70.697920490000001</v>
      </c>
      <c r="F61" s="16">
        <v>1.56547419</v>
      </c>
      <c r="G61" s="14">
        <v>29.302079509999999</v>
      </c>
      <c r="H61" s="16">
        <v>1.56547419</v>
      </c>
      <c r="I61" s="14" t="s">
        <v>139</v>
      </c>
      <c r="J61" s="16" t="s">
        <v>139</v>
      </c>
      <c r="K61" s="14">
        <v>0</v>
      </c>
      <c r="L61" s="16">
        <v>0</v>
      </c>
      <c r="M61" s="14">
        <v>0</v>
      </c>
      <c r="N61" s="16">
        <v>0</v>
      </c>
      <c r="O61" s="14">
        <v>0</v>
      </c>
      <c r="P61" s="16">
        <v>0</v>
      </c>
      <c r="Q61" s="14">
        <v>0</v>
      </c>
      <c r="R61" s="16">
        <v>0</v>
      </c>
    </row>
    <row r="62" spans="1:18" x14ac:dyDescent="0.25">
      <c r="A62" s="11" t="s">
        <v>195</v>
      </c>
      <c r="B62" s="13">
        <v>4476</v>
      </c>
      <c r="C62" s="14">
        <f>(3712/B62*100)</f>
        <v>82.931188561215379</v>
      </c>
      <c r="D62" s="15">
        <v>764</v>
      </c>
      <c r="E62" s="14">
        <v>55.596444720000001</v>
      </c>
      <c r="F62" s="16">
        <v>1.60408382</v>
      </c>
      <c r="G62" s="14">
        <v>44.403555279999999</v>
      </c>
      <c r="H62" s="16">
        <v>1.60408382</v>
      </c>
      <c r="I62" s="14" t="s">
        <v>139</v>
      </c>
      <c r="J62" s="16" t="s">
        <v>139</v>
      </c>
      <c r="K62" s="14">
        <v>0</v>
      </c>
      <c r="L62" s="16">
        <v>0</v>
      </c>
      <c r="M62" s="14">
        <v>0</v>
      </c>
      <c r="N62" s="16">
        <v>0</v>
      </c>
      <c r="O62" s="14">
        <v>0</v>
      </c>
      <c r="P62" s="16">
        <v>0</v>
      </c>
      <c r="Q62" s="14">
        <v>0</v>
      </c>
      <c r="R62" s="16">
        <v>0</v>
      </c>
    </row>
    <row r="63" spans="1:18" x14ac:dyDescent="0.25">
      <c r="A63" s="11" t="s">
        <v>196</v>
      </c>
      <c r="B63" s="17" t="s">
        <v>154</v>
      </c>
      <c r="C63" s="17" t="s">
        <v>154</v>
      </c>
      <c r="D63" s="18" t="s">
        <v>154</v>
      </c>
      <c r="E63" s="17" t="s">
        <v>154</v>
      </c>
      <c r="F63" s="18" t="s">
        <v>154</v>
      </c>
      <c r="G63" s="17" t="s">
        <v>154</v>
      </c>
      <c r="H63" s="18" t="s">
        <v>154</v>
      </c>
      <c r="I63" s="17" t="s">
        <v>154</v>
      </c>
      <c r="J63" s="18" t="s">
        <v>154</v>
      </c>
      <c r="K63" s="17" t="s">
        <v>154</v>
      </c>
      <c r="L63" s="18" t="s">
        <v>154</v>
      </c>
      <c r="M63" s="17" t="s">
        <v>154</v>
      </c>
      <c r="N63" s="18" t="s">
        <v>154</v>
      </c>
      <c r="O63" s="17" t="s">
        <v>154</v>
      </c>
      <c r="P63" s="18" t="s">
        <v>154</v>
      </c>
      <c r="Q63" s="17" t="s">
        <v>154</v>
      </c>
      <c r="R63" s="18" t="s">
        <v>154</v>
      </c>
    </row>
    <row r="64" spans="1:18" x14ac:dyDescent="0.25">
      <c r="A64" s="11" t="s">
        <v>197</v>
      </c>
      <c r="B64" s="17" t="s">
        <v>154</v>
      </c>
      <c r="C64" s="17" t="s">
        <v>154</v>
      </c>
      <c r="D64" s="18" t="s">
        <v>154</v>
      </c>
      <c r="E64" s="17" t="s">
        <v>154</v>
      </c>
      <c r="F64" s="18" t="s">
        <v>154</v>
      </c>
      <c r="G64" s="17" t="s">
        <v>154</v>
      </c>
      <c r="H64" s="18" t="s">
        <v>154</v>
      </c>
      <c r="I64" s="17" t="s">
        <v>154</v>
      </c>
      <c r="J64" s="18" t="s">
        <v>154</v>
      </c>
      <c r="K64" s="17" t="s">
        <v>154</v>
      </c>
      <c r="L64" s="18" t="s">
        <v>154</v>
      </c>
      <c r="M64" s="17" t="s">
        <v>154</v>
      </c>
      <c r="N64" s="18" t="s">
        <v>154</v>
      </c>
      <c r="O64" s="17" t="s">
        <v>154</v>
      </c>
      <c r="P64" s="18" t="s">
        <v>154</v>
      </c>
      <c r="Q64" s="17" t="s">
        <v>154</v>
      </c>
      <c r="R64" s="18" t="s">
        <v>154</v>
      </c>
    </row>
    <row r="65" spans="1:18" x14ac:dyDescent="0.25">
      <c r="A65" s="11" t="s">
        <v>198</v>
      </c>
      <c r="B65" s="17" t="s">
        <v>154</v>
      </c>
      <c r="C65" s="17" t="s">
        <v>154</v>
      </c>
      <c r="D65" s="18" t="s">
        <v>154</v>
      </c>
      <c r="E65" s="17" t="s">
        <v>154</v>
      </c>
      <c r="F65" s="18" t="s">
        <v>154</v>
      </c>
      <c r="G65" s="17" t="s">
        <v>154</v>
      </c>
      <c r="H65" s="18" t="s">
        <v>154</v>
      </c>
      <c r="I65" s="17" t="s">
        <v>154</v>
      </c>
      <c r="J65" s="18" t="s">
        <v>154</v>
      </c>
      <c r="K65" s="17" t="s">
        <v>154</v>
      </c>
      <c r="L65" s="18" t="s">
        <v>154</v>
      </c>
      <c r="M65" s="17" t="s">
        <v>154</v>
      </c>
      <c r="N65" s="18" t="s">
        <v>154</v>
      </c>
      <c r="O65" s="17" t="s">
        <v>154</v>
      </c>
      <c r="P65" s="18" t="s">
        <v>154</v>
      </c>
      <c r="Q65" s="17" t="s">
        <v>154</v>
      </c>
      <c r="R65" s="18" t="s">
        <v>154</v>
      </c>
    </row>
    <row r="66" spans="1:18" x14ac:dyDescent="0.25">
      <c r="A66" s="11" t="s">
        <v>199</v>
      </c>
      <c r="B66" s="13">
        <v>5665</v>
      </c>
      <c r="C66" s="14">
        <f>(4711/B66*100)</f>
        <v>83.159752868490727</v>
      </c>
      <c r="D66" s="15">
        <v>954</v>
      </c>
      <c r="E66" s="14">
        <v>75.911819929999993</v>
      </c>
      <c r="F66" s="16">
        <v>1.3793929599999999</v>
      </c>
      <c r="G66" s="14">
        <v>24.08818007</v>
      </c>
      <c r="H66" s="16">
        <v>1.3793929599999999</v>
      </c>
      <c r="I66" s="14" t="s">
        <v>139</v>
      </c>
      <c r="J66" s="16" t="s">
        <v>139</v>
      </c>
      <c r="K66" s="14">
        <v>0</v>
      </c>
      <c r="L66" s="16">
        <v>0</v>
      </c>
      <c r="M66" s="14">
        <v>0</v>
      </c>
      <c r="N66" s="16">
        <v>0</v>
      </c>
      <c r="O66" s="14">
        <v>0</v>
      </c>
      <c r="P66" s="16">
        <v>0</v>
      </c>
      <c r="Q66" s="14">
        <v>0</v>
      </c>
      <c r="R66" s="16">
        <v>0</v>
      </c>
    </row>
    <row r="67" spans="1:18" x14ac:dyDescent="0.25">
      <c r="A67" s="11" t="s">
        <v>200</v>
      </c>
      <c r="B67" s="13">
        <v>6971</v>
      </c>
      <c r="C67" s="14">
        <f>(5876/B67*100)</f>
        <v>84.292067135274706</v>
      </c>
      <c r="D67" s="15">
        <v>1095</v>
      </c>
      <c r="E67" s="14">
        <v>77.026751910000002</v>
      </c>
      <c r="F67" s="16">
        <v>1.6146970199999999</v>
      </c>
      <c r="G67" s="14">
        <v>22.973248089999998</v>
      </c>
      <c r="H67" s="16">
        <v>1.6146970199999999</v>
      </c>
      <c r="I67" s="14" t="s">
        <v>139</v>
      </c>
      <c r="J67" s="16" t="s">
        <v>139</v>
      </c>
      <c r="K67" s="14">
        <v>0</v>
      </c>
      <c r="L67" s="16">
        <v>0</v>
      </c>
      <c r="M67" s="14">
        <v>0</v>
      </c>
      <c r="N67" s="16">
        <v>0</v>
      </c>
      <c r="O67" s="14">
        <v>0</v>
      </c>
      <c r="P67" s="16">
        <v>0</v>
      </c>
      <c r="Q67" s="14">
        <v>0</v>
      </c>
      <c r="R67" s="16">
        <v>0</v>
      </c>
    </row>
    <row r="68" spans="1:18" x14ac:dyDescent="0.25">
      <c r="A68" s="11" t="s">
        <v>201</v>
      </c>
      <c r="B68" s="17" t="s">
        <v>154</v>
      </c>
      <c r="C68" s="17" t="s">
        <v>154</v>
      </c>
      <c r="D68" s="18" t="s">
        <v>154</v>
      </c>
      <c r="E68" s="17" t="s">
        <v>154</v>
      </c>
      <c r="F68" s="18" t="s">
        <v>154</v>
      </c>
      <c r="G68" s="17" t="s">
        <v>154</v>
      </c>
      <c r="H68" s="18" t="s">
        <v>154</v>
      </c>
      <c r="I68" s="17" t="s">
        <v>154</v>
      </c>
      <c r="J68" s="18" t="s">
        <v>154</v>
      </c>
      <c r="K68" s="17" t="s">
        <v>154</v>
      </c>
      <c r="L68" s="18" t="s">
        <v>154</v>
      </c>
      <c r="M68" s="17" t="s">
        <v>154</v>
      </c>
      <c r="N68" s="18" t="s">
        <v>154</v>
      </c>
      <c r="O68" s="17" t="s">
        <v>154</v>
      </c>
      <c r="P68" s="18" t="s">
        <v>154</v>
      </c>
      <c r="Q68" s="17" t="s">
        <v>154</v>
      </c>
      <c r="R68" s="18" t="s">
        <v>154</v>
      </c>
    </row>
    <row r="69" spans="1:18" x14ac:dyDescent="0.25">
      <c r="A69" s="11" t="s">
        <v>202</v>
      </c>
      <c r="B69" s="17" t="s">
        <v>154</v>
      </c>
      <c r="C69" s="17" t="s">
        <v>154</v>
      </c>
      <c r="D69" s="18" t="s">
        <v>154</v>
      </c>
      <c r="E69" s="17" t="s">
        <v>154</v>
      </c>
      <c r="F69" s="18" t="s">
        <v>154</v>
      </c>
      <c r="G69" s="17" t="s">
        <v>154</v>
      </c>
      <c r="H69" s="18" t="s">
        <v>154</v>
      </c>
      <c r="I69" s="17" t="s">
        <v>154</v>
      </c>
      <c r="J69" s="18" t="s">
        <v>154</v>
      </c>
      <c r="K69" s="17" t="s">
        <v>154</v>
      </c>
      <c r="L69" s="18" t="s">
        <v>154</v>
      </c>
      <c r="M69" s="17" t="s">
        <v>154</v>
      </c>
      <c r="N69" s="18" t="s">
        <v>154</v>
      </c>
      <c r="O69" s="17" t="s">
        <v>154</v>
      </c>
      <c r="P69" s="18" t="s">
        <v>154</v>
      </c>
      <c r="Q69" s="17" t="s">
        <v>154</v>
      </c>
      <c r="R69" s="18" t="s">
        <v>154</v>
      </c>
    </row>
    <row r="70" spans="1:18" x14ac:dyDescent="0.25">
      <c r="A70" s="11" t="s">
        <v>203</v>
      </c>
      <c r="B70" s="13">
        <v>6036</v>
      </c>
      <c r="C70" s="14">
        <f>(5007/B70*100)</f>
        <v>82.952286282306162</v>
      </c>
      <c r="D70" s="15">
        <v>1029</v>
      </c>
      <c r="E70" s="14">
        <v>70.217016999999998</v>
      </c>
      <c r="F70" s="16">
        <v>1.53825433</v>
      </c>
      <c r="G70" s="14">
        <v>29.782983000000002</v>
      </c>
      <c r="H70" s="16">
        <v>1.53825433</v>
      </c>
      <c r="I70" s="14" t="s">
        <v>139</v>
      </c>
      <c r="J70" s="16" t="s">
        <v>139</v>
      </c>
      <c r="K70" s="14">
        <v>0</v>
      </c>
      <c r="L70" s="16">
        <v>0</v>
      </c>
      <c r="M70" s="14">
        <v>0</v>
      </c>
      <c r="N70" s="16">
        <v>0</v>
      </c>
      <c r="O70" s="14">
        <v>0</v>
      </c>
      <c r="P70" s="16">
        <v>0</v>
      </c>
      <c r="Q70" s="14">
        <v>0</v>
      </c>
      <c r="R70" s="16">
        <v>0</v>
      </c>
    </row>
    <row r="71" spans="1:18" x14ac:dyDescent="0.25">
      <c r="A71" s="11" t="s">
        <v>204</v>
      </c>
      <c r="B71" s="17" t="s">
        <v>154</v>
      </c>
      <c r="C71" s="17" t="s">
        <v>154</v>
      </c>
      <c r="D71" s="18" t="s">
        <v>154</v>
      </c>
      <c r="E71" s="17" t="s">
        <v>154</v>
      </c>
      <c r="F71" s="18" t="s">
        <v>154</v>
      </c>
      <c r="G71" s="17" t="s">
        <v>154</v>
      </c>
      <c r="H71" s="18" t="s">
        <v>154</v>
      </c>
      <c r="I71" s="17" t="s">
        <v>154</v>
      </c>
      <c r="J71" s="18" t="s">
        <v>154</v>
      </c>
      <c r="K71" s="17" t="s">
        <v>154</v>
      </c>
      <c r="L71" s="18" t="s">
        <v>154</v>
      </c>
      <c r="M71" s="17" t="s">
        <v>154</v>
      </c>
      <c r="N71" s="18" t="s">
        <v>154</v>
      </c>
      <c r="O71" s="17" t="s">
        <v>154</v>
      </c>
      <c r="P71" s="18" t="s">
        <v>154</v>
      </c>
      <c r="Q71" s="17" t="s">
        <v>154</v>
      </c>
      <c r="R71" s="18" t="s">
        <v>154</v>
      </c>
    </row>
    <row r="72" spans="1:18" x14ac:dyDescent="0.25">
      <c r="A72" s="11" t="s">
        <v>205</v>
      </c>
      <c r="B72" s="13">
        <v>7708</v>
      </c>
      <c r="C72" s="14">
        <f>(6394/B72*100)</f>
        <v>82.952776336273999</v>
      </c>
      <c r="D72" s="15">
        <v>1314</v>
      </c>
      <c r="E72" s="14">
        <v>50.459175760000001</v>
      </c>
      <c r="F72" s="16">
        <v>1.51038104</v>
      </c>
      <c r="G72" s="14">
        <v>49.540824239999999</v>
      </c>
      <c r="H72" s="16">
        <v>1.51038104</v>
      </c>
      <c r="I72" s="14" t="s">
        <v>139</v>
      </c>
      <c r="J72" s="16" t="s">
        <v>139</v>
      </c>
      <c r="K72" s="14">
        <v>0</v>
      </c>
      <c r="L72" s="16">
        <v>0</v>
      </c>
      <c r="M72" s="14">
        <v>0</v>
      </c>
      <c r="N72" s="16">
        <v>0</v>
      </c>
      <c r="O72" s="14">
        <v>0</v>
      </c>
      <c r="P72" s="16">
        <v>0</v>
      </c>
      <c r="Q72" s="14">
        <v>0</v>
      </c>
      <c r="R72" s="16">
        <v>0</v>
      </c>
    </row>
    <row r="73" spans="1:18" x14ac:dyDescent="0.25">
      <c r="A73" s="11" t="s">
        <v>206</v>
      </c>
      <c r="B73" s="13">
        <v>8249</v>
      </c>
      <c r="C73" s="14">
        <f>(6882/B73*100)</f>
        <v>83.428294338707715</v>
      </c>
      <c r="D73" s="15">
        <v>1367</v>
      </c>
      <c r="E73" s="14">
        <v>64.992587439999994</v>
      </c>
      <c r="F73" s="16">
        <v>1.4219520000000001</v>
      </c>
      <c r="G73" s="14">
        <v>35.007412559999999</v>
      </c>
      <c r="H73" s="16">
        <v>1.4219520000000001</v>
      </c>
      <c r="I73" s="14" t="s">
        <v>139</v>
      </c>
      <c r="J73" s="16" t="s">
        <v>139</v>
      </c>
      <c r="K73" s="14">
        <v>0</v>
      </c>
      <c r="L73" s="16">
        <v>0</v>
      </c>
      <c r="M73" s="14">
        <v>0</v>
      </c>
      <c r="N73" s="16">
        <v>0</v>
      </c>
      <c r="O73" s="14">
        <v>0</v>
      </c>
      <c r="P73" s="16">
        <v>0</v>
      </c>
      <c r="Q73" s="14">
        <v>0</v>
      </c>
      <c r="R73" s="16">
        <v>0</v>
      </c>
    </row>
    <row r="74" spans="1:18" x14ac:dyDescent="0.25">
      <c r="A74" s="11" t="s">
        <v>207</v>
      </c>
      <c r="B74" s="17" t="s">
        <v>154</v>
      </c>
      <c r="C74" s="17" t="s">
        <v>154</v>
      </c>
      <c r="D74" s="18" t="s">
        <v>154</v>
      </c>
      <c r="E74" s="17" t="s">
        <v>154</v>
      </c>
      <c r="F74" s="18" t="s">
        <v>154</v>
      </c>
      <c r="G74" s="17" t="s">
        <v>154</v>
      </c>
      <c r="H74" s="18" t="s">
        <v>154</v>
      </c>
      <c r="I74" s="17" t="s">
        <v>154</v>
      </c>
      <c r="J74" s="18" t="s">
        <v>154</v>
      </c>
      <c r="K74" s="17" t="s">
        <v>154</v>
      </c>
      <c r="L74" s="18" t="s">
        <v>154</v>
      </c>
      <c r="M74" s="17" t="s">
        <v>154</v>
      </c>
      <c r="N74" s="18" t="s">
        <v>154</v>
      </c>
      <c r="O74" s="17" t="s">
        <v>154</v>
      </c>
      <c r="P74" s="18" t="s">
        <v>154</v>
      </c>
      <c r="Q74" s="17" t="s">
        <v>154</v>
      </c>
      <c r="R74" s="18" t="s">
        <v>154</v>
      </c>
    </row>
    <row r="75" spans="1:18" x14ac:dyDescent="0.25">
      <c r="A75" s="11" t="s">
        <v>208</v>
      </c>
      <c r="B75" s="13">
        <v>5375</v>
      </c>
      <c r="C75" s="14">
        <f>(4557/B75*100)</f>
        <v>84.781395348837208</v>
      </c>
      <c r="D75" s="15">
        <v>818</v>
      </c>
      <c r="E75" s="14">
        <v>66.781408510000006</v>
      </c>
      <c r="F75" s="16">
        <v>1.81270752</v>
      </c>
      <c r="G75" s="14">
        <v>33.218591490000001</v>
      </c>
      <c r="H75" s="16">
        <v>1.81270752</v>
      </c>
      <c r="I75" s="14" t="s">
        <v>139</v>
      </c>
      <c r="J75" s="16" t="s">
        <v>139</v>
      </c>
      <c r="K75" s="14">
        <v>0</v>
      </c>
      <c r="L75" s="16">
        <v>0</v>
      </c>
      <c r="M75" s="14">
        <v>0</v>
      </c>
      <c r="N75" s="16">
        <v>0</v>
      </c>
      <c r="O75" s="14">
        <v>0</v>
      </c>
      <c r="P75" s="16">
        <v>0</v>
      </c>
      <c r="Q75" s="14">
        <v>0</v>
      </c>
      <c r="R75" s="16">
        <v>0</v>
      </c>
    </row>
    <row r="76" spans="1:18" x14ac:dyDescent="0.25">
      <c r="A76" s="11" t="s">
        <v>209</v>
      </c>
      <c r="B76" s="13">
        <v>14167</v>
      </c>
      <c r="C76" s="14">
        <f>(11728/B76*100)</f>
        <v>82.783934495658926</v>
      </c>
      <c r="D76" s="15">
        <v>2439</v>
      </c>
      <c r="E76" s="14">
        <v>73.767138119999998</v>
      </c>
      <c r="F76" s="16">
        <v>1.08931435</v>
      </c>
      <c r="G76" s="14">
        <v>26.232861880000002</v>
      </c>
      <c r="H76" s="16">
        <v>1.08931435</v>
      </c>
      <c r="I76" s="14" t="s">
        <v>139</v>
      </c>
      <c r="J76" s="16" t="s">
        <v>139</v>
      </c>
      <c r="K76" s="14">
        <v>0</v>
      </c>
      <c r="L76" s="16">
        <v>0</v>
      </c>
      <c r="M76" s="14">
        <v>0</v>
      </c>
      <c r="N76" s="16">
        <v>0</v>
      </c>
      <c r="O76" s="14">
        <v>0</v>
      </c>
      <c r="P76" s="16">
        <v>0</v>
      </c>
      <c r="Q76" s="14">
        <v>0</v>
      </c>
      <c r="R76" s="16">
        <v>0</v>
      </c>
    </row>
    <row r="77" spans="1:18" x14ac:dyDescent="0.25">
      <c r="A77" s="11" t="s">
        <v>210</v>
      </c>
      <c r="B77" s="13">
        <v>6062</v>
      </c>
      <c r="C77" s="14">
        <f>(5018/B77*100)</f>
        <v>82.777961068954141</v>
      </c>
      <c r="D77" s="15">
        <v>1044</v>
      </c>
      <c r="E77" s="14">
        <v>81.224702140000005</v>
      </c>
      <c r="F77" s="16">
        <v>1.1054922</v>
      </c>
      <c r="G77" s="14">
        <v>18.775297859999998</v>
      </c>
      <c r="H77" s="16">
        <v>1.1054922</v>
      </c>
      <c r="I77" s="14" t="s">
        <v>139</v>
      </c>
      <c r="J77" s="16" t="s">
        <v>139</v>
      </c>
      <c r="K77" s="14">
        <v>0</v>
      </c>
      <c r="L77" s="16">
        <v>0</v>
      </c>
      <c r="M77" s="14">
        <v>0</v>
      </c>
      <c r="N77" s="16">
        <v>0</v>
      </c>
      <c r="O77" s="14">
        <v>0</v>
      </c>
      <c r="P77" s="16">
        <v>0</v>
      </c>
      <c r="Q77" s="14">
        <v>0</v>
      </c>
      <c r="R77" s="16">
        <v>0</v>
      </c>
    </row>
    <row r="78" spans="1:18" x14ac:dyDescent="0.25">
      <c r="A78" s="11" t="s">
        <v>211</v>
      </c>
      <c r="B78" s="17" t="s">
        <v>154</v>
      </c>
      <c r="C78" s="17" t="s">
        <v>154</v>
      </c>
      <c r="D78" s="18" t="s">
        <v>154</v>
      </c>
      <c r="E78" s="17" t="s">
        <v>154</v>
      </c>
      <c r="F78" s="18" t="s">
        <v>154</v>
      </c>
      <c r="G78" s="17" t="s">
        <v>154</v>
      </c>
      <c r="H78" s="18" t="s">
        <v>154</v>
      </c>
      <c r="I78" s="17" t="s">
        <v>154</v>
      </c>
      <c r="J78" s="18" t="s">
        <v>154</v>
      </c>
      <c r="K78" s="17" t="s">
        <v>154</v>
      </c>
      <c r="L78" s="18" t="s">
        <v>154</v>
      </c>
      <c r="M78" s="17" t="s">
        <v>154</v>
      </c>
      <c r="N78" s="18" t="s">
        <v>154</v>
      </c>
      <c r="O78" s="17" t="s">
        <v>154</v>
      </c>
      <c r="P78" s="18" t="s">
        <v>154</v>
      </c>
      <c r="Q78" s="17" t="s">
        <v>154</v>
      </c>
      <c r="R78" s="18" t="s">
        <v>154</v>
      </c>
    </row>
    <row r="79" spans="1:18" ht="24.95" customHeight="1" x14ac:dyDescent="0.25">
      <c r="A79" s="11" t="s">
        <v>212</v>
      </c>
      <c r="B79" s="17" t="s">
        <v>154</v>
      </c>
      <c r="C79" s="17" t="s">
        <v>154</v>
      </c>
      <c r="D79" s="18" t="s">
        <v>154</v>
      </c>
      <c r="E79" s="17" t="s">
        <v>154</v>
      </c>
      <c r="F79" s="18" t="s">
        <v>154</v>
      </c>
      <c r="G79" s="17" t="s">
        <v>154</v>
      </c>
      <c r="H79" s="18" t="s">
        <v>154</v>
      </c>
      <c r="I79" s="17" t="s">
        <v>154</v>
      </c>
      <c r="J79" s="18" t="s">
        <v>154</v>
      </c>
      <c r="K79" s="17" t="s">
        <v>154</v>
      </c>
      <c r="L79" s="18" t="s">
        <v>154</v>
      </c>
      <c r="M79" s="17" t="s">
        <v>154</v>
      </c>
      <c r="N79" s="18" t="s">
        <v>154</v>
      </c>
      <c r="O79" s="17" t="s">
        <v>154</v>
      </c>
      <c r="P79" s="18" t="s">
        <v>154</v>
      </c>
      <c r="Q79" s="17" t="s">
        <v>154</v>
      </c>
      <c r="R79" s="18" t="s">
        <v>154</v>
      </c>
    </row>
    <row r="80" spans="1:18" x14ac:dyDescent="0.25">
      <c r="A80" s="11" t="s">
        <v>213</v>
      </c>
      <c r="B80" s="17" t="s">
        <v>154</v>
      </c>
      <c r="C80" s="17" t="s">
        <v>154</v>
      </c>
      <c r="D80" s="18" t="s">
        <v>154</v>
      </c>
      <c r="E80" s="17" t="s">
        <v>154</v>
      </c>
      <c r="F80" s="18" t="s">
        <v>154</v>
      </c>
      <c r="G80" s="17" t="s">
        <v>154</v>
      </c>
      <c r="H80" s="18" t="s">
        <v>154</v>
      </c>
      <c r="I80" s="17" t="s">
        <v>154</v>
      </c>
      <c r="J80" s="18" t="s">
        <v>154</v>
      </c>
      <c r="K80" s="17" t="s">
        <v>154</v>
      </c>
      <c r="L80" s="18" t="s">
        <v>154</v>
      </c>
      <c r="M80" s="17" t="s">
        <v>154</v>
      </c>
      <c r="N80" s="18" t="s">
        <v>154</v>
      </c>
      <c r="O80" s="17" t="s">
        <v>154</v>
      </c>
      <c r="P80" s="18" t="s">
        <v>154</v>
      </c>
      <c r="Q80" s="17" t="s">
        <v>154</v>
      </c>
      <c r="R80" s="18" t="s">
        <v>154</v>
      </c>
    </row>
    <row r="81" spans="1:18" x14ac:dyDescent="0.25">
      <c r="A81" s="19" t="s">
        <v>214</v>
      </c>
      <c r="B81" s="13">
        <v>8861</v>
      </c>
      <c r="C81" s="14">
        <f>(7369/B81*100)</f>
        <v>83.162171312492944</v>
      </c>
      <c r="D81" s="15">
        <v>1492</v>
      </c>
      <c r="E81" s="14">
        <v>80.552184879999999</v>
      </c>
      <c r="F81" s="16">
        <v>1.30419799</v>
      </c>
      <c r="G81" s="14">
        <v>19.447815120000001</v>
      </c>
      <c r="H81" s="16">
        <v>1.30419799</v>
      </c>
      <c r="I81" s="14" t="s">
        <v>139</v>
      </c>
      <c r="J81" s="16" t="s">
        <v>139</v>
      </c>
      <c r="K81" s="14">
        <v>0</v>
      </c>
      <c r="L81" s="16">
        <v>0</v>
      </c>
      <c r="M81" s="14">
        <v>0</v>
      </c>
      <c r="N81" s="16">
        <v>0</v>
      </c>
      <c r="O81" s="14">
        <v>0</v>
      </c>
      <c r="P81" s="16">
        <v>0</v>
      </c>
      <c r="Q81" s="14">
        <v>0</v>
      </c>
      <c r="R81" s="16">
        <v>0</v>
      </c>
    </row>
    <row r="82" spans="1:18" x14ac:dyDescent="0.25">
      <c r="A82" s="20"/>
      <c r="B82" s="20" t="s">
        <v>215</v>
      </c>
      <c r="C82" s="20" t="s">
        <v>215</v>
      </c>
      <c r="D82" s="20" t="s">
        <v>215</v>
      </c>
      <c r="E82" s="20" t="s">
        <v>215</v>
      </c>
      <c r="F82" s="20" t="s">
        <v>215</v>
      </c>
      <c r="G82" s="20" t="s">
        <v>215</v>
      </c>
      <c r="H82" s="20" t="s">
        <v>215</v>
      </c>
      <c r="I82" s="20" t="s">
        <v>215</v>
      </c>
      <c r="J82" s="20" t="s">
        <v>215</v>
      </c>
      <c r="K82" s="20" t="s">
        <v>215</v>
      </c>
      <c r="L82" s="20" t="s">
        <v>215</v>
      </c>
      <c r="M82" s="20" t="s">
        <v>215</v>
      </c>
      <c r="N82" s="20" t="s">
        <v>215</v>
      </c>
      <c r="O82" s="20" t="s">
        <v>215</v>
      </c>
      <c r="P82" s="20" t="s">
        <v>215</v>
      </c>
      <c r="Q82" s="20" t="s">
        <v>215</v>
      </c>
      <c r="R82" s="20" t="s">
        <v>215</v>
      </c>
    </row>
    <row r="83" spans="1:18" x14ac:dyDescent="0.25">
      <c r="A83" s="3" t="s">
        <v>216</v>
      </c>
    </row>
    <row r="84" spans="1:18" x14ac:dyDescent="0.25">
      <c r="A84" s="22" t="s">
        <v>217</v>
      </c>
      <c r="B84" s="23"/>
      <c r="C84" s="23"/>
      <c r="D84" s="23"/>
      <c r="E84" s="23"/>
      <c r="F84" s="23"/>
      <c r="G84" s="23"/>
      <c r="H84" s="23"/>
      <c r="I84" s="23"/>
      <c r="J84" s="23"/>
      <c r="K84" s="23"/>
      <c r="L84" s="23"/>
      <c r="M84" s="23"/>
      <c r="N84" s="23"/>
      <c r="O84" s="23"/>
      <c r="P84" s="23"/>
      <c r="Q84" s="23"/>
      <c r="R84" s="23"/>
    </row>
    <row r="85" spans="1:18" x14ac:dyDescent="0.25">
      <c r="A85" s="22" t="s">
        <v>218</v>
      </c>
      <c r="B85" s="23"/>
      <c r="C85" s="23"/>
      <c r="D85" s="23"/>
      <c r="E85" s="23"/>
      <c r="F85" s="23"/>
      <c r="G85" s="23"/>
      <c r="H85" s="23"/>
      <c r="I85" s="23"/>
      <c r="J85" s="23"/>
      <c r="K85" s="23"/>
      <c r="L85" s="23"/>
      <c r="M85" s="23"/>
      <c r="N85" s="23"/>
      <c r="O85" s="23"/>
      <c r="P85" s="23"/>
      <c r="Q85" s="23"/>
      <c r="R85" s="23"/>
    </row>
    <row r="86" spans="1:18" ht="30" customHeight="1" x14ac:dyDescent="0.25">
      <c r="A86" s="22" t="s">
        <v>219</v>
      </c>
      <c r="B86" s="23"/>
      <c r="C86" s="23"/>
      <c r="D86" s="23"/>
      <c r="E86" s="23"/>
      <c r="F86" s="23"/>
      <c r="G86" s="23"/>
      <c r="H86" s="23"/>
      <c r="I86" s="23"/>
      <c r="J86" s="23"/>
      <c r="K86" s="23"/>
      <c r="L86" s="23"/>
      <c r="M86" s="23"/>
      <c r="N86" s="23"/>
      <c r="O86" s="23"/>
      <c r="P86" s="23"/>
      <c r="Q86" s="23"/>
      <c r="R86" s="23"/>
    </row>
    <row r="87" spans="1:18" ht="30" customHeight="1" x14ac:dyDescent="0.25">
      <c r="A87" s="22" t="s">
        <v>215</v>
      </c>
      <c r="B87" s="23"/>
      <c r="C87" s="23"/>
      <c r="D87" s="23"/>
      <c r="E87" s="23"/>
      <c r="F87" s="23"/>
      <c r="G87" s="23"/>
      <c r="H87" s="23"/>
      <c r="I87" s="23"/>
      <c r="J87" s="23"/>
      <c r="K87" s="23"/>
      <c r="L87" s="23"/>
      <c r="M87" s="23"/>
      <c r="N87" s="23"/>
      <c r="O87" s="23"/>
      <c r="P87" s="23"/>
      <c r="Q87" s="23"/>
      <c r="R87" s="23"/>
    </row>
    <row r="88" spans="1:18" ht="30" customHeight="1" x14ac:dyDescent="0.25">
      <c r="A88" s="22" t="s">
        <v>220</v>
      </c>
      <c r="B88" s="23"/>
      <c r="C88" s="23"/>
      <c r="D88" s="23"/>
      <c r="E88" s="23"/>
      <c r="F88" s="23"/>
      <c r="G88" s="23"/>
      <c r="H88" s="23"/>
      <c r="I88" s="23"/>
      <c r="J88" s="23"/>
      <c r="K88" s="23"/>
      <c r="L88" s="23"/>
      <c r="M88" s="23"/>
      <c r="N88" s="23"/>
      <c r="O88" s="23"/>
      <c r="P88" s="23"/>
      <c r="Q88" s="23"/>
      <c r="R88" s="23"/>
    </row>
    <row r="89" spans="1:18" ht="30" customHeight="1" x14ac:dyDescent="0.25">
      <c r="A89" s="22" t="s">
        <v>221</v>
      </c>
      <c r="B89" s="23"/>
      <c r="C89" s="23"/>
      <c r="D89" s="23"/>
      <c r="E89" s="23"/>
      <c r="F89" s="23"/>
      <c r="G89" s="23"/>
      <c r="H89" s="23"/>
      <c r="I89" s="23"/>
      <c r="J89" s="23"/>
      <c r="K89" s="23"/>
      <c r="L89" s="23"/>
      <c r="M89" s="23"/>
      <c r="N89" s="23"/>
      <c r="O89" s="23"/>
      <c r="P89" s="23"/>
      <c r="Q89" s="23"/>
      <c r="R89" s="23"/>
    </row>
    <row r="90" spans="1:18" ht="30" customHeight="1" x14ac:dyDescent="0.25">
      <c r="A90" s="22" t="s">
        <v>222</v>
      </c>
      <c r="B90" s="23"/>
      <c r="C90" s="23"/>
      <c r="D90" s="23"/>
      <c r="E90" s="23"/>
      <c r="F90" s="23"/>
      <c r="G90" s="23"/>
      <c r="H90" s="23"/>
      <c r="I90" s="23"/>
      <c r="J90" s="23"/>
      <c r="K90" s="23"/>
      <c r="L90" s="23"/>
      <c r="M90" s="23"/>
      <c r="N90" s="23"/>
      <c r="O90" s="23"/>
      <c r="P90" s="23"/>
      <c r="Q90" s="23"/>
      <c r="R90" s="23"/>
    </row>
    <row r="91" spans="1:18" ht="30" customHeight="1" x14ac:dyDescent="0.25">
      <c r="A91" s="22" t="s">
        <v>223</v>
      </c>
      <c r="B91" s="23"/>
      <c r="C91" s="23"/>
      <c r="D91" s="23"/>
      <c r="E91" s="23"/>
      <c r="F91" s="23"/>
      <c r="G91" s="23"/>
      <c r="H91" s="23"/>
      <c r="I91" s="23"/>
      <c r="J91" s="23"/>
      <c r="K91" s="23"/>
      <c r="L91" s="23"/>
      <c r="M91" s="23"/>
      <c r="N91" s="23"/>
      <c r="O91" s="23"/>
      <c r="P91" s="23"/>
      <c r="Q91" s="23"/>
      <c r="R91" s="23"/>
    </row>
    <row r="92" spans="1:18" ht="30" customHeight="1" x14ac:dyDescent="0.25">
      <c r="A92" s="22" t="s">
        <v>224</v>
      </c>
      <c r="B92" s="23"/>
      <c r="C92" s="23"/>
      <c r="D92" s="23"/>
      <c r="E92" s="23"/>
      <c r="F92" s="23"/>
      <c r="G92" s="23"/>
      <c r="H92" s="23"/>
      <c r="I92" s="23"/>
      <c r="J92" s="23"/>
      <c r="K92" s="23"/>
      <c r="L92" s="23"/>
      <c r="M92" s="23"/>
      <c r="N92" s="23"/>
      <c r="O92" s="23"/>
      <c r="P92" s="23"/>
      <c r="Q92" s="23"/>
      <c r="R92" s="23"/>
    </row>
    <row r="93" spans="1:18" ht="30" customHeight="1" x14ac:dyDescent="0.25">
      <c r="A93" s="22" t="s">
        <v>225</v>
      </c>
      <c r="B93" s="23"/>
      <c r="C93" s="23"/>
      <c r="D93" s="23"/>
      <c r="E93" s="23"/>
      <c r="F93" s="23"/>
      <c r="G93" s="23"/>
      <c r="H93" s="23"/>
      <c r="I93" s="23"/>
      <c r="J93" s="23"/>
      <c r="K93" s="23"/>
      <c r="L93" s="23"/>
      <c r="M93" s="23"/>
      <c r="N93" s="23"/>
      <c r="O93" s="23"/>
      <c r="P93" s="23"/>
      <c r="Q93" s="23"/>
      <c r="R93" s="23"/>
    </row>
    <row r="94" spans="1:18" ht="30" customHeight="1" x14ac:dyDescent="0.25">
      <c r="A94" s="22" t="s">
        <v>226</v>
      </c>
      <c r="B94" s="23"/>
      <c r="C94" s="23"/>
      <c r="D94" s="23"/>
      <c r="E94" s="23"/>
      <c r="F94" s="23"/>
      <c r="G94" s="23"/>
      <c r="H94" s="23"/>
      <c r="I94" s="23"/>
      <c r="J94" s="23"/>
      <c r="K94" s="23"/>
      <c r="L94" s="23"/>
      <c r="M94" s="23"/>
      <c r="N94" s="23"/>
      <c r="O94" s="23"/>
      <c r="P94" s="23"/>
      <c r="Q94" s="23"/>
      <c r="R94" s="23"/>
    </row>
    <row r="95" spans="1:18" ht="30" customHeight="1" x14ac:dyDescent="0.25">
      <c r="A95" s="22" t="s">
        <v>227</v>
      </c>
      <c r="B95" s="23"/>
      <c r="C95" s="23"/>
      <c r="D95" s="23"/>
      <c r="E95" s="23"/>
      <c r="F95" s="23"/>
      <c r="G95" s="23"/>
      <c r="H95" s="23"/>
      <c r="I95" s="23"/>
      <c r="J95" s="23"/>
      <c r="K95" s="23"/>
      <c r="L95" s="23"/>
      <c r="M95" s="23"/>
      <c r="N95" s="23"/>
      <c r="O95" s="23"/>
      <c r="P95" s="23"/>
      <c r="Q95" s="23"/>
      <c r="R95" s="23"/>
    </row>
    <row r="96" spans="1:18" ht="30" customHeight="1" x14ac:dyDescent="0.25">
      <c r="A96" s="22" t="s">
        <v>228</v>
      </c>
      <c r="B96" s="23"/>
      <c r="C96" s="23"/>
      <c r="D96" s="23"/>
      <c r="E96" s="23"/>
      <c r="F96" s="23"/>
      <c r="G96" s="23"/>
      <c r="H96" s="23"/>
      <c r="I96" s="23"/>
      <c r="J96" s="23"/>
      <c r="K96" s="23"/>
      <c r="L96" s="23"/>
      <c r="M96" s="23"/>
      <c r="N96" s="23"/>
      <c r="O96" s="23"/>
      <c r="P96" s="23"/>
      <c r="Q96" s="23"/>
      <c r="R96" s="23"/>
    </row>
  </sheetData>
  <mergeCells count="22">
    <mergeCell ref="O4:P4"/>
    <mergeCell ref="Q4:R4"/>
    <mergeCell ref="A1:R1"/>
    <mergeCell ref="A2:R2"/>
    <mergeCell ref="A84:R84"/>
    <mergeCell ref="E4:F4"/>
    <mergeCell ref="G4:H4"/>
    <mergeCell ref="I4:J4"/>
    <mergeCell ref="K4:L4"/>
    <mergeCell ref="M4:N4"/>
    <mergeCell ref="A85:R85"/>
    <mergeCell ref="A86:R86"/>
    <mergeCell ref="A87:R87"/>
    <mergeCell ref="A88:R88"/>
    <mergeCell ref="A89:R89"/>
    <mergeCell ref="A95:R95"/>
    <mergeCell ref="A96:R96"/>
    <mergeCell ref="A90:R90"/>
    <mergeCell ref="A91:R91"/>
    <mergeCell ref="A92:R92"/>
    <mergeCell ref="A93:R93"/>
    <mergeCell ref="A94:R94"/>
  </mergeCells>
  <pageMargins left="0.75" right="0.75" top="1" bottom="1" header="0.5" footer="0.5"/>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5"/>
  <dimension ref="A1:R96"/>
  <sheetViews>
    <sheetView zoomScale="80" workbookViewId="0">
      <pane xSplit="4" topLeftCell="E1" activePane="topRight" state="frozen"/>
      <selection sqref="A1:R1"/>
      <selection pane="topRight" sqref="A1:R1"/>
    </sheetView>
  </sheetViews>
  <sheetFormatPr defaultColWidth="11.42578125" defaultRowHeight="15" x14ac:dyDescent="0.25"/>
  <cols>
    <col min="1" max="1" width="50" customWidth="1"/>
  </cols>
  <sheetData>
    <row r="1" spans="1:18" x14ac:dyDescent="0.25">
      <c r="A1" s="26" t="s">
        <v>122</v>
      </c>
      <c r="B1" s="23"/>
      <c r="C1" s="23"/>
      <c r="D1" s="23"/>
      <c r="E1" s="23"/>
      <c r="F1" s="23"/>
      <c r="G1" s="23"/>
      <c r="H1" s="23"/>
      <c r="I1" s="23"/>
      <c r="J1" s="23"/>
      <c r="K1" s="23"/>
      <c r="L1" s="23"/>
      <c r="M1" s="23"/>
      <c r="N1" s="23"/>
      <c r="O1" s="23"/>
      <c r="P1" s="23"/>
      <c r="Q1" s="23"/>
      <c r="R1" s="23"/>
    </row>
    <row r="2" spans="1:18" x14ac:dyDescent="0.25">
      <c r="A2" s="27" t="s">
        <v>281</v>
      </c>
      <c r="B2" s="23"/>
      <c r="C2" s="23"/>
      <c r="D2" s="23"/>
      <c r="E2" s="23"/>
      <c r="F2" s="23"/>
      <c r="G2" s="23"/>
      <c r="H2" s="23"/>
      <c r="I2" s="23"/>
      <c r="J2" s="23"/>
      <c r="K2" s="23"/>
      <c r="L2" s="23"/>
      <c r="M2" s="23"/>
      <c r="N2" s="23"/>
      <c r="O2" s="23"/>
      <c r="P2" s="23"/>
      <c r="Q2" s="23"/>
      <c r="R2" s="23"/>
    </row>
    <row r="4" spans="1:18" ht="30" customHeight="1" x14ac:dyDescent="0.25">
      <c r="A4" s="4"/>
      <c r="B4" s="5" t="s">
        <v>123</v>
      </c>
      <c r="C4" s="5" t="s">
        <v>124</v>
      </c>
      <c r="D4" s="6" t="s">
        <v>123</v>
      </c>
      <c r="E4" s="24" t="s">
        <v>125</v>
      </c>
      <c r="F4" s="25"/>
      <c r="G4" s="24" t="s">
        <v>126</v>
      </c>
      <c r="H4" s="25"/>
      <c r="I4" s="24" t="s">
        <v>127</v>
      </c>
      <c r="J4" s="25"/>
      <c r="K4" s="24" t="s">
        <v>128</v>
      </c>
      <c r="L4" s="25"/>
      <c r="M4" s="24" t="s">
        <v>129</v>
      </c>
      <c r="N4" s="25"/>
      <c r="O4" s="24" t="s">
        <v>130</v>
      </c>
      <c r="P4" s="25"/>
      <c r="Q4" s="24" t="s">
        <v>131</v>
      </c>
      <c r="R4" s="25"/>
    </row>
    <row r="5" spans="1:18" x14ac:dyDescent="0.25">
      <c r="A5" s="7"/>
      <c r="B5" s="8" t="s">
        <v>132</v>
      </c>
      <c r="C5" s="8" t="s">
        <v>133</v>
      </c>
      <c r="D5" s="7" t="s">
        <v>134</v>
      </c>
      <c r="E5" s="8" t="s">
        <v>135</v>
      </c>
      <c r="F5" s="7" t="s">
        <v>136</v>
      </c>
      <c r="G5" s="8" t="s">
        <v>135</v>
      </c>
      <c r="H5" s="7" t="s">
        <v>136</v>
      </c>
      <c r="I5" s="8" t="s">
        <v>135</v>
      </c>
      <c r="J5" s="7" t="s">
        <v>136</v>
      </c>
      <c r="K5" s="8" t="s">
        <v>135</v>
      </c>
      <c r="L5" s="7" t="s">
        <v>136</v>
      </c>
      <c r="M5" s="8" t="s">
        <v>135</v>
      </c>
      <c r="N5" s="7" t="s">
        <v>136</v>
      </c>
      <c r="O5" s="8" t="s">
        <v>135</v>
      </c>
      <c r="P5" s="7" t="s">
        <v>136</v>
      </c>
      <c r="Q5" s="8" t="s">
        <v>135</v>
      </c>
      <c r="R5" s="7" t="s">
        <v>136</v>
      </c>
    </row>
    <row r="6" spans="1:18" x14ac:dyDescent="0.25">
      <c r="A6" s="9" t="s">
        <v>137</v>
      </c>
      <c r="B6" s="10"/>
      <c r="C6" s="10"/>
      <c r="D6" s="11"/>
      <c r="E6" s="10"/>
      <c r="F6" s="11"/>
      <c r="G6" s="10"/>
      <c r="H6" s="11"/>
      <c r="I6" s="10"/>
      <c r="J6" s="11"/>
      <c r="K6" s="10"/>
      <c r="L6" s="11"/>
      <c r="M6" s="10"/>
      <c r="N6" s="11"/>
      <c r="O6" s="10"/>
      <c r="P6" s="11"/>
      <c r="Q6" s="10"/>
      <c r="R6" s="12"/>
    </row>
    <row r="7" spans="1:18" x14ac:dyDescent="0.25">
      <c r="A7" s="11" t="s">
        <v>138</v>
      </c>
      <c r="B7" s="13">
        <v>14530</v>
      </c>
      <c r="C7" s="14">
        <f>(12103/B7*100)</f>
        <v>83.296627666896072</v>
      </c>
      <c r="D7" s="15">
        <v>2427</v>
      </c>
      <c r="E7" s="14">
        <v>68.704046529999999</v>
      </c>
      <c r="F7" s="16">
        <v>1.0783235099999999</v>
      </c>
      <c r="G7" s="14">
        <v>31.295953470000001</v>
      </c>
      <c r="H7" s="16">
        <v>1.0783235099999999</v>
      </c>
      <c r="I7" s="14" t="s">
        <v>139</v>
      </c>
      <c r="J7" s="16" t="s">
        <v>139</v>
      </c>
      <c r="K7" s="14">
        <v>0</v>
      </c>
      <c r="L7" s="16">
        <v>0</v>
      </c>
      <c r="M7" s="14">
        <v>0</v>
      </c>
      <c r="N7" s="16">
        <v>0</v>
      </c>
      <c r="O7" s="14">
        <v>0</v>
      </c>
      <c r="P7" s="16">
        <v>0</v>
      </c>
      <c r="Q7" s="14">
        <v>0</v>
      </c>
      <c r="R7" s="16">
        <v>0</v>
      </c>
    </row>
    <row r="8" spans="1:18" x14ac:dyDescent="0.25">
      <c r="A8" s="11" t="s">
        <v>140</v>
      </c>
      <c r="B8" s="13">
        <v>7007</v>
      </c>
      <c r="C8" s="14">
        <f>(5812/B8*100)</f>
        <v>82.94562580276866</v>
      </c>
      <c r="D8" s="15">
        <v>1195</v>
      </c>
      <c r="E8" s="14">
        <v>61.71274932</v>
      </c>
      <c r="F8" s="16">
        <v>1.56372555</v>
      </c>
      <c r="G8" s="14">
        <v>38.28725068</v>
      </c>
      <c r="H8" s="16">
        <v>1.56372555</v>
      </c>
      <c r="I8" s="14" t="s">
        <v>139</v>
      </c>
      <c r="J8" s="16" t="s">
        <v>139</v>
      </c>
      <c r="K8" s="14">
        <v>0</v>
      </c>
      <c r="L8" s="16">
        <v>0</v>
      </c>
      <c r="M8" s="14">
        <v>0</v>
      </c>
      <c r="N8" s="16">
        <v>0</v>
      </c>
      <c r="O8" s="14">
        <v>0</v>
      </c>
      <c r="P8" s="16">
        <v>0</v>
      </c>
      <c r="Q8" s="14">
        <v>0</v>
      </c>
      <c r="R8" s="16">
        <v>0</v>
      </c>
    </row>
    <row r="9" spans="1:18" x14ac:dyDescent="0.25">
      <c r="A9" s="11" t="s">
        <v>141</v>
      </c>
      <c r="B9" s="13">
        <v>9651</v>
      </c>
      <c r="C9" s="14">
        <f>(8044/B9*100)</f>
        <v>83.34887576416952</v>
      </c>
      <c r="D9" s="15">
        <v>1607</v>
      </c>
      <c r="E9" s="14">
        <v>75.725341380000003</v>
      </c>
      <c r="F9" s="16">
        <v>1.28717981</v>
      </c>
      <c r="G9" s="14">
        <v>24.27465862</v>
      </c>
      <c r="H9" s="16">
        <v>1.28717981</v>
      </c>
      <c r="I9" s="14" t="s">
        <v>139</v>
      </c>
      <c r="J9" s="16" t="s">
        <v>139</v>
      </c>
      <c r="K9" s="14">
        <v>0</v>
      </c>
      <c r="L9" s="16">
        <v>0</v>
      </c>
      <c r="M9" s="14">
        <v>0</v>
      </c>
      <c r="N9" s="16">
        <v>0</v>
      </c>
      <c r="O9" s="14">
        <v>0</v>
      </c>
      <c r="P9" s="16">
        <v>0</v>
      </c>
      <c r="Q9" s="14">
        <v>0</v>
      </c>
      <c r="R9" s="16">
        <v>0</v>
      </c>
    </row>
    <row r="10" spans="1:18" x14ac:dyDescent="0.25">
      <c r="A10" s="11" t="s">
        <v>142</v>
      </c>
      <c r="B10" s="13">
        <v>20058</v>
      </c>
      <c r="C10" s="14">
        <f>(16638/B10*100)</f>
        <v>82.949446604845946</v>
      </c>
      <c r="D10" s="15">
        <v>3420</v>
      </c>
      <c r="E10" s="14">
        <v>71.03451604</v>
      </c>
      <c r="F10" s="16">
        <v>1.11867103</v>
      </c>
      <c r="G10" s="14">
        <v>28.96548396</v>
      </c>
      <c r="H10" s="16">
        <v>1.11867103</v>
      </c>
      <c r="I10" s="14" t="s">
        <v>139</v>
      </c>
      <c r="J10" s="16" t="s">
        <v>139</v>
      </c>
      <c r="K10" s="14">
        <v>0</v>
      </c>
      <c r="L10" s="16">
        <v>0</v>
      </c>
      <c r="M10" s="14">
        <v>0</v>
      </c>
      <c r="N10" s="16">
        <v>0</v>
      </c>
      <c r="O10" s="14">
        <v>0</v>
      </c>
      <c r="P10" s="16">
        <v>0</v>
      </c>
      <c r="Q10" s="14">
        <v>0</v>
      </c>
      <c r="R10" s="16">
        <v>0</v>
      </c>
    </row>
    <row r="11" spans="1:18" x14ac:dyDescent="0.25">
      <c r="A11" s="11" t="s">
        <v>143</v>
      </c>
      <c r="B11" s="13">
        <v>7053</v>
      </c>
      <c r="C11" s="14">
        <f>(5851/B11*100)</f>
        <v>82.957606692187724</v>
      </c>
      <c r="D11" s="15">
        <v>1202</v>
      </c>
      <c r="E11" s="14">
        <v>67.019898499999996</v>
      </c>
      <c r="F11" s="16">
        <v>1.67577664</v>
      </c>
      <c r="G11" s="14">
        <v>32.980101500000004</v>
      </c>
      <c r="H11" s="16">
        <v>1.67577664</v>
      </c>
      <c r="I11" s="14" t="s">
        <v>139</v>
      </c>
      <c r="J11" s="16" t="s">
        <v>139</v>
      </c>
      <c r="K11" s="14">
        <v>0</v>
      </c>
      <c r="L11" s="16">
        <v>0</v>
      </c>
      <c r="M11" s="14">
        <v>0</v>
      </c>
      <c r="N11" s="16">
        <v>0</v>
      </c>
      <c r="O11" s="14">
        <v>0</v>
      </c>
      <c r="P11" s="16">
        <v>0</v>
      </c>
      <c r="Q11" s="14">
        <v>0</v>
      </c>
      <c r="R11" s="16">
        <v>0</v>
      </c>
    </row>
    <row r="12" spans="1:18" x14ac:dyDescent="0.25">
      <c r="A12" s="11" t="s">
        <v>144</v>
      </c>
      <c r="B12" s="13">
        <v>6894</v>
      </c>
      <c r="C12" s="14">
        <f>(5720/B12*100)</f>
        <v>82.970699158688717</v>
      </c>
      <c r="D12" s="15">
        <v>1174</v>
      </c>
      <c r="E12" s="14">
        <v>64.867973610000007</v>
      </c>
      <c r="F12" s="16">
        <v>1.52602707</v>
      </c>
      <c r="G12" s="14">
        <v>35.13202639</v>
      </c>
      <c r="H12" s="16">
        <v>1.52602707</v>
      </c>
      <c r="I12" s="14" t="s">
        <v>139</v>
      </c>
      <c r="J12" s="16" t="s">
        <v>139</v>
      </c>
      <c r="K12" s="14">
        <v>0</v>
      </c>
      <c r="L12" s="16">
        <v>0</v>
      </c>
      <c r="M12" s="14">
        <v>0</v>
      </c>
      <c r="N12" s="16">
        <v>0</v>
      </c>
      <c r="O12" s="14">
        <v>0</v>
      </c>
      <c r="P12" s="16">
        <v>0</v>
      </c>
      <c r="Q12" s="14">
        <v>0</v>
      </c>
      <c r="R12" s="16">
        <v>0</v>
      </c>
    </row>
    <row r="13" spans="1:18" x14ac:dyDescent="0.25">
      <c r="A13" s="11" t="s">
        <v>145</v>
      </c>
      <c r="B13" s="13">
        <v>7161</v>
      </c>
      <c r="C13" s="14">
        <f>(6008/B13*100)</f>
        <v>83.898896802122607</v>
      </c>
      <c r="D13" s="15">
        <v>1153</v>
      </c>
      <c r="E13" s="14">
        <v>73.145112499999996</v>
      </c>
      <c r="F13" s="16">
        <v>1.22876227</v>
      </c>
      <c r="G13" s="14">
        <v>26.8548875</v>
      </c>
      <c r="H13" s="16">
        <v>1.22876227</v>
      </c>
      <c r="I13" s="14" t="s">
        <v>139</v>
      </c>
      <c r="J13" s="16" t="s">
        <v>139</v>
      </c>
      <c r="K13" s="14">
        <v>0</v>
      </c>
      <c r="L13" s="16">
        <v>0</v>
      </c>
      <c r="M13" s="14">
        <v>0</v>
      </c>
      <c r="N13" s="16">
        <v>0</v>
      </c>
      <c r="O13" s="14">
        <v>0</v>
      </c>
      <c r="P13" s="16">
        <v>0</v>
      </c>
      <c r="Q13" s="14">
        <v>0</v>
      </c>
      <c r="R13" s="16">
        <v>0</v>
      </c>
    </row>
    <row r="14" spans="1:18" x14ac:dyDescent="0.25">
      <c r="A14" s="11" t="s">
        <v>146</v>
      </c>
      <c r="B14" s="13">
        <v>5587</v>
      </c>
      <c r="C14" s="14">
        <f>(4631/B14*100)</f>
        <v>82.888849114014675</v>
      </c>
      <c r="D14" s="15">
        <v>956</v>
      </c>
      <c r="E14" s="14">
        <v>57.963866750000001</v>
      </c>
      <c r="F14" s="16">
        <v>1.9114201399999999</v>
      </c>
      <c r="G14" s="14">
        <v>42.036133249999999</v>
      </c>
      <c r="H14" s="16">
        <v>1.9114201399999999</v>
      </c>
      <c r="I14" s="14" t="s">
        <v>139</v>
      </c>
      <c r="J14" s="16" t="s">
        <v>139</v>
      </c>
      <c r="K14" s="14">
        <v>0</v>
      </c>
      <c r="L14" s="16">
        <v>0</v>
      </c>
      <c r="M14" s="14">
        <v>0</v>
      </c>
      <c r="N14" s="16">
        <v>0</v>
      </c>
      <c r="O14" s="14">
        <v>0</v>
      </c>
      <c r="P14" s="16">
        <v>0</v>
      </c>
      <c r="Q14" s="14">
        <v>0</v>
      </c>
      <c r="R14" s="16">
        <v>0</v>
      </c>
    </row>
    <row r="15" spans="1:18" x14ac:dyDescent="0.25">
      <c r="A15" s="11" t="s">
        <v>147</v>
      </c>
      <c r="B15" s="13">
        <v>5882</v>
      </c>
      <c r="C15" s="14">
        <f>(4867/B15*100)</f>
        <v>82.743964637878278</v>
      </c>
      <c r="D15" s="15">
        <v>1015</v>
      </c>
      <c r="E15" s="14">
        <v>52.113117580000001</v>
      </c>
      <c r="F15" s="16">
        <v>1.6228372900000001</v>
      </c>
      <c r="G15" s="14">
        <v>47.886882419999999</v>
      </c>
      <c r="H15" s="16">
        <v>1.6228372900000001</v>
      </c>
      <c r="I15" s="14" t="s">
        <v>139</v>
      </c>
      <c r="J15" s="16" t="s">
        <v>139</v>
      </c>
      <c r="K15" s="14">
        <v>0</v>
      </c>
      <c r="L15" s="16">
        <v>0</v>
      </c>
      <c r="M15" s="14">
        <v>0</v>
      </c>
      <c r="N15" s="16">
        <v>0</v>
      </c>
      <c r="O15" s="14">
        <v>0</v>
      </c>
      <c r="P15" s="16">
        <v>0</v>
      </c>
      <c r="Q15" s="14">
        <v>0</v>
      </c>
      <c r="R15" s="16">
        <v>0</v>
      </c>
    </row>
    <row r="16" spans="1:18" x14ac:dyDescent="0.25">
      <c r="A16" s="11" t="s">
        <v>148</v>
      </c>
      <c r="B16" s="13">
        <v>6108</v>
      </c>
      <c r="C16" s="14">
        <f>(5047/B16*100)</f>
        <v>82.629338572364105</v>
      </c>
      <c r="D16" s="15">
        <v>1061</v>
      </c>
      <c r="E16" s="14">
        <v>0</v>
      </c>
      <c r="F16" s="16">
        <v>0</v>
      </c>
      <c r="G16" s="14">
        <v>0</v>
      </c>
      <c r="H16" s="16">
        <v>0</v>
      </c>
      <c r="I16" s="14" t="s">
        <v>139</v>
      </c>
      <c r="J16" s="16" t="s">
        <v>139</v>
      </c>
      <c r="K16" s="14">
        <v>0</v>
      </c>
      <c r="L16" s="16">
        <v>0</v>
      </c>
      <c r="M16" s="14">
        <v>100</v>
      </c>
      <c r="N16" s="16">
        <v>0</v>
      </c>
      <c r="O16" s="14">
        <v>0</v>
      </c>
      <c r="P16" s="16">
        <v>0</v>
      </c>
      <c r="Q16" s="14">
        <v>0</v>
      </c>
      <c r="R16" s="16">
        <v>0</v>
      </c>
    </row>
    <row r="17" spans="1:18" x14ac:dyDescent="0.25">
      <c r="A17" s="11" t="s">
        <v>149</v>
      </c>
      <c r="B17" s="13">
        <v>6504</v>
      </c>
      <c r="C17" s="14">
        <f>(5401/B17*100)</f>
        <v>83.041205412054126</v>
      </c>
      <c r="D17" s="15">
        <v>1103</v>
      </c>
      <c r="E17" s="14">
        <v>64.321730009999996</v>
      </c>
      <c r="F17" s="16">
        <v>1.48447167</v>
      </c>
      <c r="G17" s="14">
        <v>35.678269989999997</v>
      </c>
      <c r="H17" s="16">
        <v>1.48447167</v>
      </c>
      <c r="I17" s="14" t="s">
        <v>139</v>
      </c>
      <c r="J17" s="16" t="s">
        <v>139</v>
      </c>
      <c r="K17" s="14">
        <v>0</v>
      </c>
      <c r="L17" s="16">
        <v>0</v>
      </c>
      <c r="M17" s="14">
        <v>0</v>
      </c>
      <c r="N17" s="16">
        <v>0</v>
      </c>
      <c r="O17" s="14">
        <v>0</v>
      </c>
      <c r="P17" s="16">
        <v>0</v>
      </c>
      <c r="Q17" s="14">
        <v>0</v>
      </c>
      <c r="R17" s="16">
        <v>0</v>
      </c>
    </row>
    <row r="18" spans="1:18" x14ac:dyDescent="0.25">
      <c r="A18" s="11" t="s">
        <v>150</v>
      </c>
      <c r="B18" s="13">
        <v>5532</v>
      </c>
      <c r="C18" s="14">
        <f>(4618/B18*100)</f>
        <v>83.477946493130872</v>
      </c>
      <c r="D18" s="15">
        <v>914</v>
      </c>
      <c r="E18" s="14">
        <v>68.668255119999998</v>
      </c>
      <c r="F18" s="16">
        <v>1.7577248599999999</v>
      </c>
      <c r="G18" s="14">
        <v>31.331744879999999</v>
      </c>
      <c r="H18" s="16">
        <v>1.7577248599999999</v>
      </c>
      <c r="I18" s="14" t="s">
        <v>139</v>
      </c>
      <c r="J18" s="16" t="s">
        <v>139</v>
      </c>
      <c r="K18" s="14">
        <v>0</v>
      </c>
      <c r="L18" s="16">
        <v>0</v>
      </c>
      <c r="M18" s="14">
        <v>0</v>
      </c>
      <c r="N18" s="16">
        <v>0</v>
      </c>
      <c r="O18" s="14">
        <v>0</v>
      </c>
      <c r="P18" s="16">
        <v>0</v>
      </c>
      <c r="Q18" s="14">
        <v>0</v>
      </c>
      <c r="R18" s="16">
        <v>0</v>
      </c>
    </row>
    <row r="19" spans="1:18" x14ac:dyDescent="0.25">
      <c r="A19" s="11" t="s">
        <v>151</v>
      </c>
      <c r="B19" s="13">
        <v>5658</v>
      </c>
      <c r="C19" s="14">
        <f>(4693/B19*100)</f>
        <v>82.944503358077057</v>
      </c>
      <c r="D19" s="15">
        <v>965</v>
      </c>
      <c r="E19" s="14">
        <v>56.649239940000001</v>
      </c>
      <c r="F19" s="16">
        <v>1.60347554</v>
      </c>
      <c r="G19" s="14">
        <v>43.350760059999999</v>
      </c>
      <c r="H19" s="16">
        <v>1.60347554</v>
      </c>
      <c r="I19" s="14" t="s">
        <v>139</v>
      </c>
      <c r="J19" s="16" t="s">
        <v>139</v>
      </c>
      <c r="K19" s="14">
        <v>0</v>
      </c>
      <c r="L19" s="16">
        <v>0</v>
      </c>
      <c r="M19" s="14">
        <v>0</v>
      </c>
      <c r="N19" s="16">
        <v>0</v>
      </c>
      <c r="O19" s="14">
        <v>0</v>
      </c>
      <c r="P19" s="16">
        <v>0</v>
      </c>
      <c r="Q19" s="14">
        <v>0</v>
      </c>
      <c r="R19" s="16">
        <v>0</v>
      </c>
    </row>
    <row r="20" spans="1:18" x14ac:dyDescent="0.25">
      <c r="A20" s="11" t="s">
        <v>152</v>
      </c>
      <c r="B20" s="13">
        <v>3371</v>
      </c>
      <c r="C20" s="14">
        <f>(2807/B20*100)</f>
        <v>83.26905962622368</v>
      </c>
      <c r="D20" s="15">
        <v>564</v>
      </c>
      <c r="E20" s="14">
        <v>60.948900389999999</v>
      </c>
      <c r="F20" s="16">
        <v>2.1336849600000001</v>
      </c>
      <c r="G20" s="14">
        <v>39.051099610000001</v>
      </c>
      <c r="H20" s="16">
        <v>2.1336849600000001</v>
      </c>
      <c r="I20" s="14" t="s">
        <v>139</v>
      </c>
      <c r="J20" s="16" t="s">
        <v>139</v>
      </c>
      <c r="K20" s="14">
        <v>0</v>
      </c>
      <c r="L20" s="16">
        <v>0</v>
      </c>
      <c r="M20" s="14">
        <v>0</v>
      </c>
      <c r="N20" s="16">
        <v>0</v>
      </c>
      <c r="O20" s="14">
        <v>0</v>
      </c>
      <c r="P20" s="16">
        <v>0</v>
      </c>
      <c r="Q20" s="14">
        <v>0</v>
      </c>
      <c r="R20" s="16">
        <v>0</v>
      </c>
    </row>
    <row r="21" spans="1:18" x14ac:dyDescent="0.25">
      <c r="A21" s="11" t="s">
        <v>153</v>
      </c>
      <c r="B21" s="17" t="s">
        <v>154</v>
      </c>
      <c r="C21" s="17" t="s">
        <v>154</v>
      </c>
      <c r="D21" s="18" t="s">
        <v>154</v>
      </c>
      <c r="E21" s="17" t="s">
        <v>154</v>
      </c>
      <c r="F21" s="18" t="s">
        <v>154</v>
      </c>
      <c r="G21" s="17" t="s">
        <v>154</v>
      </c>
      <c r="H21" s="18" t="s">
        <v>154</v>
      </c>
      <c r="I21" s="17" t="s">
        <v>154</v>
      </c>
      <c r="J21" s="18" t="s">
        <v>154</v>
      </c>
      <c r="K21" s="17" t="s">
        <v>154</v>
      </c>
      <c r="L21" s="18" t="s">
        <v>154</v>
      </c>
      <c r="M21" s="17" t="s">
        <v>154</v>
      </c>
      <c r="N21" s="18" t="s">
        <v>154</v>
      </c>
      <c r="O21" s="17" t="s">
        <v>154</v>
      </c>
      <c r="P21" s="18" t="s">
        <v>154</v>
      </c>
      <c r="Q21" s="17" t="s">
        <v>154</v>
      </c>
      <c r="R21" s="18" t="s">
        <v>154</v>
      </c>
    </row>
    <row r="22" spans="1:18" x14ac:dyDescent="0.25">
      <c r="A22" s="11" t="s">
        <v>155</v>
      </c>
      <c r="B22" s="13">
        <v>6598</v>
      </c>
      <c r="C22" s="14">
        <f>(5567/B22*100)</f>
        <v>84.374052743255533</v>
      </c>
      <c r="D22" s="15">
        <v>1031</v>
      </c>
      <c r="E22" s="14">
        <v>65.106844960000004</v>
      </c>
      <c r="F22" s="16">
        <v>1.5697493899999999</v>
      </c>
      <c r="G22" s="14">
        <v>34.893155040000003</v>
      </c>
      <c r="H22" s="16">
        <v>1.5697493899999999</v>
      </c>
      <c r="I22" s="14" t="s">
        <v>139</v>
      </c>
      <c r="J22" s="16" t="s">
        <v>139</v>
      </c>
      <c r="K22" s="14">
        <v>0</v>
      </c>
      <c r="L22" s="16">
        <v>0</v>
      </c>
      <c r="M22" s="14">
        <v>0</v>
      </c>
      <c r="N22" s="16">
        <v>0</v>
      </c>
      <c r="O22" s="14">
        <v>0</v>
      </c>
      <c r="P22" s="16">
        <v>0</v>
      </c>
      <c r="Q22" s="14">
        <v>0</v>
      </c>
      <c r="R22" s="16">
        <v>0</v>
      </c>
    </row>
    <row r="23" spans="1:18" x14ac:dyDescent="0.25">
      <c r="A23" s="11" t="s">
        <v>156</v>
      </c>
      <c r="B23" s="13">
        <v>11583</v>
      </c>
      <c r="C23" s="14">
        <f>(9592/B23*100)</f>
        <v>82.81101614434948</v>
      </c>
      <c r="D23" s="15">
        <v>1991</v>
      </c>
      <c r="E23" s="14">
        <v>72.903349489999997</v>
      </c>
      <c r="F23" s="16">
        <v>1.4549810000000001</v>
      </c>
      <c r="G23" s="14">
        <v>27.09665051</v>
      </c>
      <c r="H23" s="16">
        <v>1.4549810000000001</v>
      </c>
      <c r="I23" s="14" t="s">
        <v>139</v>
      </c>
      <c r="J23" s="16" t="s">
        <v>139</v>
      </c>
      <c r="K23" s="14">
        <v>0</v>
      </c>
      <c r="L23" s="16">
        <v>0</v>
      </c>
      <c r="M23" s="14">
        <v>0</v>
      </c>
      <c r="N23" s="16">
        <v>0</v>
      </c>
      <c r="O23" s="14">
        <v>0</v>
      </c>
      <c r="P23" s="16">
        <v>0</v>
      </c>
      <c r="Q23" s="14">
        <v>0</v>
      </c>
      <c r="R23" s="16">
        <v>0</v>
      </c>
    </row>
    <row r="24" spans="1:18" x14ac:dyDescent="0.25">
      <c r="A24" s="11" t="s">
        <v>157</v>
      </c>
      <c r="B24" s="13">
        <v>6647</v>
      </c>
      <c r="C24" s="14">
        <f>(5467/B24*100)</f>
        <v>82.247630510004512</v>
      </c>
      <c r="D24" s="15">
        <v>1180</v>
      </c>
      <c r="E24" s="14">
        <v>68.536153220000003</v>
      </c>
      <c r="F24" s="16">
        <v>1.3586124500000001</v>
      </c>
      <c r="G24" s="14">
        <v>31.463846780000001</v>
      </c>
      <c r="H24" s="16">
        <v>1.3586124500000001</v>
      </c>
      <c r="I24" s="14" t="s">
        <v>139</v>
      </c>
      <c r="J24" s="16" t="s">
        <v>139</v>
      </c>
      <c r="K24" s="14">
        <v>0</v>
      </c>
      <c r="L24" s="16">
        <v>0</v>
      </c>
      <c r="M24" s="14">
        <v>0</v>
      </c>
      <c r="N24" s="16">
        <v>0</v>
      </c>
      <c r="O24" s="14">
        <v>0</v>
      </c>
      <c r="P24" s="16">
        <v>0</v>
      </c>
      <c r="Q24" s="14">
        <v>0</v>
      </c>
      <c r="R24" s="16">
        <v>0</v>
      </c>
    </row>
    <row r="25" spans="1:18" x14ac:dyDescent="0.25">
      <c r="A25" s="11" t="s">
        <v>158</v>
      </c>
      <c r="B25" s="13">
        <v>5581</v>
      </c>
      <c r="C25" s="14">
        <f>(4597/B25*100)</f>
        <v>82.368751119870993</v>
      </c>
      <c r="D25" s="15">
        <v>984</v>
      </c>
      <c r="E25" s="14">
        <v>61.767344809999997</v>
      </c>
      <c r="F25" s="16">
        <v>1.5982393399999999</v>
      </c>
      <c r="G25" s="14">
        <v>38.232655190000003</v>
      </c>
      <c r="H25" s="16">
        <v>1.5982393399999999</v>
      </c>
      <c r="I25" s="14" t="s">
        <v>139</v>
      </c>
      <c r="J25" s="16" t="s">
        <v>139</v>
      </c>
      <c r="K25" s="14">
        <v>0</v>
      </c>
      <c r="L25" s="16">
        <v>0</v>
      </c>
      <c r="M25" s="14">
        <v>0</v>
      </c>
      <c r="N25" s="16">
        <v>0</v>
      </c>
      <c r="O25" s="14">
        <v>0</v>
      </c>
      <c r="P25" s="16">
        <v>0</v>
      </c>
      <c r="Q25" s="14">
        <v>0</v>
      </c>
      <c r="R25" s="16">
        <v>0</v>
      </c>
    </row>
    <row r="26" spans="1:18" x14ac:dyDescent="0.25">
      <c r="A26" s="11" t="s">
        <v>159</v>
      </c>
      <c r="B26" s="13">
        <v>4869</v>
      </c>
      <c r="C26" s="14">
        <f>(4032/B26*100)</f>
        <v>82.809611829944558</v>
      </c>
      <c r="D26" s="15">
        <v>837</v>
      </c>
      <c r="E26" s="14">
        <v>61.982900370000003</v>
      </c>
      <c r="F26" s="16">
        <v>1.7951273000000001</v>
      </c>
      <c r="G26" s="14">
        <v>38.017099629999997</v>
      </c>
      <c r="H26" s="16">
        <v>1.7951273000000001</v>
      </c>
      <c r="I26" s="14" t="s">
        <v>139</v>
      </c>
      <c r="J26" s="16" t="s">
        <v>139</v>
      </c>
      <c r="K26" s="14">
        <v>0</v>
      </c>
      <c r="L26" s="16">
        <v>0</v>
      </c>
      <c r="M26" s="14">
        <v>0</v>
      </c>
      <c r="N26" s="16">
        <v>0</v>
      </c>
      <c r="O26" s="14">
        <v>0</v>
      </c>
      <c r="P26" s="16">
        <v>0</v>
      </c>
      <c r="Q26" s="14">
        <v>0</v>
      </c>
      <c r="R26" s="16">
        <v>0</v>
      </c>
    </row>
    <row r="27" spans="1:18" x14ac:dyDescent="0.25">
      <c r="A27" s="11" t="s">
        <v>160</v>
      </c>
      <c r="B27" s="13">
        <v>5299</v>
      </c>
      <c r="C27" s="14">
        <f>(4397/B27*100)</f>
        <v>82.977920362332512</v>
      </c>
      <c r="D27" s="15">
        <v>902</v>
      </c>
      <c r="E27" s="14">
        <v>67.73003156</v>
      </c>
      <c r="F27" s="16">
        <v>1.4795861100000001</v>
      </c>
      <c r="G27" s="14">
        <v>32.26996844</v>
      </c>
      <c r="H27" s="16">
        <v>1.4795861100000001</v>
      </c>
      <c r="I27" s="14" t="s">
        <v>139</v>
      </c>
      <c r="J27" s="16" t="s">
        <v>139</v>
      </c>
      <c r="K27" s="14">
        <v>0</v>
      </c>
      <c r="L27" s="16">
        <v>0</v>
      </c>
      <c r="M27" s="14">
        <v>0</v>
      </c>
      <c r="N27" s="16">
        <v>0</v>
      </c>
      <c r="O27" s="14">
        <v>0</v>
      </c>
      <c r="P27" s="16">
        <v>0</v>
      </c>
      <c r="Q27" s="14">
        <v>0</v>
      </c>
      <c r="R27" s="16">
        <v>0</v>
      </c>
    </row>
    <row r="28" spans="1:18" x14ac:dyDescent="0.25">
      <c r="A28" s="11" t="s">
        <v>161</v>
      </c>
      <c r="B28" s="13">
        <v>7568</v>
      </c>
      <c r="C28" s="14">
        <f>(6322/B28*100)</f>
        <v>83.535940803382672</v>
      </c>
      <c r="D28" s="15">
        <v>1246</v>
      </c>
      <c r="E28" s="14">
        <v>59.601420210000001</v>
      </c>
      <c r="F28" s="16">
        <v>1.56686481</v>
      </c>
      <c r="G28" s="14">
        <v>40.398579789999999</v>
      </c>
      <c r="H28" s="16">
        <v>1.56686481</v>
      </c>
      <c r="I28" s="14" t="s">
        <v>139</v>
      </c>
      <c r="J28" s="16" t="s">
        <v>139</v>
      </c>
      <c r="K28" s="14">
        <v>0</v>
      </c>
      <c r="L28" s="16">
        <v>0</v>
      </c>
      <c r="M28" s="14">
        <v>0</v>
      </c>
      <c r="N28" s="16">
        <v>0</v>
      </c>
      <c r="O28" s="14">
        <v>0</v>
      </c>
      <c r="P28" s="16">
        <v>0</v>
      </c>
      <c r="Q28" s="14">
        <v>0</v>
      </c>
      <c r="R28" s="16">
        <v>0</v>
      </c>
    </row>
    <row r="29" spans="1:18" x14ac:dyDescent="0.25">
      <c r="A29" s="11" t="s">
        <v>162</v>
      </c>
      <c r="B29" s="13">
        <v>5385</v>
      </c>
      <c r="C29" s="14">
        <f>(4466/B29*100)</f>
        <v>82.934076137418757</v>
      </c>
      <c r="D29" s="15">
        <v>919</v>
      </c>
      <c r="E29" s="14">
        <v>71.606444949999997</v>
      </c>
      <c r="F29" s="16">
        <v>1.2777775899999999</v>
      </c>
      <c r="G29" s="14">
        <v>28.39355505</v>
      </c>
      <c r="H29" s="16">
        <v>1.2777775899999999</v>
      </c>
      <c r="I29" s="14" t="s">
        <v>139</v>
      </c>
      <c r="J29" s="16" t="s">
        <v>139</v>
      </c>
      <c r="K29" s="14">
        <v>0</v>
      </c>
      <c r="L29" s="16">
        <v>0</v>
      </c>
      <c r="M29" s="14">
        <v>0</v>
      </c>
      <c r="N29" s="16">
        <v>0</v>
      </c>
      <c r="O29" s="14">
        <v>0</v>
      </c>
      <c r="P29" s="16">
        <v>0</v>
      </c>
      <c r="Q29" s="14">
        <v>0</v>
      </c>
      <c r="R29" s="16">
        <v>0</v>
      </c>
    </row>
    <row r="30" spans="1:18" x14ac:dyDescent="0.25">
      <c r="A30" s="11" t="s">
        <v>163</v>
      </c>
      <c r="B30" s="13">
        <v>4520</v>
      </c>
      <c r="C30" s="14">
        <f>(3753/B30*100)</f>
        <v>83.030973451327441</v>
      </c>
      <c r="D30" s="15">
        <v>767</v>
      </c>
      <c r="E30" s="14">
        <v>72.622690250000005</v>
      </c>
      <c r="F30" s="16">
        <v>1.6878540200000001</v>
      </c>
      <c r="G30" s="14">
        <v>27.377309749999998</v>
      </c>
      <c r="H30" s="16">
        <v>1.6878540200000001</v>
      </c>
      <c r="I30" s="14" t="s">
        <v>139</v>
      </c>
      <c r="J30" s="16" t="s">
        <v>139</v>
      </c>
      <c r="K30" s="14">
        <v>0</v>
      </c>
      <c r="L30" s="16">
        <v>0</v>
      </c>
      <c r="M30" s="14">
        <v>0</v>
      </c>
      <c r="N30" s="16">
        <v>0</v>
      </c>
      <c r="O30" s="14">
        <v>0</v>
      </c>
      <c r="P30" s="16">
        <v>0</v>
      </c>
      <c r="Q30" s="14">
        <v>0</v>
      </c>
      <c r="R30" s="16">
        <v>0</v>
      </c>
    </row>
    <row r="31" spans="1:18" x14ac:dyDescent="0.25">
      <c r="A31" s="11" t="s">
        <v>164</v>
      </c>
      <c r="B31" s="13">
        <v>5456</v>
      </c>
      <c r="C31" s="14">
        <f>(4490/B31*100)</f>
        <v>82.294721407624635</v>
      </c>
      <c r="D31" s="15">
        <v>966</v>
      </c>
      <c r="E31" s="14">
        <v>53.810390679999998</v>
      </c>
      <c r="F31" s="16">
        <v>1.5749321199999999</v>
      </c>
      <c r="G31" s="14">
        <v>46.189609320000002</v>
      </c>
      <c r="H31" s="16">
        <v>1.5749321199999999</v>
      </c>
      <c r="I31" s="14" t="s">
        <v>139</v>
      </c>
      <c r="J31" s="16" t="s">
        <v>139</v>
      </c>
      <c r="K31" s="14">
        <v>0</v>
      </c>
      <c r="L31" s="16">
        <v>0</v>
      </c>
      <c r="M31" s="14">
        <v>0</v>
      </c>
      <c r="N31" s="16">
        <v>0</v>
      </c>
      <c r="O31" s="14">
        <v>0</v>
      </c>
      <c r="P31" s="16">
        <v>0</v>
      </c>
      <c r="Q31" s="14">
        <v>0</v>
      </c>
      <c r="R31" s="16">
        <v>0</v>
      </c>
    </row>
    <row r="32" spans="1:18" x14ac:dyDescent="0.25">
      <c r="A32" s="11" t="s">
        <v>165</v>
      </c>
      <c r="B32" s="17" t="s">
        <v>154</v>
      </c>
      <c r="C32" s="17" t="s">
        <v>154</v>
      </c>
      <c r="D32" s="18" t="s">
        <v>154</v>
      </c>
      <c r="E32" s="17" t="s">
        <v>154</v>
      </c>
      <c r="F32" s="18" t="s">
        <v>154</v>
      </c>
      <c r="G32" s="17" t="s">
        <v>154</v>
      </c>
      <c r="H32" s="18" t="s">
        <v>154</v>
      </c>
      <c r="I32" s="17" t="s">
        <v>154</v>
      </c>
      <c r="J32" s="18" t="s">
        <v>154</v>
      </c>
      <c r="K32" s="17" t="s">
        <v>154</v>
      </c>
      <c r="L32" s="18" t="s">
        <v>154</v>
      </c>
      <c r="M32" s="17" t="s">
        <v>154</v>
      </c>
      <c r="N32" s="18" t="s">
        <v>154</v>
      </c>
      <c r="O32" s="17" t="s">
        <v>154</v>
      </c>
      <c r="P32" s="18" t="s">
        <v>154</v>
      </c>
      <c r="Q32" s="17" t="s">
        <v>154</v>
      </c>
      <c r="R32" s="18" t="s">
        <v>154</v>
      </c>
    </row>
    <row r="33" spans="1:18" x14ac:dyDescent="0.25">
      <c r="A33" s="11" t="s">
        <v>166</v>
      </c>
      <c r="B33" s="13">
        <v>7325</v>
      </c>
      <c r="C33" s="14">
        <f>(6062/B33*100)</f>
        <v>82.757679180887365</v>
      </c>
      <c r="D33" s="15">
        <v>1263</v>
      </c>
      <c r="E33" s="14">
        <v>59.921489010000002</v>
      </c>
      <c r="F33" s="16">
        <v>1.7489626300000001</v>
      </c>
      <c r="G33" s="14">
        <v>40.078510989999998</v>
      </c>
      <c r="H33" s="16">
        <v>1.7489626300000001</v>
      </c>
      <c r="I33" s="14" t="s">
        <v>139</v>
      </c>
      <c r="J33" s="16" t="s">
        <v>139</v>
      </c>
      <c r="K33" s="14">
        <v>0</v>
      </c>
      <c r="L33" s="16">
        <v>0</v>
      </c>
      <c r="M33" s="14">
        <v>0</v>
      </c>
      <c r="N33" s="16">
        <v>0</v>
      </c>
      <c r="O33" s="14">
        <v>0</v>
      </c>
      <c r="P33" s="16">
        <v>0</v>
      </c>
      <c r="Q33" s="14">
        <v>0</v>
      </c>
      <c r="R33" s="16">
        <v>0</v>
      </c>
    </row>
    <row r="34" spans="1:18" x14ac:dyDescent="0.25">
      <c r="A34" s="11" t="s">
        <v>167</v>
      </c>
      <c r="B34" s="13">
        <v>6350</v>
      </c>
      <c r="C34" s="14">
        <f>(5302/B34*100)</f>
        <v>83.496062992125985</v>
      </c>
      <c r="D34" s="15">
        <v>1048</v>
      </c>
      <c r="E34" s="14">
        <v>71.058118519999994</v>
      </c>
      <c r="F34" s="16">
        <v>1.2888809800000001</v>
      </c>
      <c r="G34" s="14">
        <v>28.941881479999999</v>
      </c>
      <c r="H34" s="16">
        <v>1.2888809800000001</v>
      </c>
      <c r="I34" s="14" t="s">
        <v>139</v>
      </c>
      <c r="J34" s="16" t="s">
        <v>139</v>
      </c>
      <c r="K34" s="14">
        <v>0</v>
      </c>
      <c r="L34" s="16">
        <v>0</v>
      </c>
      <c r="M34" s="14">
        <v>0</v>
      </c>
      <c r="N34" s="16">
        <v>0</v>
      </c>
      <c r="O34" s="14">
        <v>0</v>
      </c>
      <c r="P34" s="16">
        <v>0</v>
      </c>
      <c r="Q34" s="14">
        <v>0</v>
      </c>
      <c r="R34" s="16">
        <v>0</v>
      </c>
    </row>
    <row r="35" spans="1:18" x14ac:dyDescent="0.25">
      <c r="A35" s="11" t="s">
        <v>168</v>
      </c>
      <c r="B35" s="13">
        <v>6406</v>
      </c>
      <c r="C35" s="14">
        <f>(5326/B35*100)</f>
        <v>83.140805494848578</v>
      </c>
      <c r="D35" s="15">
        <v>1080</v>
      </c>
      <c r="E35" s="14">
        <v>62.580179620000003</v>
      </c>
      <c r="F35" s="16">
        <v>1.5546113399999999</v>
      </c>
      <c r="G35" s="14">
        <v>37.419820379999997</v>
      </c>
      <c r="H35" s="16">
        <v>1.5546113399999999</v>
      </c>
      <c r="I35" s="14" t="s">
        <v>139</v>
      </c>
      <c r="J35" s="16" t="s">
        <v>139</v>
      </c>
      <c r="K35" s="14">
        <v>0</v>
      </c>
      <c r="L35" s="16">
        <v>0</v>
      </c>
      <c r="M35" s="14">
        <v>0</v>
      </c>
      <c r="N35" s="16">
        <v>0</v>
      </c>
      <c r="O35" s="14">
        <v>0</v>
      </c>
      <c r="P35" s="16">
        <v>0</v>
      </c>
      <c r="Q35" s="14">
        <v>0</v>
      </c>
      <c r="R35" s="16">
        <v>0</v>
      </c>
    </row>
    <row r="36" spans="1:18" x14ac:dyDescent="0.25">
      <c r="A36" s="11" t="s">
        <v>169</v>
      </c>
      <c r="B36" s="13">
        <v>6736</v>
      </c>
      <c r="C36" s="14">
        <f>(5591/B36*100)</f>
        <v>83.001781472684087</v>
      </c>
      <c r="D36" s="15">
        <v>1145</v>
      </c>
      <c r="E36" s="14">
        <v>65.782058640000002</v>
      </c>
      <c r="F36" s="16">
        <v>1.5113925100000001</v>
      </c>
      <c r="G36" s="14">
        <v>34.217941359999998</v>
      </c>
      <c r="H36" s="16">
        <v>1.5113925100000001</v>
      </c>
      <c r="I36" s="14" t="s">
        <v>139</v>
      </c>
      <c r="J36" s="16" t="s">
        <v>139</v>
      </c>
      <c r="K36" s="14">
        <v>0</v>
      </c>
      <c r="L36" s="16">
        <v>0</v>
      </c>
      <c r="M36" s="14">
        <v>0</v>
      </c>
      <c r="N36" s="16">
        <v>0</v>
      </c>
      <c r="O36" s="14">
        <v>0</v>
      </c>
      <c r="P36" s="16">
        <v>0</v>
      </c>
      <c r="Q36" s="14">
        <v>0</v>
      </c>
      <c r="R36" s="16">
        <v>0</v>
      </c>
    </row>
    <row r="37" spans="1:18" x14ac:dyDescent="0.25">
      <c r="A37" s="11" t="s">
        <v>170</v>
      </c>
      <c r="B37" s="13">
        <v>5458</v>
      </c>
      <c r="C37" s="14">
        <f>(4522/B37*100)</f>
        <v>82.850861121289853</v>
      </c>
      <c r="D37" s="15">
        <v>936</v>
      </c>
      <c r="E37" s="14">
        <v>66.417940529999996</v>
      </c>
      <c r="F37" s="16">
        <v>1.7196038600000001</v>
      </c>
      <c r="G37" s="14">
        <v>33.582059469999997</v>
      </c>
      <c r="H37" s="16">
        <v>1.7196038600000001</v>
      </c>
      <c r="I37" s="14" t="s">
        <v>139</v>
      </c>
      <c r="J37" s="16" t="s">
        <v>139</v>
      </c>
      <c r="K37" s="14">
        <v>0</v>
      </c>
      <c r="L37" s="16">
        <v>0</v>
      </c>
      <c r="M37" s="14">
        <v>0</v>
      </c>
      <c r="N37" s="16">
        <v>0</v>
      </c>
      <c r="O37" s="14">
        <v>0</v>
      </c>
      <c r="P37" s="16">
        <v>0</v>
      </c>
      <c r="Q37" s="14">
        <v>0</v>
      </c>
      <c r="R37" s="16">
        <v>0</v>
      </c>
    </row>
    <row r="38" spans="1:18" x14ac:dyDescent="0.25">
      <c r="A38" s="11" t="s">
        <v>171</v>
      </c>
      <c r="B38" s="17" t="s">
        <v>154</v>
      </c>
      <c r="C38" s="17" t="s">
        <v>154</v>
      </c>
      <c r="D38" s="18" t="s">
        <v>154</v>
      </c>
      <c r="E38" s="17" t="s">
        <v>154</v>
      </c>
      <c r="F38" s="18" t="s">
        <v>154</v>
      </c>
      <c r="G38" s="17" t="s">
        <v>154</v>
      </c>
      <c r="H38" s="18" t="s">
        <v>154</v>
      </c>
      <c r="I38" s="17" t="s">
        <v>154</v>
      </c>
      <c r="J38" s="18" t="s">
        <v>154</v>
      </c>
      <c r="K38" s="17" t="s">
        <v>154</v>
      </c>
      <c r="L38" s="18" t="s">
        <v>154</v>
      </c>
      <c r="M38" s="17" t="s">
        <v>154</v>
      </c>
      <c r="N38" s="18" t="s">
        <v>154</v>
      </c>
      <c r="O38" s="17" t="s">
        <v>154</v>
      </c>
      <c r="P38" s="18" t="s">
        <v>154</v>
      </c>
      <c r="Q38" s="17" t="s">
        <v>154</v>
      </c>
      <c r="R38" s="18" t="s">
        <v>154</v>
      </c>
    </row>
    <row r="39" spans="1:18" x14ac:dyDescent="0.25">
      <c r="A39" s="11" t="s">
        <v>172</v>
      </c>
      <c r="B39" s="13">
        <v>5895</v>
      </c>
      <c r="C39" s="14">
        <f>(4865/B39*100)</f>
        <v>82.527565733672603</v>
      </c>
      <c r="D39" s="15">
        <v>1030</v>
      </c>
      <c r="E39" s="14">
        <v>62.421167310000001</v>
      </c>
      <c r="F39" s="16">
        <v>1.5814644600000001</v>
      </c>
      <c r="G39" s="14">
        <v>37.578832689999999</v>
      </c>
      <c r="H39" s="16">
        <v>1.5814644600000001</v>
      </c>
      <c r="I39" s="14" t="s">
        <v>139</v>
      </c>
      <c r="J39" s="16" t="s">
        <v>139</v>
      </c>
      <c r="K39" s="14">
        <v>0</v>
      </c>
      <c r="L39" s="16">
        <v>0</v>
      </c>
      <c r="M39" s="14">
        <v>0</v>
      </c>
      <c r="N39" s="16">
        <v>0</v>
      </c>
      <c r="O39" s="14">
        <v>0</v>
      </c>
      <c r="P39" s="16">
        <v>0</v>
      </c>
      <c r="Q39" s="14">
        <v>0</v>
      </c>
      <c r="R39" s="16">
        <v>0</v>
      </c>
    </row>
    <row r="40" spans="1:18" x14ac:dyDescent="0.25">
      <c r="A40" s="11" t="s">
        <v>173</v>
      </c>
      <c r="B40" s="13">
        <v>14157</v>
      </c>
      <c r="C40" s="14">
        <f>(11676/B40*100)</f>
        <v>82.475100656918841</v>
      </c>
      <c r="D40" s="15">
        <v>2481</v>
      </c>
      <c r="E40" s="14">
        <v>68.33000534</v>
      </c>
      <c r="F40" s="16">
        <v>1.33069639</v>
      </c>
      <c r="G40" s="14">
        <v>31.66999466</v>
      </c>
      <c r="H40" s="16">
        <v>1.33069639</v>
      </c>
      <c r="I40" s="14" t="s">
        <v>139</v>
      </c>
      <c r="J40" s="16" t="s">
        <v>139</v>
      </c>
      <c r="K40" s="14">
        <v>0</v>
      </c>
      <c r="L40" s="16">
        <v>0</v>
      </c>
      <c r="M40" s="14">
        <v>0</v>
      </c>
      <c r="N40" s="16">
        <v>0</v>
      </c>
      <c r="O40" s="14">
        <v>0</v>
      </c>
      <c r="P40" s="16">
        <v>0</v>
      </c>
      <c r="Q40" s="14">
        <v>0</v>
      </c>
      <c r="R40" s="16">
        <v>0</v>
      </c>
    </row>
    <row r="41" spans="1:18" x14ac:dyDescent="0.25">
      <c r="A41" s="11" t="s">
        <v>174</v>
      </c>
      <c r="B41" s="13">
        <v>5712</v>
      </c>
      <c r="C41" s="14">
        <f>(4753/B41*100)</f>
        <v>83.210784313725497</v>
      </c>
      <c r="D41" s="15">
        <v>959</v>
      </c>
      <c r="E41" s="14">
        <v>68.158762260000003</v>
      </c>
      <c r="F41" s="16">
        <v>1.3808950600000001</v>
      </c>
      <c r="G41" s="14">
        <v>31.84123774</v>
      </c>
      <c r="H41" s="16">
        <v>1.3808950600000001</v>
      </c>
      <c r="I41" s="14" t="s">
        <v>139</v>
      </c>
      <c r="J41" s="16" t="s">
        <v>139</v>
      </c>
      <c r="K41" s="14">
        <v>0</v>
      </c>
      <c r="L41" s="16">
        <v>0</v>
      </c>
      <c r="M41" s="14">
        <v>0</v>
      </c>
      <c r="N41" s="16">
        <v>0</v>
      </c>
      <c r="O41" s="14">
        <v>0</v>
      </c>
      <c r="P41" s="16">
        <v>0</v>
      </c>
      <c r="Q41" s="14">
        <v>0</v>
      </c>
      <c r="R41" s="16">
        <v>0</v>
      </c>
    </row>
    <row r="42" spans="1:18" x14ac:dyDescent="0.25">
      <c r="A42" s="11" t="s">
        <v>175</v>
      </c>
      <c r="B42" s="13">
        <f>IF(COUNT(B7:B41) &gt; 0, AVERAGE(B7:B41), "\u2014")</f>
        <v>7266.90625</v>
      </c>
      <c r="C42" s="14">
        <f>IF(COUNT(C7:C41) &gt; 0, AVERAGE(C7:C41), "—")</f>
        <v>83.006499411908919</v>
      </c>
      <c r="D42" s="15">
        <f>IF(COUNT(D7:D41) &gt; 0, AVERAGE(D7:D41), "—")</f>
        <v>1235.03125</v>
      </c>
      <c r="E42" s="14">
        <f>IF(COUNT(E7:E41) &gt; 0, AVERAGE(E7:E41), "—")</f>
        <v>63.225376231250003</v>
      </c>
      <c r="F42" s="16">
        <f>IF(COUNT(F7:F41) &gt; 0, SQRT(SUMSQ(F7:F41)/(COUNT(F7:F41)*COUNT(F7:F41)) ), "—")</f>
        <v>0.26924758457218662</v>
      </c>
      <c r="G42" s="14">
        <f>IF(COUNT(G7:G41) &gt; 0, AVERAGE(G7:G41), "—")</f>
        <v>33.649623768749997</v>
      </c>
      <c r="H42" s="16">
        <f>IF(COUNT(H7:H41) &gt; 0, SQRT(SUMSQ(H7:H41)/(COUNT(H7:H41)*COUNT(H7:H41)) ), "—")</f>
        <v>0.26924758457218662</v>
      </c>
      <c r="I42" s="14" t="str">
        <f>IF(COUNT(I7:I41) &gt; 0, AVERAGE(I7:I41), "—")</f>
        <v>—</v>
      </c>
      <c r="J42" s="16" t="str">
        <f>IF(COUNT(J7:J41) &gt; 0, SQRT(SUMSQ(J7:J41)/(COUNT(J7:J41)*COUNT(J7:J41)) ), "—")</f>
        <v>—</v>
      </c>
      <c r="K42" s="14">
        <f>IF(COUNT(K7:K41) &gt; 0, AVERAGE(K7:K41), "—")</f>
        <v>0</v>
      </c>
      <c r="L42" s="16">
        <f>IF(COUNT(L7:L41) &gt; 0, SQRT(SUMSQ(L7:L41)/(COUNT(L7:L41)*COUNT(L7:L41)) ), "—")</f>
        <v>0</v>
      </c>
      <c r="M42" s="14">
        <f>IF(COUNT(M7:M41) &gt; 0, AVERAGE(M7:M41), "—")</f>
        <v>3.125</v>
      </c>
      <c r="N42" s="16">
        <f>IF(COUNT(N7:N41) &gt; 0, SQRT(SUMSQ(N7:N41)/(COUNT(N7:N41)*COUNT(N7:N41)) ), "—")</f>
        <v>0</v>
      </c>
      <c r="O42" s="14">
        <f>IF(COUNT(O7:O41) &gt; 0, AVERAGE(O7:O41), "—")</f>
        <v>0</v>
      </c>
      <c r="P42" s="16">
        <f>IF(COUNT(P7:P41) &gt; 0, SQRT(SUMSQ(P7:P41)/(COUNT(P7:P41)*COUNT(P7:P41)) ), "—")</f>
        <v>0</v>
      </c>
      <c r="Q42" s="14">
        <f>IF(COUNT(Q7:Q41) &gt; 0, AVERAGE(Q7:Q41), "—")</f>
        <v>0</v>
      </c>
      <c r="R42" s="16">
        <f>IF(COUNT(R7:R41) &gt; 0, SQRT(SUMSQ(R7:R41)/(COUNT(R7:R41)*COUNT(R7:R41)) ), "—")</f>
        <v>0</v>
      </c>
    </row>
    <row r="43" spans="1:18" x14ac:dyDescent="0.25">
      <c r="A43" s="9" t="s">
        <v>176</v>
      </c>
      <c r="B43" s="10"/>
      <c r="C43" s="10"/>
      <c r="D43" s="11"/>
      <c r="E43" s="10"/>
      <c r="F43" s="11"/>
      <c r="G43" s="10"/>
      <c r="H43" s="11"/>
      <c r="I43" s="10"/>
      <c r="J43" s="11"/>
      <c r="K43" s="10"/>
      <c r="L43" s="11"/>
      <c r="M43" s="10"/>
      <c r="N43" s="11"/>
      <c r="O43" s="10"/>
      <c r="P43" s="11"/>
      <c r="Q43" s="10"/>
      <c r="R43" s="12"/>
    </row>
    <row r="44" spans="1:18" x14ac:dyDescent="0.25">
      <c r="A44" s="11" t="s">
        <v>177</v>
      </c>
      <c r="B44" s="17" t="s">
        <v>154</v>
      </c>
      <c r="C44" s="17" t="s">
        <v>154</v>
      </c>
      <c r="D44" s="18" t="s">
        <v>154</v>
      </c>
      <c r="E44" s="17" t="s">
        <v>154</v>
      </c>
      <c r="F44" s="18" t="s">
        <v>154</v>
      </c>
      <c r="G44" s="17" t="s">
        <v>154</v>
      </c>
      <c r="H44" s="18" t="s">
        <v>154</v>
      </c>
      <c r="I44" s="17" t="s">
        <v>154</v>
      </c>
      <c r="J44" s="18" t="s">
        <v>154</v>
      </c>
      <c r="K44" s="17" t="s">
        <v>154</v>
      </c>
      <c r="L44" s="18" t="s">
        <v>154</v>
      </c>
      <c r="M44" s="17" t="s">
        <v>154</v>
      </c>
      <c r="N44" s="18" t="s">
        <v>154</v>
      </c>
      <c r="O44" s="17" t="s">
        <v>154</v>
      </c>
      <c r="P44" s="18" t="s">
        <v>154</v>
      </c>
      <c r="Q44" s="17" t="s">
        <v>154</v>
      </c>
      <c r="R44" s="18" t="s">
        <v>154</v>
      </c>
    </row>
    <row r="45" spans="1:18" x14ac:dyDescent="0.25">
      <c r="A45" s="11" t="s">
        <v>178</v>
      </c>
      <c r="B45" s="17" t="s">
        <v>154</v>
      </c>
      <c r="C45" s="17" t="s">
        <v>154</v>
      </c>
      <c r="D45" s="18" t="s">
        <v>154</v>
      </c>
      <c r="E45" s="17" t="s">
        <v>154</v>
      </c>
      <c r="F45" s="18" t="s">
        <v>154</v>
      </c>
      <c r="G45" s="17" t="s">
        <v>154</v>
      </c>
      <c r="H45" s="18" t="s">
        <v>154</v>
      </c>
      <c r="I45" s="17" t="s">
        <v>154</v>
      </c>
      <c r="J45" s="18" t="s">
        <v>154</v>
      </c>
      <c r="K45" s="17" t="s">
        <v>154</v>
      </c>
      <c r="L45" s="18" t="s">
        <v>154</v>
      </c>
      <c r="M45" s="17" t="s">
        <v>154</v>
      </c>
      <c r="N45" s="18" t="s">
        <v>154</v>
      </c>
      <c r="O45" s="17" t="s">
        <v>154</v>
      </c>
      <c r="P45" s="18" t="s">
        <v>154</v>
      </c>
      <c r="Q45" s="17" t="s">
        <v>154</v>
      </c>
      <c r="R45" s="18" t="s">
        <v>154</v>
      </c>
    </row>
    <row r="46" spans="1:18" x14ac:dyDescent="0.25">
      <c r="A46" s="11" t="s">
        <v>179</v>
      </c>
      <c r="B46" s="13">
        <v>23141</v>
      </c>
      <c r="C46" s="14">
        <f>(19783/B46*100)</f>
        <v>85.488958990536275</v>
      </c>
      <c r="D46" s="15">
        <v>3358</v>
      </c>
      <c r="E46" s="14">
        <v>66.079308209999994</v>
      </c>
      <c r="F46" s="16">
        <v>1.39527</v>
      </c>
      <c r="G46" s="14">
        <v>33.920691789999999</v>
      </c>
      <c r="H46" s="16">
        <v>1.39527</v>
      </c>
      <c r="I46" s="14" t="s">
        <v>139</v>
      </c>
      <c r="J46" s="16" t="s">
        <v>139</v>
      </c>
      <c r="K46" s="14">
        <v>0</v>
      </c>
      <c r="L46" s="16">
        <v>0</v>
      </c>
      <c r="M46" s="14">
        <v>0</v>
      </c>
      <c r="N46" s="16">
        <v>0</v>
      </c>
      <c r="O46" s="14">
        <v>0</v>
      </c>
      <c r="P46" s="16">
        <v>0</v>
      </c>
      <c r="Q46" s="14">
        <v>0</v>
      </c>
      <c r="R46" s="16">
        <v>0</v>
      </c>
    </row>
    <row r="47" spans="1:18" x14ac:dyDescent="0.25">
      <c r="A47" s="11" t="s">
        <v>180</v>
      </c>
      <c r="B47" s="13">
        <v>5928</v>
      </c>
      <c r="C47" s="14">
        <f>(4923/B47*100)</f>
        <v>83.046558704453446</v>
      </c>
      <c r="D47" s="15">
        <v>1005</v>
      </c>
      <c r="E47" s="14">
        <v>62.374643280000001</v>
      </c>
      <c r="F47" s="16">
        <v>1.52817779</v>
      </c>
      <c r="G47" s="14">
        <v>37.625356719999999</v>
      </c>
      <c r="H47" s="16">
        <v>1.52817779</v>
      </c>
      <c r="I47" s="14" t="s">
        <v>139</v>
      </c>
      <c r="J47" s="16" t="s">
        <v>139</v>
      </c>
      <c r="K47" s="14">
        <v>0</v>
      </c>
      <c r="L47" s="16">
        <v>0</v>
      </c>
      <c r="M47" s="14">
        <v>0</v>
      </c>
      <c r="N47" s="16">
        <v>0</v>
      </c>
      <c r="O47" s="14">
        <v>0</v>
      </c>
      <c r="P47" s="16">
        <v>0</v>
      </c>
      <c r="Q47" s="14">
        <v>0</v>
      </c>
      <c r="R47" s="16">
        <v>0</v>
      </c>
    </row>
    <row r="48" spans="1:18" x14ac:dyDescent="0.25">
      <c r="A48" s="11" t="s">
        <v>181</v>
      </c>
      <c r="B48" s="13">
        <v>9841</v>
      </c>
      <c r="C48" s="14">
        <f>(8132/B48*100)</f>
        <v>82.633878670866778</v>
      </c>
      <c r="D48" s="15">
        <v>1709</v>
      </c>
      <c r="E48" s="14">
        <v>70.351399029999996</v>
      </c>
      <c r="F48" s="16">
        <v>1.4753671500000001</v>
      </c>
      <c r="G48" s="14">
        <v>29.64860097</v>
      </c>
      <c r="H48" s="16">
        <v>1.4753671500000001</v>
      </c>
      <c r="I48" s="14" t="s">
        <v>139</v>
      </c>
      <c r="J48" s="16" t="s">
        <v>139</v>
      </c>
      <c r="K48" s="14">
        <v>0</v>
      </c>
      <c r="L48" s="16">
        <v>0</v>
      </c>
      <c r="M48" s="14">
        <v>0</v>
      </c>
      <c r="N48" s="16">
        <v>0</v>
      </c>
      <c r="O48" s="14">
        <v>0</v>
      </c>
      <c r="P48" s="16">
        <v>0</v>
      </c>
      <c r="Q48" s="14">
        <v>0</v>
      </c>
      <c r="R48" s="16">
        <v>0</v>
      </c>
    </row>
    <row r="49" spans="1:18" x14ac:dyDescent="0.25">
      <c r="A49" s="11" t="s">
        <v>182</v>
      </c>
      <c r="B49" s="17" t="s">
        <v>154</v>
      </c>
      <c r="C49" s="17" t="s">
        <v>154</v>
      </c>
      <c r="D49" s="18" t="s">
        <v>154</v>
      </c>
      <c r="E49" s="17" t="s">
        <v>154</v>
      </c>
      <c r="F49" s="18" t="s">
        <v>154</v>
      </c>
      <c r="G49" s="17" t="s">
        <v>154</v>
      </c>
      <c r="H49" s="18" t="s">
        <v>154</v>
      </c>
      <c r="I49" s="17" t="s">
        <v>154</v>
      </c>
      <c r="J49" s="18" t="s">
        <v>154</v>
      </c>
      <c r="K49" s="17" t="s">
        <v>154</v>
      </c>
      <c r="L49" s="18" t="s">
        <v>154</v>
      </c>
      <c r="M49" s="17" t="s">
        <v>154</v>
      </c>
      <c r="N49" s="18" t="s">
        <v>154</v>
      </c>
      <c r="O49" s="17" t="s">
        <v>154</v>
      </c>
      <c r="P49" s="18" t="s">
        <v>154</v>
      </c>
      <c r="Q49" s="17" t="s">
        <v>154</v>
      </c>
      <c r="R49" s="18" t="s">
        <v>154</v>
      </c>
    </row>
    <row r="50" spans="1:18" x14ac:dyDescent="0.25">
      <c r="A50" s="11" t="s">
        <v>183</v>
      </c>
      <c r="B50" s="13">
        <v>11795</v>
      </c>
      <c r="C50" s="14">
        <f>(9826/B50*100)</f>
        <v>83.306485799067403</v>
      </c>
      <c r="D50" s="15">
        <v>1969</v>
      </c>
      <c r="E50" s="14">
        <v>67.092660010000003</v>
      </c>
      <c r="F50" s="16">
        <v>1.4828667600000001</v>
      </c>
      <c r="G50" s="14">
        <v>32.907339989999997</v>
      </c>
      <c r="H50" s="16">
        <v>1.4828667600000001</v>
      </c>
      <c r="I50" s="14" t="s">
        <v>139</v>
      </c>
      <c r="J50" s="16" t="s">
        <v>139</v>
      </c>
      <c r="K50" s="14">
        <v>0</v>
      </c>
      <c r="L50" s="16">
        <v>0</v>
      </c>
      <c r="M50" s="14">
        <v>0</v>
      </c>
      <c r="N50" s="16">
        <v>0</v>
      </c>
      <c r="O50" s="14">
        <v>0</v>
      </c>
      <c r="P50" s="16">
        <v>0</v>
      </c>
      <c r="Q50" s="14">
        <v>0</v>
      </c>
      <c r="R50" s="16">
        <v>0</v>
      </c>
    </row>
    <row r="51" spans="1:18" x14ac:dyDescent="0.25">
      <c r="A51" s="11" t="s">
        <v>184</v>
      </c>
      <c r="B51" s="13">
        <v>6866</v>
      </c>
      <c r="C51" s="14">
        <f>(5835/B51*100)</f>
        <v>84.983979027090001</v>
      </c>
      <c r="D51" s="15">
        <v>1031</v>
      </c>
      <c r="E51" s="14">
        <v>64.073949529999993</v>
      </c>
      <c r="F51" s="16">
        <v>1.6055385099999999</v>
      </c>
      <c r="G51" s="14">
        <v>35.92605047</v>
      </c>
      <c r="H51" s="16">
        <v>1.6055385099999999</v>
      </c>
      <c r="I51" s="14" t="s">
        <v>139</v>
      </c>
      <c r="J51" s="16" t="s">
        <v>139</v>
      </c>
      <c r="K51" s="14">
        <v>0</v>
      </c>
      <c r="L51" s="16">
        <v>0</v>
      </c>
      <c r="M51" s="14">
        <v>0</v>
      </c>
      <c r="N51" s="16">
        <v>0</v>
      </c>
      <c r="O51" s="14">
        <v>0</v>
      </c>
      <c r="P51" s="16">
        <v>0</v>
      </c>
      <c r="Q51" s="14">
        <v>0</v>
      </c>
      <c r="R51" s="16">
        <v>0</v>
      </c>
    </row>
    <row r="52" spans="1:18" x14ac:dyDescent="0.25">
      <c r="A52" s="11" t="s">
        <v>185</v>
      </c>
      <c r="B52" s="13">
        <v>5809</v>
      </c>
      <c r="C52" s="14">
        <f>(4824/B52*100)</f>
        <v>83.043553107247376</v>
      </c>
      <c r="D52" s="15">
        <v>985</v>
      </c>
      <c r="E52" s="14">
        <v>71.462690019999997</v>
      </c>
      <c r="F52" s="16">
        <v>1.3572146199999999</v>
      </c>
      <c r="G52" s="14">
        <v>28.53730998</v>
      </c>
      <c r="H52" s="16">
        <v>1.3572146199999999</v>
      </c>
      <c r="I52" s="14" t="s">
        <v>139</v>
      </c>
      <c r="J52" s="16" t="s">
        <v>139</v>
      </c>
      <c r="K52" s="14">
        <v>0</v>
      </c>
      <c r="L52" s="16">
        <v>0</v>
      </c>
      <c r="M52" s="14">
        <v>0</v>
      </c>
      <c r="N52" s="16">
        <v>0</v>
      </c>
      <c r="O52" s="14">
        <v>0</v>
      </c>
      <c r="P52" s="16">
        <v>0</v>
      </c>
      <c r="Q52" s="14">
        <v>0</v>
      </c>
      <c r="R52" s="16">
        <v>0</v>
      </c>
    </row>
    <row r="53" spans="1:18" x14ac:dyDescent="0.25">
      <c r="A53" s="11" t="s">
        <v>186</v>
      </c>
      <c r="B53" s="13">
        <v>5571</v>
      </c>
      <c r="C53" s="14">
        <f>(4602/B53*100)</f>
        <v>82.606354334948833</v>
      </c>
      <c r="D53" s="15">
        <v>969</v>
      </c>
      <c r="E53" s="14">
        <v>71.750703770000001</v>
      </c>
      <c r="F53" s="16">
        <v>1.5454819799999999</v>
      </c>
      <c r="G53" s="14">
        <v>28.249296229999999</v>
      </c>
      <c r="H53" s="16">
        <v>1.5454819799999999</v>
      </c>
      <c r="I53" s="14" t="s">
        <v>139</v>
      </c>
      <c r="J53" s="16" t="s">
        <v>139</v>
      </c>
      <c r="K53" s="14">
        <v>0</v>
      </c>
      <c r="L53" s="16">
        <v>0</v>
      </c>
      <c r="M53" s="14">
        <v>0</v>
      </c>
      <c r="N53" s="16">
        <v>0</v>
      </c>
      <c r="O53" s="14">
        <v>0</v>
      </c>
      <c r="P53" s="16">
        <v>0</v>
      </c>
      <c r="Q53" s="14">
        <v>0</v>
      </c>
      <c r="R53" s="16">
        <v>0</v>
      </c>
    </row>
    <row r="54" spans="1:18" x14ac:dyDescent="0.25">
      <c r="A54" s="11" t="s">
        <v>187</v>
      </c>
      <c r="B54" s="17" t="s">
        <v>154</v>
      </c>
      <c r="C54" s="17" t="s">
        <v>154</v>
      </c>
      <c r="D54" s="18" t="s">
        <v>154</v>
      </c>
      <c r="E54" s="17" t="s">
        <v>154</v>
      </c>
      <c r="F54" s="18" t="s">
        <v>154</v>
      </c>
      <c r="G54" s="17" t="s">
        <v>154</v>
      </c>
      <c r="H54" s="18" t="s">
        <v>154</v>
      </c>
      <c r="I54" s="17" t="s">
        <v>154</v>
      </c>
      <c r="J54" s="18" t="s">
        <v>154</v>
      </c>
      <c r="K54" s="17" t="s">
        <v>154</v>
      </c>
      <c r="L54" s="18" t="s">
        <v>154</v>
      </c>
      <c r="M54" s="17" t="s">
        <v>154</v>
      </c>
      <c r="N54" s="18" t="s">
        <v>154</v>
      </c>
      <c r="O54" s="17" t="s">
        <v>154</v>
      </c>
      <c r="P54" s="18" t="s">
        <v>154</v>
      </c>
      <c r="Q54" s="17" t="s">
        <v>154</v>
      </c>
      <c r="R54" s="18" t="s">
        <v>154</v>
      </c>
    </row>
    <row r="55" spans="1:18" x14ac:dyDescent="0.25">
      <c r="A55" s="11" t="s">
        <v>188</v>
      </c>
      <c r="B55" s="17" t="s">
        <v>154</v>
      </c>
      <c r="C55" s="17" t="s">
        <v>154</v>
      </c>
      <c r="D55" s="18" t="s">
        <v>154</v>
      </c>
      <c r="E55" s="17" t="s">
        <v>154</v>
      </c>
      <c r="F55" s="18" t="s">
        <v>154</v>
      </c>
      <c r="G55" s="17" t="s">
        <v>154</v>
      </c>
      <c r="H55" s="18" t="s">
        <v>154</v>
      </c>
      <c r="I55" s="17" t="s">
        <v>154</v>
      </c>
      <c r="J55" s="18" t="s">
        <v>154</v>
      </c>
      <c r="K55" s="17" t="s">
        <v>154</v>
      </c>
      <c r="L55" s="18" t="s">
        <v>154</v>
      </c>
      <c r="M55" s="17" t="s">
        <v>154</v>
      </c>
      <c r="N55" s="18" t="s">
        <v>154</v>
      </c>
      <c r="O55" s="17" t="s">
        <v>154</v>
      </c>
      <c r="P55" s="18" t="s">
        <v>154</v>
      </c>
      <c r="Q55" s="17" t="s">
        <v>154</v>
      </c>
      <c r="R55" s="18" t="s">
        <v>154</v>
      </c>
    </row>
    <row r="56" spans="1:18" x14ac:dyDescent="0.25">
      <c r="A56" s="11" t="s">
        <v>189</v>
      </c>
      <c r="B56" s="13">
        <v>5359</v>
      </c>
      <c r="C56" s="14">
        <f>(4424/B56*100)</f>
        <v>82.552715058779626</v>
      </c>
      <c r="D56" s="15">
        <v>935</v>
      </c>
      <c r="E56" s="14">
        <v>61.723282820000001</v>
      </c>
      <c r="F56" s="16">
        <v>1.7929623299999999</v>
      </c>
      <c r="G56" s="14">
        <v>38.276717179999999</v>
      </c>
      <c r="H56" s="16">
        <v>1.7929623299999999</v>
      </c>
      <c r="I56" s="14" t="s">
        <v>139</v>
      </c>
      <c r="J56" s="16" t="s">
        <v>139</v>
      </c>
      <c r="K56" s="14">
        <v>0</v>
      </c>
      <c r="L56" s="16">
        <v>0</v>
      </c>
      <c r="M56" s="14">
        <v>0</v>
      </c>
      <c r="N56" s="16">
        <v>0</v>
      </c>
      <c r="O56" s="14">
        <v>0</v>
      </c>
      <c r="P56" s="16">
        <v>0</v>
      </c>
      <c r="Q56" s="14">
        <v>0</v>
      </c>
      <c r="R56" s="16">
        <v>0</v>
      </c>
    </row>
    <row r="57" spans="1:18" x14ac:dyDescent="0.25">
      <c r="A57" s="11" t="s">
        <v>190</v>
      </c>
      <c r="B57" s="17" t="s">
        <v>154</v>
      </c>
      <c r="C57" s="17" t="s">
        <v>154</v>
      </c>
      <c r="D57" s="18" t="s">
        <v>154</v>
      </c>
      <c r="E57" s="17" t="s">
        <v>154</v>
      </c>
      <c r="F57" s="18" t="s">
        <v>154</v>
      </c>
      <c r="G57" s="17" t="s">
        <v>154</v>
      </c>
      <c r="H57" s="18" t="s">
        <v>154</v>
      </c>
      <c r="I57" s="17" t="s">
        <v>154</v>
      </c>
      <c r="J57" s="18" t="s">
        <v>154</v>
      </c>
      <c r="K57" s="17" t="s">
        <v>154</v>
      </c>
      <c r="L57" s="18" t="s">
        <v>154</v>
      </c>
      <c r="M57" s="17" t="s">
        <v>154</v>
      </c>
      <c r="N57" s="18" t="s">
        <v>154</v>
      </c>
      <c r="O57" s="17" t="s">
        <v>154</v>
      </c>
      <c r="P57" s="18" t="s">
        <v>154</v>
      </c>
      <c r="Q57" s="17" t="s">
        <v>154</v>
      </c>
      <c r="R57" s="18" t="s">
        <v>154</v>
      </c>
    </row>
    <row r="58" spans="1:18" x14ac:dyDescent="0.25">
      <c r="A58" s="11" t="s">
        <v>191</v>
      </c>
      <c r="B58" s="17" t="s">
        <v>154</v>
      </c>
      <c r="C58" s="17" t="s">
        <v>154</v>
      </c>
      <c r="D58" s="18" t="s">
        <v>154</v>
      </c>
      <c r="E58" s="17" t="s">
        <v>154</v>
      </c>
      <c r="F58" s="18" t="s">
        <v>154</v>
      </c>
      <c r="G58" s="17" t="s">
        <v>154</v>
      </c>
      <c r="H58" s="18" t="s">
        <v>154</v>
      </c>
      <c r="I58" s="17" t="s">
        <v>154</v>
      </c>
      <c r="J58" s="18" t="s">
        <v>154</v>
      </c>
      <c r="K58" s="17" t="s">
        <v>154</v>
      </c>
      <c r="L58" s="18" t="s">
        <v>154</v>
      </c>
      <c r="M58" s="17" t="s">
        <v>154</v>
      </c>
      <c r="N58" s="18" t="s">
        <v>154</v>
      </c>
      <c r="O58" s="17" t="s">
        <v>154</v>
      </c>
      <c r="P58" s="18" t="s">
        <v>154</v>
      </c>
      <c r="Q58" s="17" t="s">
        <v>154</v>
      </c>
      <c r="R58" s="18" t="s">
        <v>154</v>
      </c>
    </row>
    <row r="59" spans="1:18" x14ac:dyDescent="0.25">
      <c r="A59" s="11" t="s">
        <v>192</v>
      </c>
      <c r="B59" s="17" t="s">
        <v>154</v>
      </c>
      <c r="C59" s="17" t="s">
        <v>154</v>
      </c>
      <c r="D59" s="18" t="s">
        <v>154</v>
      </c>
      <c r="E59" s="17" t="s">
        <v>154</v>
      </c>
      <c r="F59" s="18" t="s">
        <v>154</v>
      </c>
      <c r="G59" s="17" t="s">
        <v>154</v>
      </c>
      <c r="H59" s="18" t="s">
        <v>154</v>
      </c>
      <c r="I59" s="17" t="s">
        <v>154</v>
      </c>
      <c r="J59" s="18" t="s">
        <v>154</v>
      </c>
      <c r="K59" s="17" t="s">
        <v>154</v>
      </c>
      <c r="L59" s="18" t="s">
        <v>154</v>
      </c>
      <c r="M59" s="17" t="s">
        <v>154</v>
      </c>
      <c r="N59" s="18" t="s">
        <v>154</v>
      </c>
      <c r="O59" s="17" t="s">
        <v>154</v>
      </c>
      <c r="P59" s="18" t="s">
        <v>154</v>
      </c>
      <c r="Q59" s="17" t="s">
        <v>154</v>
      </c>
      <c r="R59" s="18" t="s">
        <v>154</v>
      </c>
    </row>
    <row r="60" spans="1:18" x14ac:dyDescent="0.25">
      <c r="A60" s="11" t="s">
        <v>193</v>
      </c>
      <c r="B60" s="17" t="s">
        <v>154</v>
      </c>
      <c r="C60" s="17" t="s">
        <v>154</v>
      </c>
      <c r="D60" s="18" t="s">
        <v>154</v>
      </c>
      <c r="E60" s="17" t="s">
        <v>154</v>
      </c>
      <c r="F60" s="18" t="s">
        <v>154</v>
      </c>
      <c r="G60" s="17" t="s">
        <v>154</v>
      </c>
      <c r="H60" s="18" t="s">
        <v>154</v>
      </c>
      <c r="I60" s="17" t="s">
        <v>154</v>
      </c>
      <c r="J60" s="18" t="s">
        <v>154</v>
      </c>
      <c r="K60" s="17" t="s">
        <v>154</v>
      </c>
      <c r="L60" s="18" t="s">
        <v>154</v>
      </c>
      <c r="M60" s="17" t="s">
        <v>154</v>
      </c>
      <c r="N60" s="18" t="s">
        <v>154</v>
      </c>
      <c r="O60" s="17" t="s">
        <v>154</v>
      </c>
      <c r="P60" s="18" t="s">
        <v>154</v>
      </c>
      <c r="Q60" s="17" t="s">
        <v>154</v>
      </c>
      <c r="R60" s="18" t="s">
        <v>154</v>
      </c>
    </row>
    <row r="61" spans="1:18" x14ac:dyDescent="0.25">
      <c r="A61" s="11" t="s">
        <v>194</v>
      </c>
      <c r="B61" s="13">
        <v>6525</v>
      </c>
      <c r="C61" s="14">
        <f>(5415/B61*100)</f>
        <v>82.988505747126439</v>
      </c>
      <c r="D61" s="15">
        <v>1110</v>
      </c>
      <c r="E61" s="14">
        <v>63.676684819999998</v>
      </c>
      <c r="F61" s="16">
        <v>1.669516</v>
      </c>
      <c r="G61" s="14">
        <v>36.323315180000002</v>
      </c>
      <c r="H61" s="16">
        <v>1.669516</v>
      </c>
      <c r="I61" s="14" t="s">
        <v>139</v>
      </c>
      <c r="J61" s="16" t="s">
        <v>139</v>
      </c>
      <c r="K61" s="14">
        <v>0</v>
      </c>
      <c r="L61" s="16">
        <v>0</v>
      </c>
      <c r="M61" s="14">
        <v>0</v>
      </c>
      <c r="N61" s="16">
        <v>0</v>
      </c>
      <c r="O61" s="14">
        <v>0</v>
      </c>
      <c r="P61" s="16">
        <v>0</v>
      </c>
      <c r="Q61" s="14">
        <v>0</v>
      </c>
      <c r="R61" s="16">
        <v>0</v>
      </c>
    </row>
    <row r="62" spans="1:18" x14ac:dyDescent="0.25">
      <c r="A62" s="11" t="s">
        <v>195</v>
      </c>
      <c r="B62" s="13">
        <v>4476</v>
      </c>
      <c r="C62" s="14">
        <f>(3712/B62*100)</f>
        <v>82.931188561215379</v>
      </c>
      <c r="D62" s="15">
        <v>764</v>
      </c>
      <c r="E62" s="14">
        <v>69.470113240000003</v>
      </c>
      <c r="F62" s="16">
        <v>1.84652617</v>
      </c>
      <c r="G62" s="14">
        <v>30.52988676</v>
      </c>
      <c r="H62" s="16">
        <v>1.84652617</v>
      </c>
      <c r="I62" s="14" t="s">
        <v>139</v>
      </c>
      <c r="J62" s="16" t="s">
        <v>139</v>
      </c>
      <c r="K62" s="14">
        <v>0</v>
      </c>
      <c r="L62" s="16">
        <v>0</v>
      </c>
      <c r="M62" s="14">
        <v>0</v>
      </c>
      <c r="N62" s="16">
        <v>0</v>
      </c>
      <c r="O62" s="14">
        <v>0</v>
      </c>
      <c r="P62" s="16">
        <v>0</v>
      </c>
      <c r="Q62" s="14">
        <v>0</v>
      </c>
      <c r="R62" s="16">
        <v>0</v>
      </c>
    </row>
    <row r="63" spans="1:18" x14ac:dyDescent="0.25">
      <c r="A63" s="11" t="s">
        <v>196</v>
      </c>
      <c r="B63" s="17" t="s">
        <v>154</v>
      </c>
      <c r="C63" s="17" t="s">
        <v>154</v>
      </c>
      <c r="D63" s="18" t="s">
        <v>154</v>
      </c>
      <c r="E63" s="17" t="s">
        <v>154</v>
      </c>
      <c r="F63" s="18" t="s">
        <v>154</v>
      </c>
      <c r="G63" s="17" t="s">
        <v>154</v>
      </c>
      <c r="H63" s="18" t="s">
        <v>154</v>
      </c>
      <c r="I63" s="17" t="s">
        <v>154</v>
      </c>
      <c r="J63" s="18" t="s">
        <v>154</v>
      </c>
      <c r="K63" s="17" t="s">
        <v>154</v>
      </c>
      <c r="L63" s="18" t="s">
        <v>154</v>
      </c>
      <c r="M63" s="17" t="s">
        <v>154</v>
      </c>
      <c r="N63" s="18" t="s">
        <v>154</v>
      </c>
      <c r="O63" s="17" t="s">
        <v>154</v>
      </c>
      <c r="P63" s="18" t="s">
        <v>154</v>
      </c>
      <c r="Q63" s="17" t="s">
        <v>154</v>
      </c>
      <c r="R63" s="18" t="s">
        <v>154</v>
      </c>
    </row>
    <row r="64" spans="1:18" x14ac:dyDescent="0.25">
      <c r="A64" s="11" t="s">
        <v>197</v>
      </c>
      <c r="B64" s="17" t="s">
        <v>154</v>
      </c>
      <c r="C64" s="17" t="s">
        <v>154</v>
      </c>
      <c r="D64" s="18" t="s">
        <v>154</v>
      </c>
      <c r="E64" s="17" t="s">
        <v>154</v>
      </c>
      <c r="F64" s="18" t="s">
        <v>154</v>
      </c>
      <c r="G64" s="17" t="s">
        <v>154</v>
      </c>
      <c r="H64" s="18" t="s">
        <v>154</v>
      </c>
      <c r="I64" s="17" t="s">
        <v>154</v>
      </c>
      <c r="J64" s="18" t="s">
        <v>154</v>
      </c>
      <c r="K64" s="17" t="s">
        <v>154</v>
      </c>
      <c r="L64" s="18" t="s">
        <v>154</v>
      </c>
      <c r="M64" s="17" t="s">
        <v>154</v>
      </c>
      <c r="N64" s="18" t="s">
        <v>154</v>
      </c>
      <c r="O64" s="17" t="s">
        <v>154</v>
      </c>
      <c r="P64" s="18" t="s">
        <v>154</v>
      </c>
      <c r="Q64" s="17" t="s">
        <v>154</v>
      </c>
      <c r="R64" s="18" t="s">
        <v>154</v>
      </c>
    </row>
    <row r="65" spans="1:18" x14ac:dyDescent="0.25">
      <c r="A65" s="11" t="s">
        <v>198</v>
      </c>
      <c r="B65" s="17" t="s">
        <v>154</v>
      </c>
      <c r="C65" s="17" t="s">
        <v>154</v>
      </c>
      <c r="D65" s="18" t="s">
        <v>154</v>
      </c>
      <c r="E65" s="17" t="s">
        <v>154</v>
      </c>
      <c r="F65" s="18" t="s">
        <v>154</v>
      </c>
      <c r="G65" s="17" t="s">
        <v>154</v>
      </c>
      <c r="H65" s="18" t="s">
        <v>154</v>
      </c>
      <c r="I65" s="17" t="s">
        <v>154</v>
      </c>
      <c r="J65" s="18" t="s">
        <v>154</v>
      </c>
      <c r="K65" s="17" t="s">
        <v>154</v>
      </c>
      <c r="L65" s="18" t="s">
        <v>154</v>
      </c>
      <c r="M65" s="17" t="s">
        <v>154</v>
      </c>
      <c r="N65" s="18" t="s">
        <v>154</v>
      </c>
      <c r="O65" s="17" t="s">
        <v>154</v>
      </c>
      <c r="P65" s="18" t="s">
        <v>154</v>
      </c>
      <c r="Q65" s="17" t="s">
        <v>154</v>
      </c>
      <c r="R65" s="18" t="s">
        <v>154</v>
      </c>
    </row>
    <row r="66" spans="1:18" x14ac:dyDescent="0.25">
      <c r="A66" s="11" t="s">
        <v>199</v>
      </c>
      <c r="B66" s="13">
        <v>5665</v>
      </c>
      <c r="C66" s="14">
        <f>(4711/B66*100)</f>
        <v>83.159752868490727</v>
      </c>
      <c r="D66" s="15">
        <v>954</v>
      </c>
      <c r="E66" s="14">
        <v>66.542417360000002</v>
      </c>
      <c r="F66" s="16">
        <v>1.60161289</v>
      </c>
      <c r="G66" s="14">
        <v>33.457582639999998</v>
      </c>
      <c r="H66" s="16">
        <v>1.60161289</v>
      </c>
      <c r="I66" s="14" t="s">
        <v>139</v>
      </c>
      <c r="J66" s="16" t="s">
        <v>139</v>
      </c>
      <c r="K66" s="14">
        <v>0</v>
      </c>
      <c r="L66" s="16">
        <v>0</v>
      </c>
      <c r="M66" s="14">
        <v>0</v>
      </c>
      <c r="N66" s="16">
        <v>0</v>
      </c>
      <c r="O66" s="14">
        <v>0</v>
      </c>
      <c r="P66" s="16">
        <v>0</v>
      </c>
      <c r="Q66" s="14">
        <v>0</v>
      </c>
      <c r="R66" s="16">
        <v>0</v>
      </c>
    </row>
    <row r="67" spans="1:18" x14ac:dyDescent="0.25">
      <c r="A67" s="11" t="s">
        <v>200</v>
      </c>
      <c r="B67" s="13">
        <v>6971</v>
      </c>
      <c r="C67" s="14">
        <f>(5876/B67*100)</f>
        <v>84.292067135274706</v>
      </c>
      <c r="D67" s="15">
        <v>1095</v>
      </c>
      <c r="E67" s="14">
        <v>68.985796890000003</v>
      </c>
      <c r="F67" s="16">
        <v>1.4699804700000001</v>
      </c>
      <c r="G67" s="14">
        <v>31.01420311</v>
      </c>
      <c r="H67" s="16">
        <v>1.4699804700000001</v>
      </c>
      <c r="I67" s="14" t="s">
        <v>139</v>
      </c>
      <c r="J67" s="16" t="s">
        <v>139</v>
      </c>
      <c r="K67" s="14">
        <v>0</v>
      </c>
      <c r="L67" s="16">
        <v>0</v>
      </c>
      <c r="M67" s="14">
        <v>0</v>
      </c>
      <c r="N67" s="16">
        <v>0</v>
      </c>
      <c r="O67" s="14">
        <v>0</v>
      </c>
      <c r="P67" s="16">
        <v>0</v>
      </c>
      <c r="Q67" s="14">
        <v>0</v>
      </c>
      <c r="R67" s="16">
        <v>0</v>
      </c>
    </row>
    <row r="68" spans="1:18" x14ac:dyDescent="0.25">
      <c r="A68" s="11" t="s">
        <v>201</v>
      </c>
      <c r="B68" s="17" t="s">
        <v>154</v>
      </c>
      <c r="C68" s="17" t="s">
        <v>154</v>
      </c>
      <c r="D68" s="18" t="s">
        <v>154</v>
      </c>
      <c r="E68" s="17" t="s">
        <v>154</v>
      </c>
      <c r="F68" s="18" t="s">
        <v>154</v>
      </c>
      <c r="G68" s="17" t="s">
        <v>154</v>
      </c>
      <c r="H68" s="18" t="s">
        <v>154</v>
      </c>
      <c r="I68" s="17" t="s">
        <v>154</v>
      </c>
      <c r="J68" s="18" t="s">
        <v>154</v>
      </c>
      <c r="K68" s="17" t="s">
        <v>154</v>
      </c>
      <c r="L68" s="18" t="s">
        <v>154</v>
      </c>
      <c r="M68" s="17" t="s">
        <v>154</v>
      </c>
      <c r="N68" s="18" t="s">
        <v>154</v>
      </c>
      <c r="O68" s="17" t="s">
        <v>154</v>
      </c>
      <c r="P68" s="18" t="s">
        <v>154</v>
      </c>
      <c r="Q68" s="17" t="s">
        <v>154</v>
      </c>
      <c r="R68" s="18" t="s">
        <v>154</v>
      </c>
    </row>
    <row r="69" spans="1:18" x14ac:dyDescent="0.25">
      <c r="A69" s="11" t="s">
        <v>202</v>
      </c>
      <c r="B69" s="17" t="s">
        <v>154</v>
      </c>
      <c r="C69" s="17" t="s">
        <v>154</v>
      </c>
      <c r="D69" s="18" t="s">
        <v>154</v>
      </c>
      <c r="E69" s="17" t="s">
        <v>154</v>
      </c>
      <c r="F69" s="18" t="s">
        <v>154</v>
      </c>
      <c r="G69" s="17" t="s">
        <v>154</v>
      </c>
      <c r="H69" s="18" t="s">
        <v>154</v>
      </c>
      <c r="I69" s="17" t="s">
        <v>154</v>
      </c>
      <c r="J69" s="18" t="s">
        <v>154</v>
      </c>
      <c r="K69" s="17" t="s">
        <v>154</v>
      </c>
      <c r="L69" s="18" t="s">
        <v>154</v>
      </c>
      <c r="M69" s="17" t="s">
        <v>154</v>
      </c>
      <c r="N69" s="18" t="s">
        <v>154</v>
      </c>
      <c r="O69" s="17" t="s">
        <v>154</v>
      </c>
      <c r="P69" s="18" t="s">
        <v>154</v>
      </c>
      <c r="Q69" s="17" t="s">
        <v>154</v>
      </c>
      <c r="R69" s="18" t="s">
        <v>154</v>
      </c>
    </row>
    <row r="70" spans="1:18" x14ac:dyDescent="0.25">
      <c r="A70" s="11" t="s">
        <v>203</v>
      </c>
      <c r="B70" s="13">
        <v>6036</v>
      </c>
      <c r="C70" s="14">
        <f>(5007/B70*100)</f>
        <v>82.952286282306162</v>
      </c>
      <c r="D70" s="15">
        <v>1029</v>
      </c>
      <c r="E70" s="14">
        <v>57.124879870000001</v>
      </c>
      <c r="F70" s="16">
        <v>1.7118200299999999</v>
      </c>
      <c r="G70" s="14">
        <v>42.875120129999999</v>
      </c>
      <c r="H70" s="16">
        <v>1.7118200299999999</v>
      </c>
      <c r="I70" s="14" t="s">
        <v>139</v>
      </c>
      <c r="J70" s="16" t="s">
        <v>139</v>
      </c>
      <c r="K70" s="14">
        <v>0</v>
      </c>
      <c r="L70" s="16">
        <v>0</v>
      </c>
      <c r="M70" s="14">
        <v>0</v>
      </c>
      <c r="N70" s="16">
        <v>0</v>
      </c>
      <c r="O70" s="14">
        <v>0</v>
      </c>
      <c r="P70" s="16">
        <v>0</v>
      </c>
      <c r="Q70" s="14">
        <v>0</v>
      </c>
      <c r="R70" s="16">
        <v>0</v>
      </c>
    </row>
    <row r="71" spans="1:18" x14ac:dyDescent="0.25">
      <c r="A71" s="11" t="s">
        <v>204</v>
      </c>
      <c r="B71" s="17" t="s">
        <v>154</v>
      </c>
      <c r="C71" s="17" t="s">
        <v>154</v>
      </c>
      <c r="D71" s="18" t="s">
        <v>154</v>
      </c>
      <c r="E71" s="17" t="s">
        <v>154</v>
      </c>
      <c r="F71" s="18" t="s">
        <v>154</v>
      </c>
      <c r="G71" s="17" t="s">
        <v>154</v>
      </c>
      <c r="H71" s="18" t="s">
        <v>154</v>
      </c>
      <c r="I71" s="17" t="s">
        <v>154</v>
      </c>
      <c r="J71" s="18" t="s">
        <v>154</v>
      </c>
      <c r="K71" s="17" t="s">
        <v>154</v>
      </c>
      <c r="L71" s="18" t="s">
        <v>154</v>
      </c>
      <c r="M71" s="17" t="s">
        <v>154</v>
      </c>
      <c r="N71" s="18" t="s">
        <v>154</v>
      </c>
      <c r="O71" s="17" t="s">
        <v>154</v>
      </c>
      <c r="P71" s="18" t="s">
        <v>154</v>
      </c>
      <c r="Q71" s="17" t="s">
        <v>154</v>
      </c>
      <c r="R71" s="18" t="s">
        <v>154</v>
      </c>
    </row>
    <row r="72" spans="1:18" x14ac:dyDescent="0.25">
      <c r="A72" s="11" t="s">
        <v>205</v>
      </c>
      <c r="B72" s="13">
        <v>7708</v>
      </c>
      <c r="C72" s="14">
        <f>(6394/B72*100)</f>
        <v>82.952776336273999</v>
      </c>
      <c r="D72" s="15">
        <v>1314</v>
      </c>
      <c r="E72" s="14">
        <v>54.431019360000001</v>
      </c>
      <c r="F72" s="16">
        <v>1.2643251799999999</v>
      </c>
      <c r="G72" s="14">
        <v>45.568980639999999</v>
      </c>
      <c r="H72" s="16">
        <v>1.2643251799999999</v>
      </c>
      <c r="I72" s="14" t="s">
        <v>139</v>
      </c>
      <c r="J72" s="16" t="s">
        <v>139</v>
      </c>
      <c r="K72" s="14">
        <v>0</v>
      </c>
      <c r="L72" s="16">
        <v>0</v>
      </c>
      <c r="M72" s="14">
        <v>0</v>
      </c>
      <c r="N72" s="16">
        <v>0</v>
      </c>
      <c r="O72" s="14">
        <v>0</v>
      </c>
      <c r="P72" s="16">
        <v>0</v>
      </c>
      <c r="Q72" s="14">
        <v>0</v>
      </c>
      <c r="R72" s="16">
        <v>0</v>
      </c>
    </row>
    <row r="73" spans="1:18" x14ac:dyDescent="0.25">
      <c r="A73" s="11" t="s">
        <v>206</v>
      </c>
      <c r="B73" s="13">
        <v>8249</v>
      </c>
      <c r="C73" s="14">
        <f>(6882/B73*100)</f>
        <v>83.428294338707715</v>
      </c>
      <c r="D73" s="15">
        <v>1367</v>
      </c>
      <c r="E73" s="14">
        <v>59.29874624</v>
      </c>
      <c r="F73" s="16">
        <v>1.50473732</v>
      </c>
      <c r="G73" s="14">
        <v>40.70125376</v>
      </c>
      <c r="H73" s="16">
        <v>1.50473732</v>
      </c>
      <c r="I73" s="14" t="s">
        <v>139</v>
      </c>
      <c r="J73" s="16" t="s">
        <v>139</v>
      </c>
      <c r="K73" s="14">
        <v>0</v>
      </c>
      <c r="L73" s="16">
        <v>0</v>
      </c>
      <c r="M73" s="14">
        <v>0</v>
      </c>
      <c r="N73" s="16">
        <v>0</v>
      </c>
      <c r="O73" s="14">
        <v>0</v>
      </c>
      <c r="P73" s="16">
        <v>0</v>
      </c>
      <c r="Q73" s="14">
        <v>0</v>
      </c>
      <c r="R73" s="16">
        <v>0</v>
      </c>
    </row>
    <row r="74" spans="1:18" x14ac:dyDescent="0.25">
      <c r="A74" s="11" t="s">
        <v>207</v>
      </c>
      <c r="B74" s="17" t="s">
        <v>154</v>
      </c>
      <c r="C74" s="17" t="s">
        <v>154</v>
      </c>
      <c r="D74" s="18" t="s">
        <v>154</v>
      </c>
      <c r="E74" s="17" t="s">
        <v>154</v>
      </c>
      <c r="F74" s="18" t="s">
        <v>154</v>
      </c>
      <c r="G74" s="17" t="s">
        <v>154</v>
      </c>
      <c r="H74" s="18" t="s">
        <v>154</v>
      </c>
      <c r="I74" s="17" t="s">
        <v>154</v>
      </c>
      <c r="J74" s="18" t="s">
        <v>154</v>
      </c>
      <c r="K74" s="17" t="s">
        <v>154</v>
      </c>
      <c r="L74" s="18" t="s">
        <v>154</v>
      </c>
      <c r="M74" s="17" t="s">
        <v>154</v>
      </c>
      <c r="N74" s="18" t="s">
        <v>154</v>
      </c>
      <c r="O74" s="17" t="s">
        <v>154</v>
      </c>
      <c r="P74" s="18" t="s">
        <v>154</v>
      </c>
      <c r="Q74" s="17" t="s">
        <v>154</v>
      </c>
      <c r="R74" s="18" t="s">
        <v>154</v>
      </c>
    </row>
    <row r="75" spans="1:18" x14ac:dyDescent="0.25">
      <c r="A75" s="11" t="s">
        <v>208</v>
      </c>
      <c r="B75" s="13">
        <v>5375</v>
      </c>
      <c r="C75" s="14">
        <f>(4557/B75*100)</f>
        <v>84.781395348837208</v>
      </c>
      <c r="D75" s="15">
        <v>818</v>
      </c>
      <c r="E75" s="14">
        <v>66.557746080000001</v>
      </c>
      <c r="F75" s="16">
        <v>1.5821422599999999</v>
      </c>
      <c r="G75" s="14">
        <v>33.442253919999999</v>
      </c>
      <c r="H75" s="16">
        <v>1.5821422599999999</v>
      </c>
      <c r="I75" s="14" t="s">
        <v>139</v>
      </c>
      <c r="J75" s="16" t="s">
        <v>139</v>
      </c>
      <c r="K75" s="14">
        <v>0</v>
      </c>
      <c r="L75" s="16">
        <v>0</v>
      </c>
      <c r="M75" s="14">
        <v>0</v>
      </c>
      <c r="N75" s="16">
        <v>0</v>
      </c>
      <c r="O75" s="14">
        <v>0</v>
      </c>
      <c r="P75" s="16">
        <v>0</v>
      </c>
      <c r="Q75" s="14">
        <v>0</v>
      </c>
      <c r="R75" s="16">
        <v>0</v>
      </c>
    </row>
    <row r="76" spans="1:18" x14ac:dyDescent="0.25">
      <c r="A76" s="11" t="s">
        <v>209</v>
      </c>
      <c r="B76" s="13">
        <v>14167</v>
      </c>
      <c r="C76" s="14">
        <f>(11728/B76*100)</f>
        <v>82.783934495658926</v>
      </c>
      <c r="D76" s="15">
        <v>2439</v>
      </c>
      <c r="E76" s="14">
        <v>0</v>
      </c>
      <c r="F76" s="16">
        <v>0</v>
      </c>
      <c r="G76" s="14">
        <v>0</v>
      </c>
      <c r="H76" s="16">
        <v>0</v>
      </c>
      <c r="I76" s="14" t="s">
        <v>139</v>
      </c>
      <c r="J76" s="16" t="s">
        <v>139</v>
      </c>
      <c r="K76" s="14">
        <v>0</v>
      </c>
      <c r="L76" s="16">
        <v>0</v>
      </c>
      <c r="M76" s="14">
        <v>100</v>
      </c>
      <c r="N76" s="16">
        <v>0</v>
      </c>
      <c r="O76" s="14">
        <v>0</v>
      </c>
      <c r="P76" s="16">
        <v>0</v>
      </c>
      <c r="Q76" s="14">
        <v>0</v>
      </c>
      <c r="R76" s="16">
        <v>0</v>
      </c>
    </row>
    <row r="77" spans="1:18" x14ac:dyDescent="0.25">
      <c r="A77" s="11" t="s">
        <v>210</v>
      </c>
      <c r="B77" s="13">
        <v>6062</v>
      </c>
      <c r="C77" s="14">
        <f>(5018/B77*100)</f>
        <v>82.777961068954141</v>
      </c>
      <c r="D77" s="15">
        <v>1044</v>
      </c>
      <c r="E77" s="14">
        <v>68.525592029999999</v>
      </c>
      <c r="F77" s="16">
        <v>1.47601702</v>
      </c>
      <c r="G77" s="14">
        <v>31.474407970000001</v>
      </c>
      <c r="H77" s="16">
        <v>1.47601702</v>
      </c>
      <c r="I77" s="14" t="s">
        <v>139</v>
      </c>
      <c r="J77" s="16" t="s">
        <v>139</v>
      </c>
      <c r="K77" s="14">
        <v>0</v>
      </c>
      <c r="L77" s="16">
        <v>0</v>
      </c>
      <c r="M77" s="14">
        <v>0</v>
      </c>
      <c r="N77" s="16">
        <v>0</v>
      </c>
      <c r="O77" s="14">
        <v>0</v>
      </c>
      <c r="P77" s="16">
        <v>0</v>
      </c>
      <c r="Q77" s="14">
        <v>0</v>
      </c>
      <c r="R77" s="16">
        <v>0</v>
      </c>
    </row>
    <row r="78" spans="1:18" x14ac:dyDescent="0.25">
      <c r="A78" s="11" t="s">
        <v>211</v>
      </c>
      <c r="B78" s="17" t="s">
        <v>154</v>
      </c>
      <c r="C78" s="17" t="s">
        <v>154</v>
      </c>
      <c r="D78" s="18" t="s">
        <v>154</v>
      </c>
      <c r="E78" s="17" t="s">
        <v>154</v>
      </c>
      <c r="F78" s="18" t="s">
        <v>154</v>
      </c>
      <c r="G78" s="17" t="s">
        <v>154</v>
      </c>
      <c r="H78" s="18" t="s">
        <v>154</v>
      </c>
      <c r="I78" s="17" t="s">
        <v>154</v>
      </c>
      <c r="J78" s="18" t="s">
        <v>154</v>
      </c>
      <c r="K78" s="17" t="s">
        <v>154</v>
      </c>
      <c r="L78" s="18" t="s">
        <v>154</v>
      </c>
      <c r="M78" s="17" t="s">
        <v>154</v>
      </c>
      <c r="N78" s="18" t="s">
        <v>154</v>
      </c>
      <c r="O78" s="17" t="s">
        <v>154</v>
      </c>
      <c r="P78" s="18" t="s">
        <v>154</v>
      </c>
      <c r="Q78" s="17" t="s">
        <v>154</v>
      </c>
      <c r="R78" s="18" t="s">
        <v>154</v>
      </c>
    </row>
    <row r="79" spans="1:18" ht="24.95" customHeight="1" x14ac:dyDescent="0.25">
      <c r="A79" s="11" t="s">
        <v>212</v>
      </c>
      <c r="B79" s="17" t="s">
        <v>154</v>
      </c>
      <c r="C79" s="17" t="s">
        <v>154</v>
      </c>
      <c r="D79" s="18" t="s">
        <v>154</v>
      </c>
      <c r="E79" s="17" t="s">
        <v>154</v>
      </c>
      <c r="F79" s="18" t="s">
        <v>154</v>
      </c>
      <c r="G79" s="17" t="s">
        <v>154</v>
      </c>
      <c r="H79" s="18" t="s">
        <v>154</v>
      </c>
      <c r="I79" s="17" t="s">
        <v>154</v>
      </c>
      <c r="J79" s="18" t="s">
        <v>154</v>
      </c>
      <c r="K79" s="17" t="s">
        <v>154</v>
      </c>
      <c r="L79" s="18" t="s">
        <v>154</v>
      </c>
      <c r="M79" s="17" t="s">
        <v>154</v>
      </c>
      <c r="N79" s="18" t="s">
        <v>154</v>
      </c>
      <c r="O79" s="17" t="s">
        <v>154</v>
      </c>
      <c r="P79" s="18" t="s">
        <v>154</v>
      </c>
      <c r="Q79" s="17" t="s">
        <v>154</v>
      </c>
      <c r="R79" s="18" t="s">
        <v>154</v>
      </c>
    </row>
    <row r="80" spans="1:18" x14ac:dyDescent="0.25">
      <c r="A80" s="11" t="s">
        <v>213</v>
      </c>
      <c r="B80" s="17" t="s">
        <v>154</v>
      </c>
      <c r="C80" s="17" t="s">
        <v>154</v>
      </c>
      <c r="D80" s="18" t="s">
        <v>154</v>
      </c>
      <c r="E80" s="17" t="s">
        <v>154</v>
      </c>
      <c r="F80" s="18" t="s">
        <v>154</v>
      </c>
      <c r="G80" s="17" t="s">
        <v>154</v>
      </c>
      <c r="H80" s="18" t="s">
        <v>154</v>
      </c>
      <c r="I80" s="17" t="s">
        <v>154</v>
      </c>
      <c r="J80" s="18" t="s">
        <v>154</v>
      </c>
      <c r="K80" s="17" t="s">
        <v>154</v>
      </c>
      <c r="L80" s="18" t="s">
        <v>154</v>
      </c>
      <c r="M80" s="17" t="s">
        <v>154</v>
      </c>
      <c r="N80" s="18" t="s">
        <v>154</v>
      </c>
      <c r="O80" s="17" t="s">
        <v>154</v>
      </c>
      <c r="P80" s="18" t="s">
        <v>154</v>
      </c>
      <c r="Q80" s="17" t="s">
        <v>154</v>
      </c>
      <c r="R80" s="18" t="s">
        <v>154</v>
      </c>
    </row>
    <row r="81" spans="1:18" x14ac:dyDescent="0.25">
      <c r="A81" s="19" t="s">
        <v>214</v>
      </c>
      <c r="B81" s="13">
        <v>8861</v>
      </c>
      <c r="C81" s="14">
        <f>(7369/B81*100)</f>
        <v>83.162171312492944</v>
      </c>
      <c r="D81" s="15">
        <v>1492</v>
      </c>
      <c r="E81" s="14">
        <v>65.858942549999995</v>
      </c>
      <c r="F81" s="16">
        <v>1.48743034</v>
      </c>
      <c r="G81" s="14">
        <v>34.141057449999998</v>
      </c>
      <c r="H81" s="16">
        <v>1.48743034</v>
      </c>
      <c r="I81" s="14" t="s">
        <v>139</v>
      </c>
      <c r="J81" s="16" t="s">
        <v>139</v>
      </c>
      <c r="K81" s="14">
        <v>0</v>
      </c>
      <c r="L81" s="16">
        <v>0</v>
      </c>
      <c r="M81" s="14">
        <v>0</v>
      </c>
      <c r="N81" s="16">
        <v>0</v>
      </c>
      <c r="O81" s="14">
        <v>0</v>
      </c>
      <c r="P81" s="16">
        <v>0</v>
      </c>
      <c r="Q81" s="14">
        <v>0</v>
      </c>
      <c r="R81" s="16">
        <v>0</v>
      </c>
    </row>
    <row r="82" spans="1:18" x14ac:dyDescent="0.25">
      <c r="A82" s="20"/>
      <c r="B82" s="20" t="s">
        <v>215</v>
      </c>
      <c r="C82" s="20" t="s">
        <v>215</v>
      </c>
      <c r="D82" s="20" t="s">
        <v>215</v>
      </c>
      <c r="E82" s="20" t="s">
        <v>215</v>
      </c>
      <c r="F82" s="20" t="s">
        <v>215</v>
      </c>
      <c r="G82" s="20" t="s">
        <v>215</v>
      </c>
      <c r="H82" s="20" t="s">
        <v>215</v>
      </c>
      <c r="I82" s="20" t="s">
        <v>215</v>
      </c>
      <c r="J82" s="20" t="s">
        <v>215</v>
      </c>
      <c r="K82" s="20" t="s">
        <v>215</v>
      </c>
      <c r="L82" s="20" t="s">
        <v>215</v>
      </c>
      <c r="M82" s="20" t="s">
        <v>215</v>
      </c>
      <c r="N82" s="20" t="s">
        <v>215</v>
      </c>
      <c r="O82" s="20" t="s">
        <v>215</v>
      </c>
      <c r="P82" s="20" t="s">
        <v>215</v>
      </c>
      <c r="Q82" s="20" t="s">
        <v>215</v>
      </c>
      <c r="R82" s="20" t="s">
        <v>215</v>
      </c>
    </row>
    <row r="83" spans="1:18" x14ac:dyDescent="0.25">
      <c r="A83" s="3" t="s">
        <v>216</v>
      </c>
    </row>
    <row r="84" spans="1:18" x14ac:dyDescent="0.25">
      <c r="A84" s="22" t="s">
        <v>217</v>
      </c>
      <c r="B84" s="23"/>
      <c r="C84" s="23"/>
      <c r="D84" s="23"/>
      <c r="E84" s="23"/>
      <c r="F84" s="23"/>
      <c r="G84" s="23"/>
      <c r="H84" s="23"/>
      <c r="I84" s="23"/>
      <c r="J84" s="23"/>
      <c r="K84" s="23"/>
      <c r="L84" s="23"/>
      <c r="M84" s="23"/>
      <c r="N84" s="23"/>
      <c r="O84" s="23"/>
      <c r="P84" s="23"/>
      <c r="Q84" s="23"/>
      <c r="R84" s="23"/>
    </row>
    <row r="85" spans="1:18" x14ac:dyDescent="0.25">
      <c r="A85" s="22" t="s">
        <v>218</v>
      </c>
      <c r="B85" s="23"/>
      <c r="C85" s="23"/>
      <c r="D85" s="23"/>
      <c r="E85" s="23"/>
      <c r="F85" s="23"/>
      <c r="G85" s="23"/>
      <c r="H85" s="23"/>
      <c r="I85" s="23"/>
      <c r="J85" s="23"/>
      <c r="K85" s="23"/>
      <c r="L85" s="23"/>
      <c r="M85" s="23"/>
      <c r="N85" s="23"/>
      <c r="O85" s="23"/>
      <c r="P85" s="23"/>
      <c r="Q85" s="23"/>
      <c r="R85" s="23"/>
    </row>
    <row r="86" spans="1:18" ht="30" customHeight="1" x14ac:dyDescent="0.25">
      <c r="A86" s="22" t="s">
        <v>219</v>
      </c>
      <c r="B86" s="23"/>
      <c r="C86" s="23"/>
      <c r="D86" s="23"/>
      <c r="E86" s="23"/>
      <c r="F86" s="23"/>
      <c r="G86" s="23"/>
      <c r="H86" s="23"/>
      <c r="I86" s="23"/>
      <c r="J86" s="23"/>
      <c r="K86" s="23"/>
      <c r="L86" s="23"/>
      <c r="M86" s="23"/>
      <c r="N86" s="23"/>
      <c r="O86" s="23"/>
      <c r="P86" s="23"/>
      <c r="Q86" s="23"/>
      <c r="R86" s="23"/>
    </row>
    <row r="87" spans="1:18" ht="30" customHeight="1" x14ac:dyDescent="0.25">
      <c r="A87" s="22" t="s">
        <v>215</v>
      </c>
      <c r="B87" s="23"/>
      <c r="C87" s="23"/>
      <c r="D87" s="23"/>
      <c r="E87" s="23"/>
      <c r="F87" s="23"/>
      <c r="G87" s="23"/>
      <c r="H87" s="23"/>
      <c r="I87" s="23"/>
      <c r="J87" s="23"/>
      <c r="K87" s="23"/>
      <c r="L87" s="23"/>
      <c r="M87" s="23"/>
      <c r="N87" s="23"/>
      <c r="O87" s="23"/>
      <c r="P87" s="23"/>
      <c r="Q87" s="23"/>
      <c r="R87" s="23"/>
    </row>
    <row r="88" spans="1:18" ht="30" customHeight="1" x14ac:dyDescent="0.25">
      <c r="A88" s="22" t="s">
        <v>220</v>
      </c>
      <c r="B88" s="23"/>
      <c r="C88" s="23"/>
      <c r="D88" s="23"/>
      <c r="E88" s="23"/>
      <c r="F88" s="23"/>
      <c r="G88" s="23"/>
      <c r="H88" s="23"/>
      <c r="I88" s="23"/>
      <c r="J88" s="23"/>
      <c r="K88" s="23"/>
      <c r="L88" s="23"/>
      <c r="M88" s="23"/>
      <c r="N88" s="23"/>
      <c r="O88" s="23"/>
      <c r="P88" s="23"/>
      <c r="Q88" s="23"/>
      <c r="R88" s="23"/>
    </row>
    <row r="89" spans="1:18" ht="30" customHeight="1" x14ac:dyDescent="0.25">
      <c r="A89" s="22" t="s">
        <v>221</v>
      </c>
      <c r="B89" s="23"/>
      <c r="C89" s="23"/>
      <c r="D89" s="23"/>
      <c r="E89" s="23"/>
      <c r="F89" s="23"/>
      <c r="G89" s="23"/>
      <c r="H89" s="23"/>
      <c r="I89" s="23"/>
      <c r="J89" s="23"/>
      <c r="K89" s="23"/>
      <c r="L89" s="23"/>
      <c r="M89" s="23"/>
      <c r="N89" s="23"/>
      <c r="O89" s="23"/>
      <c r="P89" s="23"/>
      <c r="Q89" s="23"/>
      <c r="R89" s="23"/>
    </row>
    <row r="90" spans="1:18" ht="30" customHeight="1" x14ac:dyDescent="0.25">
      <c r="A90" s="22" t="s">
        <v>222</v>
      </c>
      <c r="B90" s="23"/>
      <c r="C90" s="23"/>
      <c r="D90" s="23"/>
      <c r="E90" s="23"/>
      <c r="F90" s="23"/>
      <c r="G90" s="23"/>
      <c r="H90" s="23"/>
      <c r="I90" s="23"/>
      <c r="J90" s="23"/>
      <c r="K90" s="23"/>
      <c r="L90" s="23"/>
      <c r="M90" s="23"/>
      <c r="N90" s="23"/>
      <c r="O90" s="23"/>
      <c r="P90" s="23"/>
      <c r="Q90" s="23"/>
      <c r="R90" s="23"/>
    </row>
    <row r="91" spans="1:18" ht="30" customHeight="1" x14ac:dyDescent="0.25">
      <c r="A91" s="22" t="s">
        <v>223</v>
      </c>
      <c r="B91" s="23"/>
      <c r="C91" s="23"/>
      <c r="D91" s="23"/>
      <c r="E91" s="23"/>
      <c r="F91" s="23"/>
      <c r="G91" s="23"/>
      <c r="H91" s="23"/>
      <c r="I91" s="23"/>
      <c r="J91" s="23"/>
      <c r="K91" s="23"/>
      <c r="L91" s="23"/>
      <c r="M91" s="23"/>
      <c r="N91" s="23"/>
      <c r="O91" s="23"/>
      <c r="P91" s="23"/>
      <c r="Q91" s="23"/>
      <c r="R91" s="23"/>
    </row>
    <row r="92" spans="1:18" ht="30" customHeight="1" x14ac:dyDescent="0.25">
      <c r="A92" s="22" t="s">
        <v>224</v>
      </c>
      <c r="B92" s="23"/>
      <c r="C92" s="23"/>
      <c r="D92" s="23"/>
      <c r="E92" s="23"/>
      <c r="F92" s="23"/>
      <c r="G92" s="23"/>
      <c r="H92" s="23"/>
      <c r="I92" s="23"/>
      <c r="J92" s="23"/>
      <c r="K92" s="23"/>
      <c r="L92" s="23"/>
      <c r="M92" s="23"/>
      <c r="N92" s="23"/>
      <c r="O92" s="23"/>
      <c r="P92" s="23"/>
      <c r="Q92" s="23"/>
      <c r="R92" s="23"/>
    </row>
    <row r="93" spans="1:18" ht="30" customHeight="1" x14ac:dyDescent="0.25">
      <c r="A93" s="22" t="s">
        <v>225</v>
      </c>
      <c r="B93" s="23"/>
      <c r="C93" s="23"/>
      <c r="D93" s="23"/>
      <c r="E93" s="23"/>
      <c r="F93" s="23"/>
      <c r="G93" s="23"/>
      <c r="H93" s="23"/>
      <c r="I93" s="23"/>
      <c r="J93" s="23"/>
      <c r="K93" s="23"/>
      <c r="L93" s="23"/>
      <c r="M93" s="23"/>
      <c r="N93" s="23"/>
      <c r="O93" s="23"/>
      <c r="P93" s="23"/>
      <c r="Q93" s="23"/>
      <c r="R93" s="23"/>
    </row>
    <row r="94" spans="1:18" ht="30" customHeight="1" x14ac:dyDescent="0.25">
      <c r="A94" s="22" t="s">
        <v>226</v>
      </c>
      <c r="B94" s="23"/>
      <c r="C94" s="23"/>
      <c r="D94" s="23"/>
      <c r="E94" s="23"/>
      <c r="F94" s="23"/>
      <c r="G94" s="23"/>
      <c r="H94" s="23"/>
      <c r="I94" s="23"/>
      <c r="J94" s="23"/>
      <c r="K94" s="23"/>
      <c r="L94" s="23"/>
      <c r="M94" s="23"/>
      <c r="N94" s="23"/>
      <c r="O94" s="23"/>
      <c r="P94" s="23"/>
      <c r="Q94" s="23"/>
      <c r="R94" s="23"/>
    </row>
    <row r="95" spans="1:18" ht="30" customHeight="1" x14ac:dyDescent="0.25">
      <c r="A95" s="22" t="s">
        <v>227</v>
      </c>
      <c r="B95" s="23"/>
      <c r="C95" s="23"/>
      <c r="D95" s="23"/>
      <c r="E95" s="23"/>
      <c r="F95" s="23"/>
      <c r="G95" s="23"/>
      <c r="H95" s="23"/>
      <c r="I95" s="23"/>
      <c r="J95" s="23"/>
      <c r="K95" s="23"/>
      <c r="L95" s="23"/>
      <c r="M95" s="23"/>
      <c r="N95" s="23"/>
      <c r="O95" s="23"/>
      <c r="P95" s="23"/>
      <c r="Q95" s="23"/>
      <c r="R95" s="23"/>
    </row>
    <row r="96" spans="1:18" ht="30" customHeight="1" x14ac:dyDescent="0.25">
      <c r="A96" s="22" t="s">
        <v>228</v>
      </c>
      <c r="B96" s="23"/>
      <c r="C96" s="23"/>
      <c r="D96" s="23"/>
      <c r="E96" s="23"/>
      <c r="F96" s="23"/>
      <c r="G96" s="23"/>
      <c r="H96" s="23"/>
      <c r="I96" s="23"/>
      <c r="J96" s="23"/>
      <c r="K96" s="23"/>
      <c r="L96" s="23"/>
      <c r="M96" s="23"/>
      <c r="N96" s="23"/>
      <c r="O96" s="23"/>
      <c r="P96" s="23"/>
      <c r="Q96" s="23"/>
      <c r="R96" s="23"/>
    </row>
  </sheetData>
  <mergeCells count="22">
    <mergeCell ref="O4:P4"/>
    <mergeCell ref="Q4:R4"/>
    <mergeCell ref="A1:R1"/>
    <mergeCell ref="A2:R2"/>
    <mergeCell ref="A84:R84"/>
    <mergeCell ref="E4:F4"/>
    <mergeCell ref="G4:H4"/>
    <mergeCell ref="I4:J4"/>
    <mergeCell ref="K4:L4"/>
    <mergeCell ref="M4:N4"/>
    <mergeCell ref="A85:R85"/>
    <mergeCell ref="A86:R86"/>
    <mergeCell ref="A87:R87"/>
    <mergeCell ref="A88:R88"/>
    <mergeCell ref="A89:R89"/>
    <mergeCell ref="A95:R95"/>
    <mergeCell ref="A96:R96"/>
    <mergeCell ref="A90:R90"/>
    <mergeCell ref="A91:R91"/>
    <mergeCell ref="A92:R92"/>
    <mergeCell ref="A93:R93"/>
    <mergeCell ref="A94:R94"/>
  </mergeCells>
  <pageMargins left="0.75" right="0.75" top="1" bottom="1" header="0.5" footer="0.5"/>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6"/>
  <dimension ref="A1:R96"/>
  <sheetViews>
    <sheetView zoomScale="80" workbookViewId="0">
      <pane xSplit="4" topLeftCell="E1" activePane="topRight" state="frozen"/>
      <selection sqref="A1:R1"/>
      <selection pane="topRight" sqref="A1:R1"/>
    </sheetView>
  </sheetViews>
  <sheetFormatPr defaultColWidth="11.42578125" defaultRowHeight="15" x14ac:dyDescent="0.25"/>
  <cols>
    <col min="1" max="1" width="50" customWidth="1"/>
  </cols>
  <sheetData>
    <row r="1" spans="1:18" x14ac:dyDescent="0.25">
      <c r="A1" s="26" t="s">
        <v>122</v>
      </c>
      <c r="B1" s="23"/>
      <c r="C1" s="23"/>
      <c r="D1" s="23"/>
      <c r="E1" s="23"/>
      <c r="F1" s="23"/>
      <c r="G1" s="23"/>
      <c r="H1" s="23"/>
      <c r="I1" s="23"/>
      <c r="J1" s="23"/>
      <c r="K1" s="23"/>
      <c r="L1" s="23"/>
      <c r="M1" s="23"/>
      <c r="N1" s="23"/>
      <c r="O1" s="23"/>
      <c r="P1" s="23"/>
      <c r="Q1" s="23"/>
      <c r="R1" s="23"/>
    </row>
    <row r="2" spans="1:18" x14ac:dyDescent="0.25">
      <c r="A2" s="27" t="s">
        <v>282</v>
      </c>
      <c r="B2" s="23"/>
      <c r="C2" s="23"/>
      <c r="D2" s="23"/>
      <c r="E2" s="23"/>
      <c r="F2" s="23"/>
      <c r="G2" s="23"/>
      <c r="H2" s="23"/>
      <c r="I2" s="23"/>
      <c r="J2" s="23"/>
      <c r="K2" s="23"/>
      <c r="L2" s="23"/>
      <c r="M2" s="23"/>
      <c r="N2" s="23"/>
      <c r="O2" s="23"/>
      <c r="P2" s="23"/>
      <c r="Q2" s="23"/>
      <c r="R2" s="23"/>
    </row>
    <row r="4" spans="1:18" ht="30" customHeight="1" x14ac:dyDescent="0.25">
      <c r="A4" s="4"/>
      <c r="B4" s="5" t="s">
        <v>123</v>
      </c>
      <c r="C4" s="5" t="s">
        <v>124</v>
      </c>
      <c r="D4" s="6" t="s">
        <v>123</v>
      </c>
      <c r="E4" s="24" t="s">
        <v>125</v>
      </c>
      <c r="F4" s="25"/>
      <c r="G4" s="24" t="s">
        <v>126</v>
      </c>
      <c r="H4" s="25"/>
      <c r="I4" s="24" t="s">
        <v>127</v>
      </c>
      <c r="J4" s="25"/>
      <c r="K4" s="24" t="s">
        <v>128</v>
      </c>
      <c r="L4" s="25"/>
      <c r="M4" s="24" t="s">
        <v>129</v>
      </c>
      <c r="N4" s="25"/>
      <c r="O4" s="24" t="s">
        <v>130</v>
      </c>
      <c r="P4" s="25"/>
      <c r="Q4" s="24" t="s">
        <v>131</v>
      </c>
      <c r="R4" s="25"/>
    </row>
    <row r="5" spans="1:18" x14ac:dyDescent="0.25">
      <c r="A5" s="7"/>
      <c r="B5" s="8" t="s">
        <v>132</v>
      </c>
      <c r="C5" s="8" t="s">
        <v>133</v>
      </c>
      <c r="D5" s="7" t="s">
        <v>134</v>
      </c>
      <c r="E5" s="8" t="s">
        <v>135</v>
      </c>
      <c r="F5" s="7" t="s">
        <v>136</v>
      </c>
      <c r="G5" s="8" t="s">
        <v>135</v>
      </c>
      <c r="H5" s="7" t="s">
        <v>136</v>
      </c>
      <c r="I5" s="8" t="s">
        <v>135</v>
      </c>
      <c r="J5" s="7" t="s">
        <v>136</v>
      </c>
      <c r="K5" s="8" t="s">
        <v>135</v>
      </c>
      <c r="L5" s="7" t="s">
        <v>136</v>
      </c>
      <c r="M5" s="8" t="s">
        <v>135</v>
      </c>
      <c r="N5" s="7" t="s">
        <v>136</v>
      </c>
      <c r="O5" s="8" t="s">
        <v>135</v>
      </c>
      <c r="P5" s="7" t="s">
        <v>136</v>
      </c>
      <c r="Q5" s="8" t="s">
        <v>135</v>
      </c>
      <c r="R5" s="7" t="s">
        <v>136</v>
      </c>
    </row>
    <row r="6" spans="1:18" x14ac:dyDescent="0.25">
      <c r="A6" s="9" t="s">
        <v>137</v>
      </c>
      <c r="B6" s="10"/>
      <c r="C6" s="10"/>
      <c r="D6" s="11"/>
      <c r="E6" s="10"/>
      <c r="F6" s="11"/>
      <c r="G6" s="10"/>
      <c r="H6" s="11"/>
      <c r="I6" s="10"/>
      <c r="J6" s="11"/>
      <c r="K6" s="10"/>
      <c r="L6" s="11"/>
      <c r="M6" s="10"/>
      <c r="N6" s="11"/>
      <c r="O6" s="10"/>
      <c r="P6" s="11"/>
      <c r="Q6" s="10"/>
      <c r="R6" s="12"/>
    </row>
    <row r="7" spans="1:18" x14ac:dyDescent="0.25">
      <c r="A7" s="11" t="s">
        <v>138</v>
      </c>
      <c r="B7" s="13">
        <v>14530</v>
      </c>
      <c r="C7" s="14">
        <f>(12103/B7*100)</f>
        <v>83.296627666896072</v>
      </c>
      <c r="D7" s="15">
        <v>2427</v>
      </c>
      <c r="E7" s="14">
        <v>48.684792700000003</v>
      </c>
      <c r="F7" s="16">
        <v>1.1928763600000001</v>
      </c>
      <c r="G7" s="14">
        <v>51.315207299999997</v>
      </c>
      <c r="H7" s="16">
        <v>1.1928763600000001</v>
      </c>
      <c r="I7" s="14" t="s">
        <v>139</v>
      </c>
      <c r="J7" s="16" t="s">
        <v>139</v>
      </c>
      <c r="K7" s="14">
        <v>0</v>
      </c>
      <c r="L7" s="16">
        <v>0</v>
      </c>
      <c r="M7" s="14">
        <v>0</v>
      </c>
      <c r="N7" s="16">
        <v>0</v>
      </c>
      <c r="O7" s="14">
        <v>0</v>
      </c>
      <c r="P7" s="16">
        <v>0</v>
      </c>
      <c r="Q7" s="14">
        <v>0</v>
      </c>
      <c r="R7" s="16">
        <v>0</v>
      </c>
    </row>
    <row r="8" spans="1:18" x14ac:dyDescent="0.25">
      <c r="A8" s="11" t="s">
        <v>140</v>
      </c>
      <c r="B8" s="13">
        <v>7007</v>
      </c>
      <c r="C8" s="14">
        <f>(5812/B8*100)</f>
        <v>82.94562580276866</v>
      </c>
      <c r="D8" s="15">
        <v>1195</v>
      </c>
      <c r="E8" s="14">
        <v>43.627260499999998</v>
      </c>
      <c r="F8" s="16">
        <v>1.6855441099999999</v>
      </c>
      <c r="G8" s="14">
        <v>56.372739500000002</v>
      </c>
      <c r="H8" s="16">
        <v>1.6855441099999999</v>
      </c>
      <c r="I8" s="14" t="s">
        <v>139</v>
      </c>
      <c r="J8" s="16" t="s">
        <v>139</v>
      </c>
      <c r="K8" s="14">
        <v>0</v>
      </c>
      <c r="L8" s="16">
        <v>0</v>
      </c>
      <c r="M8" s="14">
        <v>0</v>
      </c>
      <c r="N8" s="16">
        <v>0</v>
      </c>
      <c r="O8" s="14">
        <v>0</v>
      </c>
      <c r="P8" s="16">
        <v>0</v>
      </c>
      <c r="Q8" s="14">
        <v>0</v>
      </c>
      <c r="R8" s="16">
        <v>0</v>
      </c>
    </row>
    <row r="9" spans="1:18" x14ac:dyDescent="0.25">
      <c r="A9" s="11" t="s">
        <v>141</v>
      </c>
      <c r="B9" s="13">
        <v>9651</v>
      </c>
      <c r="C9" s="14">
        <f>(8044/B9*100)</f>
        <v>83.34887576416952</v>
      </c>
      <c r="D9" s="15">
        <v>1607</v>
      </c>
      <c r="E9" s="14">
        <v>56.385653550000001</v>
      </c>
      <c r="F9" s="16">
        <v>1.1449814199999999</v>
      </c>
      <c r="G9" s="14">
        <v>43.614346449999999</v>
      </c>
      <c r="H9" s="16">
        <v>1.1449814199999999</v>
      </c>
      <c r="I9" s="14" t="s">
        <v>139</v>
      </c>
      <c r="J9" s="16" t="s">
        <v>139</v>
      </c>
      <c r="K9" s="14">
        <v>0</v>
      </c>
      <c r="L9" s="16">
        <v>0</v>
      </c>
      <c r="M9" s="14">
        <v>0</v>
      </c>
      <c r="N9" s="16">
        <v>0</v>
      </c>
      <c r="O9" s="14">
        <v>0</v>
      </c>
      <c r="P9" s="16">
        <v>0</v>
      </c>
      <c r="Q9" s="14">
        <v>0</v>
      </c>
      <c r="R9" s="16">
        <v>0</v>
      </c>
    </row>
    <row r="10" spans="1:18" x14ac:dyDescent="0.25">
      <c r="A10" s="11" t="s">
        <v>142</v>
      </c>
      <c r="B10" s="13">
        <v>20058</v>
      </c>
      <c r="C10" s="14">
        <f>(16638/B10*100)</f>
        <v>82.949446604845946</v>
      </c>
      <c r="D10" s="15">
        <v>3420</v>
      </c>
      <c r="E10" s="14">
        <v>48.598534960000002</v>
      </c>
      <c r="F10" s="16">
        <v>1.09779278</v>
      </c>
      <c r="G10" s="14">
        <v>51.401465039999998</v>
      </c>
      <c r="H10" s="16">
        <v>1.09779278</v>
      </c>
      <c r="I10" s="14" t="s">
        <v>139</v>
      </c>
      <c r="J10" s="16" t="s">
        <v>139</v>
      </c>
      <c r="K10" s="14">
        <v>0</v>
      </c>
      <c r="L10" s="16">
        <v>0</v>
      </c>
      <c r="M10" s="14">
        <v>0</v>
      </c>
      <c r="N10" s="16">
        <v>0</v>
      </c>
      <c r="O10" s="14">
        <v>0</v>
      </c>
      <c r="P10" s="16">
        <v>0</v>
      </c>
      <c r="Q10" s="14">
        <v>0</v>
      </c>
      <c r="R10" s="16">
        <v>0</v>
      </c>
    </row>
    <row r="11" spans="1:18" x14ac:dyDescent="0.25">
      <c r="A11" s="11" t="s">
        <v>143</v>
      </c>
      <c r="B11" s="13">
        <v>7053</v>
      </c>
      <c r="C11" s="14">
        <f>(5851/B11*100)</f>
        <v>82.957606692187724</v>
      </c>
      <c r="D11" s="15">
        <v>1202</v>
      </c>
      <c r="E11" s="14">
        <v>52.072010859999999</v>
      </c>
      <c r="F11" s="16">
        <v>1.7049207900000001</v>
      </c>
      <c r="G11" s="14">
        <v>47.927989140000001</v>
      </c>
      <c r="H11" s="16">
        <v>1.7049207900000001</v>
      </c>
      <c r="I11" s="14" t="s">
        <v>139</v>
      </c>
      <c r="J11" s="16" t="s">
        <v>139</v>
      </c>
      <c r="K11" s="14">
        <v>0</v>
      </c>
      <c r="L11" s="16">
        <v>0</v>
      </c>
      <c r="M11" s="14">
        <v>0</v>
      </c>
      <c r="N11" s="16">
        <v>0</v>
      </c>
      <c r="O11" s="14">
        <v>0</v>
      </c>
      <c r="P11" s="16">
        <v>0</v>
      </c>
      <c r="Q11" s="14">
        <v>0</v>
      </c>
      <c r="R11" s="16">
        <v>0</v>
      </c>
    </row>
    <row r="12" spans="1:18" x14ac:dyDescent="0.25">
      <c r="A12" s="11" t="s">
        <v>144</v>
      </c>
      <c r="B12" s="13">
        <v>6894</v>
      </c>
      <c r="C12" s="14">
        <f>(5720/B12*100)</f>
        <v>82.970699158688717</v>
      </c>
      <c r="D12" s="15">
        <v>1174</v>
      </c>
      <c r="E12" s="14">
        <v>37.251401940000001</v>
      </c>
      <c r="F12" s="16">
        <v>1.91450141</v>
      </c>
      <c r="G12" s="14">
        <v>62.748598059999999</v>
      </c>
      <c r="H12" s="16">
        <v>1.91450141</v>
      </c>
      <c r="I12" s="14" t="s">
        <v>139</v>
      </c>
      <c r="J12" s="16" t="s">
        <v>139</v>
      </c>
      <c r="K12" s="14">
        <v>0</v>
      </c>
      <c r="L12" s="16">
        <v>0</v>
      </c>
      <c r="M12" s="14">
        <v>0</v>
      </c>
      <c r="N12" s="16">
        <v>0</v>
      </c>
      <c r="O12" s="14">
        <v>0</v>
      </c>
      <c r="P12" s="16">
        <v>0</v>
      </c>
      <c r="Q12" s="14">
        <v>0</v>
      </c>
      <c r="R12" s="16">
        <v>0</v>
      </c>
    </row>
    <row r="13" spans="1:18" x14ac:dyDescent="0.25">
      <c r="A13" s="11" t="s">
        <v>145</v>
      </c>
      <c r="B13" s="13">
        <v>7161</v>
      </c>
      <c r="C13" s="14">
        <f>(6008/B13*100)</f>
        <v>83.898896802122607</v>
      </c>
      <c r="D13" s="15">
        <v>1153</v>
      </c>
      <c r="E13" s="14">
        <v>49.763541279999998</v>
      </c>
      <c r="F13" s="16">
        <v>1.5784778900000001</v>
      </c>
      <c r="G13" s="14">
        <v>50.236458720000002</v>
      </c>
      <c r="H13" s="16">
        <v>1.5784778900000001</v>
      </c>
      <c r="I13" s="14" t="s">
        <v>139</v>
      </c>
      <c r="J13" s="16" t="s">
        <v>139</v>
      </c>
      <c r="K13" s="14">
        <v>0</v>
      </c>
      <c r="L13" s="16">
        <v>0</v>
      </c>
      <c r="M13" s="14">
        <v>0</v>
      </c>
      <c r="N13" s="16">
        <v>0</v>
      </c>
      <c r="O13" s="14">
        <v>0</v>
      </c>
      <c r="P13" s="16">
        <v>0</v>
      </c>
      <c r="Q13" s="14">
        <v>0</v>
      </c>
      <c r="R13" s="16">
        <v>0</v>
      </c>
    </row>
    <row r="14" spans="1:18" x14ac:dyDescent="0.25">
      <c r="A14" s="11" t="s">
        <v>146</v>
      </c>
      <c r="B14" s="13">
        <v>5587</v>
      </c>
      <c r="C14" s="14">
        <f>(4631/B14*100)</f>
        <v>82.888849114014675</v>
      </c>
      <c r="D14" s="15">
        <v>956</v>
      </c>
      <c r="E14" s="14">
        <v>48.646184550000001</v>
      </c>
      <c r="F14" s="16">
        <v>1.82673858</v>
      </c>
      <c r="G14" s="14">
        <v>51.353815449999999</v>
      </c>
      <c r="H14" s="16">
        <v>1.82673858</v>
      </c>
      <c r="I14" s="14" t="s">
        <v>139</v>
      </c>
      <c r="J14" s="16" t="s">
        <v>139</v>
      </c>
      <c r="K14" s="14">
        <v>0</v>
      </c>
      <c r="L14" s="16">
        <v>0</v>
      </c>
      <c r="M14" s="14">
        <v>0</v>
      </c>
      <c r="N14" s="16">
        <v>0</v>
      </c>
      <c r="O14" s="14">
        <v>0</v>
      </c>
      <c r="P14" s="16">
        <v>0</v>
      </c>
      <c r="Q14" s="14">
        <v>0</v>
      </c>
      <c r="R14" s="16">
        <v>0</v>
      </c>
    </row>
    <row r="15" spans="1:18" x14ac:dyDescent="0.25">
      <c r="A15" s="11" t="s">
        <v>147</v>
      </c>
      <c r="B15" s="13">
        <v>5882</v>
      </c>
      <c r="C15" s="14">
        <f>(4867/B15*100)</f>
        <v>82.743964637878278</v>
      </c>
      <c r="D15" s="15">
        <v>1015</v>
      </c>
      <c r="E15" s="14">
        <v>47.325074399999998</v>
      </c>
      <c r="F15" s="16">
        <v>1.65435099</v>
      </c>
      <c r="G15" s="14">
        <v>52.674925600000002</v>
      </c>
      <c r="H15" s="16">
        <v>1.65435099</v>
      </c>
      <c r="I15" s="14" t="s">
        <v>139</v>
      </c>
      <c r="J15" s="16" t="s">
        <v>139</v>
      </c>
      <c r="K15" s="14">
        <v>0</v>
      </c>
      <c r="L15" s="16">
        <v>0</v>
      </c>
      <c r="M15" s="14">
        <v>0</v>
      </c>
      <c r="N15" s="16">
        <v>0</v>
      </c>
      <c r="O15" s="14">
        <v>0</v>
      </c>
      <c r="P15" s="16">
        <v>0</v>
      </c>
      <c r="Q15" s="14">
        <v>0</v>
      </c>
      <c r="R15" s="16">
        <v>0</v>
      </c>
    </row>
    <row r="16" spans="1:18" x14ac:dyDescent="0.25">
      <c r="A16" s="11" t="s">
        <v>148</v>
      </c>
      <c r="B16" s="13">
        <v>6108</v>
      </c>
      <c r="C16" s="14">
        <f>(5047/B16*100)</f>
        <v>82.629338572364105</v>
      </c>
      <c r="D16" s="15">
        <v>1061</v>
      </c>
      <c r="E16" s="14">
        <v>65.702198050000007</v>
      </c>
      <c r="F16" s="16">
        <v>1.5226704</v>
      </c>
      <c r="G16" s="14">
        <v>34.29780195</v>
      </c>
      <c r="H16" s="16">
        <v>1.5226704</v>
      </c>
      <c r="I16" s="14" t="s">
        <v>139</v>
      </c>
      <c r="J16" s="16" t="s">
        <v>139</v>
      </c>
      <c r="K16" s="14">
        <v>0</v>
      </c>
      <c r="L16" s="16">
        <v>0</v>
      </c>
      <c r="M16" s="14">
        <v>0</v>
      </c>
      <c r="N16" s="16">
        <v>0</v>
      </c>
      <c r="O16" s="14">
        <v>0</v>
      </c>
      <c r="P16" s="16">
        <v>0</v>
      </c>
      <c r="Q16" s="14">
        <v>0</v>
      </c>
      <c r="R16" s="16">
        <v>0</v>
      </c>
    </row>
    <row r="17" spans="1:18" x14ac:dyDescent="0.25">
      <c r="A17" s="11" t="s">
        <v>149</v>
      </c>
      <c r="B17" s="13">
        <v>6504</v>
      </c>
      <c r="C17" s="14">
        <f>(5401/B17*100)</f>
        <v>83.041205412054126</v>
      </c>
      <c r="D17" s="15">
        <v>1103</v>
      </c>
      <c r="E17" s="14">
        <v>42.062598250000001</v>
      </c>
      <c r="F17" s="16">
        <v>1.34054973</v>
      </c>
      <c r="G17" s="14">
        <v>57.937401749999999</v>
      </c>
      <c r="H17" s="16">
        <v>1.34054973</v>
      </c>
      <c r="I17" s="14" t="s">
        <v>139</v>
      </c>
      <c r="J17" s="16" t="s">
        <v>139</v>
      </c>
      <c r="K17" s="14">
        <v>0</v>
      </c>
      <c r="L17" s="16">
        <v>0</v>
      </c>
      <c r="M17" s="14">
        <v>0</v>
      </c>
      <c r="N17" s="16">
        <v>0</v>
      </c>
      <c r="O17" s="14">
        <v>0</v>
      </c>
      <c r="P17" s="16">
        <v>0</v>
      </c>
      <c r="Q17" s="14">
        <v>0</v>
      </c>
      <c r="R17" s="16">
        <v>0</v>
      </c>
    </row>
    <row r="18" spans="1:18" x14ac:dyDescent="0.25">
      <c r="A18" s="11" t="s">
        <v>150</v>
      </c>
      <c r="B18" s="13">
        <v>5532</v>
      </c>
      <c r="C18" s="14">
        <f>(4618/B18*100)</f>
        <v>83.477946493130872</v>
      </c>
      <c r="D18" s="15">
        <v>914</v>
      </c>
      <c r="E18" s="14">
        <v>53.682401540000001</v>
      </c>
      <c r="F18" s="16">
        <v>1.7385324900000001</v>
      </c>
      <c r="G18" s="14">
        <v>46.317598459999999</v>
      </c>
      <c r="H18" s="16">
        <v>1.7385324900000001</v>
      </c>
      <c r="I18" s="14" t="s">
        <v>139</v>
      </c>
      <c r="J18" s="16" t="s">
        <v>139</v>
      </c>
      <c r="K18" s="14">
        <v>0</v>
      </c>
      <c r="L18" s="16">
        <v>0</v>
      </c>
      <c r="M18" s="14">
        <v>0</v>
      </c>
      <c r="N18" s="16">
        <v>0</v>
      </c>
      <c r="O18" s="14">
        <v>0</v>
      </c>
      <c r="P18" s="16">
        <v>0</v>
      </c>
      <c r="Q18" s="14">
        <v>0</v>
      </c>
      <c r="R18" s="16">
        <v>0</v>
      </c>
    </row>
    <row r="19" spans="1:18" x14ac:dyDescent="0.25">
      <c r="A19" s="11" t="s">
        <v>151</v>
      </c>
      <c r="B19" s="13">
        <v>5658</v>
      </c>
      <c r="C19" s="14">
        <f>(4693/B19*100)</f>
        <v>82.944503358077057</v>
      </c>
      <c r="D19" s="15">
        <v>965</v>
      </c>
      <c r="E19" s="14">
        <v>46.603039799999998</v>
      </c>
      <c r="F19" s="16">
        <v>1.6006067399999999</v>
      </c>
      <c r="G19" s="14">
        <v>53.396960200000002</v>
      </c>
      <c r="H19" s="16">
        <v>1.6006067399999999</v>
      </c>
      <c r="I19" s="14" t="s">
        <v>139</v>
      </c>
      <c r="J19" s="16" t="s">
        <v>139</v>
      </c>
      <c r="K19" s="14">
        <v>0</v>
      </c>
      <c r="L19" s="16">
        <v>0</v>
      </c>
      <c r="M19" s="14">
        <v>0</v>
      </c>
      <c r="N19" s="16">
        <v>0</v>
      </c>
      <c r="O19" s="14">
        <v>0</v>
      </c>
      <c r="P19" s="16">
        <v>0</v>
      </c>
      <c r="Q19" s="14">
        <v>0</v>
      </c>
      <c r="R19" s="16">
        <v>0</v>
      </c>
    </row>
    <row r="20" spans="1:18" x14ac:dyDescent="0.25">
      <c r="A20" s="11" t="s">
        <v>152</v>
      </c>
      <c r="B20" s="13">
        <v>3371</v>
      </c>
      <c r="C20" s="14">
        <f>(2807/B20*100)</f>
        <v>83.26905962622368</v>
      </c>
      <c r="D20" s="15">
        <v>564</v>
      </c>
      <c r="E20" s="14">
        <v>35.638285369999998</v>
      </c>
      <c r="F20" s="16">
        <v>1.7429378900000001</v>
      </c>
      <c r="G20" s="14">
        <v>64.361714629999994</v>
      </c>
      <c r="H20" s="16">
        <v>1.7429378900000001</v>
      </c>
      <c r="I20" s="14" t="s">
        <v>139</v>
      </c>
      <c r="J20" s="16" t="s">
        <v>139</v>
      </c>
      <c r="K20" s="14">
        <v>0</v>
      </c>
      <c r="L20" s="16">
        <v>0</v>
      </c>
      <c r="M20" s="14">
        <v>0</v>
      </c>
      <c r="N20" s="16">
        <v>0</v>
      </c>
      <c r="O20" s="14">
        <v>0</v>
      </c>
      <c r="P20" s="16">
        <v>0</v>
      </c>
      <c r="Q20" s="14">
        <v>0</v>
      </c>
      <c r="R20" s="16">
        <v>0</v>
      </c>
    </row>
    <row r="21" spans="1:18" x14ac:dyDescent="0.25">
      <c r="A21" s="11" t="s">
        <v>153</v>
      </c>
      <c r="B21" s="17" t="s">
        <v>154</v>
      </c>
      <c r="C21" s="17" t="s">
        <v>154</v>
      </c>
      <c r="D21" s="18" t="s">
        <v>154</v>
      </c>
      <c r="E21" s="17" t="s">
        <v>154</v>
      </c>
      <c r="F21" s="18" t="s">
        <v>154</v>
      </c>
      <c r="G21" s="17" t="s">
        <v>154</v>
      </c>
      <c r="H21" s="18" t="s">
        <v>154</v>
      </c>
      <c r="I21" s="17" t="s">
        <v>154</v>
      </c>
      <c r="J21" s="18" t="s">
        <v>154</v>
      </c>
      <c r="K21" s="17" t="s">
        <v>154</v>
      </c>
      <c r="L21" s="18" t="s">
        <v>154</v>
      </c>
      <c r="M21" s="17" t="s">
        <v>154</v>
      </c>
      <c r="N21" s="18" t="s">
        <v>154</v>
      </c>
      <c r="O21" s="17" t="s">
        <v>154</v>
      </c>
      <c r="P21" s="18" t="s">
        <v>154</v>
      </c>
      <c r="Q21" s="17" t="s">
        <v>154</v>
      </c>
      <c r="R21" s="18" t="s">
        <v>154</v>
      </c>
    </row>
    <row r="22" spans="1:18" x14ac:dyDescent="0.25">
      <c r="A22" s="11" t="s">
        <v>155</v>
      </c>
      <c r="B22" s="13">
        <v>6598</v>
      </c>
      <c r="C22" s="14">
        <f>(5567/B22*100)</f>
        <v>84.374052743255533</v>
      </c>
      <c r="D22" s="15">
        <v>1031</v>
      </c>
      <c r="E22" s="14">
        <v>58.585212720000001</v>
      </c>
      <c r="F22" s="16">
        <v>1.57582512</v>
      </c>
      <c r="G22" s="14">
        <v>41.414787279999999</v>
      </c>
      <c r="H22" s="16">
        <v>1.57582512</v>
      </c>
      <c r="I22" s="14" t="s">
        <v>139</v>
      </c>
      <c r="J22" s="16" t="s">
        <v>139</v>
      </c>
      <c r="K22" s="14">
        <v>0</v>
      </c>
      <c r="L22" s="16">
        <v>0</v>
      </c>
      <c r="M22" s="14">
        <v>0</v>
      </c>
      <c r="N22" s="16">
        <v>0</v>
      </c>
      <c r="O22" s="14">
        <v>0</v>
      </c>
      <c r="P22" s="16">
        <v>0</v>
      </c>
      <c r="Q22" s="14">
        <v>0</v>
      </c>
      <c r="R22" s="16">
        <v>0</v>
      </c>
    </row>
    <row r="23" spans="1:18" x14ac:dyDescent="0.25">
      <c r="A23" s="11" t="s">
        <v>156</v>
      </c>
      <c r="B23" s="13">
        <v>11583</v>
      </c>
      <c r="C23" s="14">
        <f>(9592/B23*100)</f>
        <v>82.81101614434948</v>
      </c>
      <c r="D23" s="15">
        <v>1991</v>
      </c>
      <c r="E23" s="14">
        <v>53.838619989999998</v>
      </c>
      <c r="F23" s="16">
        <v>1.5346310999999999</v>
      </c>
      <c r="G23" s="14">
        <v>46.161380010000002</v>
      </c>
      <c r="H23" s="16">
        <v>1.5346310999999999</v>
      </c>
      <c r="I23" s="14" t="s">
        <v>139</v>
      </c>
      <c r="J23" s="16" t="s">
        <v>139</v>
      </c>
      <c r="K23" s="14">
        <v>0</v>
      </c>
      <c r="L23" s="16">
        <v>0</v>
      </c>
      <c r="M23" s="14">
        <v>0</v>
      </c>
      <c r="N23" s="16">
        <v>0</v>
      </c>
      <c r="O23" s="14">
        <v>0</v>
      </c>
      <c r="P23" s="16">
        <v>0</v>
      </c>
      <c r="Q23" s="14">
        <v>0</v>
      </c>
      <c r="R23" s="16">
        <v>0</v>
      </c>
    </row>
    <row r="24" spans="1:18" x14ac:dyDescent="0.25">
      <c r="A24" s="11" t="s">
        <v>157</v>
      </c>
      <c r="B24" s="13">
        <v>6647</v>
      </c>
      <c r="C24" s="14">
        <f>(5467/B24*100)</f>
        <v>82.247630510004512</v>
      </c>
      <c r="D24" s="15">
        <v>1180</v>
      </c>
      <c r="E24" s="14">
        <v>35.105241220000003</v>
      </c>
      <c r="F24" s="16">
        <v>1.3098066900000001</v>
      </c>
      <c r="G24" s="14">
        <v>64.894758780000004</v>
      </c>
      <c r="H24" s="16">
        <v>1.3098066900000001</v>
      </c>
      <c r="I24" s="14" t="s">
        <v>139</v>
      </c>
      <c r="J24" s="16" t="s">
        <v>139</v>
      </c>
      <c r="K24" s="14">
        <v>0</v>
      </c>
      <c r="L24" s="16">
        <v>0</v>
      </c>
      <c r="M24" s="14">
        <v>0</v>
      </c>
      <c r="N24" s="16">
        <v>0</v>
      </c>
      <c r="O24" s="14">
        <v>0</v>
      </c>
      <c r="P24" s="16">
        <v>0</v>
      </c>
      <c r="Q24" s="14">
        <v>0</v>
      </c>
      <c r="R24" s="16">
        <v>0</v>
      </c>
    </row>
    <row r="25" spans="1:18" x14ac:dyDescent="0.25">
      <c r="A25" s="11" t="s">
        <v>158</v>
      </c>
      <c r="B25" s="13">
        <v>5581</v>
      </c>
      <c r="C25" s="14">
        <f>(4597/B25*100)</f>
        <v>82.368751119870993</v>
      </c>
      <c r="D25" s="15">
        <v>984</v>
      </c>
      <c r="E25" s="14">
        <v>33.208474189999997</v>
      </c>
      <c r="F25" s="16">
        <v>1.6910721900000001</v>
      </c>
      <c r="G25" s="14">
        <v>66.791525809999996</v>
      </c>
      <c r="H25" s="16">
        <v>1.6910721900000001</v>
      </c>
      <c r="I25" s="14" t="s">
        <v>139</v>
      </c>
      <c r="J25" s="16" t="s">
        <v>139</v>
      </c>
      <c r="K25" s="14">
        <v>0</v>
      </c>
      <c r="L25" s="16">
        <v>0</v>
      </c>
      <c r="M25" s="14">
        <v>0</v>
      </c>
      <c r="N25" s="16">
        <v>0</v>
      </c>
      <c r="O25" s="14">
        <v>0</v>
      </c>
      <c r="P25" s="16">
        <v>0</v>
      </c>
      <c r="Q25" s="14">
        <v>0</v>
      </c>
      <c r="R25" s="16">
        <v>0</v>
      </c>
    </row>
    <row r="26" spans="1:18" x14ac:dyDescent="0.25">
      <c r="A26" s="11" t="s">
        <v>159</v>
      </c>
      <c r="B26" s="13">
        <v>4869</v>
      </c>
      <c r="C26" s="14">
        <f>(4032/B26*100)</f>
        <v>82.809611829944558</v>
      </c>
      <c r="D26" s="15">
        <v>837</v>
      </c>
      <c r="E26" s="14">
        <v>54.971252819999997</v>
      </c>
      <c r="F26" s="16">
        <v>1.91671086</v>
      </c>
      <c r="G26" s="14">
        <v>45.028747180000003</v>
      </c>
      <c r="H26" s="16">
        <v>1.91671086</v>
      </c>
      <c r="I26" s="14" t="s">
        <v>139</v>
      </c>
      <c r="J26" s="16" t="s">
        <v>139</v>
      </c>
      <c r="K26" s="14">
        <v>0</v>
      </c>
      <c r="L26" s="16">
        <v>0</v>
      </c>
      <c r="M26" s="14">
        <v>0</v>
      </c>
      <c r="N26" s="16">
        <v>0</v>
      </c>
      <c r="O26" s="14">
        <v>0</v>
      </c>
      <c r="P26" s="16">
        <v>0</v>
      </c>
      <c r="Q26" s="14">
        <v>0</v>
      </c>
      <c r="R26" s="16">
        <v>0</v>
      </c>
    </row>
    <row r="27" spans="1:18" x14ac:dyDescent="0.25">
      <c r="A27" s="11" t="s">
        <v>160</v>
      </c>
      <c r="B27" s="13">
        <v>5299</v>
      </c>
      <c r="C27" s="14">
        <f>(4397/B27*100)</f>
        <v>82.977920362332512</v>
      </c>
      <c r="D27" s="15">
        <v>902</v>
      </c>
      <c r="E27" s="14">
        <v>51.659391169999999</v>
      </c>
      <c r="F27" s="16">
        <v>1.6021637900000001</v>
      </c>
      <c r="G27" s="14">
        <v>48.340608830000001</v>
      </c>
      <c r="H27" s="16">
        <v>1.6021637900000001</v>
      </c>
      <c r="I27" s="14" t="s">
        <v>139</v>
      </c>
      <c r="J27" s="16" t="s">
        <v>139</v>
      </c>
      <c r="K27" s="14">
        <v>0</v>
      </c>
      <c r="L27" s="16">
        <v>0</v>
      </c>
      <c r="M27" s="14">
        <v>0</v>
      </c>
      <c r="N27" s="16">
        <v>0</v>
      </c>
      <c r="O27" s="14">
        <v>0</v>
      </c>
      <c r="P27" s="16">
        <v>0</v>
      </c>
      <c r="Q27" s="14">
        <v>0</v>
      </c>
      <c r="R27" s="16">
        <v>0</v>
      </c>
    </row>
    <row r="28" spans="1:18" x14ac:dyDescent="0.25">
      <c r="A28" s="11" t="s">
        <v>161</v>
      </c>
      <c r="B28" s="13">
        <v>7568</v>
      </c>
      <c r="C28" s="14">
        <f>(6322/B28*100)</f>
        <v>83.535940803382672</v>
      </c>
      <c r="D28" s="15">
        <v>1246</v>
      </c>
      <c r="E28" s="14">
        <v>61.257701410000003</v>
      </c>
      <c r="F28" s="16">
        <v>1.7442449200000001</v>
      </c>
      <c r="G28" s="14">
        <v>38.742298589999997</v>
      </c>
      <c r="H28" s="16">
        <v>1.7442449200000001</v>
      </c>
      <c r="I28" s="14" t="s">
        <v>139</v>
      </c>
      <c r="J28" s="16" t="s">
        <v>139</v>
      </c>
      <c r="K28" s="14">
        <v>0</v>
      </c>
      <c r="L28" s="16">
        <v>0</v>
      </c>
      <c r="M28" s="14">
        <v>0</v>
      </c>
      <c r="N28" s="16">
        <v>0</v>
      </c>
      <c r="O28" s="14">
        <v>0</v>
      </c>
      <c r="P28" s="16">
        <v>0</v>
      </c>
      <c r="Q28" s="14">
        <v>0</v>
      </c>
      <c r="R28" s="16">
        <v>0</v>
      </c>
    </row>
    <row r="29" spans="1:18" x14ac:dyDescent="0.25">
      <c r="A29" s="11" t="s">
        <v>162</v>
      </c>
      <c r="B29" s="13">
        <v>5385</v>
      </c>
      <c r="C29" s="14">
        <f>(4466/B29*100)</f>
        <v>82.934076137418757</v>
      </c>
      <c r="D29" s="15">
        <v>919</v>
      </c>
      <c r="E29" s="14">
        <v>48.865705239999997</v>
      </c>
      <c r="F29" s="16">
        <v>2.0076780200000002</v>
      </c>
      <c r="G29" s="14">
        <v>51.134294760000003</v>
      </c>
      <c r="H29" s="16">
        <v>2.0076780200000002</v>
      </c>
      <c r="I29" s="14" t="s">
        <v>139</v>
      </c>
      <c r="J29" s="16" t="s">
        <v>139</v>
      </c>
      <c r="K29" s="14">
        <v>0</v>
      </c>
      <c r="L29" s="16">
        <v>0</v>
      </c>
      <c r="M29" s="14">
        <v>0</v>
      </c>
      <c r="N29" s="16">
        <v>0</v>
      </c>
      <c r="O29" s="14">
        <v>0</v>
      </c>
      <c r="P29" s="16">
        <v>0</v>
      </c>
      <c r="Q29" s="14">
        <v>0</v>
      </c>
      <c r="R29" s="16">
        <v>0</v>
      </c>
    </row>
    <row r="30" spans="1:18" x14ac:dyDescent="0.25">
      <c r="A30" s="11" t="s">
        <v>163</v>
      </c>
      <c r="B30" s="13">
        <v>4520</v>
      </c>
      <c r="C30" s="14">
        <f>(3753/B30*100)</f>
        <v>83.030973451327441</v>
      </c>
      <c r="D30" s="15">
        <v>767</v>
      </c>
      <c r="E30" s="14">
        <v>51.332246859999998</v>
      </c>
      <c r="F30" s="16">
        <v>1.7384111799999999</v>
      </c>
      <c r="G30" s="14">
        <v>48.667753140000002</v>
      </c>
      <c r="H30" s="16">
        <v>1.7384111799999999</v>
      </c>
      <c r="I30" s="14" t="s">
        <v>139</v>
      </c>
      <c r="J30" s="16" t="s">
        <v>139</v>
      </c>
      <c r="K30" s="14">
        <v>0</v>
      </c>
      <c r="L30" s="16">
        <v>0</v>
      </c>
      <c r="M30" s="14">
        <v>0</v>
      </c>
      <c r="N30" s="16">
        <v>0</v>
      </c>
      <c r="O30" s="14">
        <v>0</v>
      </c>
      <c r="P30" s="16">
        <v>0</v>
      </c>
      <c r="Q30" s="14">
        <v>0</v>
      </c>
      <c r="R30" s="16">
        <v>0</v>
      </c>
    </row>
    <row r="31" spans="1:18" x14ac:dyDescent="0.25">
      <c r="A31" s="11" t="s">
        <v>164</v>
      </c>
      <c r="B31" s="13">
        <v>5456</v>
      </c>
      <c r="C31" s="14">
        <f>(4490/B31*100)</f>
        <v>82.294721407624635</v>
      </c>
      <c r="D31" s="15">
        <v>966</v>
      </c>
      <c r="E31" s="14">
        <v>51.839459419999997</v>
      </c>
      <c r="F31" s="16">
        <v>1.6839716199999999</v>
      </c>
      <c r="G31" s="14">
        <v>48.160540580000003</v>
      </c>
      <c r="H31" s="16">
        <v>1.6839716199999999</v>
      </c>
      <c r="I31" s="14" t="s">
        <v>139</v>
      </c>
      <c r="J31" s="16" t="s">
        <v>139</v>
      </c>
      <c r="K31" s="14">
        <v>0</v>
      </c>
      <c r="L31" s="16">
        <v>0</v>
      </c>
      <c r="M31" s="14">
        <v>0</v>
      </c>
      <c r="N31" s="16">
        <v>0</v>
      </c>
      <c r="O31" s="14">
        <v>0</v>
      </c>
      <c r="P31" s="16">
        <v>0</v>
      </c>
      <c r="Q31" s="14">
        <v>0</v>
      </c>
      <c r="R31" s="16">
        <v>0</v>
      </c>
    </row>
    <row r="32" spans="1:18" x14ac:dyDescent="0.25">
      <c r="A32" s="11" t="s">
        <v>165</v>
      </c>
      <c r="B32" s="17" t="s">
        <v>154</v>
      </c>
      <c r="C32" s="17" t="s">
        <v>154</v>
      </c>
      <c r="D32" s="18" t="s">
        <v>154</v>
      </c>
      <c r="E32" s="17" t="s">
        <v>154</v>
      </c>
      <c r="F32" s="18" t="s">
        <v>154</v>
      </c>
      <c r="G32" s="17" t="s">
        <v>154</v>
      </c>
      <c r="H32" s="18" t="s">
        <v>154</v>
      </c>
      <c r="I32" s="17" t="s">
        <v>154</v>
      </c>
      <c r="J32" s="18" t="s">
        <v>154</v>
      </c>
      <c r="K32" s="17" t="s">
        <v>154</v>
      </c>
      <c r="L32" s="18" t="s">
        <v>154</v>
      </c>
      <c r="M32" s="17" t="s">
        <v>154</v>
      </c>
      <c r="N32" s="18" t="s">
        <v>154</v>
      </c>
      <c r="O32" s="17" t="s">
        <v>154</v>
      </c>
      <c r="P32" s="18" t="s">
        <v>154</v>
      </c>
      <c r="Q32" s="17" t="s">
        <v>154</v>
      </c>
      <c r="R32" s="18" t="s">
        <v>154</v>
      </c>
    </row>
    <row r="33" spans="1:18" x14ac:dyDescent="0.25">
      <c r="A33" s="11" t="s">
        <v>166</v>
      </c>
      <c r="B33" s="13">
        <v>7325</v>
      </c>
      <c r="C33" s="14">
        <f>(6062/B33*100)</f>
        <v>82.757679180887365</v>
      </c>
      <c r="D33" s="15">
        <v>1263</v>
      </c>
      <c r="E33" s="14">
        <v>47.702339260000002</v>
      </c>
      <c r="F33" s="16">
        <v>1.8270784099999999</v>
      </c>
      <c r="G33" s="14">
        <v>52.297660739999998</v>
      </c>
      <c r="H33" s="16">
        <v>1.8270784099999999</v>
      </c>
      <c r="I33" s="14" t="s">
        <v>139</v>
      </c>
      <c r="J33" s="16" t="s">
        <v>139</v>
      </c>
      <c r="K33" s="14">
        <v>0</v>
      </c>
      <c r="L33" s="16">
        <v>0</v>
      </c>
      <c r="M33" s="14">
        <v>0</v>
      </c>
      <c r="N33" s="16">
        <v>0</v>
      </c>
      <c r="O33" s="14">
        <v>0</v>
      </c>
      <c r="P33" s="16">
        <v>0</v>
      </c>
      <c r="Q33" s="14">
        <v>0</v>
      </c>
      <c r="R33" s="16">
        <v>0</v>
      </c>
    </row>
    <row r="34" spans="1:18" x14ac:dyDescent="0.25">
      <c r="A34" s="11" t="s">
        <v>167</v>
      </c>
      <c r="B34" s="13">
        <v>6350</v>
      </c>
      <c r="C34" s="14">
        <f>(5302/B34*100)</f>
        <v>83.496062992125985</v>
      </c>
      <c r="D34" s="15">
        <v>1048</v>
      </c>
      <c r="E34" s="14">
        <v>59.18287222</v>
      </c>
      <c r="F34" s="16">
        <v>1.56821104</v>
      </c>
      <c r="G34" s="14">
        <v>40.81712778</v>
      </c>
      <c r="H34" s="16">
        <v>1.56821104</v>
      </c>
      <c r="I34" s="14" t="s">
        <v>139</v>
      </c>
      <c r="J34" s="16" t="s">
        <v>139</v>
      </c>
      <c r="K34" s="14">
        <v>0</v>
      </c>
      <c r="L34" s="16">
        <v>0</v>
      </c>
      <c r="M34" s="14">
        <v>0</v>
      </c>
      <c r="N34" s="16">
        <v>0</v>
      </c>
      <c r="O34" s="14">
        <v>0</v>
      </c>
      <c r="P34" s="16">
        <v>0</v>
      </c>
      <c r="Q34" s="14">
        <v>0</v>
      </c>
      <c r="R34" s="16">
        <v>0</v>
      </c>
    </row>
    <row r="35" spans="1:18" x14ac:dyDescent="0.25">
      <c r="A35" s="11" t="s">
        <v>168</v>
      </c>
      <c r="B35" s="13">
        <v>6406</v>
      </c>
      <c r="C35" s="14">
        <f>(5326/B35*100)</f>
        <v>83.140805494848578</v>
      </c>
      <c r="D35" s="15">
        <v>1080</v>
      </c>
      <c r="E35" s="14">
        <v>48.744515759999999</v>
      </c>
      <c r="F35" s="16">
        <v>2.08280361</v>
      </c>
      <c r="G35" s="14">
        <v>51.255484240000001</v>
      </c>
      <c r="H35" s="16">
        <v>2.08280361</v>
      </c>
      <c r="I35" s="14" t="s">
        <v>139</v>
      </c>
      <c r="J35" s="16" t="s">
        <v>139</v>
      </c>
      <c r="K35" s="14">
        <v>0</v>
      </c>
      <c r="L35" s="16">
        <v>0</v>
      </c>
      <c r="M35" s="14">
        <v>0</v>
      </c>
      <c r="N35" s="16">
        <v>0</v>
      </c>
      <c r="O35" s="14">
        <v>0</v>
      </c>
      <c r="P35" s="16">
        <v>0</v>
      </c>
      <c r="Q35" s="14">
        <v>0</v>
      </c>
      <c r="R35" s="16">
        <v>0</v>
      </c>
    </row>
    <row r="36" spans="1:18" x14ac:dyDescent="0.25">
      <c r="A36" s="11" t="s">
        <v>169</v>
      </c>
      <c r="B36" s="13">
        <v>6736</v>
      </c>
      <c r="C36" s="14">
        <f>(5591/B36*100)</f>
        <v>83.001781472684087</v>
      </c>
      <c r="D36" s="15">
        <v>1145</v>
      </c>
      <c r="E36" s="14">
        <v>51.366299759999997</v>
      </c>
      <c r="F36" s="16">
        <v>1.5796314600000001</v>
      </c>
      <c r="G36" s="14">
        <v>48.633700240000003</v>
      </c>
      <c r="H36" s="16">
        <v>1.5796314600000001</v>
      </c>
      <c r="I36" s="14" t="s">
        <v>139</v>
      </c>
      <c r="J36" s="16" t="s">
        <v>139</v>
      </c>
      <c r="K36" s="14">
        <v>0</v>
      </c>
      <c r="L36" s="16">
        <v>0</v>
      </c>
      <c r="M36" s="14">
        <v>0</v>
      </c>
      <c r="N36" s="16">
        <v>0</v>
      </c>
      <c r="O36" s="14">
        <v>0</v>
      </c>
      <c r="P36" s="16">
        <v>0</v>
      </c>
      <c r="Q36" s="14">
        <v>0</v>
      </c>
      <c r="R36" s="16">
        <v>0</v>
      </c>
    </row>
    <row r="37" spans="1:18" x14ac:dyDescent="0.25">
      <c r="A37" s="11" t="s">
        <v>170</v>
      </c>
      <c r="B37" s="13">
        <v>5458</v>
      </c>
      <c r="C37" s="14">
        <f>(4522/B37*100)</f>
        <v>82.850861121289853</v>
      </c>
      <c r="D37" s="15">
        <v>936</v>
      </c>
      <c r="E37" s="14">
        <v>50.627011920000001</v>
      </c>
      <c r="F37" s="16">
        <v>1.65251891</v>
      </c>
      <c r="G37" s="14">
        <v>49.372988079999999</v>
      </c>
      <c r="H37" s="16">
        <v>1.65251891</v>
      </c>
      <c r="I37" s="14" t="s">
        <v>139</v>
      </c>
      <c r="J37" s="16" t="s">
        <v>139</v>
      </c>
      <c r="K37" s="14">
        <v>0</v>
      </c>
      <c r="L37" s="16">
        <v>0</v>
      </c>
      <c r="M37" s="14">
        <v>0</v>
      </c>
      <c r="N37" s="16">
        <v>0</v>
      </c>
      <c r="O37" s="14">
        <v>0</v>
      </c>
      <c r="P37" s="16">
        <v>0</v>
      </c>
      <c r="Q37" s="14">
        <v>0</v>
      </c>
      <c r="R37" s="16">
        <v>0</v>
      </c>
    </row>
    <row r="38" spans="1:18" x14ac:dyDescent="0.25">
      <c r="A38" s="11" t="s">
        <v>171</v>
      </c>
      <c r="B38" s="17" t="s">
        <v>154</v>
      </c>
      <c r="C38" s="17" t="s">
        <v>154</v>
      </c>
      <c r="D38" s="18" t="s">
        <v>154</v>
      </c>
      <c r="E38" s="17" t="s">
        <v>154</v>
      </c>
      <c r="F38" s="18" t="s">
        <v>154</v>
      </c>
      <c r="G38" s="17" t="s">
        <v>154</v>
      </c>
      <c r="H38" s="18" t="s">
        <v>154</v>
      </c>
      <c r="I38" s="17" t="s">
        <v>154</v>
      </c>
      <c r="J38" s="18" t="s">
        <v>154</v>
      </c>
      <c r="K38" s="17" t="s">
        <v>154</v>
      </c>
      <c r="L38" s="18" t="s">
        <v>154</v>
      </c>
      <c r="M38" s="17" t="s">
        <v>154</v>
      </c>
      <c r="N38" s="18" t="s">
        <v>154</v>
      </c>
      <c r="O38" s="17" t="s">
        <v>154</v>
      </c>
      <c r="P38" s="18" t="s">
        <v>154</v>
      </c>
      <c r="Q38" s="17" t="s">
        <v>154</v>
      </c>
      <c r="R38" s="18" t="s">
        <v>154</v>
      </c>
    </row>
    <row r="39" spans="1:18" x14ac:dyDescent="0.25">
      <c r="A39" s="11" t="s">
        <v>172</v>
      </c>
      <c r="B39" s="13">
        <v>5895</v>
      </c>
      <c r="C39" s="14">
        <f>(4865/B39*100)</f>
        <v>82.527565733672603</v>
      </c>
      <c r="D39" s="15">
        <v>1030</v>
      </c>
      <c r="E39" s="14">
        <v>59.315925829999998</v>
      </c>
      <c r="F39" s="16">
        <v>1.6683678</v>
      </c>
      <c r="G39" s="14">
        <v>40.684074170000002</v>
      </c>
      <c r="H39" s="16">
        <v>1.6683678</v>
      </c>
      <c r="I39" s="14" t="s">
        <v>139</v>
      </c>
      <c r="J39" s="16" t="s">
        <v>139</v>
      </c>
      <c r="K39" s="14">
        <v>0</v>
      </c>
      <c r="L39" s="16">
        <v>0</v>
      </c>
      <c r="M39" s="14">
        <v>0</v>
      </c>
      <c r="N39" s="16">
        <v>0</v>
      </c>
      <c r="O39" s="14">
        <v>0</v>
      </c>
      <c r="P39" s="16">
        <v>0</v>
      </c>
      <c r="Q39" s="14">
        <v>0</v>
      </c>
      <c r="R39" s="16">
        <v>0</v>
      </c>
    </row>
    <row r="40" spans="1:18" x14ac:dyDescent="0.25">
      <c r="A40" s="11" t="s">
        <v>173</v>
      </c>
      <c r="B40" s="13">
        <v>14157</v>
      </c>
      <c r="C40" s="14">
        <f>(11676/B40*100)</f>
        <v>82.475100656918841</v>
      </c>
      <c r="D40" s="15">
        <v>2481</v>
      </c>
      <c r="E40" s="14">
        <v>49.791511389999997</v>
      </c>
      <c r="F40" s="16">
        <v>1.4093673900000001</v>
      </c>
      <c r="G40" s="14">
        <v>50.208488610000003</v>
      </c>
      <c r="H40" s="16">
        <v>1.4093673900000001</v>
      </c>
      <c r="I40" s="14" t="s">
        <v>139</v>
      </c>
      <c r="J40" s="16" t="s">
        <v>139</v>
      </c>
      <c r="K40" s="14">
        <v>0</v>
      </c>
      <c r="L40" s="16">
        <v>0</v>
      </c>
      <c r="M40" s="14">
        <v>0</v>
      </c>
      <c r="N40" s="16">
        <v>0</v>
      </c>
      <c r="O40" s="14">
        <v>0</v>
      </c>
      <c r="P40" s="16">
        <v>0</v>
      </c>
      <c r="Q40" s="14">
        <v>0</v>
      </c>
      <c r="R40" s="16">
        <v>0</v>
      </c>
    </row>
    <row r="41" spans="1:18" x14ac:dyDescent="0.25">
      <c r="A41" s="11" t="s">
        <v>174</v>
      </c>
      <c r="B41" s="13">
        <v>5712</v>
      </c>
      <c r="C41" s="14">
        <f>(4753/B41*100)</f>
        <v>83.210784313725497</v>
      </c>
      <c r="D41" s="15">
        <v>959</v>
      </c>
      <c r="E41" s="14">
        <v>42.768622319999999</v>
      </c>
      <c r="F41" s="16">
        <v>1.4572462900000001</v>
      </c>
      <c r="G41" s="14">
        <v>57.231377680000001</v>
      </c>
      <c r="H41" s="16">
        <v>1.4572462900000001</v>
      </c>
      <c r="I41" s="14" t="s">
        <v>139</v>
      </c>
      <c r="J41" s="16" t="s">
        <v>139</v>
      </c>
      <c r="K41" s="14">
        <v>0</v>
      </c>
      <c r="L41" s="16">
        <v>0</v>
      </c>
      <c r="M41" s="14">
        <v>0</v>
      </c>
      <c r="N41" s="16">
        <v>0</v>
      </c>
      <c r="O41" s="14">
        <v>0</v>
      </c>
      <c r="P41" s="16">
        <v>0</v>
      </c>
      <c r="Q41" s="14">
        <v>0</v>
      </c>
      <c r="R41" s="16">
        <v>0</v>
      </c>
    </row>
    <row r="42" spans="1:18" x14ac:dyDescent="0.25">
      <c r="A42" s="11" t="s">
        <v>175</v>
      </c>
      <c r="B42" s="13">
        <f>IF(COUNT(B7:B41) &gt; 0, AVERAGE(B7:B41), "\u2014")</f>
        <v>7266.90625</v>
      </c>
      <c r="C42" s="14">
        <f>IF(COUNT(C7:C41) &gt; 0, AVERAGE(C7:C41), "—")</f>
        <v>83.006499411908919</v>
      </c>
      <c r="D42" s="15">
        <f>IF(COUNT(D7:D41) &gt; 0, AVERAGE(D7:D41), "—")</f>
        <v>1235.03125</v>
      </c>
      <c r="E42" s="14">
        <f>IF(COUNT(E7:E41) &gt; 0, AVERAGE(E7:E41), "—")</f>
        <v>49.568918164062495</v>
      </c>
      <c r="F42" s="16">
        <f>IF(COUNT(F7:F41) &gt; 0, SQRT(SUMSQ(F7:F41)/(COUNT(F7:F41)*COUNT(F7:F41)) ), "—")</f>
        <v>0.28894985703139958</v>
      </c>
      <c r="G42" s="14">
        <f>IF(COUNT(G7:G41) &gt; 0, AVERAGE(G7:G41), "—")</f>
        <v>50.431081835937505</v>
      </c>
      <c r="H42" s="16">
        <f>IF(COUNT(H7:H41) &gt; 0, SQRT(SUMSQ(H7:H41)/(COUNT(H7:H41)*COUNT(H7:H41)) ), "—")</f>
        <v>0.28894985703139958</v>
      </c>
      <c r="I42" s="14" t="str">
        <f>IF(COUNT(I7:I41) &gt; 0, AVERAGE(I7:I41), "—")</f>
        <v>—</v>
      </c>
      <c r="J42" s="16" t="str">
        <f>IF(COUNT(J7:J41) &gt; 0, SQRT(SUMSQ(J7:J41)/(COUNT(J7:J41)*COUNT(J7:J41)) ), "—")</f>
        <v>—</v>
      </c>
      <c r="K42" s="14">
        <f>IF(COUNT(K7:K41) &gt; 0, AVERAGE(K7:K41), "—")</f>
        <v>0</v>
      </c>
      <c r="L42" s="16">
        <f>IF(COUNT(L7:L41) &gt; 0, SQRT(SUMSQ(L7:L41)/(COUNT(L7:L41)*COUNT(L7:L41)) ), "—")</f>
        <v>0</v>
      </c>
      <c r="M42" s="14">
        <f>IF(COUNT(M7:M41) &gt; 0, AVERAGE(M7:M41), "—")</f>
        <v>0</v>
      </c>
      <c r="N42" s="16">
        <f>IF(COUNT(N7:N41) &gt; 0, SQRT(SUMSQ(N7:N41)/(COUNT(N7:N41)*COUNT(N7:N41)) ), "—")</f>
        <v>0</v>
      </c>
      <c r="O42" s="14">
        <f>IF(COUNT(O7:O41) &gt; 0, AVERAGE(O7:O41), "—")</f>
        <v>0</v>
      </c>
      <c r="P42" s="16">
        <f>IF(COUNT(P7:P41) &gt; 0, SQRT(SUMSQ(P7:P41)/(COUNT(P7:P41)*COUNT(P7:P41)) ), "—")</f>
        <v>0</v>
      </c>
      <c r="Q42" s="14">
        <f>IF(COUNT(Q7:Q41) &gt; 0, AVERAGE(Q7:Q41), "—")</f>
        <v>0</v>
      </c>
      <c r="R42" s="16">
        <f>IF(COUNT(R7:R41) &gt; 0, SQRT(SUMSQ(R7:R41)/(COUNT(R7:R41)*COUNT(R7:R41)) ), "—")</f>
        <v>0</v>
      </c>
    </row>
    <row r="43" spans="1:18" x14ac:dyDescent="0.25">
      <c r="A43" s="9" t="s">
        <v>176</v>
      </c>
      <c r="B43" s="10"/>
      <c r="C43" s="10"/>
      <c r="D43" s="11"/>
      <c r="E43" s="10"/>
      <c r="F43" s="11"/>
      <c r="G43" s="10"/>
      <c r="H43" s="11"/>
      <c r="I43" s="10"/>
      <c r="J43" s="11"/>
      <c r="K43" s="10"/>
      <c r="L43" s="11"/>
      <c r="M43" s="10"/>
      <c r="N43" s="11"/>
      <c r="O43" s="10"/>
      <c r="P43" s="11"/>
      <c r="Q43" s="10"/>
      <c r="R43" s="12"/>
    </row>
    <row r="44" spans="1:18" x14ac:dyDescent="0.25">
      <c r="A44" s="11" t="s">
        <v>177</v>
      </c>
      <c r="B44" s="17" t="s">
        <v>154</v>
      </c>
      <c r="C44" s="17" t="s">
        <v>154</v>
      </c>
      <c r="D44" s="18" t="s">
        <v>154</v>
      </c>
      <c r="E44" s="17" t="s">
        <v>154</v>
      </c>
      <c r="F44" s="18" t="s">
        <v>154</v>
      </c>
      <c r="G44" s="17" t="s">
        <v>154</v>
      </c>
      <c r="H44" s="18" t="s">
        <v>154</v>
      </c>
      <c r="I44" s="17" t="s">
        <v>154</v>
      </c>
      <c r="J44" s="18" t="s">
        <v>154</v>
      </c>
      <c r="K44" s="17" t="s">
        <v>154</v>
      </c>
      <c r="L44" s="18" t="s">
        <v>154</v>
      </c>
      <c r="M44" s="17" t="s">
        <v>154</v>
      </c>
      <c r="N44" s="18" t="s">
        <v>154</v>
      </c>
      <c r="O44" s="17" t="s">
        <v>154</v>
      </c>
      <c r="P44" s="18" t="s">
        <v>154</v>
      </c>
      <c r="Q44" s="17" t="s">
        <v>154</v>
      </c>
      <c r="R44" s="18" t="s">
        <v>154</v>
      </c>
    </row>
    <row r="45" spans="1:18" x14ac:dyDescent="0.25">
      <c r="A45" s="11" t="s">
        <v>178</v>
      </c>
      <c r="B45" s="17" t="s">
        <v>154</v>
      </c>
      <c r="C45" s="17" t="s">
        <v>154</v>
      </c>
      <c r="D45" s="18" t="s">
        <v>154</v>
      </c>
      <c r="E45" s="17" t="s">
        <v>154</v>
      </c>
      <c r="F45" s="18" t="s">
        <v>154</v>
      </c>
      <c r="G45" s="17" t="s">
        <v>154</v>
      </c>
      <c r="H45" s="18" t="s">
        <v>154</v>
      </c>
      <c r="I45" s="17" t="s">
        <v>154</v>
      </c>
      <c r="J45" s="18" t="s">
        <v>154</v>
      </c>
      <c r="K45" s="17" t="s">
        <v>154</v>
      </c>
      <c r="L45" s="18" t="s">
        <v>154</v>
      </c>
      <c r="M45" s="17" t="s">
        <v>154</v>
      </c>
      <c r="N45" s="18" t="s">
        <v>154</v>
      </c>
      <c r="O45" s="17" t="s">
        <v>154</v>
      </c>
      <c r="P45" s="18" t="s">
        <v>154</v>
      </c>
      <c r="Q45" s="17" t="s">
        <v>154</v>
      </c>
      <c r="R45" s="18" t="s">
        <v>154</v>
      </c>
    </row>
    <row r="46" spans="1:18" x14ac:dyDescent="0.25">
      <c r="A46" s="11" t="s">
        <v>179</v>
      </c>
      <c r="B46" s="13">
        <v>23141</v>
      </c>
      <c r="C46" s="14">
        <f>(19783/B46*100)</f>
        <v>85.488958990536275</v>
      </c>
      <c r="D46" s="15">
        <v>3358</v>
      </c>
      <c r="E46" s="14">
        <v>51.997410850000001</v>
      </c>
      <c r="F46" s="16">
        <v>1.3381687600000001</v>
      </c>
      <c r="G46" s="14">
        <v>48.002589149999999</v>
      </c>
      <c r="H46" s="16">
        <v>1.3381687600000001</v>
      </c>
      <c r="I46" s="14" t="s">
        <v>139</v>
      </c>
      <c r="J46" s="16" t="s">
        <v>139</v>
      </c>
      <c r="K46" s="14">
        <v>0</v>
      </c>
      <c r="L46" s="16">
        <v>0</v>
      </c>
      <c r="M46" s="14">
        <v>0</v>
      </c>
      <c r="N46" s="16">
        <v>0</v>
      </c>
      <c r="O46" s="14">
        <v>0</v>
      </c>
      <c r="P46" s="16">
        <v>0</v>
      </c>
      <c r="Q46" s="14">
        <v>0</v>
      </c>
      <c r="R46" s="16">
        <v>0</v>
      </c>
    </row>
    <row r="47" spans="1:18" x14ac:dyDescent="0.25">
      <c r="A47" s="11" t="s">
        <v>180</v>
      </c>
      <c r="B47" s="13">
        <v>5928</v>
      </c>
      <c r="C47" s="14">
        <f>(4923/B47*100)</f>
        <v>83.046558704453446</v>
      </c>
      <c r="D47" s="15">
        <v>1005</v>
      </c>
      <c r="E47" s="14">
        <v>54.576350150000003</v>
      </c>
      <c r="F47" s="16">
        <v>1.5859263400000001</v>
      </c>
      <c r="G47" s="14">
        <v>45.423649849999997</v>
      </c>
      <c r="H47" s="16">
        <v>1.5859263400000001</v>
      </c>
      <c r="I47" s="14" t="s">
        <v>139</v>
      </c>
      <c r="J47" s="16" t="s">
        <v>139</v>
      </c>
      <c r="K47" s="14">
        <v>0</v>
      </c>
      <c r="L47" s="16">
        <v>0</v>
      </c>
      <c r="M47" s="14">
        <v>0</v>
      </c>
      <c r="N47" s="16">
        <v>0</v>
      </c>
      <c r="O47" s="14">
        <v>0</v>
      </c>
      <c r="P47" s="16">
        <v>0</v>
      </c>
      <c r="Q47" s="14">
        <v>0</v>
      </c>
      <c r="R47" s="16">
        <v>0</v>
      </c>
    </row>
    <row r="48" spans="1:18" x14ac:dyDescent="0.25">
      <c r="A48" s="11" t="s">
        <v>181</v>
      </c>
      <c r="B48" s="13">
        <v>9841</v>
      </c>
      <c r="C48" s="14">
        <f>(8132/B48*100)</f>
        <v>82.633878670866778</v>
      </c>
      <c r="D48" s="15">
        <v>1709</v>
      </c>
      <c r="E48" s="14">
        <v>53.78679528</v>
      </c>
      <c r="F48" s="16">
        <v>1.6238073900000001</v>
      </c>
      <c r="G48" s="14">
        <v>46.21320472</v>
      </c>
      <c r="H48" s="16">
        <v>1.6238073900000001</v>
      </c>
      <c r="I48" s="14" t="s">
        <v>139</v>
      </c>
      <c r="J48" s="16" t="s">
        <v>139</v>
      </c>
      <c r="K48" s="14">
        <v>0</v>
      </c>
      <c r="L48" s="16">
        <v>0</v>
      </c>
      <c r="M48" s="14">
        <v>0</v>
      </c>
      <c r="N48" s="16">
        <v>0</v>
      </c>
      <c r="O48" s="14">
        <v>0</v>
      </c>
      <c r="P48" s="16">
        <v>0</v>
      </c>
      <c r="Q48" s="14">
        <v>0</v>
      </c>
      <c r="R48" s="16">
        <v>0</v>
      </c>
    </row>
    <row r="49" spans="1:18" x14ac:dyDescent="0.25">
      <c r="A49" s="11" t="s">
        <v>182</v>
      </c>
      <c r="B49" s="17" t="s">
        <v>154</v>
      </c>
      <c r="C49" s="17" t="s">
        <v>154</v>
      </c>
      <c r="D49" s="18" t="s">
        <v>154</v>
      </c>
      <c r="E49" s="17" t="s">
        <v>154</v>
      </c>
      <c r="F49" s="18" t="s">
        <v>154</v>
      </c>
      <c r="G49" s="17" t="s">
        <v>154</v>
      </c>
      <c r="H49" s="18" t="s">
        <v>154</v>
      </c>
      <c r="I49" s="17" t="s">
        <v>154</v>
      </c>
      <c r="J49" s="18" t="s">
        <v>154</v>
      </c>
      <c r="K49" s="17" t="s">
        <v>154</v>
      </c>
      <c r="L49" s="18" t="s">
        <v>154</v>
      </c>
      <c r="M49" s="17" t="s">
        <v>154</v>
      </c>
      <c r="N49" s="18" t="s">
        <v>154</v>
      </c>
      <c r="O49" s="17" t="s">
        <v>154</v>
      </c>
      <c r="P49" s="18" t="s">
        <v>154</v>
      </c>
      <c r="Q49" s="17" t="s">
        <v>154</v>
      </c>
      <c r="R49" s="18" t="s">
        <v>154</v>
      </c>
    </row>
    <row r="50" spans="1:18" x14ac:dyDescent="0.25">
      <c r="A50" s="11" t="s">
        <v>183</v>
      </c>
      <c r="B50" s="13">
        <v>11795</v>
      </c>
      <c r="C50" s="14">
        <f>(9826/B50*100)</f>
        <v>83.306485799067403</v>
      </c>
      <c r="D50" s="15">
        <v>1969</v>
      </c>
      <c r="E50" s="14">
        <v>70.270176820000003</v>
      </c>
      <c r="F50" s="16">
        <v>1.29129885</v>
      </c>
      <c r="G50" s="14">
        <v>29.72982318</v>
      </c>
      <c r="H50" s="16">
        <v>1.29129885</v>
      </c>
      <c r="I50" s="14" t="s">
        <v>139</v>
      </c>
      <c r="J50" s="16" t="s">
        <v>139</v>
      </c>
      <c r="K50" s="14">
        <v>0</v>
      </c>
      <c r="L50" s="16">
        <v>0</v>
      </c>
      <c r="M50" s="14">
        <v>0</v>
      </c>
      <c r="N50" s="16">
        <v>0</v>
      </c>
      <c r="O50" s="14">
        <v>0</v>
      </c>
      <c r="P50" s="16">
        <v>0</v>
      </c>
      <c r="Q50" s="14">
        <v>0</v>
      </c>
      <c r="R50" s="16">
        <v>0</v>
      </c>
    </row>
    <row r="51" spans="1:18" x14ac:dyDescent="0.25">
      <c r="A51" s="11" t="s">
        <v>184</v>
      </c>
      <c r="B51" s="13">
        <v>6866</v>
      </c>
      <c r="C51" s="14">
        <f>(5835/B51*100)</f>
        <v>84.983979027090001</v>
      </c>
      <c r="D51" s="15">
        <v>1031</v>
      </c>
      <c r="E51" s="14">
        <v>50.788814549999998</v>
      </c>
      <c r="F51" s="16">
        <v>1.38393952</v>
      </c>
      <c r="G51" s="14">
        <v>49.211185450000002</v>
      </c>
      <c r="H51" s="16">
        <v>1.38393952</v>
      </c>
      <c r="I51" s="14" t="s">
        <v>139</v>
      </c>
      <c r="J51" s="16" t="s">
        <v>139</v>
      </c>
      <c r="K51" s="14">
        <v>0</v>
      </c>
      <c r="L51" s="16">
        <v>0</v>
      </c>
      <c r="M51" s="14">
        <v>0</v>
      </c>
      <c r="N51" s="16">
        <v>0</v>
      </c>
      <c r="O51" s="14">
        <v>0</v>
      </c>
      <c r="P51" s="16">
        <v>0</v>
      </c>
      <c r="Q51" s="14">
        <v>0</v>
      </c>
      <c r="R51" s="16">
        <v>0</v>
      </c>
    </row>
    <row r="52" spans="1:18" x14ac:dyDescent="0.25">
      <c r="A52" s="11" t="s">
        <v>185</v>
      </c>
      <c r="B52" s="13">
        <v>5809</v>
      </c>
      <c r="C52" s="14">
        <f>(4824/B52*100)</f>
        <v>83.043553107247376</v>
      </c>
      <c r="D52" s="15">
        <v>985</v>
      </c>
      <c r="E52" s="14">
        <v>54.482509890000003</v>
      </c>
      <c r="F52" s="16">
        <v>1.68291316</v>
      </c>
      <c r="G52" s="14">
        <v>45.517490109999997</v>
      </c>
      <c r="H52" s="16">
        <v>1.68291316</v>
      </c>
      <c r="I52" s="14" t="s">
        <v>139</v>
      </c>
      <c r="J52" s="16" t="s">
        <v>139</v>
      </c>
      <c r="K52" s="14">
        <v>0</v>
      </c>
      <c r="L52" s="16">
        <v>0</v>
      </c>
      <c r="M52" s="14">
        <v>0</v>
      </c>
      <c r="N52" s="16">
        <v>0</v>
      </c>
      <c r="O52" s="14">
        <v>0</v>
      </c>
      <c r="P52" s="16">
        <v>0</v>
      </c>
      <c r="Q52" s="14">
        <v>0</v>
      </c>
      <c r="R52" s="16">
        <v>0</v>
      </c>
    </row>
    <row r="53" spans="1:18" x14ac:dyDescent="0.25">
      <c r="A53" s="11" t="s">
        <v>186</v>
      </c>
      <c r="B53" s="13">
        <v>5571</v>
      </c>
      <c r="C53" s="14">
        <f>(4602/B53*100)</f>
        <v>82.606354334948833</v>
      </c>
      <c r="D53" s="15">
        <v>969</v>
      </c>
      <c r="E53" s="14">
        <v>56.163001979999997</v>
      </c>
      <c r="F53" s="16">
        <v>1.8785219799999999</v>
      </c>
      <c r="G53" s="14">
        <v>43.836998020000003</v>
      </c>
      <c r="H53" s="16">
        <v>1.8785219799999999</v>
      </c>
      <c r="I53" s="14" t="s">
        <v>139</v>
      </c>
      <c r="J53" s="16" t="s">
        <v>139</v>
      </c>
      <c r="K53" s="14">
        <v>0</v>
      </c>
      <c r="L53" s="16">
        <v>0</v>
      </c>
      <c r="M53" s="14">
        <v>0</v>
      </c>
      <c r="N53" s="16">
        <v>0</v>
      </c>
      <c r="O53" s="14">
        <v>0</v>
      </c>
      <c r="P53" s="16">
        <v>0</v>
      </c>
      <c r="Q53" s="14">
        <v>0</v>
      </c>
      <c r="R53" s="16">
        <v>0</v>
      </c>
    </row>
    <row r="54" spans="1:18" x14ac:dyDescent="0.25">
      <c r="A54" s="11" t="s">
        <v>187</v>
      </c>
      <c r="B54" s="17" t="s">
        <v>154</v>
      </c>
      <c r="C54" s="17" t="s">
        <v>154</v>
      </c>
      <c r="D54" s="18" t="s">
        <v>154</v>
      </c>
      <c r="E54" s="17" t="s">
        <v>154</v>
      </c>
      <c r="F54" s="18" t="s">
        <v>154</v>
      </c>
      <c r="G54" s="17" t="s">
        <v>154</v>
      </c>
      <c r="H54" s="18" t="s">
        <v>154</v>
      </c>
      <c r="I54" s="17" t="s">
        <v>154</v>
      </c>
      <c r="J54" s="18" t="s">
        <v>154</v>
      </c>
      <c r="K54" s="17" t="s">
        <v>154</v>
      </c>
      <c r="L54" s="18" t="s">
        <v>154</v>
      </c>
      <c r="M54" s="17" t="s">
        <v>154</v>
      </c>
      <c r="N54" s="18" t="s">
        <v>154</v>
      </c>
      <c r="O54" s="17" t="s">
        <v>154</v>
      </c>
      <c r="P54" s="18" t="s">
        <v>154</v>
      </c>
      <c r="Q54" s="17" t="s">
        <v>154</v>
      </c>
      <c r="R54" s="18" t="s">
        <v>154</v>
      </c>
    </row>
    <row r="55" spans="1:18" x14ac:dyDescent="0.25">
      <c r="A55" s="11" t="s">
        <v>188</v>
      </c>
      <c r="B55" s="17" t="s">
        <v>154</v>
      </c>
      <c r="C55" s="17" t="s">
        <v>154</v>
      </c>
      <c r="D55" s="18" t="s">
        <v>154</v>
      </c>
      <c r="E55" s="17" t="s">
        <v>154</v>
      </c>
      <c r="F55" s="18" t="s">
        <v>154</v>
      </c>
      <c r="G55" s="17" t="s">
        <v>154</v>
      </c>
      <c r="H55" s="18" t="s">
        <v>154</v>
      </c>
      <c r="I55" s="17" t="s">
        <v>154</v>
      </c>
      <c r="J55" s="18" t="s">
        <v>154</v>
      </c>
      <c r="K55" s="17" t="s">
        <v>154</v>
      </c>
      <c r="L55" s="18" t="s">
        <v>154</v>
      </c>
      <c r="M55" s="17" t="s">
        <v>154</v>
      </c>
      <c r="N55" s="18" t="s">
        <v>154</v>
      </c>
      <c r="O55" s="17" t="s">
        <v>154</v>
      </c>
      <c r="P55" s="18" t="s">
        <v>154</v>
      </c>
      <c r="Q55" s="17" t="s">
        <v>154</v>
      </c>
      <c r="R55" s="18" t="s">
        <v>154</v>
      </c>
    </row>
    <row r="56" spans="1:18" x14ac:dyDescent="0.25">
      <c r="A56" s="11" t="s">
        <v>189</v>
      </c>
      <c r="B56" s="13">
        <v>5359</v>
      </c>
      <c r="C56" s="14">
        <f>(4424/B56*100)</f>
        <v>82.552715058779626</v>
      </c>
      <c r="D56" s="15">
        <v>935</v>
      </c>
      <c r="E56" s="14">
        <v>48.933527650000002</v>
      </c>
      <c r="F56" s="16">
        <v>1.7384088900000001</v>
      </c>
      <c r="G56" s="14">
        <v>51.066472349999998</v>
      </c>
      <c r="H56" s="16">
        <v>1.7384088900000001</v>
      </c>
      <c r="I56" s="14" t="s">
        <v>139</v>
      </c>
      <c r="J56" s="16" t="s">
        <v>139</v>
      </c>
      <c r="K56" s="14">
        <v>0</v>
      </c>
      <c r="L56" s="16">
        <v>0</v>
      </c>
      <c r="M56" s="14">
        <v>0</v>
      </c>
      <c r="N56" s="16">
        <v>0</v>
      </c>
      <c r="O56" s="14">
        <v>0</v>
      </c>
      <c r="P56" s="16">
        <v>0</v>
      </c>
      <c r="Q56" s="14">
        <v>0</v>
      </c>
      <c r="R56" s="16">
        <v>0</v>
      </c>
    </row>
    <row r="57" spans="1:18" x14ac:dyDescent="0.25">
      <c r="A57" s="11" t="s">
        <v>190</v>
      </c>
      <c r="B57" s="17" t="s">
        <v>154</v>
      </c>
      <c r="C57" s="17" t="s">
        <v>154</v>
      </c>
      <c r="D57" s="18" t="s">
        <v>154</v>
      </c>
      <c r="E57" s="17" t="s">
        <v>154</v>
      </c>
      <c r="F57" s="18" t="s">
        <v>154</v>
      </c>
      <c r="G57" s="17" t="s">
        <v>154</v>
      </c>
      <c r="H57" s="18" t="s">
        <v>154</v>
      </c>
      <c r="I57" s="17" t="s">
        <v>154</v>
      </c>
      <c r="J57" s="18" t="s">
        <v>154</v>
      </c>
      <c r="K57" s="17" t="s">
        <v>154</v>
      </c>
      <c r="L57" s="18" t="s">
        <v>154</v>
      </c>
      <c r="M57" s="17" t="s">
        <v>154</v>
      </c>
      <c r="N57" s="18" t="s">
        <v>154</v>
      </c>
      <c r="O57" s="17" t="s">
        <v>154</v>
      </c>
      <c r="P57" s="18" t="s">
        <v>154</v>
      </c>
      <c r="Q57" s="17" t="s">
        <v>154</v>
      </c>
      <c r="R57" s="18" t="s">
        <v>154</v>
      </c>
    </row>
    <row r="58" spans="1:18" x14ac:dyDescent="0.25">
      <c r="A58" s="11" t="s">
        <v>191</v>
      </c>
      <c r="B58" s="17" t="s">
        <v>154</v>
      </c>
      <c r="C58" s="17" t="s">
        <v>154</v>
      </c>
      <c r="D58" s="18" t="s">
        <v>154</v>
      </c>
      <c r="E58" s="17" t="s">
        <v>154</v>
      </c>
      <c r="F58" s="18" t="s">
        <v>154</v>
      </c>
      <c r="G58" s="17" t="s">
        <v>154</v>
      </c>
      <c r="H58" s="18" t="s">
        <v>154</v>
      </c>
      <c r="I58" s="17" t="s">
        <v>154</v>
      </c>
      <c r="J58" s="18" t="s">
        <v>154</v>
      </c>
      <c r="K58" s="17" t="s">
        <v>154</v>
      </c>
      <c r="L58" s="18" t="s">
        <v>154</v>
      </c>
      <c r="M58" s="17" t="s">
        <v>154</v>
      </c>
      <c r="N58" s="18" t="s">
        <v>154</v>
      </c>
      <c r="O58" s="17" t="s">
        <v>154</v>
      </c>
      <c r="P58" s="18" t="s">
        <v>154</v>
      </c>
      <c r="Q58" s="17" t="s">
        <v>154</v>
      </c>
      <c r="R58" s="18" t="s">
        <v>154</v>
      </c>
    </row>
    <row r="59" spans="1:18" x14ac:dyDescent="0.25">
      <c r="A59" s="11" t="s">
        <v>192</v>
      </c>
      <c r="B59" s="17" t="s">
        <v>154</v>
      </c>
      <c r="C59" s="17" t="s">
        <v>154</v>
      </c>
      <c r="D59" s="18" t="s">
        <v>154</v>
      </c>
      <c r="E59" s="17" t="s">
        <v>154</v>
      </c>
      <c r="F59" s="18" t="s">
        <v>154</v>
      </c>
      <c r="G59" s="17" t="s">
        <v>154</v>
      </c>
      <c r="H59" s="18" t="s">
        <v>154</v>
      </c>
      <c r="I59" s="17" t="s">
        <v>154</v>
      </c>
      <c r="J59" s="18" t="s">
        <v>154</v>
      </c>
      <c r="K59" s="17" t="s">
        <v>154</v>
      </c>
      <c r="L59" s="18" t="s">
        <v>154</v>
      </c>
      <c r="M59" s="17" t="s">
        <v>154</v>
      </c>
      <c r="N59" s="18" t="s">
        <v>154</v>
      </c>
      <c r="O59" s="17" t="s">
        <v>154</v>
      </c>
      <c r="P59" s="18" t="s">
        <v>154</v>
      </c>
      <c r="Q59" s="17" t="s">
        <v>154</v>
      </c>
      <c r="R59" s="18" t="s">
        <v>154</v>
      </c>
    </row>
    <row r="60" spans="1:18" x14ac:dyDescent="0.25">
      <c r="A60" s="11" t="s">
        <v>193</v>
      </c>
      <c r="B60" s="17" t="s">
        <v>154</v>
      </c>
      <c r="C60" s="17" t="s">
        <v>154</v>
      </c>
      <c r="D60" s="18" t="s">
        <v>154</v>
      </c>
      <c r="E60" s="17" t="s">
        <v>154</v>
      </c>
      <c r="F60" s="18" t="s">
        <v>154</v>
      </c>
      <c r="G60" s="17" t="s">
        <v>154</v>
      </c>
      <c r="H60" s="18" t="s">
        <v>154</v>
      </c>
      <c r="I60" s="17" t="s">
        <v>154</v>
      </c>
      <c r="J60" s="18" t="s">
        <v>154</v>
      </c>
      <c r="K60" s="17" t="s">
        <v>154</v>
      </c>
      <c r="L60" s="18" t="s">
        <v>154</v>
      </c>
      <c r="M60" s="17" t="s">
        <v>154</v>
      </c>
      <c r="N60" s="18" t="s">
        <v>154</v>
      </c>
      <c r="O60" s="17" t="s">
        <v>154</v>
      </c>
      <c r="P60" s="18" t="s">
        <v>154</v>
      </c>
      <c r="Q60" s="17" t="s">
        <v>154</v>
      </c>
      <c r="R60" s="18" t="s">
        <v>154</v>
      </c>
    </row>
    <row r="61" spans="1:18" x14ac:dyDescent="0.25">
      <c r="A61" s="11" t="s">
        <v>194</v>
      </c>
      <c r="B61" s="13">
        <v>6525</v>
      </c>
      <c r="C61" s="14">
        <f>(5415/B61*100)</f>
        <v>82.988505747126439</v>
      </c>
      <c r="D61" s="15">
        <v>1110</v>
      </c>
      <c r="E61" s="14">
        <v>59.830035700000003</v>
      </c>
      <c r="F61" s="16">
        <v>1.5103221</v>
      </c>
      <c r="G61" s="14">
        <v>40.169964299999997</v>
      </c>
      <c r="H61" s="16">
        <v>1.5103221</v>
      </c>
      <c r="I61" s="14" t="s">
        <v>139</v>
      </c>
      <c r="J61" s="16" t="s">
        <v>139</v>
      </c>
      <c r="K61" s="14">
        <v>0</v>
      </c>
      <c r="L61" s="16">
        <v>0</v>
      </c>
      <c r="M61" s="14">
        <v>0</v>
      </c>
      <c r="N61" s="16">
        <v>0</v>
      </c>
      <c r="O61" s="14">
        <v>0</v>
      </c>
      <c r="P61" s="16">
        <v>0</v>
      </c>
      <c r="Q61" s="14">
        <v>0</v>
      </c>
      <c r="R61" s="16">
        <v>0</v>
      </c>
    </row>
    <row r="62" spans="1:18" x14ac:dyDescent="0.25">
      <c r="A62" s="11" t="s">
        <v>195</v>
      </c>
      <c r="B62" s="13">
        <v>4476</v>
      </c>
      <c r="C62" s="14">
        <f>(3712/B62*100)</f>
        <v>82.931188561215379</v>
      </c>
      <c r="D62" s="15">
        <v>764</v>
      </c>
      <c r="E62" s="14">
        <v>45.21075708</v>
      </c>
      <c r="F62" s="16">
        <v>1.8595454600000001</v>
      </c>
      <c r="G62" s="14">
        <v>54.78924292</v>
      </c>
      <c r="H62" s="16">
        <v>1.8595454600000001</v>
      </c>
      <c r="I62" s="14" t="s">
        <v>139</v>
      </c>
      <c r="J62" s="16" t="s">
        <v>139</v>
      </c>
      <c r="K62" s="14">
        <v>0</v>
      </c>
      <c r="L62" s="16">
        <v>0</v>
      </c>
      <c r="M62" s="14">
        <v>0</v>
      </c>
      <c r="N62" s="16">
        <v>0</v>
      </c>
      <c r="O62" s="14">
        <v>0</v>
      </c>
      <c r="P62" s="16">
        <v>0</v>
      </c>
      <c r="Q62" s="14">
        <v>0</v>
      </c>
      <c r="R62" s="16">
        <v>0</v>
      </c>
    </row>
    <row r="63" spans="1:18" x14ac:dyDescent="0.25">
      <c r="A63" s="11" t="s">
        <v>196</v>
      </c>
      <c r="B63" s="17" t="s">
        <v>154</v>
      </c>
      <c r="C63" s="17" t="s">
        <v>154</v>
      </c>
      <c r="D63" s="18" t="s">
        <v>154</v>
      </c>
      <c r="E63" s="17" t="s">
        <v>154</v>
      </c>
      <c r="F63" s="18" t="s">
        <v>154</v>
      </c>
      <c r="G63" s="17" t="s">
        <v>154</v>
      </c>
      <c r="H63" s="18" t="s">
        <v>154</v>
      </c>
      <c r="I63" s="17" t="s">
        <v>154</v>
      </c>
      <c r="J63" s="18" t="s">
        <v>154</v>
      </c>
      <c r="K63" s="17" t="s">
        <v>154</v>
      </c>
      <c r="L63" s="18" t="s">
        <v>154</v>
      </c>
      <c r="M63" s="17" t="s">
        <v>154</v>
      </c>
      <c r="N63" s="18" t="s">
        <v>154</v>
      </c>
      <c r="O63" s="17" t="s">
        <v>154</v>
      </c>
      <c r="P63" s="18" t="s">
        <v>154</v>
      </c>
      <c r="Q63" s="17" t="s">
        <v>154</v>
      </c>
      <c r="R63" s="18" t="s">
        <v>154</v>
      </c>
    </row>
    <row r="64" spans="1:18" x14ac:dyDescent="0.25">
      <c r="A64" s="11" t="s">
        <v>197</v>
      </c>
      <c r="B64" s="17" t="s">
        <v>154</v>
      </c>
      <c r="C64" s="17" t="s">
        <v>154</v>
      </c>
      <c r="D64" s="18" t="s">
        <v>154</v>
      </c>
      <c r="E64" s="17" t="s">
        <v>154</v>
      </c>
      <c r="F64" s="18" t="s">
        <v>154</v>
      </c>
      <c r="G64" s="17" t="s">
        <v>154</v>
      </c>
      <c r="H64" s="18" t="s">
        <v>154</v>
      </c>
      <c r="I64" s="17" t="s">
        <v>154</v>
      </c>
      <c r="J64" s="18" t="s">
        <v>154</v>
      </c>
      <c r="K64" s="17" t="s">
        <v>154</v>
      </c>
      <c r="L64" s="18" t="s">
        <v>154</v>
      </c>
      <c r="M64" s="17" t="s">
        <v>154</v>
      </c>
      <c r="N64" s="18" t="s">
        <v>154</v>
      </c>
      <c r="O64" s="17" t="s">
        <v>154</v>
      </c>
      <c r="P64" s="18" t="s">
        <v>154</v>
      </c>
      <c r="Q64" s="17" t="s">
        <v>154</v>
      </c>
      <c r="R64" s="18" t="s">
        <v>154</v>
      </c>
    </row>
    <row r="65" spans="1:18" x14ac:dyDescent="0.25">
      <c r="A65" s="11" t="s">
        <v>198</v>
      </c>
      <c r="B65" s="17" t="s">
        <v>154</v>
      </c>
      <c r="C65" s="17" t="s">
        <v>154</v>
      </c>
      <c r="D65" s="18" t="s">
        <v>154</v>
      </c>
      <c r="E65" s="17" t="s">
        <v>154</v>
      </c>
      <c r="F65" s="18" t="s">
        <v>154</v>
      </c>
      <c r="G65" s="17" t="s">
        <v>154</v>
      </c>
      <c r="H65" s="18" t="s">
        <v>154</v>
      </c>
      <c r="I65" s="17" t="s">
        <v>154</v>
      </c>
      <c r="J65" s="18" t="s">
        <v>154</v>
      </c>
      <c r="K65" s="17" t="s">
        <v>154</v>
      </c>
      <c r="L65" s="18" t="s">
        <v>154</v>
      </c>
      <c r="M65" s="17" t="s">
        <v>154</v>
      </c>
      <c r="N65" s="18" t="s">
        <v>154</v>
      </c>
      <c r="O65" s="17" t="s">
        <v>154</v>
      </c>
      <c r="P65" s="18" t="s">
        <v>154</v>
      </c>
      <c r="Q65" s="17" t="s">
        <v>154</v>
      </c>
      <c r="R65" s="18" t="s">
        <v>154</v>
      </c>
    </row>
    <row r="66" spans="1:18" x14ac:dyDescent="0.25">
      <c r="A66" s="11" t="s">
        <v>199</v>
      </c>
      <c r="B66" s="13">
        <v>5665</v>
      </c>
      <c r="C66" s="14">
        <f>(4711/B66*100)</f>
        <v>83.159752868490727</v>
      </c>
      <c r="D66" s="15">
        <v>954</v>
      </c>
      <c r="E66" s="14">
        <v>57.615106699999998</v>
      </c>
      <c r="F66" s="16">
        <v>1.6734218700000001</v>
      </c>
      <c r="G66" s="14">
        <v>42.384893300000002</v>
      </c>
      <c r="H66" s="16">
        <v>1.6734218700000001</v>
      </c>
      <c r="I66" s="14" t="s">
        <v>139</v>
      </c>
      <c r="J66" s="16" t="s">
        <v>139</v>
      </c>
      <c r="K66" s="14">
        <v>0</v>
      </c>
      <c r="L66" s="16">
        <v>0</v>
      </c>
      <c r="M66" s="14">
        <v>0</v>
      </c>
      <c r="N66" s="16">
        <v>0</v>
      </c>
      <c r="O66" s="14">
        <v>0</v>
      </c>
      <c r="P66" s="16">
        <v>0</v>
      </c>
      <c r="Q66" s="14">
        <v>0</v>
      </c>
      <c r="R66" s="16">
        <v>0</v>
      </c>
    </row>
    <row r="67" spans="1:18" x14ac:dyDescent="0.25">
      <c r="A67" s="11" t="s">
        <v>200</v>
      </c>
      <c r="B67" s="13">
        <v>6971</v>
      </c>
      <c r="C67" s="14">
        <f>(5876/B67*100)</f>
        <v>84.292067135274706</v>
      </c>
      <c r="D67" s="15">
        <v>1095</v>
      </c>
      <c r="E67" s="14">
        <v>54.132219210000002</v>
      </c>
      <c r="F67" s="16">
        <v>1.78946421</v>
      </c>
      <c r="G67" s="14">
        <v>45.867780789999998</v>
      </c>
      <c r="H67" s="16">
        <v>1.78946421</v>
      </c>
      <c r="I67" s="14" t="s">
        <v>139</v>
      </c>
      <c r="J67" s="16" t="s">
        <v>139</v>
      </c>
      <c r="K67" s="14">
        <v>0</v>
      </c>
      <c r="L67" s="16">
        <v>0</v>
      </c>
      <c r="M67" s="14">
        <v>0</v>
      </c>
      <c r="N67" s="16">
        <v>0</v>
      </c>
      <c r="O67" s="14">
        <v>0</v>
      </c>
      <c r="P67" s="16">
        <v>0</v>
      </c>
      <c r="Q67" s="14">
        <v>0</v>
      </c>
      <c r="R67" s="16">
        <v>0</v>
      </c>
    </row>
    <row r="68" spans="1:18" x14ac:dyDescent="0.25">
      <c r="A68" s="11" t="s">
        <v>201</v>
      </c>
      <c r="B68" s="17" t="s">
        <v>154</v>
      </c>
      <c r="C68" s="17" t="s">
        <v>154</v>
      </c>
      <c r="D68" s="18" t="s">
        <v>154</v>
      </c>
      <c r="E68" s="17" t="s">
        <v>154</v>
      </c>
      <c r="F68" s="18" t="s">
        <v>154</v>
      </c>
      <c r="G68" s="17" t="s">
        <v>154</v>
      </c>
      <c r="H68" s="18" t="s">
        <v>154</v>
      </c>
      <c r="I68" s="17" t="s">
        <v>154</v>
      </c>
      <c r="J68" s="18" t="s">
        <v>154</v>
      </c>
      <c r="K68" s="17" t="s">
        <v>154</v>
      </c>
      <c r="L68" s="18" t="s">
        <v>154</v>
      </c>
      <c r="M68" s="17" t="s">
        <v>154</v>
      </c>
      <c r="N68" s="18" t="s">
        <v>154</v>
      </c>
      <c r="O68" s="17" t="s">
        <v>154</v>
      </c>
      <c r="P68" s="18" t="s">
        <v>154</v>
      </c>
      <c r="Q68" s="17" t="s">
        <v>154</v>
      </c>
      <c r="R68" s="18" t="s">
        <v>154</v>
      </c>
    </row>
    <row r="69" spans="1:18" x14ac:dyDescent="0.25">
      <c r="A69" s="11" t="s">
        <v>202</v>
      </c>
      <c r="B69" s="17" t="s">
        <v>154</v>
      </c>
      <c r="C69" s="17" t="s">
        <v>154</v>
      </c>
      <c r="D69" s="18" t="s">
        <v>154</v>
      </c>
      <c r="E69" s="17" t="s">
        <v>154</v>
      </c>
      <c r="F69" s="18" t="s">
        <v>154</v>
      </c>
      <c r="G69" s="17" t="s">
        <v>154</v>
      </c>
      <c r="H69" s="18" t="s">
        <v>154</v>
      </c>
      <c r="I69" s="17" t="s">
        <v>154</v>
      </c>
      <c r="J69" s="18" t="s">
        <v>154</v>
      </c>
      <c r="K69" s="17" t="s">
        <v>154</v>
      </c>
      <c r="L69" s="18" t="s">
        <v>154</v>
      </c>
      <c r="M69" s="17" t="s">
        <v>154</v>
      </c>
      <c r="N69" s="18" t="s">
        <v>154</v>
      </c>
      <c r="O69" s="17" t="s">
        <v>154</v>
      </c>
      <c r="P69" s="18" t="s">
        <v>154</v>
      </c>
      <c r="Q69" s="17" t="s">
        <v>154</v>
      </c>
      <c r="R69" s="18" t="s">
        <v>154</v>
      </c>
    </row>
    <row r="70" spans="1:18" x14ac:dyDescent="0.25">
      <c r="A70" s="11" t="s">
        <v>203</v>
      </c>
      <c r="B70" s="13">
        <v>6036</v>
      </c>
      <c r="C70" s="14">
        <f>(5007/B70*100)</f>
        <v>82.952286282306162</v>
      </c>
      <c r="D70" s="15">
        <v>1029</v>
      </c>
      <c r="E70" s="14">
        <v>69.994727749999996</v>
      </c>
      <c r="F70" s="16">
        <v>1.5203888400000001</v>
      </c>
      <c r="G70" s="14">
        <v>30.005272250000001</v>
      </c>
      <c r="H70" s="16">
        <v>1.5203888400000001</v>
      </c>
      <c r="I70" s="14" t="s">
        <v>139</v>
      </c>
      <c r="J70" s="16" t="s">
        <v>139</v>
      </c>
      <c r="K70" s="14">
        <v>0</v>
      </c>
      <c r="L70" s="16">
        <v>0</v>
      </c>
      <c r="M70" s="14">
        <v>0</v>
      </c>
      <c r="N70" s="16">
        <v>0</v>
      </c>
      <c r="O70" s="14">
        <v>0</v>
      </c>
      <c r="P70" s="16">
        <v>0</v>
      </c>
      <c r="Q70" s="14">
        <v>0</v>
      </c>
      <c r="R70" s="16">
        <v>0</v>
      </c>
    </row>
    <row r="71" spans="1:18" x14ac:dyDescent="0.25">
      <c r="A71" s="11" t="s">
        <v>204</v>
      </c>
      <c r="B71" s="17" t="s">
        <v>154</v>
      </c>
      <c r="C71" s="17" t="s">
        <v>154</v>
      </c>
      <c r="D71" s="18" t="s">
        <v>154</v>
      </c>
      <c r="E71" s="17" t="s">
        <v>154</v>
      </c>
      <c r="F71" s="18" t="s">
        <v>154</v>
      </c>
      <c r="G71" s="17" t="s">
        <v>154</v>
      </c>
      <c r="H71" s="18" t="s">
        <v>154</v>
      </c>
      <c r="I71" s="17" t="s">
        <v>154</v>
      </c>
      <c r="J71" s="18" t="s">
        <v>154</v>
      </c>
      <c r="K71" s="17" t="s">
        <v>154</v>
      </c>
      <c r="L71" s="18" t="s">
        <v>154</v>
      </c>
      <c r="M71" s="17" t="s">
        <v>154</v>
      </c>
      <c r="N71" s="18" t="s">
        <v>154</v>
      </c>
      <c r="O71" s="17" t="s">
        <v>154</v>
      </c>
      <c r="P71" s="18" t="s">
        <v>154</v>
      </c>
      <c r="Q71" s="17" t="s">
        <v>154</v>
      </c>
      <c r="R71" s="18" t="s">
        <v>154</v>
      </c>
    </row>
    <row r="72" spans="1:18" x14ac:dyDescent="0.25">
      <c r="A72" s="11" t="s">
        <v>205</v>
      </c>
      <c r="B72" s="13">
        <v>7708</v>
      </c>
      <c r="C72" s="14">
        <f>(6394/B72*100)</f>
        <v>82.952776336273999</v>
      </c>
      <c r="D72" s="15">
        <v>1314</v>
      </c>
      <c r="E72" s="14">
        <v>47.145544909999998</v>
      </c>
      <c r="F72" s="16">
        <v>1.2654335400000001</v>
      </c>
      <c r="G72" s="14">
        <v>52.854455090000002</v>
      </c>
      <c r="H72" s="16">
        <v>1.2654335400000001</v>
      </c>
      <c r="I72" s="14" t="s">
        <v>139</v>
      </c>
      <c r="J72" s="16" t="s">
        <v>139</v>
      </c>
      <c r="K72" s="14">
        <v>0</v>
      </c>
      <c r="L72" s="16">
        <v>0</v>
      </c>
      <c r="M72" s="14">
        <v>0</v>
      </c>
      <c r="N72" s="16">
        <v>0</v>
      </c>
      <c r="O72" s="14">
        <v>0</v>
      </c>
      <c r="P72" s="16">
        <v>0</v>
      </c>
      <c r="Q72" s="14">
        <v>0</v>
      </c>
      <c r="R72" s="16">
        <v>0</v>
      </c>
    </row>
    <row r="73" spans="1:18" x14ac:dyDescent="0.25">
      <c r="A73" s="11" t="s">
        <v>206</v>
      </c>
      <c r="B73" s="13">
        <v>8249</v>
      </c>
      <c r="C73" s="14">
        <f>(6882/B73*100)</f>
        <v>83.428294338707715</v>
      </c>
      <c r="D73" s="15">
        <v>1367</v>
      </c>
      <c r="E73" s="14">
        <v>50.13720824</v>
      </c>
      <c r="F73" s="16">
        <v>1.64646369</v>
      </c>
      <c r="G73" s="14">
        <v>49.86279176</v>
      </c>
      <c r="H73" s="16">
        <v>1.64646369</v>
      </c>
      <c r="I73" s="14" t="s">
        <v>139</v>
      </c>
      <c r="J73" s="16" t="s">
        <v>139</v>
      </c>
      <c r="K73" s="14">
        <v>0</v>
      </c>
      <c r="L73" s="16">
        <v>0</v>
      </c>
      <c r="M73" s="14">
        <v>0</v>
      </c>
      <c r="N73" s="16">
        <v>0</v>
      </c>
      <c r="O73" s="14">
        <v>0</v>
      </c>
      <c r="P73" s="16">
        <v>0</v>
      </c>
      <c r="Q73" s="14">
        <v>0</v>
      </c>
      <c r="R73" s="16">
        <v>0</v>
      </c>
    </row>
    <row r="74" spans="1:18" x14ac:dyDescent="0.25">
      <c r="A74" s="11" t="s">
        <v>207</v>
      </c>
      <c r="B74" s="17" t="s">
        <v>154</v>
      </c>
      <c r="C74" s="17" t="s">
        <v>154</v>
      </c>
      <c r="D74" s="18" t="s">
        <v>154</v>
      </c>
      <c r="E74" s="17" t="s">
        <v>154</v>
      </c>
      <c r="F74" s="18" t="s">
        <v>154</v>
      </c>
      <c r="G74" s="17" t="s">
        <v>154</v>
      </c>
      <c r="H74" s="18" t="s">
        <v>154</v>
      </c>
      <c r="I74" s="17" t="s">
        <v>154</v>
      </c>
      <c r="J74" s="18" t="s">
        <v>154</v>
      </c>
      <c r="K74" s="17" t="s">
        <v>154</v>
      </c>
      <c r="L74" s="18" t="s">
        <v>154</v>
      </c>
      <c r="M74" s="17" t="s">
        <v>154</v>
      </c>
      <c r="N74" s="18" t="s">
        <v>154</v>
      </c>
      <c r="O74" s="17" t="s">
        <v>154</v>
      </c>
      <c r="P74" s="18" t="s">
        <v>154</v>
      </c>
      <c r="Q74" s="17" t="s">
        <v>154</v>
      </c>
      <c r="R74" s="18" t="s">
        <v>154</v>
      </c>
    </row>
    <row r="75" spans="1:18" x14ac:dyDescent="0.25">
      <c r="A75" s="11" t="s">
        <v>208</v>
      </c>
      <c r="B75" s="13">
        <v>5375</v>
      </c>
      <c r="C75" s="14">
        <f>(4557/B75*100)</f>
        <v>84.781395348837208</v>
      </c>
      <c r="D75" s="15">
        <v>818</v>
      </c>
      <c r="E75" s="14">
        <v>76.27411223</v>
      </c>
      <c r="F75" s="16">
        <v>1.4832717500000001</v>
      </c>
      <c r="G75" s="14">
        <v>23.72588777</v>
      </c>
      <c r="H75" s="16">
        <v>1.4832717500000001</v>
      </c>
      <c r="I75" s="14" t="s">
        <v>139</v>
      </c>
      <c r="J75" s="16" t="s">
        <v>139</v>
      </c>
      <c r="K75" s="14">
        <v>0</v>
      </c>
      <c r="L75" s="16">
        <v>0</v>
      </c>
      <c r="M75" s="14">
        <v>0</v>
      </c>
      <c r="N75" s="16">
        <v>0</v>
      </c>
      <c r="O75" s="14">
        <v>0</v>
      </c>
      <c r="P75" s="16">
        <v>0</v>
      </c>
      <c r="Q75" s="14">
        <v>0</v>
      </c>
      <c r="R75" s="16">
        <v>0</v>
      </c>
    </row>
    <row r="76" spans="1:18" x14ac:dyDescent="0.25">
      <c r="A76" s="11" t="s">
        <v>209</v>
      </c>
      <c r="B76" s="13">
        <v>14167</v>
      </c>
      <c r="C76" s="14">
        <f>(11728/B76*100)</f>
        <v>82.783934495658926</v>
      </c>
      <c r="D76" s="15">
        <v>2439</v>
      </c>
      <c r="E76" s="14">
        <v>53.108410939999999</v>
      </c>
      <c r="F76" s="16">
        <v>1.35375029</v>
      </c>
      <c r="G76" s="14">
        <v>46.891589060000001</v>
      </c>
      <c r="H76" s="16">
        <v>1.35375029</v>
      </c>
      <c r="I76" s="14" t="s">
        <v>139</v>
      </c>
      <c r="J76" s="16" t="s">
        <v>139</v>
      </c>
      <c r="K76" s="14">
        <v>0</v>
      </c>
      <c r="L76" s="16">
        <v>0</v>
      </c>
      <c r="M76" s="14">
        <v>0</v>
      </c>
      <c r="N76" s="16">
        <v>0</v>
      </c>
      <c r="O76" s="14">
        <v>0</v>
      </c>
      <c r="P76" s="16">
        <v>0</v>
      </c>
      <c r="Q76" s="14">
        <v>0</v>
      </c>
      <c r="R76" s="16">
        <v>0</v>
      </c>
    </row>
    <row r="77" spans="1:18" x14ac:dyDescent="0.25">
      <c r="A77" s="11" t="s">
        <v>210</v>
      </c>
      <c r="B77" s="13">
        <v>6062</v>
      </c>
      <c r="C77" s="14">
        <f>(5018/B77*100)</f>
        <v>82.777961068954141</v>
      </c>
      <c r="D77" s="15">
        <v>1044</v>
      </c>
      <c r="E77" s="14">
        <v>55.017578999999998</v>
      </c>
      <c r="F77" s="16">
        <v>1.35722129</v>
      </c>
      <c r="G77" s="14">
        <v>44.982421000000002</v>
      </c>
      <c r="H77" s="16">
        <v>1.35722129</v>
      </c>
      <c r="I77" s="14" t="s">
        <v>139</v>
      </c>
      <c r="J77" s="16" t="s">
        <v>139</v>
      </c>
      <c r="K77" s="14">
        <v>0</v>
      </c>
      <c r="L77" s="16">
        <v>0</v>
      </c>
      <c r="M77" s="14">
        <v>0</v>
      </c>
      <c r="N77" s="16">
        <v>0</v>
      </c>
      <c r="O77" s="14">
        <v>0</v>
      </c>
      <c r="P77" s="16">
        <v>0</v>
      </c>
      <c r="Q77" s="14">
        <v>0</v>
      </c>
      <c r="R77" s="16">
        <v>0</v>
      </c>
    </row>
    <row r="78" spans="1:18" x14ac:dyDescent="0.25">
      <c r="A78" s="11" t="s">
        <v>211</v>
      </c>
      <c r="B78" s="17" t="s">
        <v>154</v>
      </c>
      <c r="C78" s="17" t="s">
        <v>154</v>
      </c>
      <c r="D78" s="18" t="s">
        <v>154</v>
      </c>
      <c r="E78" s="17" t="s">
        <v>154</v>
      </c>
      <c r="F78" s="18" t="s">
        <v>154</v>
      </c>
      <c r="G78" s="17" t="s">
        <v>154</v>
      </c>
      <c r="H78" s="18" t="s">
        <v>154</v>
      </c>
      <c r="I78" s="17" t="s">
        <v>154</v>
      </c>
      <c r="J78" s="18" t="s">
        <v>154</v>
      </c>
      <c r="K78" s="17" t="s">
        <v>154</v>
      </c>
      <c r="L78" s="18" t="s">
        <v>154</v>
      </c>
      <c r="M78" s="17" t="s">
        <v>154</v>
      </c>
      <c r="N78" s="18" t="s">
        <v>154</v>
      </c>
      <c r="O78" s="17" t="s">
        <v>154</v>
      </c>
      <c r="P78" s="18" t="s">
        <v>154</v>
      </c>
      <c r="Q78" s="17" t="s">
        <v>154</v>
      </c>
      <c r="R78" s="18" t="s">
        <v>154</v>
      </c>
    </row>
    <row r="79" spans="1:18" ht="24.95" customHeight="1" x14ac:dyDescent="0.25">
      <c r="A79" s="11" t="s">
        <v>212</v>
      </c>
      <c r="B79" s="17" t="s">
        <v>154</v>
      </c>
      <c r="C79" s="17" t="s">
        <v>154</v>
      </c>
      <c r="D79" s="18" t="s">
        <v>154</v>
      </c>
      <c r="E79" s="17" t="s">
        <v>154</v>
      </c>
      <c r="F79" s="18" t="s">
        <v>154</v>
      </c>
      <c r="G79" s="17" t="s">
        <v>154</v>
      </c>
      <c r="H79" s="18" t="s">
        <v>154</v>
      </c>
      <c r="I79" s="17" t="s">
        <v>154</v>
      </c>
      <c r="J79" s="18" t="s">
        <v>154</v>
      </c>
      <c r="K79" s="17" t="s">
        <v>154</v>
      </c>
      <c r="L79" s="18" t="s">
        <v>154</v>
      </c>
      <c r="M79" s="17" t="s">
        <v>154</v>
      </c>
      <c r="N79" s="18" t="s">
        <v>154</v>
      </c>
      <c r="O79" s="17" t="s">
        <v>154</v>
      </c>
      <c r="P79" s="18" t="s">
        <v>154</v>
      </c>
      <c r="Q79" s="17" t="s">
        <v>154</v>
      </c>
      <c r="R79" s="18" t="s">
        <v>154</v>
      </c>
    </row>
    <row r="80" spans="1:18" x14ac:dyDescent="0.25">
      <c r="A80" s="11" t="s">
        <v>213</v>
      </c>
      <c r="B80" s="17" t="s">
        <v>154</v>
      </c>
      <c r="C80" s="17" t="s">
        <v>154</v>
      </c>
      <c r="D80" s="18" t="s">
        <v>154</v>
      </c>
      <c r="E80" s="17" t="s">
        <v>154</v>
      </c>
      <c r="F80" s="18" t="s">
        <v>154</v>
      </c>
      <c r="G80" s="17" t="s">
        <v>154</v>
      </c>
      <c r="H80" s="18" t="s">
        <v>154</v>
      </c>
      <c r="I80" s="17" t="s">
        <v>154</v>
      </c>
      <c r="J80" s="18" t="s">
        <v>154</v>
      </c>
      <c r="K80" s="17" t="s">
        <v>154</v>
      </c>
      <c r="L80" s="18" t="s">
        <v>154</v>
      </c>
      <c r="M80" s="17" t="s">
        <v>154</v>
      </c>
      <c r="N80" s="18" t="s">
        <v>154</v>
      </c>
      <c r="O80" s="17" t="s">
        <v>154</v>
      </c>
      <c r="P80" s="18" t="s">
        <v>154</v>
      </c>
      <c r="Q80" s="17" t="s">
        <v>154</v>
      </c>
      <c r="R80" s="18" t="s">
        <v>154</v>
      </c>
    </row>
    <row r="81" spans="1:18" x14ac:dyDescent="0.25">
      <c r="A81" s="19" t="s">
        <v>214</v>
      </c>
      <c r="B81" s="13">
        <v>8861</v>
      </c>
      <c r="C81" s="14">
        <f>(7369/B81*100)</f>
        <v>83.162171312492944</v>
      </c>
      <c r="D81" s="15">
        <v>1492</v>
      </c>
      <c r="E81" s="14">
        <v>48.955048990000002</v>
      </c>
      <c r="F81" s="16">
        <v>1.6438353800000001</v>
      </c>
      <c r="G81" s="14">
        <v>51.044951009999998</v>
      </c>
      <c r="H81" s="16">
        <v>1.6438353800000001</v>
      </c>
      <c r="I81" s="14" t="s">
        <v>139</v>
      </c>
      <c r="J81" s="16" t="s">
        <v>139</v>
      </c>
      <c r="K81" s="14">
        <v>0</v>
      </c>
      <c r="L81" s="16">
        <v>0</v>
      </c>
      <c r="M81" s="14">
        <v>0</v>
      </c>
      <c r="N81" s="16">
        <v>0</v>
      </c>
      <c r="O81" s="14">
        <v>0</v>
      </c>
      <c r="P81" s="16">
        <v>0</v>
      </c>
      <c r="Q81" s="14">
        <v>0</v>
      </c>
      <c r="R81" s="16">
        <v>0</v>
      </c>
    </row>
    <row r="82" spans="1:18" x14ac:dyDescent="0.25">
      <c r="A82" s="20"/>
      <c r="B82" s="20" t="s">
        <v>215</v>
      </c>
      <c r="C82" s="20" t="s">
        <v>215</v>
      </c>
      <c r="D82" s="20" t="s">
        <v>215</v>
      </c>
      <c r="E82" s="20" t="s">
        <v>215</v>
      </c>
      <c r="F82" s="20" t="s">
        <v>215</v>
      </c>
      <c r="G82" s="20" t="s">
        <v>215</v>
      </c>
      <c r="H82" s="20" t="s">
        <v>215</v>
      </c>
      <c r="I82" s="20" t="s">
        <v>215</v>
      </c>
      <c r="J82" s="20" t="s">
        <v>215</v>
      </c>
      <c r="K82" s="20" t="s">
        <v>215</v>
      </c>
      <c r="L82" s="20" t="s">
        <v>215</v>
      </c>
      <c r="M82" s="20" t="s">
        <v>215</v>
      </c>
      <c r="N82" s="20" t="s">
        <v>215</v>
      </c>
      <c r="O82" s="20" t="s">
        <v>215</v>
      </c>
      <c r="P82" s="20" t="s">
        <v>215</v>
      </c>
      <c r="Q82" s="20" t="s">
        <v>215</v>
      </c>
      <c r="R82" s="20" t="s">
        <v>215</v>
      </c>
    </row>
    <row r="83" spans="1:18" x14ac:dyDescent="0.25">
      <c r="A83" s="3" t="s">
        <v>216</v>
      </c>
    </row>
    <row r="84" spans="1:18" x14ac:dyDescent="0.25">
      <c r="A84" s="22" t="s">
        <v>217</v>
      </c>
      <c r="B84" s="23"/>
      <c r="C84" s="23"/>
      <c r="D84" s="23"/>
      <c r="E84" s="23"/>
      <c r="F84" s="23"/>
      <c r="G84" s="23"/>
      <c r="H84" s="23"/>
      <c r="I84" s="23"/>
      <c r="J84" s="23"/>
      <c r="K84" s="23"/>
      <c r="L84" s="23"/>
      <c r="M84" s="23"/>
      <c r="N84" s="23"/>
      <c r="O84" s="23"/>
      <c r="P84" s="23"/>
      <c r="Q84" s="23"/>
      <c r="R84" s="23"/>
    </row>
    <row r="85" spans="1:18" x14ac:dyDescent="0.25">
      <c r="A85" s="22" t="s">
        <v>218</v>
      </c>
      <c r="B85" s="23"/>
      <c r="C85" s="23"/>
      <c r="D85" s="23"/>
      <c r="E85" s="23"/>
      <c r="F85" s="23"/>
      <c r="G85" s="23"/>
      <c r="H85" s="23"/>
      <c r="I85" s="23"/>
      <c r="J85" s="23"/>
      <c r="K85" s="23"/>
      <c r="L85" s="23"/>
      <c r="M85" s="23"/>
      <c r="N85" s="23"/>
      <c r="O85" s="23"/>
      <c r="P85" s="23"/>
      <c r="Q85" s="23"/>
      <c r="R85" s="23"/>
    </row>
    <row r="86" spans="1:18" ht="30" customHeight="1" x14ac:dyDescent="0.25">
      <c r="A86" s="22" t="s">
        <v>219</v>
      </c>
      <c r="B86" s="23"/>
      <c r="C86" s="23"/>
      <c r="D86" s="23"/>
      <c r="E86" s="23"/>
      <c r="F86" s="23"/>
      <c r="G86" s="23"/>
      <c r="H86" s="23"/>
      <c r="I86" s="23"/>
      <c r="J86" s="23"/>
      <c r="K86" s="23"/>
      <c r="L86" s="23"/>
      <c r="M86" s="23"/>
      <c r="N86" s="23"/>
      <c r="O86" s="23"/>
      <c r="P86" s="23"/>
      <c r="Q86" s="23"/>
      <c r="R86" s="23"/>
    </row>
    <row r="87" spans="1:18" ht="30" customHeight="1" x14ac:dyDescent="0.25">
      <c r="A87" s="22" t="s">
        <v>215</v>
      </c>
      <c r="B87" s="23"/>
      <c r="C87" s="23"/>
      <c r="D87" s="23"/>
      <c r="E87" s="23"/>
      <c r="F87" s="23"/>
      <c r="G87" s="23"/>
      <c r="H87" s="23"/>
      <c r="I87" s="23"/>
      <c r="J87" s="23"/>
      <c r="K87" s="23"/>
      <c r="L87" s="23"/>
      <c r="M87" s="23"/>
      <c r="N87" s="23"/>
      <c r="O87" s="23"/>
      <c r="P87" s="23"/>
      <c r="Q87" s="23"/>
      <c r="R87" s="23"/>
    </row>
    <row r="88" spans="1:18" ht="30" customHeight="1" x14ac:dyDescent="0.25">
      <c r="A88" s="22" t="s">
        <v>220</v>
      </c>
      <c r="B88" s="23"/>
      <c r="C88" s="23"/>
      <c r="D88" s="23"/>
      <c r="E88" s="23"/>
      <c r="F88" s="23"/>
      <c r="G88" s="23"/>
      <c r="H88" s="23"/>
      <c r="I88" s="23"/>
      <c r="J88" s="23"/>
      <c r="K88" s="23"/>
      <c r="L88" s="23"/>
      <c r="M88" s="23"/>
      <c r="N88" s="23"/>
      <c r="O88" s="23"/>
      <c r="P88" s="23"/>
      <c r="Q88" s="23"/>
      <c r="R88" s="23"/>
    </row>
    <row r="89" spans="1:18" ht="30" customHeight="1" x14ac:dyDescent="0.25">
      <c r="A89" s="22" t="s">
        <v>221</v>
      </c>
      <c r="B89" s="23"/>
      <c r="C89" s="23"/>
      <c r="D89" s="23"/>
      <c r="E89" s="23"/>
      <c r="F89" s="23"/>
      <c r="G89" s="23"/>
      <c r="H89" s="23"/>
      <c r="I89" s="23"/>
      <c r="J89" s="23"/>
      <c r="K89" s="23"/>
      <c r="L89" s="23"/>
      <c r="M89" s="23"/>
      <c r="N89" s="23"/>
      <c r="O89" s="23"/>
      <c r="P89" s="23"/>
      <c r="Q89" s="23"/>
      <c r="R89" s="23"/>
    </row>
    <row r="90" spans="1:18" ht="30" customHeight="1" x14ac:dyDescent="0.25">
      <c r="A90" s="22" t="s">
        <v>222</v>
      </c>
      <c r="B90" s="23"/>
      <c r="C90" s="23"/>
      <c r="D90" s="23"/>
      <c r="E90" s="23"/>
      <c r="F90" s="23"/>
      <c r="G90" s="23"/>
      <c r="H90" s="23"/>
      <c r="I90" s="23"/>
      <c r="J90" s="23"/>
      <c r="K90" s="23"/>
      <c r="L90" s="23"/>
      <c r="M90" s="23"/>
      <c r="N90" s="23"/>
      <c r="O90" s="23"/>
      <c r="P90" s="23"/>
      <c r="Q90" s="23"/>
      <c r="R90" s="23"/>
    </row>
    <row r="91" spans="1:18" ht="30" customHeight="1" x14ac:dyDescent="0.25">
      <c r="A91" s="22" t="s">
        <v>223</v>
      </c>
      <c r="B91" s="23"/>
      <c r="C91" s="23"/>
      <c r="D91" s="23"/>
      <c r="E91" s="23"/>
      <c r="F91" s="23"/>
      <c r="G91" s="23"/>
      <c r="H91" s="23"/>
      <c r="I91" s="23"/>
      <c r="J91" s="23"/>
      <c r="K91" s="23"/>
      <c r="L91" s="23"/>
      <c r="M91" s="23"/>
      <c r="N91" s="23"/>
      <c r="O91" s="23"/>
      <c r="P91" s="23"/>
      <c r="Q91" s="23"/>
      <c r="R91" s="23"/>
    </row>
    <row r="92" spans="1:18" ht="30" customHeight="1" x14ac:dyDescent="0.25">
      <c r="A92" s="22" t="s">
        <v>224</v>
      </c>
      <c r="B92" s="23"/>
      <c r="C92" s="23"/>
      <c r="D92" s="23"/>
      <c r="E92" s="23"/>
      <c r="F92" s="23"/>
      <c r="G92" s="23"/>
      <c r="H92" s="23"/>
      <c r="I92" s="23"/>
      <c r="J92" s="23"/>
      <c r="K92" s="23"/>
      <c r="L92" s="23"/>
      <c r="M92" s="23"/>
      <c r="N92" s="23"/>
      <c r="O92" s="23"/>
      <c r="P92" s="23"/>
      <c r="Q92" s="23"/>
      <c r="R92" s="23"/>
    </row>
    <row r="93" spans="1:18" ht="30" customHeight="1" x14ac:dyDescent="0.25">
      <c r="A93" s="22" t="s">
        <v>225</v>
      </c>
      <c r="B93" s="23"/>
      <c r="C93" s="23"/>
      <c r="D93" s="23"/>
      <c r="E93" s="23"/>
      <c r="F93" s="23"/>
      <c r="G93" s="23"/>
      <c r="H93" s="23"/>
      <c r="I93" s="23"/>
      <c r="J93" s="23"/>
      <c r="K93" s="23"/>
      <c r="L93" s="23"/>
      <c r="M93" s="23"/>
      <c r="N93" s="23"/>
      <c r="O93" s="23"/>
      <c r="P93" s="23"/>
      <c r="Q93" s="23"/>
      <c r="R93" s="23"/>
    </row>
    <row r="94" spans="1:18" ht="30" customHeight="1" x14ac:dyDescent="0.25">
      <c r="A94" s="22" t="s">
        <v>226</v>
      </c>
      <c r="B94" s="23"/>
      <c r="C94" s="23"/>
      <c r="D94" s="23"/>
      <c r="E94" s="23"/>
      <c r="F94" s="23"/>
      <c r="G94" s="23"/>
      <c r="H94" s="23"/>
      <c r="I94" s="23"/>
      <c r="J94" s="23"/>
      <c r="K94" s="23"/>
      <c r="L94" s="23"/>
      <c r="M94" s="23"/>
      <c r="N94" s="23"/>
      <c r="O94" s="23"/>
      <c r="P94" s="23"/>
      <c r="Q94" s="23"/>
      <c r="R94" s="23"/>
    </row>
    <row r="95" spans="1:18" ht="30" customHeight="1" x14ac:dyDescent="0.25">
      <c r="A95" s="22" t="s">
        <v>227</v>
      </c>
      <c r="B95" s="23"/>
      <c r="C95" s="23"/>
      <c r="D95" s="23"/>
      <c r="E95" s="23"/>
      <c r="F95" s="23"/>
      <c r="G95" s="23"/>
      <c r="H95" s="23"/>
      <c r="I95" s="23"/>
      <c r="J95" s="23"/>
      <c r="K95" s="23"/>
      <c r="L95" s="23"/>
      <c r="M95" s="23"/>
      <c r="N95" s="23"/>
      <c r="O95" s="23"/>
      <c r="P95" s="23"/>
      <c r="Q95" s="23"/>
      <c r="R95" s="23"/>
    </row>
    <row r="96" spans="1:18" ht="30" customHeight="1" x14ac:dyDescent="0.25">
      <c r="A96" s="22" t="s">
        <v>228</v>
      </c>
      <c r="B96" s="23"/>
      <c r="C96" s="23"/>
      <c r="D96" s="23"/>
      <c r="E96" s="23"/>
      <c r="F96" s="23"/>
      <c r="G96" s="23"/>
      <c r="H96" s="23"/>
      <c r="I96" s="23"/>
      <c r="J96" s="23"/>
      <c r="K96" s="23"/>
      <c r="L96" s="23"/>
      <c r="M96" s="23"/>
      <c r="N96" s="23"/>
      <c r="O96" s="23"/>
      <c r="P96" s="23"/>
      <c r="Q96" s="23"/>
      <c r="R96" s="23"/>
    </row>
  </sheetData>
  <mergeCells count="22">
    <mergeCell ref="O4:P4"/>
    <mergeCell ref="Q4:R4"/>
    <mergeCell ref="A1:R1"/>
    <mergeCell ref="A2:R2"/>
    <mergeCell ref="A84:R84"/>
    <mergeCell ref="E4:F4"/>
    <mergeCell ref="G4:H4"/>
    <mergeCell ref="I4:J4"/>
    <mergeCell ref="K4:L4"/>
    <mergeCell ref="M4:N4"/>
    <mergeCell ref="A85:R85"/>
    <mergeCell ref="A86:R86"/>
    <mergeCell ref="A87:R87"/>
    <mergeCell ref="A88:R88"/>
    <mergeCell ref="A89:R89"/>
    <mergeCell ref="A95:R95"/>
    <mergeCell ref="A96:R96"/>
    <mergeCell ref="A90:R90"/>
    <mergeCell ref="A91:R91"/>
    <mergeCell ref="A92:R92"/>
    <mergeCell ref="A93:R93"/>
    <mergeCell ref="A94:R94"/>
  </mergeCells>
  <pageMargins left="0.75" right="0.75" top="1" bottom="1" header="0.5" footer="0.5"/>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7"/>
  <dimension ref="A1:R96"/>
  <sheetViews>
    <sheetView zoomScale="80" workbookViewId="0">
      <pane xSplit="4" topLeftCell="E1" activePane="topRight" state="frozen"/>
      <selection sqref="A1:R1"/>
      <selection pane="topRight" sqref="A1:R1"/>
    </sheetView>
  </sheetViews>
  <sheetFormatPr defaultColWidth="11.42578125" defaultRowHeight="15" x14ac:dyDescent="0.25"/>
  <cols>
    <col min="1" max="1" width="50" customWidth="1"/>
  </cols>
  <sheetData>
    <row r="1" spans="1:18" x14ac:dyDescent="0.25">
      <c r="A1" s="26" t="s">
        <v>122</v>
      </c>
      <c r="B1" s="23"/>
      <c r="C1" s="23"/>
      <c r="D1" s="23"/>
      <c r="E1" s="23"/>
      <c r="F1" s="23"/>
      <c r="G1" s="23"/>
      <c r="H1" s="23"/>
      <c r="I1" s="23"/>
      <c r="J1" s="23"/>
      <c r="K1" s="23"/>
      <c r="L1" s="23"/>
      <c r="M1" s="23"/>
      <c r="N1" s="23"/>
      <c r="O1" s="23"/>
      <c r="P1" s="23"/>
      <c r="Q1" s="23"/>
      <c r="R1" s="23"/>
    </row>
    <row r="2" spans="1:18" x14ac:dyDescent="0.25">
      <c r="A2" s="27" t="s">
        <v>283</v>
      </c>
      <c r="B2" s="23"/>
      <c r="C2" s="23"/>
      <c r="D2" s="23"/>
      <c r="E2" s="23"/>
      <c r="F2" s="23"/>
      <c r="G2" s="23"/>
      <c r="H2" s="23"/>
      <c r="I2" s="23"/>
      <c r="J2" s="23"/>
      <c r="K2" s="23"/>
      <c r="L2" s="23"/>
      <c r="M2" s="23"/>
      <c r="N2" s="23"/>
      <c r="O2" s="23"/>
      <c r="P2" s="23"/>
      <c r="Q2" s="23"/>
      <c r="R2" s="23"/>
    </row>
    <row r="4" spans="1:18" ht="30" customHeight="1" x14ac:dyDescent="0.25">
      <c r="A4" s="4"/>
      <c r="B4" s="5" t="s">
        <v>123</v>
      </c>
      <c r="C4" s="5" t="s">
        <v>124</v>
      </c>
      <c r="D4" s="6" t="s">
        <v>123</v>
      </c>
      <c r="E4" s="24" t="s">
        <v>125</v>
      </c>
      <c r="F4" s="25"/>
      <c r="G4" s="24" t="s">
        <v>126</v>
      </c>
      <c r="H4" s="25"/>
      <c r="I4" s="24" t="s">
        <v>127</v>
      </c>
      <c r="J4" s="25"/>
      <c r="K4" s="24" t="s">
        <v>128</v>
      </c>
      <c r="L4" s="25"/>
      <c r="M4" s="24" t="s">
        <v>129</v>
      </c>
      <c r="N4" s="25"/>
      <c r="O4" s="24" t="s">
        <v>130</v>
      </c>
      <c r="P4" s="25"/>
      <c r="Q4" s="24" t="s">
        <v>131</v>
      </c>
      <c r="R4" s="25"/>
    </row>
    <row r="5" spans="1:18" x14ac:dyDescent="0.25">
      <c r="A5" s="7"/>
      <c r="B5" s="8" t="s">
        <v>132</v>
      </c>
      <c r="C5" s="8" t="s">
        <v>133</v>
      </c>
      <c r="D5" s="7" t="s">
        <v>134</v>
      </c>
      <c r="E5" s="8" t="s">
        <v>135</v>
      </c>
      <c r="F5" s="7" t="s">
        <v>136</v>
      </c>
      <c r="G5" s="8" t="s">
        <v>135</v>
      </c>
      <c r="H5" s="7" t="s">
        <v>136</v>
      </c>
      <c r="I5" s="8" t="s">
        <v>135</v>
      </c>
      <c r="J5" s="7" t="s">
        <v>136</v>
      </c>
      <c r="K5" s="8" t="s">
        <v>135</v>
      </c>
      <c r="L5" s="7" t="s">
        <v>136</v>
      </c>
      <c r="M5" s="8" t="s">
        <v>135</v>
      </c>
      <c r="N5" s="7" t="s">
        <v>136</v>
      </c>
      <c r="O5" s="8" t="s">
        <v>135</v>
      </c>
      <c r="P5" s="7" t="s">
        <v>136</v>
      </c>
      <c r="Q5" s="8" t="s">
        <v>135</v>
      </c>
      <c r="R5" s="7" t="s">
        <v>136</v>
      </c>
    </row>
    <row r="6" spans="1:18" x14ac:dyDescent="0.25">
      <c r="A6" s="9" t="s">
        <v>137</v>
      </c>
      <c r="B6" s="10"/>
      <c r="C6" s="10"/>
      <c r="D6" s="11"/>
      <c r="E6" s="10"/>
      <c r="F6" s="11"/>
      <c r="G6" s="10"/>
      <c r="H6" s="11"/>
      <c r="I6" s="10"/>
      <c r="J6" s="11"/>
      <c r="K6" s="10"/>
      <c r="L6" s="11"/>
      <c r="M6" s="10"/>
      <c r="N6" s="11"/>
      <c r="O6" s="10"/>
      <c r="P6" s="11"/>
      <c r="Q6" s="10"/>
      <c r="R6" s="12"/>
    </row>
    <row r="7" spans="1:18" x14ac:dyDescent="0.25">
      <c r="A7" s="11" t="s">
        <v>138</v>
      </c>
      <c r="B7" s="13">
        <v>14530</v>
      </c>
      <c r="C7" s="14">
        <f>(12103/B7*100)</f>
        <v>83.296627666896072</v>
      </c>
      <c r="D7" s="15">
        <v>2427</v>
      </c>
      <c r="E7" s="14">
        <v>35.619177319999999</v>
      </c>
      <c r="F7" s="16">
        <v>1.21840831</v>
      </c>
      <c r="G7" s="14">
        <v>64.380822679999994</v>
      </c>
      <c r="H7" s="16">
        <v>1.21840831</v>
      </c>
      <c r="I7" s="14" t="s">
        <v>139</v>
      </c>
      <c r="J7" s="16" t="s">
        <v>139</v>
      </c>
      <c r="K7" s="14">
        <v>0</v>
      </c>
      <c r="L7" s="16">
        <v>0</v>
      </c>
      <c r="M7" s="14">
        <v>0</v>
      </c>
      <c r="N7" s="16">
        <v>0</v>
      </c>
      <c r="O7" s="14">
        <v>0</v>
      </c>
      <c r="P7" s="16">
        <v>0</v>
      </c>
      <c r="Q7" s="14">
        <v>0</v>
      </c>
      <c r="R7" s="16">
        <v>0</v>
      </c>
    </row>
    <row r="8" spans="1:18" x14ac:dyDescent="0.25">
      <c r="A8" s="11" t="s">
        <v>140</v>
      </c>
      <c r="B8" s="13">
        <v>7007</v>
      </c>
      <c r="C8" s="14">
        <f>(5812/B8*100)</f>
        <v>82.94562580276866</v>
      </c>
      <c r="D8" s="15">
        <v>1195</v>
      </c>
      <c r="E8" s="14">
        <v>45.842476529999999</v>
      </c>
      <c r="F8" s="16">
        <v>1.68430802</v>
      </c>
      <c r="G8" s="14">
        <v>54.157523470000001</v>
      </c>
      <c r="H8" s="16">
        <v>1.68430802</v>
      </c>
      <c r="I8" s="14" t="s">
        <v>139</v>
      </c>
      <c r="J8" s="16" t="s">
        <v>139</v>
      </c>
      <c r="K8" s="14">
        <v>0</v>
      </c>
      <c r="L8" s="16">
        <v>0</v>
      </c>
      <c r="M8" s="14">
        <v>0</v>
      </c>
      <c r="N8" s="16">
        <v>0</v>
      </c>
      <c r="O8" s="14">
        <v>0</v>
      </c>
      <c r="P8" s="16">
        <v>0</v>
      </c>
      <c r="Q8" s="14">
        <v>0</v>
      </c>
      <c r="R8" s="16">
        <v>0</v>
      </c>
    </row>
    <row r="9" spans="1:18" x14ac:dyDescent="0.25">
      <c r="A9" s="11" t="s">
        <v>141</v>
      </c>
      <c r="B9" s="13">
        <v>9651</v>
      </c>
      <c r="C9" s="14">
        <f>(8044/B9*100)</f>
        <v>83.34887576416952</v>
      </c>
      <c r="D9" s="15">
        <v>1607</v>
      </c>
      <c r="E9" s="14">
        <v>46.942960550000002</v>
      </c>
      <c r="F9" s="16">
        <v>1.10966524</v>
      </c>
      <c r="G9" s="14">
        <v>53.057039449999998</v>
      </c>
      <c r="H9" s="16">
        <v>1.10966524</v>
      </c>
      <c r="I9" s="14" t="s">
        <v>139</v>
      </c>
      <c r="J9" s="16" t="s">
        <v>139</v>
      </c>
      <c r="K9" s="14">
        <v>0</v>
      </c>
      <c r="L9" s="16">
        <v>0</v>
      </c>
      <c r="M9" s="14">
        <v>0</v>
      </c>
      <c r="N9" s="16">
        <v>0</v>
      </c>
      <c r="O9" s="14">
        <v>0</v>
      </c>
      <c r="P9" s="16">
        <v>0</v>
      </c>
      <c r="Q9" s="14">
        <v>0</v>
      </c>
      <c r="R9" s="16">
        <v>0</v>
      </c>
    </row>
    <row r="10" spans="1:18" x14ac:dyDescent="0.25">
      <c r="A10" s="11" t="s">
        <v>142</v>
      </c>
      <c r="B10" s="13">
        <v>20058</v>
      </c>
      <c r="C10" s="14">
        <f>(16638/B10*100)</f>
        <v>82.949446604845946</v>
      </c>
      <c r="D10" s="15">
        <v>3420</v>
      </c>
      <c r="E10" s="14">
        <v>34.487707370000003</v>
      </c>
      <c r="F10" s="16">
        <v>1.2594133599999999</v>
      </c>
      <c r="G10" s="14">
        <v>65.512292630000005</v>
      </c>
      <c r="H10" s="16">
        <v>1.2594133599999999</v>
      </c>
      <c r="I10" s="14" t="s">
        <v>139</v>
      </c>
      <c r="J10" s="16" t="s">
        <v>139</v>
      </c>
      <c r="K10" s="14">
        <v>0</v>
      </c>
      <c r="L10" s="16">
        <v>0</v>
      </c>
      <c r="M10" s="14">
        <v>0</v>
      </c>
      <c r="N10" s="16">
        <v>0</v>
      </c>
      <c r="O10" s="14">
        <v>0</v>
      </c>
      <c r="P10" s="16">
        <v>0</v>
      </c>
      <c r="Q10" s="14">
        <v>0</v>
      </c>
      <c r="R10" s="16">
        <v>0</v>
      </c>
    </row>
    <row r="11" spans="1:18" x14ac:dyDescent="0.25">
      <c r="A11" s="11" t="s">
        <v>143</v>
      </c>
      <c r="B11" s="13">
        <v>7053</v>
      </c>
      <c r="C11" s="14">
        <f>(5851/B11*100)</f>
        <v>82.957606692187724</v>
      </c>
      <c r="D11" s="15">
        <v>1202</v>
      </c>
      <c r="E11" s="14">
        <v>63.706446499999998</v>
      </c>
      <c r="F11" s="16">
        <v>1.62339338</v>
      </c>
      <c r="G11" s="14">
        <v>36.293553500000002</v>
      </c>
      <c r="H11" s="16">
        <v>1.62339338</v>
      </c>
      <c r="I11" s="14" t="s">
        <v>139</v>
      </c>
      <c r="J11" s="16" t="s">
        <v>139</v>
      </c>
      <c r="K11" s="14">
        <v>0</v>
      </c>
      <c r="L11" s="16">
        <v>0</v>
      </c>
      <c r="M11" s="14">
        <v>0</v>
      </c>
      <c r="N11" s="16">
        <v>0</v>
      </c>
      <c r="O11" s="14">
        <v>0</v>
      </c>
      <c r="P11" s="16">
        <v>0</v>
      </c>
      <c r="Q11" s="14">
        <v>0</v>
      </c>
      <c r="R11" s="16">
        <v>0</v>
      </c>
    </row>
    <row r="12" spans="1:18" x14ac:dyDescent="0.25">
      <c r="A12" s="11" t="s">
        <v>144</v>
      </c>
      <c r="B12" s="13">
        <v>6894</v>
      </c>
      <c r="C12" s="14">
        <f>(5720/B12*100)</f>
        <v>82.970699158688717</v>
      </c>
      <c r="D12" s="15">
        <v>1174</v>
      </c>
      <c r="E12" s="14">
        <v>37.917709250000001</v>
      </c>
      <c r="F12" s="16">
        <v>1.6212546999999999</v>
      </c>
      <c r="G12" s="14">
        <v>62.082290749999999</v>
      </c>
      <c r="H12" s="16">
        <v>1.6212546999999999</v>
      </c>
      <c r="I12" s="14" t="s">
        <v>139</v>
      </c>
      <c r="J12" s="16" t="s">
        <v>139</v>
      </c>
      <c r="K12" s="14">
        <v>0</v>
      </c>
      <c r="L12" s="16">
        <v>0</v>
      </c>
      <c r="M12" s="14">
        <v>0</v>
      </c>
      <c r="N12" s="16">
        <v>0</v>
      </c>
      <c r="O12" s="14">
        <v>0</v>
      </c>
      <c r="P12" s="16">
        <v>0</v>
      </c>
      <c r="Q12" s="14">
        <v>0</v>
      </c>
      <c r="R12" s="16">
        <v>0</v>
      </c>
    </row>
    <row r="13" spans="1:18" x14ac:dyDescent="0.25">
      <c r="A13" s="11" t="s">
        <v>145</v>
      </c>
      <c r="B13" s="13">
        <v>7161</v>
      </c>
      <c r="C13" s="14">
        <f>(6008/B13*100)</f>
        <v>83.898896802122607</v>
      </c>
      <c r="D13" s="15">
        <v>1153</v>
      </c>
      <c r="E13" s="14">
        <v>42.826094920000003</v>
      </c>
      <c r="F13" s="16">
        <v>1.52168371</v>
      </c>
      <c r="G13" s="14">
        <v>57.173905079999997</v>
      </c>
      <c r="H13" s="16">
        <v>1.52168371</v>
      </c>
      <c r="I13" s="14" t="s">
        <v>139</v>
      </c>
      <c r="J13" s="16" t="s">
        <v>139</v>
      </c>
      <c r="K13" s="14">
        <v>0</v>
      </c>
      <c r="L13" s="16">
        <v>0</v>
      </c>
      <c r="M13" s="14">
        <v>0</v>
      </c>
      <c r="N13" s="16">
        <v>0</v>
      </c>
      <c r="O13" s="14">
        <v>0</v>
      </c>
      <c r="P13" s="16">
        <v>0</v>
      </c>
      <c r="Q13" s="14">
        <v>0</v>
      </c>
      <c r="R13" s="16">
        <v>0</v>
      </c>
    </row>
    <row r="14" spans="1:18" x14ac:dyDescent="0.25">
      <c r="A14" s="11" t="s">
        <v>146</v>
      </c>
      <c r="B14" s="13">
        <v>5587</v>
      </c>
      <c r="C14" s="14">
        <f>(4631/B14*100)</f>
        <v>82.888849114014675</v>
      </c>
      <c r="D14" s="15">
        <v>956</v>
      </c>
      <c r="E14" s="14">
        <v>41.484242780000002</v>
      </c>
      <c r="F14" s="16">
        <v>1.93558746</v>
      </c>
      <c r="G14" s="14">
        <v>58.515757219999998</v>
      </c>
      <c r="H14" s="16">
        <v>1.93558746</v>
      </c>
      <c r="I14" s="14" t="s">
        <v>139</v>
      </c>
      <c r="J14" s="16" t="s">
        <v>139</v>
      </c>
      <c r="K14" s="14">
        <v>0</v>
      </c>
      <c r="L14" s="16">
        <v>0</v>
      </c>
      <c r="M14" s="14">
        <v>0</v>
      </c>
      <c r="N14" s="16">
        <v>0</v>
      </c>
      <c r="O14" s="14">
        <v>0</v>
      </c>
      <c r="P14" s="16">
        <v>0</v>
      </c>
      <c r="Q14" s="14">
        <v>0</v>
      </c>
      <c r="R14" s="16">
        <v>0</v>
      </c>
    </row>
    <row r="15" spans="1:18" x14ac:dyDescent="0.25">
      <c r="A15" s="11" t="s">
        <v>147</v>
      </c>
      <c r="B15" s="13">
        <v>5882</v>
      </c>
      <c r="C15" s="14">
        <f>(4867/B15*100)</f>
        <v>82.743964637878278</v>
      </c>
      <c r="D15" s="15">
        <v>1015</v>
      </c>
      <c r="E15" s="14">
        <v>54.569046929999999</v>
      </c>
      <c r="F15" s="16">
        <v>1.59357116</v>
      </c>
      <c r="G15" s="14">
        <v>45.430953070000001</v>
      </c>
      <c r="H15" s="16">
        <v>1.59357116</v>
      </c>
      <c r="I15" s="14" t="s">
        <v>139</v>
      </c>
      <c r="J15" s="16" t="s">
        <v>139</v>
      </c>
      <c r="K15" s="14">
        <v>0</v>
      </c>
      <c r="L15" s="16">
        <v>0</v>
      </c>
      <c r="M15" s="14">
        <v>0</v>
      </c>
      <c r="N15" s="16">
        <v>0</v>
      </c>
      <c r="O15" s="14">
        <v>0</v>
      </c>
      <c r="P15" s="16">
        <v>0</v>
      </c>
      <c r="Q15" s="14">
        <v>0</v>
      </c>
      <c r="R15" s="16">
        <v>0</v>
      </c>
    </row>
    <row r="16" spans="1:18" x14ac:dyDescent="0.25">
      <c r="A16" s="11" t="s">
        <v>148</v>
      </c>
      <c r="B16" s="13">
        <v>6108</v>
      </c>
      <c r="C16" s="14">
        <f>(5047/B16*100)</f>
        <v>82.629338572364105</v>
      </c>
      <c r="D16" s="15">
        <v>1061</v>
      </c>
      <c r="E16" s="14">
        <v>42.705042059999997</v>
      </c>
      <c r="F16" s="16">
        <v>1.5853688399999999</v>
      </c>
      <c r="G16" s="14">
        <v>57.294957940000003</v>
      </c>
      <c r="H16" s="16">
        <v>1.5853688399999999</v>
      </c>
      <c r="I16" s="14" t="s">
        <v>139</v>
      </c>
      <c r="J16" s="16" t="s">
        <v>139</v>
      </c>
      <c r="K16" s="14">
        <v>0</v>
      </c>
      <c r="L16" s="16">
        <v>0</v>
      </c>
      <c r="M16" s="14">
        <v>0</v>
      </c>
      <c r="N16" s="16">
        <v>0</v>
      </c>
      <c r="O16" s="14">
        <v>0</v>
      </c>
      <c r="P16" s="16">
        <v>0</v>
      </c>
      <c r="Q16" s="14">
        <v>0</v>
      </c>
      <c r="R16" s="16">
        <v>0</v>
      </c>
    </row>
    <row r="17" spans="1:18" x14ac:dyDescent="0.25">
      <c r="A17" s="11" t="s">
        <v>149</v>
      </c>
      <c r="B17" s="13">
        <v>6504</v>
      </c>
      <c r="C17" s="14">
        <f>(5401/B17*100)</f>
        <v>83.041205412054126</v>
      </c>
      <c r="D17" s="15">
        <v>1103</v>
      </c>
      <c r="E17" s="14">
        <v>45.163217289999999</v>
      </c>
      <c r="F17" s="16">
        <v>1.48161838</v>
      </c>
      <c r="G17" s="14">
        <v>54.836782710000001</v>
      </c>
      <c r="H17" s="16">
        <v>1.48161838</v>
      </c>
      <c r="I17" s="14" t="s">
        <v>139</v>
      </c>
      <c r="J17" s="16" t="s">
        <v>139</v>
      </c>
      <c r="K17" s="14">
        <v>0</v>
      </c>
      <c r="L17" s="16">
        <v>0</v>
      </c>
      <c r="M17" s="14">
        <v>0</v>
      </c>
      <c r="N17" s="16">
        <v>0</v>
      </c>
      <c r="O17" s="14">
        <v>0</v>
      </c>
      <c r="P17" s="16">
        <v>0</v>
      </c>
      <c r="Q17" s="14">
        <v>0</v>
      </c>
      <c r="R17" s="16">
        <v>0</v>
      </c>
    </row>
    <row r="18" spans="1:18" x14ac:dyDescent="0.25">
      <c r="A18" s="11" t="s">
        <v>150</v>
      </c>
      <c r="B18" s="13">
        <v>5532</v>
      </c>
      <c r="C18" s="14">
        <f>(4618/B18*100)</f>
        <v>83.477946493130872</v>
      </c>
      <c r="D18" s="15">
        <v>914</v>
      </c>
      <c r="E18" s="14">
        <v>52.441186649999999</v>
      </c>
      <c r="F18" s="16">
        <v>2.0596577200000001</v>
      </c>
      <c r="G18" s="14">
        <v>47.558813350000001</v>
      </c>
      <c r="H18" s="16">
        <v>2.0596577200000001</v>
      </c>
      <c r="I18" s="14" t="s">
        <v>139</v>
      </c>
      <c r="J18" s="16" t="s">
        <v>139</v>
      </c>
      <c r="K18" s="14">
        <v>0</v>
      </c>
      <c r="L18" s="16">
        <v>0</v>
      </c>
      <c r="M18" s="14">
        <v>0</v>
      </c>
      <c r="N18" s="16">
        <v>0</v>
      </c>
      <c r="O18" s="14">
        <v>0</v>
      </c>
      <c r="P18" s="16">
        <v>0</v>
      </c>
      <c r="Q18" s="14">
        <v>0</v>
      </c>
      <c r="R18" s="16">
        <v>0</v>
      </c>
    </row>
    <row r="19" spans="1:18" x14ac:dyDescent="0.25">
      <c r="A19" s="11" t="s">
        <v>151</v>
      </c>
      <c r="B19" s="13">
        <v>5658</v>
      </c>
      <c r="C19" s="14">
        <f>(4693/B19*100)</f>
        <v>82.944503358077057</v>
      </c>
      <c r="D19" s="15">
        <v>965</v>
      </c>
      <c r="E19" s="14">
        <v>49.756616919999999</v>
      </c>
      <c r="F19" s="16">
        <v>1.8646786399999999</v>
      </c>
      <c r="G19" s="14">
        <v>50.243383080000001</v>
      </c>
      <c r="H19" s="16">
        <v>1.8646786399999999</v>
      </c>
      <c r="I19" s="14" t="s">
        <v>139</v>
      </c>
      <c r="J19" s="16" t="s">
        <v>139</v>
      </c>
      <c r="K19" s="14">
        <v>0</v>
      </c>
      <c r="L19" s="16">
        <v>0</v>
      </c>
      <c r="M19" s="14">
        <v>0</v>
      </c>
      <c r="N19" s="16">
        <v>0</v>
      </c>
      <c r="O19" s="14">
        <v>0</v>
      </c>
      <c r="P19" s="16">
        <v>0</v>
      </c>
      <c r="Q19" s="14">
        <v>0</v>
      </c>
      <c r="R19" s="16">
        <v>0</v>
      </c>
    </row>
    <row r="20" spans="1:18" x14ac:dyDescent="0.25">
      <c r="A20" s="11" t="s">
        <v>152</v>
      </c>
      <c r="B20" s="13">
        <v>3371</v>
      </c>
      <c r="C20" s="14">
        <f>(2807/B20*100)</f>
        <v>83.26905962622368</v>
      </c>
      <c r="D20" s="15">
        <v>564</v>
      </c>
      <c r="E20" s="14">
        <v>53.108040979999998</v>
      </c>
      <c r="F20" s="16">
        <v>2.1560350499999998</v>
      </c>
      <c r="G20" s="14">
        <v>46.891959020000002</v>
      </c>
      <c r="H20" s="16">
        <v>2.1560350499999998</v>
      </c>
      <c r="I20" s="14" t="s">
        <v>139</v>
      </c>
      <c r="J20" s="16" t="s">
        <v>139</v>
      </c>
      <c r="K20" s="14">
        <v>0</v>
      </c>
      <c r="L20" s="16">
        <v>0</v>
      </c>
      <c r="M20" s="14">
        <v>0</v>
      </c>
      <c r="N20" s="16">
        <v>0</v>
      </c>
      <c r="O20" s="14">
        <v>0</v>
      </c>
      <c r="P20" s="16">
        <v>0</v>
      </c>
      <c r="Q20" s="14">
        <v>0</v>
      </c>
      <c r="R20" s="16">
        <v>0</v>
      </c>
    </row>
    <row r="21" spans="1:18" x14ac:dyDescent="0.25">
      <c r="A21" s="11" t="s">
        <v>153</v>
      </c>
      <c r="B21" s="17" t="s">
        <v>154</v>
      </c>
      <c r="C21" s="17" t="s">
        <v>154</v>
      </c>
      <c r="D21" s="18" t="s">
        <v>154</v>
      </c>
      <c r="E21" s="17" t="s">
        <v>154</v>
      </c>
      <c r="F21" s="18" t="s">
        <v>154</v>
      </c>
      <c r="G21" s="17" t="s">
        <v>154</v>
      </c>
      <c r="H21" s="18" t="s">
        <v>154</v>
      </c>
      <c r="I21" s="17" t="s">
        <v>154</v>
      </c>
      <c r="J21" s="18" t="s">
        <v>154</v>
      </c>
      <c r="K21" s="17" t="s">
        <v>154</v>
      </c>
      <c r="L21" s="18" t="s">
        <v>154</v>
      </c>
      <c r="M21" s="17" t="s">
        <v>154</v>
      </c>
      <c r="N21" s="18" t="s">
        <v>154</v>
      </c>
      <c r="O21" s="17" t="s">
        <v>154</v>
      </c>
      <c r="P21" s="18" t="s">
        <v>154</v>
      </c>
      <c r="Q21" s="17" t="s">
        <v>154</v>
      </c>
      <c r="R21" s="18" t="s">
        <v>154</v>
      </c>
    </row>
    <row r="22" spans="1:18" x14ac:dyDescent="0.25">
      <c r="A22" s="11" t="s">
        <v>155</v>
      </c>
      <c r="B22" s="13">
        <v>6598</v>
      </c>
      <c r="C22" s="14">
        <f>(5567/B22*100)</f>
        <v>84.374052743255533</v>
      </c>
      <c r="D22" s="15">
        <v>1031</v>
      </c>
      <c r="E22" s="14">
        <v>47.984137859999997</v>
      </c>
      <c r="F22" s="16">
        <v>1.6230727599999999</v>
      </c>
      <c r="G22" s="14">
        <v>52.015862140000003</v>
      </c>
      <c r="H22" s="16">
        <v>1.6230727599999999</v>
      </c>
      <c r="I22" s="14" t="s">
        <v>139</v>
      </c>
      <c r="J22" s="16" t="s">
        <v>139</v>
      </c>
      <c r="K22" s="14">
        <v>0</v>
      </c>
      <c r="L22" s="16">
        <v>0</v>
      </c>
      <c r="M22" s="14">
        <v>0</v>
      </c>
      <c r="N22" s="16">
        <v>0</v>
      </c>
      <c r="O22" s="14">
        <v>0</v>
      </c>
      <c r="P22" s="16">
        <v>0</v>
      </c>
      <c r="Q22" s="14">
        <v>0</v>
      </c>
      <c r="R22" s="16">
        <v>0</v>
      </c>
    </row>
    <row r="23" spans="1:18" x14ac:dyDescent="0.25">
      <c r="A23" s="11" t="s">
        <v>156</v>
      </c>
      <c r="B23" s="13">
        <v>11583</v>
      </c>
      <c r="C23" s="14">
        <f>(9592/B23*100)</f>
        <v>82.81101614434948</v>
      </c>
      <c r="D23" s="15">
        <v>1991</v>
      </c>
      <c r="E23" s="14">
        <v>49.088318700000002</v>
      </c>
      <c r="F23" s="16">
        <v>1.80566307</v>
      </c>
      <c r="G23" s="14">
        <v>50.911681299999998</v>
      </c>
      <c r="H23" s="16">
        <v>1.80566307</v>
      </c>
      <c r="I23" s="14" t="s">
        <v>139</v>
      </c>
      <c r="J23" s="16" t="s">
        <v>139</v>
      </c>
      <c r="K23" s="14">
        <v>0</v>
      </c>
      <c r="L23" s="16">
        <v>0</v>
      </c>
      <c r="M23" s="14">
        <v>0</v>
      </c>
      <c r="N23" s="16">
        <v>0</v>
      </c>
      <c r="O23" s="14">
        <v>0</v>
      </c>
      <c r="P23" s="16">
        <v>0</v>
      </c>
      <c r="Q23" s="14">
        <v>0</v>
      </c>
      <c r="R23" s="16">
        <v>0</v>
      </c>
    </row>
    <row r="24" spans="1:18" x14ac:dyDescent="0.25">
      <c r="A24" s="11" t="s">
        <v>157</v>
      </c>
      <c r="B24" s="13">
        <v>6647</v>
      </c>
      <c r="C24" s="14">
        <f>(5467/B24*100)</f>
        <v>82.247630510004512</v>
      </c>
      <c r="D24" s="15">
        <v>1180</v>
      </c>
      <c r="E24" s="14">
        <v>36.501042759999997</v>
      </c>
      <c r="F24" s="16">
        <v>1.53466513</v>
      </c>
      <c r="G24" s="14">
        <v>63.498957240000003</v>
      </c>
      <c r="H24" s="16">
        <v>1.53466513</v>
      </c>
      <c r="I24" s="14" t="s">
        <v>139</v>
      </c>
      <c r="J24" s="16" t="s">
        <v>139</v>
      </c>
      <c r="K24" s="14">
        <v>0</v>
      </c>
      <c r="L24" s="16">
        <v>0</v>
      </c>
      <c r="M24" s="14">
        <v>0</v>
      </c>
      <c r="N24" s="16">
        <v>0</v>
      </c>
      <c r="O24" s="14">
        <v>0</v>
      </c>
      <c r="P24" s="16">
        <v>0</v>
      </c>
      <c r="Q24" s="14">
        <v>0</v>
      </c>
      <c r="R24" s="16">
        <v>0</v>
      </c>
    </row>
    <row r="25" spans="1:18" x14ac:dyDescent="0.25">
      <c r="A25" s="11" t="s">
        <v>158</v>
      </c>
      <c r="B25" s="13">
        <v>5581</v>
      </c>
      <c r="C25" s="14">
        <f>(4597/B25*100)</f>
        <v>82.368751119870993</v>
      </c>
      <c r="D25" s="15">
        <v>984</v>
      </c>
      <c r="E25" s="14">
        <v>42.146705910000001</v>
      </c>
      <c r="F25" s="16">
        <v>1.65047075</v>
      </c>
      <c r="G25" s="14">
        <v>57.853294089999999</v>
      </c>
      <c r="H25" s="16">
        <v>1.65047075</v>
      </c>
      <c r="I25" s="14" t="s">
        <v>139</v>
      </c>
      <c r="J25" s="16" t="s">
        <v>139</v>
      </c>
      <c r="K25" s="14">
        <v>0</v>
      </c>
      <c r="L25" s="16">
        <v>0</v>
      </c>
      <c r="M25" s="14">
        <v>0</v>
      </c>
      <c r="N25" s="16">
        <v>0</v>
      </c>
      <c r="O25" s="14">
        <v>0</v>
      </c>
      <c r="P25" s="16">
        <v>0</v>
      </c>
      <c r="Q25" s="14">
        <v>0</v>
      </c>
      <c r="R25" s="16">
        <v>0</v>
      </c>
    </row>
    <row r="26" spans="1:18" x14ac:dyDescent="0.25">
      <c r="A26" s="11" t="s">
        <v>159</v>
      </c>
      <c r="B26" s="13">
        <v>4869</v>
      </c>
      <c r="C26" s="14">
        <f>(4032/B26*100)</f>
        <v>82.809611829944558</v>
      </c>
      <c r="D26" s="15">
        <v>837</v>
      </c>
      <c r="E26" s="14">
        <v>47.975439000000001</v>
      </c>
      <c r="F26" s="16">
        <v>1.9688572200000001</v>
      </c>
      <c r="G26" s="14">
        <v>52.024560999999999</v>
      </c>
      <c r="H26" s="16">
        <v>1.9688572200000001</v>
      </c>
      <c r="I26" s="14" t="s">
        <v>139</v>
      </c>
      <c r="J26" s="16" t="s">
        <v>139</v>
      </c>
      <c r="K26" s="14">
        <v>0</v>
      </c>
      <c r="L26" s="16">
        <v>0</v>
      </c>
      <c r="M26" s="14">
        <v>0</v>
      </c>
      <c r="N26" s="16">
        <v>0</v>
      </c>
      <c r="O26" s="14">
        <v>0</v>
      </c>
      <c r="P26" s="16">
        <v>0</v>
      </c>
      <c r="Q26" s="14">
        <v>0</v>
      </c>
      <c r="R26" s="16">
        <v>0</v>
      </c>
    </row>
    <row r="27" spans="1:18" x14ac:dyDescent="0.25">
      <c r="A27" s="11" t="s">
        <v>160</v>
      </c>
      <c r="B27" s="13">
        <v>5299</v>
      </c>
      <c r="C27" s="14">
        <f>(4397/B27*100)</f>
        <v>82.977920362332512</v>
      </c>
      <c r="D27" s="15">
        <v>902</v>
      </c>
      <c r="E27" s="14">
        <v>47.956136149999999</v>
      </c>
      <c r="F27" s="16">
        <v>1.7674782600000001</v>
      </c>
      <c r="G27" s="14">
        <v>52.043863850000001</v>
      </c>
      <c r="H27" s="16">
        <v>1.7674782600000001</v>
      </c>
      <c r="I27" s="14" t="s">
        <v>139</v>
      </c>
      <c r="J27" s="16" t="s">
        <v>139</v>
      </c>
      <c r="K27" s="14">
        <v>0</v>
      </c>
      <c r="L27" s="16">
        <v>0</v>
      </c>
      <c r="M27" s="14">
        <v>0</v>
      </c>
      <c r="N27" s="16">
        <v>0</v>
      </c>
      <c r="O27" s="14">
        <v>0</v>
      </c>
      <c r="P27" s="16">
        <v>0</v>
      </c>
      <c r="Q27" s="14">
        <v>0</v>
      </c>
      <c r="R27" s="16">
        <v>0</v>
      </c>
    </row>
    <row r="28" spans="1:18" x14ac:dyDescent="0.25">
      <c r="A28" s="11" t="s">
        <v>161</v>
      </c>
      <c r="B28" s="13">
        <v>7568</v>
      </c>
      <c r="C28" s="14">
        <f>(6322/B28*100)</f>
        <v>83.535940803382672</v>
      </c>
      <c r="D28" s="15">
        <v>1246</v>
      </c>
      <c r="E28" s="14">
        <v>65.820874099999997</v>
      </c>
      <c r="F28" s="16">
        <v>1.32309404</v>
      </c>
      <c r="G28" s="14">
        <v>34.179125900000003</v>
      </c>
      <c r="H28" s="16">
        <v>1.32309404</v>
      </c>
      <c r="I28" s="14" t="s">
        <v>139</v>
      </c>
      <c r="J28" s="16" t="s">
        <v>139</v>
      </c>
      <c r="K28" s="14">
        <v>0</v>
      </c>
      <c r="L28" s="16">
        <v>0</v>
      </c>
      <c r="M28" s="14">
        <v>0</v>
      </c>
      <c r="N28" s="16">
        <v>0</v>
      </c>
      <c r="O28" s="14">
        <v>0</v>
      </c>
      <c r="P28" s="16">
        <v>0</v>
      </c>
      <c r="Q28" s="14">
        <v>0</v>
      </c>
      <c r="R28" s="16">
        <v>0</v>
      </c>
    </row>
    <row r="29" spans="1:18" x14ac:dyDescent="0.25">
      <c r="A29" s="11" t="s">
        <v>162</v>
      </c>
      <c r="B29" s="13">
        <v>5385</v>
      </c>
      <c r="C29" s="14">
        <f>(4466/B29*100)</f>
        <v>82.934076137418757</v>
      </c>
      <c r="D29" s="15">
        <v>919</v>
      </c>
      <c r="E29" s="14">
        <v>49.57651353</v>
      </c>
      <c r="F29" s="16">
        <v>1.6686849699999999</v>
      </c>
      <c r="G29" s="14">
        <v>50.42348647</v>
      </c>
      <c r="H29" s="16">
        <v>1.6686849699999999</v>
      </c>
      <c r="I29" s="14" t="s">
        <v>139</v>
      </c>
      <c r="J29" s="16" t="s">
        <v>139</v>
      </c>
      <c r="K29" s="14">
        <v>0</v>
      </c>
      <c r="L29" s="16">
        <v>0</v>
      </c>
      <c r="M29" s="14">
        <v>0</v>
      </c>
      <c r="N29" s="16">
        <v>0</v>
      </c>
      <c r="O29" s="14">
        <v>0</v>
      </c>
      <c r="P29" s="16">
        <v>0</v>
      </c>
      <c r="Q29" s="14">
        <v>0</v>
      </c>
      <c r="R29" s="16">
        <v>0</v>
      </c>
    </row>
    <row r="30" spans="1:18" x14ac:dyDescent="0.25">
      <c r="A30" s="11" t="s">
        <v>163</v>
      </c>
      <c r="B30" s="13">
        <v>4520</v>
      </c>
      <c r="C30" s="14">
        <f>(3753/B30*100)</f>
        <v>83.030973451327441</v>
      </c>
      <c r="D30" s="15">
        <v>767</v>
      </c>
      <c r="E30" s="14">
        <v>38.488555439999999</v>
      </c>
      <c r="F30" s="16">
        <v>1.9808568799999999</v>
      </c>
      <c r="G30" s="14">
        <v>61.511444560000001</v>
      </c>
      <c r="H30" s="16">
        <v>1.9808568799999999</v>
      </c>
      <c r="I30" s="14" t="s">
        <v>139</v>
      </c>
      <c r="J30" s="16" t="s">
        <v>139</v>
      </c>
      <c r="K30" s="14">
        <v>0</v>
      </c>
      <c r="L30" s="16">
        <v>0</v>
      </c>
      <c r="M30" s="14">
        <v>0</v>
      </c>
      <c r="N30" s="16">
        <v>0</v>
      </c>
      <c r="O30" s="14">
        <v>0</v>
      </c>
      <c r="P30" s="16">
        <v>0</v>
      </c>
      <c r="Q30" s="14">
        <v>0</v>
      </c>
      <c r="R30" s="16">
        <v>0</v>
      </c>
    </row>
    <row r="31" spans="1:18" x14ac:dyDescent="0.25">
      <c r="A31" s="11" t="s">
        <v>164</v>
      </c>
      <c r="B31" s="13">
        <v>5456</v>
      </c>
      <c r="C31" s="14">
        <f>(4490/B31*100)</f>
        <v>82.294721407624635</v>
      </c>
      <c r="D31" s="15">
        <v>966</v>
      </c>
      <c r="E31" s="14">
        <v>41.959799500000003</v>
      </c>
      <c r="F31" s="16">
        <v>1.50973801</v>
      </c>
      <c r="G31" s="14">
        <v>58.040200499999997</v>
      </c>
      <c r="H31" s="16">
        <v>1.50973801</v>
      </c>
      <c r="I31" s="14" t="s">
        <v>139</v>
      </c>
      <c r="J31" s="16" t="s">
        <v>139</v>
      </c>
      <c r="K31" s="14">
        <v>0</v>
      </c>
      <c r="L31" s="16">
        <v>0</v>
      </c>
      <c r="M31" s="14">
        <v>0</v>
      </c>
      <c r="N31" s="16">
        <v>0</v>
      </c>
      <c r="O31" s="14">
        <v>0</v>
      </c>
      <c r="P31" s="16">
        <v>0</v>
      </c>
      <c r="Q31" s="14">
        <v>0</v>
      </c>
      <c r="R31" s="16">
        <v>0</v>
      </c>
    </row>
    <row r="32" spans="1:18" x14ac:dyDescent="0.25">
      <c r="A32" s="11" t="s">
        <v>165</v>
      </c>
      <c r="B32" s="17" t="s">
        <v>154</v>
      </c>
      <c r="C32" s="17" t="s">
        <v>154</v>
      </c>
      <c r="D32" s="18" t="s">
        <v>154</v>
      </c>
      <c r="E32" s="17" t="s">
        <v>154</v>
      </c>
      <c r="F32" s="18" t="s">
        <v>154</v>
      </c>
      <c r="G32" s="17" t="s">
        <v>154</v>
      </c>
      <c r="H32" s="18" t="s">
        <v>154</v>
      </c>
      <c r="I32" s="17" t="s">
        <v>154</v>
      </c>
      <c r="J32" s="18" t="s">
        <v>154</v>
      </c>
      <c r="K32" s="17" t="s">
        <v>154</v>
      </c>
      <c r="L32" s="18" t="s">
        <v>154</v>
      </c>
      <c r="M32" s="17" t="s">
        <v>154</v>
      </c>
      <c r="N32" s="18" t="s">
        <v>154</v>
      </c>
      <c r="O32" s="17" t="s">
        <v>154</v>
      </c>
      <c r="P32" s="18" t="s">
        <v>154</v>
      </c>
      <c r="Q32" s="17" t="s">
        <v>154</v>
      </c>
      <c r="R32" s="18" t="s">
        <v>154</v>
      </c>
    </row>
    <row r="33" spans="1:18" x14ac:dyDescent="0.25">
      <c r="A33" s="11" t="s">
        <v>166</v>
      </c>
      <c r="B33" s="13">
        <v>7325</v>
      </c>
      <c r="C33" s="14">
        <f>(6062/B33*100)</f>
        <v>82.757679180887365</v>
      </c>
      <c r="D33" s="15">
        <v>1263</v>
      </c>
      <c r="E33" s="14">
        <v>55.295656450000003</v>
      </c>
      <c r="F33" s="16">
        <v>1.31704756</v>
      </c>
      <c r="G33" s="14">
        <v>44.704343549999997</v>
      </c>
      <c r="H33" s="16">
        <v>1.31704756</v>
      </c>
      <c r="I33" s="14" t="s">
        <v>139</v>
      </c>
      <c r="J33" s="16" t="s">
        <v>139</v>
      </c>
      <c r="K33" s="14">
        <v>0</v>
      </c>
      <c r="L33" s="16">
        <v>0</v>
      </c>
      <c r="M33" s="14">
        <v>0</v>
      </c>
      <c r="N33" s="16">
        <v>0</v>
      </c>
      <c r="O33" s="14">
        <v>0</v>
      </c>
      <c r="P33" s="16">
        <v>0</v>
      </c>
      <c r="Q33" s="14">
        <v>0</v>
      </c>
      <c r="R33" s="16">
        <v>0</v>
      </c>
    </row>
    <row r="34" spans="1:18" x14ac:dyDescent="0.25">
      <c r="A34" s="11" t="s">
        <v>167</v>
      </c>
      <c r="B34" s="13">
        <v>6350</v>
      </c>
      <c r="C34" s="14">
        <f>(5302/B34*100)</f>
        <v>83.496062992125985</v>
      </c>
      <c r="D34" s="15">
        <v>1048</v>
      </c>
      <c r="E34" s="14">
        <v>57.637747009999998</v>
      </c>
      <c r="F34" s="16">
        <v>1.52075425</v>
      </c>
      <c r="G34" s="14">
        <v>42.362252990000002</v>
      </c>
      <c r="H34" s="16">
        <v>1.52075425</v>
      </c>
      <c r="I34" s="14" t="s">
        <v>139</v>
      </c>
      <c r="J34" s="16" t="s">
        <v>139</v>
      </c>
      <c r="K34" s="14">
        <v>0</v>
      </c>
      <c r="L34" s="16">
        <v>0</v>
      </c>
      <c r="M34" s="14">
        <v>0</v>
      </c>
      <c r="N34" s="16">
        <v>0</v>
      </c>
      <c r="O34" s="14">
        <v>0</v>
      </c>
      <c r="P34" s="16">
        <v>0</v>
      </c>
      <c r="Q34" s="14">
        <v>0</v>
      </c>
      <c r="R34" s="16">
        <v>0</v>
      </c>
    </row>
    <row r="35" spans="1:18" x14ac:dyDescent="0.25">
      <c r="A35" s="11" t="s">
        <v>168</v>
      </c>
      <c r="B35" s="13">
        <v>6406</v>
      </c>
      <c r="C35" s="14">
        <f>(5326/B35*100)</f>
        <v>83.140805494848578</v>
      </c>
      <c r="D35" s="15">
        <v>1080</v>
      </c>
      <c r="E35" s="14">
        <v>43.452652489999998</v>
      </c>
      <c r="F35" s="16">
        <v>1.91269917</v>
      </c>
      <c r="G35" s="14">
        <v>56.547347510000002</v>
      </c>
      <c r="H35" s="16">
        <v>1.91269917</v>
      </c>
      <c r="I35" s="14" t="s">
        <v>139</v>
      </c>
      <c r="J35" s="16" t="s">
        <v>139</v>
      </c>
      <c r="K35" s="14">
        <v>0</v>
      </c>
      <c r="L35" s="16">
        <v>0</v>
      </c>
      <c r="M35" s="14">
        <v>0</v>
      </c>
      <c r="N35" s="16">
        <v>0</v>
      </c>
      <c r="O35" s="14">
        <v>0</v>
      </c>
      <c r="P35" s="16">
        <v>0</v>
      </c>
      <c r="Q35" s="14">
        <v>0</v>
      </c>
      <c r="R35" s="16">
        <v>0</v>
      </c>
    </row>
    <row r="36" spans="1:18" x14ac:dyDescent="0.25">
      <c r="A36" s="11" t="s">
        <v>169</v>
      </c>
      <c r="B36" s="13">
        <v>6736</v>
      </c>
      <c r="C36" s="14">
        <f>(5591/B36*100)</f>
        <v>83.001781472684087</v>
      </c>
      <c r="D36" s="15">
        <v>1145</v>
      </c>
      <c r="E36" s="14">
        <v>48.212446630000002</v>
      </c>
      <c r="F36" s="16">
        <v>1.46187062</v>
      </c>
      <c r="G36" s="14">
        <v>51.787553369999998</v>
      </c>
      <c r="H36" s="16">
        <v>1.46187062</v>
      </c>
      <c r="I36" s="14" t="s">
        <v>139</v>
      </c>
      <c r="J36" s="16" t="s">
        <v>139</v>
      </c>
      <c r="K36" s="14">
        <v>0</v>
      </c>
      <c r="L36" s="16">
        <v>0</v>
      </c>
      <c r="M36" s="14">
        <v>0</v>
      </c>
      <c r="N36" s="16">
        <v>0</v>
      </c>
      <c r="O36" s="14">
        <v>0</v>
      </c>
      <c r="P36" s="16">
        <v>0</v>
      </c>
      <c r="Q36" s="14">
        <v>0</v>
      </c>
      <c r="R36" s="16">
        <v>0</v>
      </c>
    </row>
    <row r="37" spans="1:18" x14ac:dyDescent="0.25">
      <c r="A37" s="11" t="s">
        <v>170</v>
      </c>
      <c r="B37" s="13">
        <v>5458</v>
      </c>
      <c r="C37" s="14">
        <f>(4522/B37*100)</f>
        <v>82.850861121289853</v>
      </c>
      <c r="D37" s="15">
        <v>936</v>
      </c>
      <c r="E37" s="14">
        <v>47.208261999999998</v>
      </c>
      <c r="F37" s="16">
        <v>1.7692292000000001</v>
      </c>
      <c r="G37" s="14">
        <v>52.791738000000002</v>
      </c>
      <c r="H37" s="16">
        <v>1.7692292000000001</v>
      </c>
      <c r="I37" s="14" t="s">
        <v>139</v>
      </c>
      <c r="J37" s="16" t="s">
        <v>139</v>
      </c>
      <c r="K37" s="14">
        <v>0</v>
      </c>
      <c r="L37" s="16">
        <v>0</v>
      </c>
      <c r="M37" s="14">
        <v>0</v>
      </c>
      <c r="N37" s="16">
        <v>0</v>
      </c>
      <c r="O37" s="14">
        <v>0</v>
      </c>
      <c r="P37" s="16">
        <v>0</v>
      </c>
      <c r="Q37" s="14">
        <v>0</v>
      </c>
      <c r="R37" s="16">
        <v>0</v>
      </c>
    </row>
    <row r="38" spans="1:18" x14ac:dyDescent="0.25">
      <c r="A38" s="11" t="s">
        <v>171</v>
      </c>
      <c r="B38" s="17" t="s">
        <v>154</v>
      </c>
      <c r="C38" s="17" t="s">
        <v>154</v>
      </c>
      <c r="D38" s="18" t="s">
        <v>154</v>
      </c>
      <c r="E38" s="17" t="s">
        <v>154</v>
      </c>
      <c r="F38" s="18" t="s">
        <v>154</v>
      </c>
      <c r="G38" s="17" t="s">
        <v>154</v>
      </c>
      <c r="H38" s="18" t="s">
        <v>154</v>
      </c>
      <c r="I38" s="17" t="s">
        <v>154</v>
      </c>
      <c r="J38" s="18" t="s">
        <v>154</v>
      </c>
      <c r="K38" s="17" t="s">
        <v>154</v>
      </c>
      <c r="L38" s="18" t="s">
        <v>154</v>
      </c>
      <c r="M38" s="17" t="s">
        <v>154</v>
      </c>
      <c r="N38" s="18" t="s">
        <v>154</v>
      </c>
      <c r="O38" s="17" t="s">
        <v>154</v>
      </c>
      <c r="P38" s="18" t="s">
        <v>154</v>
      </c>
      <c r="Q38" s="17" t="s">
        <v>154</v>
      </c>
      <c r="R38" s="18" t="s">
        <v>154</v>
      </c>
    </row>
    <row r="39" spans="1:18" x14ac:dyDescent="0.25">
      <c r="A39" s="11" t="s">
        <v>172</v>
      </c>
      <c r="B39" s="13">
        <v>5895</v>
      </c>
      <c r="C39" s="14">
        <f>(4865/B39*100)</f>
        <v>82.527565733672603</v>
      </c>
      <c r="D39" s="15">
        <v>1030</v>
      </c>
      <c r="E39" s="14">
        <v>71.788649309999997</v>
      </c>
      <c r="F39" s="16">
        <v>1.856778</v>
      </c>
      <c r="G39" s="14">
        <v>28.21135069</v>
      </c>
      <c r="H39" s="16">
        <v>1.856778</v>
      </c>
      <c r="I39" s="14" t="s">
        <v>139</v>
      </c>
      <c r="J39" s="16" t="s">
        <v>139</v>
      </c>
      <c r="K39" s="14">
        <v>0</v>
      </c>
      <c r="L39" s="16">
        <v>0</v>
      </c>
      <c r="M39" s="14">
        <v>0</v>
      </c>
      <c r="N39" s="16">
        <v>0</v>
      </c>
      <c r="O39" s="14">
        <v>0</v>
      </c>
      <c r="P39" s="16">
        <v>0</v>
      </c>
      <c r="Q39" s="14">
        <v>0</v>
      </c>
      <c r="R39" s="16">
        <v>0</v>
      </c>
    </row>
    <row r="40" spans="1:18" x14ac:dyDescent="0.25">
      <c r="A40" s="11" t="s">
        <v>173</v>
      </c>
      <c r="B40" s="13">
        <v>14157</v>
      </c>
      <c r="C40" s="14">
        <f>(11676/B40*100)</f>
        <v>82.475100656918841</v>
      </c>
      <c r="D40" s="15">
        <v>2481</v>
      </c>
      <c r="E40" s="14">
        <v>37.755822899999998</v>
      </c>
      <c r="F40" s="16">
        <v>1.5168029599999999</v>
      </c>
      <c r="G40" s="14">
        <v>62.244177100000002</v>
      </c>
      <c r="H40" s="16">
        <v>1.5168029599999999</v>
      </c>
      <c r="I40" s="14" t="s">
        <v>139</v>
      </c>
      <c r="J40" s="16" t="s">
        <v>139</v>
      </c>
      <c r="K40" s="14">
        <v>0</v>
      </c>
      <c r="L40" s="16">
        <v>0</v>
      </c>
      <c r="M40" s="14">
        <v>0</v>
      </c>
      <c r="N40" s="16">
        <v>0</v>
      </c>
      <c r="O40" s="14">
        <v>0</v>
      </c>
      <c r="P40" s="16">
        <v>0</v>
      </c>
      <c r="Q40" s="14">
        <v>0</v>
      </c>
      <c r="R40" s="16">
        <v>0</v>
      </c>
    </row>
    <row r="41" spans="1:18" x14ac:dyDescent="0.25">
      <c r="A41" s="11" t="s">
        <v>174</v>
      </c>
      <c r="B41" s="13">
        <v>5712</v>
      </c>
      <c r="C41" s="14">
        <f>(4753/B41*100)</f>
        <v>83.210784313725497</v>
      </c>
      <c r="D41" s="15">
        <v>959</v>
      </c>
      <c r="E41" s="14">
        <v>32.161886500000001</v>
      </c>
      <c r="F41" s="16">
        <v>1.6136113299999999</v>
      </c>
      <c r="G41" s="14">
        <v>67.838113500000006</v>
      </c>
      <c r="H41" s="16">
        <v>1.6136113299999999</v>
      </c>
      <c r="I41" s="14" t="s">
        <v>139</v>
      </c>
      <c r="J41" s="16" t="s">
        <v>139</v>
      </c>
      <c r="K41" s="14">
        <v>0</v>
      </c>
      <c r="L41" s="16">
        <v>0</v>
      </c>
      <c r="M41" s="14">
        <v>0</v>
      </c>
      <c r="N41" s="16">
        <v>0</v>
      </c>
      <c r="O41" s="14">
        <v>0</v>
      </c>
      <c r="P41" s="16">
        <v>0</v>
      </c>
      <c r="Q41" s="14">
        <v>0</v>
      </c>
      <c r="R41" s="16">
        <v>0</v>
      </c>
    </row>
    <row r="42" spans="1:18" x14ac:dyDescent="0.25">
      <c r="A42" s="11" t="s">
        <v>175</v>
      </c>
      <c r="B42" s="13">
        <f>IF(COUNT(B7:B41) &gt; 0, AVERAGE(B7:B41), "\u2014")</f>
        <v>7266.90625</v>
      </c>
      <c r="C42" s="14">
        <f>IF(COUNT(C7:C41) &gt; 0, AVERAGE(C7:C41), "—")</f>
        <v>83.006499411908919</v>
      </c>
      <c r="D42" s="15">
        <f>IF(COUNT(D7:D41) &gt; 0, AVERAGE(D7:D41), "—")</f>
        <v>1235.03125</v>
      </c>
      <c r="E42" s="14">
        <f>IF(COUNT(E7:E41) &gt; 0, AVERAGE(E7:E41), "—")</f>
        <v>47.11189413406251</v>
      </c>
      <c r="F42" s="16">
        <f>IF(COUNT(F7:F41) &gt; 0, SQRT(SUMSQ(F7:F41)/(COUNT(F7:F41)*COUNT(F7:F41)) ), "—")</f>
        <v>0.29334774393290158</v>
      </c>
      <c r="G42" s="14">
        <f>IF(COUNT(G7:G41) &gt; 0, AVERAGE(G7:G41), "—")</f>
        <v>52.88810586593749</v>
      </c>
      <c r="H42" s="16">
        <f>IF(COUNT(H7:H41) &gt; 0, SQRT(SUMSQ(H7:H41)/(COUNT(H7:H41)*COUNT(H7:H41)) ), "—")</f>
        <v>0.29334774393290158</v>
      </c>
      <c r="I42" s="14" t="str">
        <f>IF(COUNT(I7:I41) &gt; 0, AVERAGE(I7:I41), "—")</f>
        <v>—</v>
      </c>
      <c r="J42" s="16" t="str">
        <f>IF(COUNT(J7:J41) &gt; 0, SQRT(SUMSQ(J7:J41)/(COUNT(J7:J41)*COUNT(J7:J41)) ), "—")</f>
        <v>—</v>
      </c>
      <c r="K42" s="14">
        <f>IF(COUNT(K7:K41) &gt; 0, AVERAGE(K7:K41), "—")</f>
        <v>0</v>
      </c>
      <c r="L42" s="16">
        <f>IF(COUNT(L7:L41) &gt; 0, SQRT(SUMSQ(L7:L41)/(COUNT(L7:L41)*COUNT(L7:L41)) ), "—")</f>
        <v>0</v>
      </c>
      <c r="M42" s="14">
        <f>IF(COUNT(M7:M41) &gt; 0, AVERAGE(M7:M41), "—")</f>
        <v>0</v>
      </c>
      <c r="N42" s="16">
        <f>IF(COUNT(N7:N41) &gt; 0, SQRT(SUMSQ(N7:N41)/(COUNT(N7:N41)*COUNT(N7:N41)) ), "—")</f>
        <v>0</v>
      </c>
      <c r="O42" s="14">
        <f>IF(COUNT(O7:O41) &gt; 0, AVERAGE(O7:O41), "—")</f>
        <v>0</v>
      </c>
      <c r="P42" s="16">
        <f>IF(COUNT(P7:P41) &gt; 0, SQRT(SUMSQ(P7:P41)/(COUNT(P7:P41)*COUNT(P7:P41)) ), "—")</f>
        <v>0</v>
      </c>
      <c r="Q42" s="14">
        <f>IF(COUNT(Q7:Q41) &gt; 0, AVERAGE(Q7:Q41), "—")</f>
        <v>0</v>
      </c>
      <c r="R42" s="16">
        <f>IF(COUNT(R7:R41) &gt; 0, SQRT(SUMSQ(R7:R41)/(COUNT(R7:R41)*COUNT(R7:R41)) ), "—")</f>
        <v>0</v>
      </c>
    </row>
    <row r="43" spans="1:18" x14ac:dyDescent="0.25">
      <c r="A43" s="9" t="s">
        <v>176</v>
      </c>
      <c r="B43" s="10"/>
      <c r="C43" s="10"/>
      <c r="D43" s="11"/>
      <c r="E43" s="10"/>
      <c r="F43" s="11"/>
      <c r="G43" s="10"/>
      <c r="H43" s="11"/>
      <c r="I43" s="10"/>
      <c r="J43" s="11"/>
      <c r="K43" s="10"/>
      <c r="L43" s="11"/>
      <c r="M43" s="10"/>
      <c r="N43" s="11"/>
      <c r="O43" s="10"/>
      <c r="P43" s="11"/>
      <c r="Q43" s="10"/>
      <c r="R43" s="12"/>
    </row>
    <row r="44" spans="1:18" x14ac:dyDescent="0.25">
      <c r="A44" s="11" t="s">
        <v>177</v>
      </c>
      <c r="B44" s="17" t="s">
        <v>154</v>
      </c>
      <c r="C44" s="17" t="s">
        <v>154</v>
      </c>
      <c r="D44" s="18" t="s">
        <v>154</v>
      </c>
      <c r="E44" s="17" t="s">
        <v>154</v>
      </c>
      <c r="F44" s="18" t="s">
        <v>154</v>
      </c>
      <c r="G44" s="17" t="s">
        <v>154</v>
      </c>
      <c r="H44" s="18" t="s">
        <v>154</v>
      </c>
      <c r="I44" s="17" t="s">
        <v>154</v>
      </c>
      <c r="J44" s="18" t="s">
        <v>154</v>
      </c>
      <c r="K44" s="17" t="s">
        <v>154</v>
      </c>
      <c r="L44" s="18" t="s">
        <v>154</v>
      </c>
      <c r="M44" s="17" t="s">
        <v>154</v>
      </c>
      <c r="N44" s="18" t="s">
        <v>154</v>
      </c>
      <c r="O44" s="17" t="s">
        <v>154</v>
      </c>
      <c r="P44" s="18" t="s">
        <v>154</v>
      </c>
      <c r="Q44" s="17" t="s">
        <v>154</v>
      </c>
      <c r="R44" s="18" t="s">
        <v>154</v>
      </c>
    </row>
    <row r="45" spans="1:18" x14ac:dyDescent="0.25">
      <c r="A45" s="11" t="s">
        <v>178</v>
      </c>
      <c r="B45" s="17" t="s">
        <v>154</v>
      </c>
      <c r="C45" s="17" t="s">
        <v>154</v>
      </c>
      <c r="D45" s="18" t="s">
        <v>154</v>
      </c>
      <c r="E45" s="17" t="s">
        <v>154</v>
      </c>
      <c r="F45" s="18" t="s">
        <v>154</v>
      </c>
      <c r="G45" s="17" t="s">
        <v>154</v>
      </c>
      <c r="H45" s="18" t="s">
        <v>154</v>
      </c>
      <c r="I45" s="17" t="s">
        <v>154</v>
      </c>
      <c r="J45" s="18" t="s">
        <v>154</v>
      </c>
      <c r="K45" s="17" t="s">
        <v>154</v>
      </c>
      <c r="L45" s="18" t="s">
        <v>154</v>
      </c>
      <c r="M45" s="17" t="s">
        <v>154</v>
      </c>
      <c r="N45" s="18" t="s">
        <v>154</v>
      </c>
      <c r="O45" s="17" t="s">
        <v>154</v>
      </c>
      <c r="P45" s="18" t="s">
        <v>154</v>
      </c>
      <c r="Q45" s="17" t="s">
        <v>154</v>
      </c>
      <c r="R45" s="18" t="s">
        <v>154</v>
      </c>
    </row>
    <row r="46" spans="1:18" x14ac:dyDescent="0.25">
      <c r="A46" s="11" t="s">
        <v>179</v>
      </c>
      <c r="B46" s="13">
        <v>23141</v>
      </c>
      <c r="C46" s="14">
        <f>(19783/B46*100)</f>
        <v>85.488958990536275</v>
      </c>
      <c r="D46" s="15">
        <v>3358</v>
      </c>
      <c r="E46" s="14">
        <v>65.982009399999995</v>
      </c>
      <c r="F46" s="16">
        <v>1.03807523</v>
      </c>
      <c r="G46" s="14">
        <v>34.017990599999997</v>
      </c>
      <c r="H46" s="16">
        <v>1.03807523</v>
      </c>
      <c r="I46" s="14" t="s">
        <v>139</v>
      </c>
      <c r="J46" s="16" t="s">
        <v>139</v>
      </c>
      <c r="K46" s="14">
        <v>0</v>
      </c>
      <c r="L46" s="16">
        <v>0</v>
      </c>
      <c r="M46" s="14">
        <v>0</v>
      </c>
      <c r="N46" s="16">
        <v>0</v>
      </c>
      <c r="O46" s="14">
        <v>0</v>
      </c>
      <c r="P46" s="16">
        <v>0</v>
      </c>
      <c r="Q46" s="14">
        <v>0</v>
      </c>
      <c r="R46" s="16">
        <v>0</v>
      </c>
    </row>
    <row r="47" spans="1:18" x14ac:dyDescent="0.25">
      <c r="A47" s="11" t="s">
        <v>180</v>
      </c>
      <c r="B47" s="13">
        <v>5928</v>
      </c>
      <c r="C47" s="14">
        <f>(4923/B47*100)</f>
        <v>83.046558704453446</v>
      </c>
      <c r="D47" s="15">
        <v>1005</v>
      </c>
      <c r="E47" s="14">
        <v>55.344684270000002</v>
      </c>
      <c r="F47" s="16">
        <v>2.0358461999999999</v>
      </c>
      <c r="G47" s="14">
        <v>44.655315729999998</v>
      </c>
      <c r="H47" s="16">
        <v>2.0358461999999999</v>
      </c>
      <c r="I47" s="14" t="s">
        <v>139</v>
      </c>
      <c r="J47" s="16" t="s">
        <v>139</v>
      </c>
      <c r="K47" s="14">
        <v>0</v>
      </c>
      <c r="L47" s="16">
        <v>0</v>
      </c>
      <c r="M47" s="14">
        <v>0</v>
      </c>
      <c r="N47" s="16">
        <v>0</v>
      </c>
      <c r="O47" s="14">
        <v>0</v>
      </c>
      <c r="P47" s="16">
        <v>0</v>
      </c>
      <c r="Q47" s="14">
        <v>0</v>
      </c>
      <c r="R47" s="16">
        <v>0</v>
      </c>
    </row>
    <row r="48" spans="1:18" x14ac:dyDescent="0.25">
      <c r="A48" s="11" t="s">
        <v>181</v>
      </c>
      <c r="B48" s="13">
        <v>9841</v>
      </c>
      <c r="C48" s="14">
        <f>(8132/B48*100)</f>
        <v>82.633878670866778</v>
      </c>
      <c r="D48" s="15">
        <v>1709</v>
      </c>
      <c r="E48" s="14">
        <v>51.151842559999999</v>
      </c>
      <c r="F48" s="16">
        <v>1.55899407</v>
      </c>
      <c r="G48" s="14">
        <v>48.848157440000001</v>
      </c>
      <c r="H48" s="16">
        <v>1.55899407</v>
      </c>
      <c r="I48" s="14" t="s">
        <v>139</v>
      </c>
      <c r="J48" s="16" t="s">
        <v>139</v>
      </c>
      <c r="K48" s="14">
        <v>0</v>
      </c>
      <c r="L48" s="16">
        <v>0</v>
      </c>
      <c r="M48" s="14">
        <v>0</v>
      </c>
      <c r="N48" s="16">
        <v>0</v>
      </c>
      <c r="O48" s="14">
        <v>0</v>
      </c>
      <c r="P48" s="16">
        <v>0</v>
      </c>
      <c r="Q48" s="14">
        <v>0</v>
      </c>
      <c r="R48" s="16">
        <v>0</v>
      </c>
    </row>
    <row r="49" spans="1:18" x14ac:dyDescent="0.25">
      <c r="A49" s="11" t="s">
        <v>182</v>
      </c>
      <c r="B49" s="17" t="s">
        <v>154</v>
      </c>
      <c r="C49" s="17" t="s">
        <v>154</v>
      </c>
      <c r="D49" s="18" t="s">
        <v>154</v>
      </c>
      <c r="E49" s="17" t="s">
        <v>154</v>
      </c>
      <c r="F49" s="18" t="s">
        <v>154</v>
      </c>
      <c r="G49" s="17" t="s">
        <v>154</v>
      </c>
      <c r="H49" s="18" t="s">
        <v>154</v>
      </c>
      <c r="I49" s="17" t="s">
        <v>154</v>
      </c>
      <c r="J49" s="18" t="s">
        <v>154</v>
      </c>
      <c r="K49" s="17" t="s">
        <v>154</v>
      </c>
      <c r="L49" s="18" t="s">
        <v>154</v>
      </c>
      <c r="M49" s="17" t="s">
        <v>154</v>
      </c>
      <c r="N49" s="18" t="s">
        <v>154</v>
      </c>
      <c r="O49" s="17" t="s">
        <v>154</v>
      </c>
      <c r="P49" s="18" t="s">
        <v>154</v>
      </c>
      <c r="Q49" s="17" t="s">
        <v>154</v>
      </c>
      <c r="R49" s="18" t="s">
        <v>154</v>
      </c>
    </row>
    <row r="50" spans="1:18" x14ac:dyDescent="0.25">
      <c r="A50" s="11" t="s">
        <v>183</v>
      </c>
      <c r="B50" s="13">
        <v>11795</v>
      </c>
      <c r="C50" s="14">
        <f>(9826/B50*100)</f>
        <v>83.306485799067403</v>
      </c>
      <c r="D50" s="15">
        <v>1969</v>
      </c>
      <c r="E50" s="14">
        <v>69.105473590000003</v>
      </c>
      <c r="F50" s="16">
        <v>1.5150857499999999</v>
      </c>
      <c r="G50" s="14">
        <v>30.894526410000001</v>
      </c>
      <c r="H50" s="16">
        <v>1.5150857499999999</v>
      </c>
      <c r="I50" s="14" t="s">
        <v>139</v>
      </c>
      <c r="J50" s="16" t="s">
        <v>139</v>
      </c>
      <c r="K50" s="14">
        <v>0</v>
      </c>
      <c r="L50" s="16">
        <v>0</v>
      </c>
      <c r="M50" s="14">
        <v>0</v>
      </c>
      <c r="N50" s="16">
        <v>0</v>
      </c>
      <c r="O50" s="14">
        <v>0</v>
      </c>
      <c r="P50" s="16">
        <v>0</v>
      </c>
      <c r="Q50" s="14">
        <v>0</v>
      </c>
      <c r="R50" s="16">
        <v>0</v>
      </c>
    </row>
    <row r="51" spans="1:18" x14ac:dyDescent="0.25">
      <c r="A51" s="11" t="s">
        <v>184</v>
      </c>
      <c r="B51" s="13">
        <v>6866</v>
      </c>
      <c r="C51" s="14">
        <f>(5835/B51*100)</f>
        <v>84.983979027090001</v>
      </c>
      <c r="D51" s="15">
        <v>1031</v>
      </c>
      <c r="E51" s="14">
        <v>67.203955070000006</v>
      </c>
      <c r="F51" s="16">
        <v>1.5230070899999999</v>
      </c>
      <c r="G51" s="14">
        <v>32.796044930000001</v>
      </c>
      <c r="H51" s="16">
        <v>1.5230070899999999</v>
      </c>
      <c r="I51" s="14" t="s">
        <v>139</v>
      </c>
      <c r="J51" s="16" t="s">
        <v>139</v>
      </c>
      <c r="K51" s="14">
        <v>0</v>
      </c>
      <c r="L51" s="16">
        <v>0</v>
      </c>
      <c r="M51" s="14">
        <v>0</v>
      </c>
      <c r="N51" s="16">
        <v>0</v>
      </c>
      <c r="O51" s="14">
        <v>0</v>
      </c>
      <c r="P51" s="16">
        <v>0</v>
      </c>
      <c r="Q51" s="14">
        <v>0</v>
      </c>
      <c r="R51" s="16">
        <v>0</v>
      </c>
    </row>
    <row r="52" spans="1:18" x14ac:dyDescent="0.25">
      <c r="A52" s="11" t="s">
        <v>185</v>
      </c>
      <c r="B52" s="13">
        <v>5809</v>
      </c>
      <c r="C52" s="14">
        <f>(4824/B52*100)</f>
        <v>83.043553107247376</v>
      </c>
      <c r="D52" s="15">
        <v>985</v>
      </c>
      <c r="E52" s="14">
        <v>53.535659070000001</v>
      </c>
      <c r="F52" s="16">
        <v>1.63676347</v>
      </c>
      <c r="G52" s="14">
        <v>46.464340929999999</v>
      </c>
      <c r="H52" s="16">
        <v>1.63676347</v>
      </c>
      <c r="I52" s="14" t="s">
        <v>139</v>
      </c>
      <c r="J52" s="16" t="s">
        <v>139</v>
      </c>
      <c r="K52" s="14">
        <v>0</v>
      </c>
      <c r="L52" s="16">
        <v>0</v>
      </c>
      <c r="M52" s="14">
        <v>0</v>
      </c>
      <c r="N52" s="16">
        <v>0</v>
      </c>
      <c r="O52" s="14">
        <v>0</v>
      </c>
      <c r="P52" s="16">
        <v>0</v>
      </c>
      <c r="Q52" s="14">
        <v>0</v>
      </c>
      <c r="R52" s="16">
        <v>0</v>
      </c>
    </row>
    <row r="53" spans="1:18" x14ac:dyDescent="0.25">
      <c r="A53" s="11" t="s">
        <v>186</v>
      </c>
      <c r="B53" s="13">
        <v>5571</v>
      </c>
      <c r="C53" s="14">
        <f>(4602/B53*100)</f>
        <v>82.606354334948833</v>
      </c>
      <c r="D53" s="15">
        <v>969</v>
      </c>
      <c r="E53" s="14">
        <v>60.889201909999997</v>
      </c>
      <c r="F53" s="16">
        <v>1.5149887</v>
      </c>
      <c r="G53" s="14">
        <v>39.110798090000003</v>
      </c>
      <c r="H53" s="16">
        <v>1.5149887</v>
      </c>
      <c r="I53" s="14" t="s">
        <v>139</v>
      </c>
      <c r="J53" s="16" t="s">
        <v>139</v>
      </c>
      <c r="K53" s="14">
        <v>0</v>
      </c>
      <c r="L53" s="16">
        <v>0</v>
      </c>
      <c r="M53" s="14">
        <v>0</v>
      </c>
      <c r="N53" s="16">
        <v>0</v>
      </c>
      <c r="O53" s="14">
        <v>0</v>
      </c>
      <c r="P53" s="16">
        <v>0</v>
      </c>
      <c r="Q53" s="14">
        <v>0</v>
      </c>
      <c r="R53" s="16">
        <v>0</v>
      </c>
    </row>
    <row r="54" spans="1:18" x14ac:dyDescent="0.25">
      <c r="A54" s="11" t="s">
        <v>187</v>
      </c>
      <c r="B54" s="17" t="s">
        <v>154</v>
      </c>
      <c r="C54" s="17" t="s">
        <v>154</v>
      </c>
      <c r="D54" s="18" t="s">
        <v>154</v>
      </c>
      <c r="E54" s="17" t="s">
        <v>154</v>
      </c>
      <c r="F54" s="18" t="s">
        <v>154</v>
      </c>
      <c r="G54" s="17" t="s">
        <v>154</v>
      </c>
      <c r="H54" s="18" t="s">
        <v>154</v>
      </c>
      <c r="I54" s="17" t="s">
        <v>154</v>
      </c>
      <c r="J54" s="18" t="s">
        <v>154</v>
      </c>
      <c r="K54" s="17" t="s">
        <v>154</v>
      </c>
      <c r="L54" s="18" t="s">
        <v>154</v>
      </c>
      <c r="M54" s="17" t="s">
        <v>154</v>
      </c>
      <c r="N54" s="18" t="s">
        <v>154</v>
      </c>
      <c r="O54" s="17" t="s">
        <v>154</v>
      </c>
      <c r="P54" s="18" t="s">
        <v>154</v>
      </c>
      <c r="Q54" s="17" t="s">
        <v>154</v>
      </c>
      <c r="R54" s="18" t="s">
        <v>154</v>
      </c>
    </row>
    <row r="55" spans="1:18" x14ac:dyDescent="0.25">
      <c r="A55" s="11" t="s">
        <v>188</v>
      </c>
      <c r="B55" s="17" t="s">
        <v>154</v>
      </c>
      <c r="C55" s="17" t="s">
        <v>154</v>
      </c>
      <c r="D55" s="18" t="s">
        <v>154</v>
      </c>
      <c r="E55" s="17" t="s">
        <v>154</v>
      </c>
      <c r="F55" s="18" t="s">
        <v>154</v>
      </c>
      <c r="G55" s="17" t="s">
        <v>154</v>
      </c>
      <c r="H55" s="18" t="s">
        <v>154</v>
      </c>
      <c r="I55" s="17" t="s">
        <v>154</v>
      </c>
      <c r="J55" s="18" t="s">
        <v>154</v>
      </c>
      <c r="K55" s="17" t="s">
        <v>154</v>
      </c>
      <c r="L55" s="18" t="s">
        <v>154</v>
      </c>
      <c r="M55" s="17" t="s">
        <v>154</v>
      </c>
      <c r="N55" s="18" t="s">
        <v>154</v>
      </c>
      <c r="O55" s="17" t="s">
        <v>154</v>
      </c>
      <c r="P55" s="18" t="s">
        <v>154</v>
      </c>
      <c r="Q55" s="17" t="s">
        <v>154</v>
      </c>
      <c r="R55" s="18" t="s">
        <v>154</v>
      </c>
    </row>
    <row r="56" spans="1:18" x14ac:dyDescent="0.25">
      <c r="A56" s="11" t="s">
        <v>189</v>
      </c>
      <c r="B56" s="13">
        <v>5359</v>
      </c>
      <c r="C56" s="14">
        <f>(4424/B56*100)</f>
        <v>82.552715058779626</v>
      </c>
      <c r="D56" s="15">
        <v>935</v>
      </c>
      <c r="E56" s="14">
        <v>42.765633180000002</v>
      </c>
      <c r="F56" s="16">
        <v>1.7231348099999999</v>
      </c>
      <c r="G56" s="14">
        <v>57.234366819999998</v>
      </c>
      <c r="H56" s="16">
        <v>1.7231348099999999</v>
      </c>
      <c r="I56" s="14" t="s">
        <v>139</v>
      </c>
      <c r="J56" s="16" t="s">
        <v>139</v>
      </c>
      <c r="K56" s="14">
        <v>0</v>
      </c>
      <c r="L56" s="16">
        <v>0</v>
      </c>
      <c r="M56" s="14">
        <v>0</v>
      </c>
      <c r="N56" s="16">
        <v>0</v>
      </c>
      <c r="O56" s="14">
        <v>0</v>
      </c>
      <c r="P56" s="16">
        <v>0</v>
      </c>
      <c r="Q56" s="14">
        <v>0</v>
      </c>
      <c r="R56" s="16">
        <v>0</v>
      </c>
    </row>
    <row r="57" spans="1:18" x14ac:dyDescent="0.25">
      <c r="A57" s="11" t="s">
        <v>190</v>
      </c>
      <c r="B57" s="17" t="s">
        <v>154</v>
      </c>
      <c r="C57" s="17" t="s">
        <v>154</v>
      </c>
      <c r="D57" s="18" t="s">
        <v>154</v>
      </c>
      <c r="E57" s="17" t="s">
        <v>154</v>
      </c>
      <c r="F57" s="18" t="s">
        <v>154</v>
      </c>
      <c r="G57" s="17" t="s">
        <v>154</v>
      </c>
      <c r="H57" s="18" t="s">
        <v>154</v>
      </c>
      <c r="I57" s="17" t="s">
        <v>154</v>
      </c>
      <c r="J57" s="18" t="s">
        <v>154</v>
      </c>
      <c r="K57" s="17" t="s">
        <v>154</v>
      </c>
      <c r="L57" s="18" t="s">
        <v>154</v>
      </c>
      <c r="M57" s="17" t="s">
        <v>154</v>
      </c>
      <c r="N57" s="18" t="s">
        <v>154</v>
      </c>
      <c r="O57" s="17" t="s">
        <v>154</v>
      </c>
      <c r="P57" s="18" t="s">
        <v>154</v>
      </c>
      <c r="Q57" s="17" t="s">
        <v>154</v>
      </c>
      <c r="R57" s="18" t="s">
        <v>154</v>
      </c>
    </row>
    <row r="58" spans="1:18" x14ac:dyDescent="0.25">
      <c r="A58" s="11" t="s">
        <v>191</v>
      </c>
      <c r="B58" s="17" t="s">
        <v>154</v>
      </c>
      <c r="C58" s="17" t="s">
        <v>154</v>
      </c>
      <c r="D58" s="18" t="s">
        <v>154</v>
      </c>
      <c r="E58" s="17" t="s">
        <v>154</v>
      </c>
      <c r="F58" s="18" t="s">
        <v>154</v>
      </c>
      <c r="G58" s="17" t="s">
        <v>154</v>
      </c>
      <c r="H58" s="18" t="s">
        <v>154</v>
      </c>
      <c r="I58" s="17" t="s">
        <v>154</v>
      </c>
      <c r="J58" s="18" t="s">
        <v>154</v>
      </c>
      <c r="K58" s="17" t="s">
        <v>154</v>
      </c>
      <c r="L58" s="18" t="s">
        <v>154</v>
      </c>
      <c r="M58" s="17" t="s">
        <v>154</v>
      </c>
      <c r="N58" s="18" t="s">
        <v>154</v>
      </c>
      <c r="O58" s="17" t="s">
        <v>154</v>
      </c>
      <c r="P58" s="18" t="s">
        <v>154</v>
      </c>
      <c r="Q58" s="17" t="s">
        <v>154</v>
      </c>
      <c r="R58" s="18" t="s">
        <v>154</v>
      </c>
    </row>
    <row r="59" spans="1:18" x14ac:dyDescent="0.25">
      <c r="A59" s="11" t="s">
        <v>192</v>
      </c>
      <c r="B59" s="17" t="s">
        <v>154</v>
      </c>
      <c r="C59" s="17" t="s">
        <v>154</v>
      </c>
      <c r="D59" s="18" t="s">
        <v>154</v>
      </c>
      <c r="E59" s="17" t="s">
        <v>154</v>
      </c>
      <c r="F59" s="18" t="s">
        <v>154</v>
      </c>
      <c r="G59" s="17" t="s">
        <v>154</v>
      </c>
      <c r="H59" s="18" t="s">
        <v>154</v>
      </c>
      <c r="I59" s="17" t="s">
        <v>154</v>
      </c>
      <c r="J59" s="18" t="s">
        <v>154</v>
      </c>
      <c r="K59" s="17" t="s">
        <v>154</v>
      </c>
      <c r="L59" s="18" t="s">
        <v>154</v>
      </c>
      <c r="M59" s="17" t="s">
        <v>154</v>
      </c>
      <c r="N59" s="18" t="s">
        <v>154</v>
      </c>
      <c r="O59" s="17" t="s">
        <v>154</v>
      </c>
      <c r="P59" s="18" t="s">
        <v>154</v>
      </c>
      <c r="Q59" s="17" t="s">
        <v>154</v>
      </c>
      <c r="R59" s="18" t="s">
        <v>154</v>
      </c>
    </row>
    <row r="60" spans="1:18" x14ac:dyDescent="0.25">
      <c r="A60" s="11" t="s">
        <v>193</v>
      </c>
      <c r="B60" s="17" t="s">
        <v>154</v>
      </c>
      <c r="C60" s="17" t="s">
        <v>154</v>
      </c>
      <c r="D60" s="18" t="s">
        <v>154</v>
      </c>
      <c r="E60" s="17" t="s">
        <v>154</v>
      </c>
      <c r="F60" s="18" t="s">
        <v>154</v>
      </c>
      <c r="G60" s="17" t="s">
        <v>154</v>
      </c>
      <c r="H60" s="18" t="s">
        <v>154</v>
      </c>
      <c r="I60" s="17" t="s">
        <v>154</v>
      </c>
      <c r="J60" s="18" t="s">
        <v>154</v>
      </c>
      <c r="K60" s="17" t="s">
        <v>154</v>
      </c>
      <c r="L60" s="18" t="s">
        <v>154</v>
      </c>
      <c r="M60" s="17" t="s">
        <v>154</v>
      </c>
      <c r="N60" s="18" t="s">
        <v>154</v>
      </c>
      <c r="O60" s="17" t="s">
        <v>154</v>
      </c>
      <c r="P60" s="18" t="s">
        <v>154</v>
      </c>
      <c r="Q60" s="17" t="s">
        <v>154</v>
      </c>
      <c r="R60" s="18" t="s">
        <v>154</v>
      </c>
    </row>
    <row r="61" spans="1:18" x14ac:dyDescent="0.25">
      <c r="A61" s="11" t="s">
        <v>194</v>
      </c>
      <c r="B61" s="13">
        <v>6525</v>
      </c>
      <c r="C61" s="14">
        <f>(5415/B61*100)</f>
        <v>82.988505747126439</v>
      </c>
      <c r="D61" s="15">
        <v>1110</v>
      </c>
      <c r="E61" s="14">
        <v>49.823128850000003</v>
      </c>
      <c r="F61" s="16">
        <v>1.4815268800000001</v>
      </c>
      <c r="G61" s="14">
        <v>50.176871149999997</v>
      </c>
      <c r="H61" s="16">
        <v>1.4815268800000001</v>
      </c>
      <c r="I61" s="14" t="s">
        <v>139</v>
      </c>
      <c r="J61" s="16" t="s">
        <v>139</v>
      </c>
      <c r="K61" s="14">
        <v>0</v>
      </c>
      <c r="L61" s="16">
        <v>0</v>
      </c>
      <c r="M61" s="14">
        <v>0</v>
      </c>
      <c r="N61" s="16">
        <v>0</v>
      </c>
      <c r="O61" s="14">
        <v>0</v>
      </c>
      <c r="P61" s="16">
        <v>0</v>
      </c>
      <c r="Q61" s="14">
        <v>0</v>
      </c>
      <c r="R61" s="16">
        <v>0</v>
      </c>
    </row>
    <row r="62" spans="1:18" x14ac:dyDescent="0.25">
      <c r="A62" s="11" t="s">
        <v>195</v>
      </c>
      <c r="B62" s="13">
        <v>4476</v>
      </c>
      <c r="C62" s="14">
        <f>(3712/B62*100)</f>
        <v>82.931188561215379</v>
      </c>
      <c r="D62" s="15">
        <v>764</v>
      </c>
      <c r="E62" s="14">
        <v>53.679046829999997</v>
      </c>
      <c r="F62" s="16">
        <v>1.7674971100000001</v>
      </c>
      <c r="G62" s="14">
        <v>46.320953170000003</v>
      </c>
      <c r="H62" s="16">
        <v>1.7674971100000001</v>
      </c>
      <c r="I62" s="14" t="s">
        <v>139</v>
      </c>
      <c r="J62" s="16" t="s">
        <v>139</v>
      </c>
      <c r="K62" s="14">
        <v>0</v>
      </c>
      <c r="L62" s="16">
        <v>0</v>
      </c>
      <c r="M62" s="14">
        <v>0</v>
      </c>
      <c r="N62" s="16">
        <v>0</v>
      </c>
      <c r="O62" s="14">
        <v>0</v>
      </c>
      <c r="P62" s="16">
        <v>0</v>
      </c>
      <c r="Q62" s="14">
        <v>0</v>
      </c>
      <c r="R62" s="16">
        <v>0</v>
      </c>
    </row>
    <row r="63" spans="1:18" x14ac:dyDescent="0.25">
      <c r="A63" s="11" t="s">
        <v>196</v>
      </c>
      <c r="B63" s="17" t="s">
        <v>154</v>
      </c>
      <c r="C63" s="17" t="s">
        <v>154</v>
      </c>
      <c r="D63" s="18" t="s">
        <v>154</v>
      </c>
      <c r="E63" s="17" t="s">
        <v>154</v>
      </c>
      <c r="F63" s="18" t="s">
        <v>154</v>
      </c>
      <c r="G63" s="17" t="s">
        <v>154</v>
      </c>
      <c r="H63" s="18" t="s">
        <v>154</v>
      </c>
      <c r="I63" s="17" t="s">
        <v>154</v>
      </c>
      <c r="J63" s="18" t="s">
        <v>154</v>
      </c>
      <c r="K63" s="17" t="s">
        <v>154</v>
      </c>
      <c r="L63" s="18" t="s">
        <v>154</v>
      </c>
      <c r="M63" s="17" t="s">
        <v>154</v>
      </c>
      <c r="N63" s="18" t="s">
        <v>154</v>
      </c>
      <c r="O63" s="17" t="s">
        <v>154</v>
      </c>
      <c r="P63" s="18" t="s">
        <v>154</v>
      </c>
      <c r="Q63" s="17" t="s">
        <v>154</v>
      </c>
      <c r="R63" s="18" t="s">
        <v>154</v>
      </c>
    </row>
    <row r="64" spans="1:18" x14ac:dyDescent="0.25">
      <c r="A64" s="11" t="s">
        <v>197</v>
      </c>
      <c r="B64" s="17" t="s">
        <v>154</v>
      </c>
      <c r="C64" s="17" t="s">
        <v>154</v>
      </c>
      <c r="D64" s="18" t="s">
        <v>154</v>
      </c>
      <c r="E64" s="17" t="s">
        <v>154</v>
      </c>
      <c r="F64" s="18" t="s">
        <v>154</v>
      </c>
      <c r="G64" s="17" t="s">
        <v>154</v>
      </c>
      <c r="H64" s="18" t="s">
        <v>154</v>
      </c>
      <c r="I64" s="17" t="s">
        <v>154</v>
      </c>
      <c r="J64" s="18" t="s">
        <v>154</v>
      </c>
      <c r="K64" s="17" t="s">
        <v>154</v>
      </c>
      <c r="L64" s="18" t="s">
        <v>154</v>
      </c>
      <c r="M64" s="17" t="s">
        <v>154</v>
      </c>
      <c r="N64" s="18" t="s">
        <v>154</v>
      </c>
      <c r="O64" s="17" t="s">
        <v>154</v>
      </c>
      <c r="P64" s="18" t="s">
        <v>154</v>
      </c>
      <c r="Q64" s="17" t="s">
        <v>154</v>
      </c>
      <c r="R64" s="18" t="s">
        <v>154</v>
      </c>
    </row>
    <row r="65" spans="1:18" x14ac:dyDescent="0.25">
      <c r="A65" s="11" t="s">
        <v>198</v>
      </c>
      <c r="B65" s="17" t="s">
        <v>154</v>
      </c>
      <c r="C65" s="17" t="s">
        <v>154</v>
      </c>
      <c r="D65" s="18" t="s">
        <v>154</v>
      </c>
      <c r="E65" s="17" t="s">
        <v>154</v>
      </c>
      <c r="F65" s="18" t="s">
        <v>154</v>
      </c>
      <c r="G65" s="17" t="s">
        <v>154</v>
      </c>
      <c r="H65" s="18" t="s">
        <v>154</v>
      </c>
      <c r="I65" s="17" t="s">
        <v>154</v>
      </c>
      <c r="J65" s="18" t="s">
        <v>154</v>
      </c>
      <c r="K65" s="17" t="s">
        <v>154</v>
      </c>
      <c r="L65" s="18" t="s">
        <v>154</v>
      </c>
      <c r="M65" s="17" t="s">
        <v>154</v>
      </c>
      <c r="N65" s="18" t="s">
        <v>154</v>
      </c>
      <c r="O65" s="17" t="s">
        <v>154</v>
      </c>
      <c r="P65" s="18" t="s">
        <v>154</v>
      </c>
      <c r="Q65" s="17" t="s">
        <v>154</v>
      </c>
      <c r="R65" s="18" t="s">
        <v>154</v>
      </c>
    </row>
    <row r="66" spans="1:18" x14ac:dyDescent="0.25">
      <c r="A66" s="11" t="s">
        <v>199</v>
      </c>
      <c r="B66" s="13">
        <v>5665</v>
      </c>
      <c r="C66" s="14">
        <f>(4711/B66*100)</f>
        <v>83.159752868490727</v>
      </c>
      <c r="D66" s="15">
        <v>954</v>
      </c>
      <c r="E66" s="14">
        <v>60.141694700000002</v>
      </c>
      <c r="F66" s="16">
        <v>1.5500711</v>
      </c>
      <c r="G66" s="14">
        <v>39.858305299999998</v>
      </c>
      <c r="H66" s="16">
        <v>1.5500711</v>
      </c>
      <c r="I66" s="14" t="s">
        <v>139</v>
      </c>
      <c r="J66" s="16" t="s">
        <v>139</v>
      </c>
      <c r="K66" s="14">
        <v>0</v>
      </c>
      <c r="L66" s="16">
        <v>0</v>
      </c>
      <c r="M66" s="14">
        <v>0</v>
      </c>
      <c r="N66" s="16">
        <v>0</v>
      </c>
      <c r="O66" s="14">
        <v>0</v>
      </c>
      <c r="P66" s="16">
        <v>0</v>
      </c>
      <c r="Q66" s="14">
        <v>0</v>
      </c>
      <c r="R66" s="16">
        <v>0</v>
      </c>
    </row>
    <row r="67" spans="1:18" x14ac:dyDescent="0.25">
      <c r="A67" s="11" t="s">
        <v>200</v>
      </c>
      <c r="B67" s="13">
        <v>6971</v>
      </c>
      <c r="C67" s="14">
        <f>(5876/B67*100)</f>
        <v>84.292067135274706</v>
      </c>
      <c r="D67" s="15">
        <v>1095</v>
      </c>
      <c r="E67" s="14">
        <v>74.009306080000002</v>
      </c>
      <c r="F67" s="16">
        <v>1.3637522799999999</v>
      </c>
      <c r="G67" s="14">
        <v>25.990693919999998</v>
      </c>
      <c r="H67" s="16">
        <v>1.3637522799999999</v>
      </c>
      <c r="I67" s="14" t="s">
        <v>139</v>
      </c>
      <c r="J67" s="16" t="s">
        <v>139</v>
      </c>
      <c r="K67" s="14">
        <v>0</v>
      </c>
      <c r="L67" s="16">
        <v>0</v>
      </c>
      <c r="M67" s="14">
        <v>0</v>
      </c>
      <c r="N67" s="16">
        <v>0</v>
      </c>
      <c r="O67" s="14">
        <v>0</v>
      </c>
      <c r="P67" s="16">
        <v>0</v>
      </c>
      <c r="Q67" s="14">
        <v>0</v>
      </c>
      <c r="R67" s="16">
        <v>0</v>
      </c>
    </row>
    <row r="68" spans="1:18" x14ac:dyDescent="0.25">
      <c r="A68" s="11" t="s">
        <v>201</v>
      </c>
      <c r="B68" s="17" t="s">
        <v>154</v>
      </c>
      <c r="C68" s="17" t="s">
        <v>154</v>
      </c>
      <c r="D68" s="18" t="s">
        <v>154</v>
      </c>
      <c r="E68" s="17" t="s">
        <v>154</v>
      </c>
      <c r="F68" s="18" t="s">
        <v>154</v>
      </c>
      <c r="G68" s="17" t="s">
        <v>154</v>
      </c>
      <c r="H68" s="18" t="s">
        <v>154</v>
      </c>
      <c r="I68" s="17" t="s">
        <v>154</v>
      </c>
      <c r="J68" s="18" t="s">
        <v>154</v>
      </c>
      <c r="K68" s="17" t="s">
        <v>154</v>
      </c>
      <c r="L68" s="18" t="s">
        <v>154</v>
      </c>
      <c r="M68" s="17" t="s">
        <v>154</v>
      </c>
      <c r="N68" s="18" t="s">
        <v>154</v>
      </c>
      <c r="O68" s="17" t="s">
        <v>154</v>
      </c>
      <c r="P68" s="18" t="s">
        <v>154</v>
      </c>
      <c r="Q68" s="17" t="s">
        <v>154</v>
      </c>
      <c r="R68" s="18" t="s">
        <v>154</v>
      </c>
    </row>
    <row r="69" spans="1:18" x14ac:dyDescent="0.25">
      <c r="A69" s="11" t="s">
        <v>202</v>
      </c>
      <c r="B69" s="17" t="s">
        <v>154</v>
      </c>
      <c r="C69" s="17" t="s">
        <v>154</v>
      </c>
      <c r="D69" s="18" t="s">
        <v>154</v>
      </c>
      <c r="E69" s="17" t="s">
        <v>154</v>
      </c>
      <c r="F69" s="18" t="s">
        <v>154</v>
      </c>
      <c r="G69" s="17" t="s">
        <v>154</v>
      </c>
      <c r="H69" s="18" t="s">
        <v>154</v>
      </c>
      <c r="I69" s="17" t="s">
        <v>154</v>
      </c>
      <c r="J69" s="18" t="s">
        <v>154</v>
      </c>
      <c r="K69" s="17" t="s">
        <v>154</v>
      </c>
      <c r="L69" s="18" t="s">
        <v>154</v>
      </c>
      <c r="M69" s="17" t="s">
        <v>154</v>
      </c>
      <c r="N69" s="18" t="s">
        <v>154</v>
      </c>
      <c r="O69" s="17" t="s">
        <v>154</v>
      </c>
      <c r="P69" s="18" t="s">
        <v>154</v>
      </c>
      <c r="Q69" s="17" t="s">
        <v>154</v>
      </c>
      <c r="R69" s="18" t="s">
        <v>154</v>
      </c>
    </row>
    <row r="70" spans="1:18" x14ac:dyDescent="0.25">
      <c r="A70" s="11" t="s">
        <v>203</v>
      </c>
      <c r="B70" s="13">
        <v>6036</v>
      </c>
      <c r="C70" s="14">
        <f>(5007/B70*100)</f>
        <v>82.952286282306162</v>
      </c>
      <c r="D70" s="15">
        <v>1029</v>
      </c>
      <c r="E70" s="14">
        <v>56.497277539999999</v>
      </c>
      <c r="F70" s="16">
        <v>1.71354165</v>
      </c>
      <c r="G70" s="14">
        <v>43.502722460000001</v>
      </c>
      <c r="H70" s="16">
        <v>1.71354165</v>
      </c>
      <c r="I70" s="14" t="s">
        <v>139</v>
      </c>
      <c r="J70" s="16" t="s">
        <v>139</v>
      </c>
      <c r="K70" s="14">
        <v>0</v>
      </c>
      <c r="L70" s="16">
        <v>0</v>
      </c>
      <c r="M70" s="14">
        <v>0</v>
      </c>
      <c r="N70" s="16">
        <v>0</v>
      </c>
      <c r="O70" s="14">
        <v>0</v>
      </c>
      <c r="P70" s="16">
        <v>0</v>
      </c>
      <c r="Q70" s="14">
        <v>0</v>
      </c>
      <c r="R70" s="16">
        <v>0</v>
      </c>
    </row>
    <row r="71" spans="1:18" x14ac:dyDescent="0.25">
      <c r="A71" s="11" t="s">
        <v>204</v>
      </c>
      <c r="B71" s="17" t="s">
        <v>154</v>
      </c>
      <c r="C71" s="17" t="s">
        <v>154</v>
      </c>
      <c r="D71" s="18" t="s">
        <v>154</v>
      </c>
      <c r="E71" s="17" t="s">
        <v>154</v>
      </c>
      <c r="F71" s="18" t="s">
        <v>154</v>
      </c>
      <c r="G71" s="17" t="s">
        <v>154</v>
      </c>
      <c r="H71" s="18" t="s">
        <v>154</v>
      </c>
      <c r="I71" s="17" t="s">
        <v>154</v>
      </c>
      <c r="J71" s="18" t="s">
        <v>154</v>
      </c>
      <c r="K71" s="17" t="s">
        <v>154</v>
      </c>
      <c r="L71" s="18" t="s">
        <v>154</v>
      </c>
      <c r="M71" s="17" t="s">
        <v>154</v>
      </c>
      <c r="N71" s="18" t="s">
        <v>154</v>
      </c>
      <c r="O71" s="17" t="s">
        <v>154</v>
      </c>
      <c r="P71" s="18" t="s">
        <v>154</v>
      </c>
      <c r="Q71" s="17" t="s">
        <v>154</v>
      </c>
      <c r="R71" s="18" t="s">
        <v>154</v>
      </c>
    </row>
    <row r="72" spans="1:18" x14ac:dyDescent="0.25">
      <c r="A72" s="11" t="s">
        <v>205</v>
      </c>
      <c r="B72" s="13">
        <v>7708</v>
      </c>
      <c r="C72" s="14">
        <f>(6394/B72*100)</f>
        <v>82.952776336273999</v>
      </c>
      <c r="D72" s="15">
        <v>1314</v>
      </c>
      <c r="E72" s="14">
        <v>52.861261560000003</v>
      </c>
      <c r="F72" s="16">
        <v>1.59977502</v>
      </c>
      <c r="G72" s="14">
        <v>47.138738439999997</v>
      </c>
      <c r="H72" s="16">
        <v>1.59977502</v>
      </c>
      <c r="I72" s="14" t="s">
        <v>139</v>
      </c>
      <c r="J72" s="16" t="s">
        <v>139</v>
      </c>
      <c r="K72" s="14">
        <v>0</v>
      </c>
      <c r="L72" s="16">
        <v>0</v>
      </c>
      <c r="M72" s="14">
        <v>0</v>
      </c>
      <c r="N72" s="16">
        <v>0</v>
      </c>
      <c r="O72" s="14">
        <v>0</v>
      </c>
      <c r="P72" s="16">
        <v>0</v>
      </c>
      <c r="Q72" s="14">
        <v>0</v>
      </c>
      <c r="R72" s="16">
        <v>0</v>
      </c>
    </row>
    <row r="73" spans="1:18" x14ac:dyDescent="0.25">
      <c r="A73" s="11" t="s">
        <v>206</v>
      </c>
      <c r="B73" s="13">
        <v>8249</v>
      </c>
      <c r="C73" s="14">
        <f>(6882/B73*100)</f>
        <v>83.428294338707715</v>
      </c>
      <c r="D73" s="15">
        <v>1367</v>
      </c>
      <c r="E73" s="14">
        <v>66.773809619999994</v>
      </c>
      <c r="F73" s="16">
        <v>1.6529012000000001</v>
      </c>
      <c r="G73" s="14">
        <v>33.226190379999998</v>
      </c>
      <c r="H73" s="16">
        <v>1.6529012000000001</v>
      </c>
      <c r="I73" s="14" t="s">
        <v>139</v>
      </c>
      <c r="J73" s="16" t="s">
        <v>139</v>
      </c>
      <c r="K73" s="14">
        <v>0</v>
      </c>
      <c r="L73" s="16">
        <v>0</v>
      </c>
      <c r="M73" s="14">
        <v>0</v>
      </c>
      <c r="N73" s="16">
        <v>0</v>
      </c>
      <c r="O73" s="14">
        <v>0</v>
      </c>
      <c r="P73" s="16">
        <v>0</v>
      </c>
      <c r="Q73" s="14">
        <v>0</v>
      </c>
      <c r="R73" s="16">
        <v>0</v>
      </c>
    </row>
    <row r="74" spans="1:18" x14ac:dyDescent="0.25">
      <c r="A74" s="11" t="s">
        <v>207</v>
      </c>
      <c r="B74" s="17" t="s">
        <v>154</v>
      </c>
      <c r="C74" s="17" t="s">
        <v>154</v>
      </c>
      <c r="D74" s="18" t="s">
        <v>154</v>
      </c>
      <c r="E74" s="17" t="s">
        <v>154</v>
      </c>
      <c r="F74" s="18" t="s">
        <v>154</v>
      </c>
      <c r="G74" s="17" t="s">
        <v>154</v>
      </c>
      <c r="H74" s="18" t="s">
        <v>154</v>
      </c>
      <c r="I74" s="17" t="s">
        <v>154</v>
      </c>
      <c r="J74" s="18" t="s">
        <v>154</v>
      </c>
      <c r="K74" s="17" t="s">
        <v>154</v>
      </c>
      <c r="L74" s="18" t="s">
        <v>154</v>
      </c>
      <c r="M74" s="17" t="s">
        <v>154</v>
      </c>
      <c r="N74" s="18" t="s">
        <v>154</v>
      </c>
      <c r="O74" s="17" t="s">
        <v>154</v>
      </c>
      <c r="P74" s="18" t="s">
        <v>154</v>
      </c>
      <c r="Q74" s="17" t="s">
        <v>154</v>
      </c>
      <c r="R74" s="18" t="s">
        <v>154</v>
      </c>
    </row>
    <row r="75" spans="1:18" x14ac:dyDescent="0.25">
      <c r="A75" s="11" t="s">
        <v>208</v>
      </c>
      <c r="B75" s="13">
        <v>5375</v>
      </c>
      <c r="C75" s="14">
        <f>(4557/B75*100)</f>
        <v>84.781395348837208</v>
      </c>
      <c r="D75" s="15">
        <v>818</v>
      </c>
      <c r="E75" s="14">
        <v>74.790404570000007</v>
      </c>
      <c r="F75" s="16">
        <v>1.67739756</v>
      </c>
      <c r="G75" s="14">
        <v>25.20959543</v>
      </c>
      <c r="H75" s="16">
        <v>1.67739756</v>
      </c>
      <c r="I75" s="14" t="s">
        <v>139</v>
      </c>
      <c r="J75" s="16" t="s">
        <v>139</v>
      </c>
      <c r="K75" s="14">
        <v>0</v>
      </c>
      <c r="L75" s="16">
        <v>0</v>
      </c>
      <c r="M75" s="14">
        <v>0</v>
      </c>
      <c r="N75" s="16">
        <v>0</v>
      </c>
      <c r="O75" s="14">
        <v>0</v>
      </c>
      <c r="P75" s="16">
        <v>0</v>
      </c>
      <c r="Q75" s="14">
        <v>0</v>
      </c>
      <c r="R75" s="16">
        <v>0</v>
      </c>
    </row>
    <row r="76" spans="1:18" x14ac:dyDescent="0.25">
      <c r="A76" s="11" t="s">
        <v>209</v>
      </c>
      <c r="B76" s="13">
        <v>14167</v>
      </c>
      <c r="C76" s="14">
        <f>(11728/B76*100)</f>
        <v>82.783934495658926</v>
      </c>
      <c r="D76" s="15">
        <v>2439</v>
      </c>
      <c r="E76" s="14">
        <v>63.216136550000002</v>
      </c>
      <c r="F76" s="16">
        <v>1.2066114800000001</v>
      </c>
      <c r="G76" s="14">
        <v>36.783863449999998</v>
      </c>
      <c r="H76" s="16">
        <v>1.2066114800000001</v>
      </c>
      <c r="I76" s="14" t="s">
        <v>139</v>
      </c>
      <c r="J76" s="16" t="s">
        <v>139</v>
      </c>
      <c r="K76" s="14">
        <v>0</v>
      </c>
      <c r="L76" s="16">
        <v>0</v>
      </c>
      <c r="M76" s="14">
        <v>0</v>
      </c>
      <c r="N76" s="16">
        <v>0</v>
      </c>
      <c r="O76" s="14">
        <v>0</v>
      </c>
      <c r="P76" s="16">
        <v>0</v>
      </c>
      <c r="Q76" s="14">
        <v>0</v>
      </c>
      <c r="R76" s="16">
        <v>0</v>
      </c>
    </row>
    <row r="77" spans="1:18" x14ac:dyDescent="0.25">
      <c r="A77" s="11" t="s">
        <v>210</v>
      </c>
      <c r="B77" s="13">
        <v>6062</v>
      </c>
      <c r="C77" s="14">
        <f>(5018/B77*100)</f>
        <v>82.777961068954141</v>
      </c>
      <c r="D77" s="15">
        <v>1044</v>
      </c>
      <c r="E77" s="14">
        <v>64.906659779999998</v>
      </c>
      <c r="F77" s="16">
        <v>1.6316012600000001</v>
      </c>
      <c r="G77" s="14">
        <v>35.093340220000002</v>
      </c>
      <c r="H77" s="16">
        <v>1.6316012600000001</v>
      </c>
      <c r="I77" s="14" t="s">
        <v>139</v>
      </c>
      <c r="J77" s="16" t="s">
        <v>139</v>
      </c>
      <c r="K77" s="14">
        <v>0</v>
      </c>
      <c r="L77" s="16">
        <v>0</v>
      </c>
      <c r="M77" s="14">
        <v>0</v>
      </c>
      <c r="N77" s="16">
        <v>0</v>
      </c>
      <c r="O77" s="14">
        <v>0</v>
      </c>
      <c r="P77" s="16">
        <v>0</v>
      </c>
      <c r="Q77" s="14">
        <v>0</v>
      </c>
      <c r="R77" s="16">
        <v>0</v>
      </c>
    </row>
    <row r="78" spans="1:18" x14ac:dyDescent="0.25">
      <c r="A78" s="11" t="s">
        <v>211</v>
      </c>
      <c r="B78" s="17" t="s">
        <v>154</v>
      </c>
      <c r="C78" s="17" t="s">
        <v>154</v>
      </c>
      <c r="D78" s="18" t="s">
        <v>154</v>
      </c>
      <c r="E78" s="17" t="s">
        <v>154</v>
      </c>
      <c r="F78" s="18" t="s">
        <v>154</v>
      </c>
      <c r="G78" s="17" t="s">
        <v>154</v>
      </c>
      <c r="H78" s="18" t="s">
        <v>154</v>
      </c>
      <c r="I78" s="17" t="s">
        <v>154</v>
      </c>
      <c r="J78" s="18" t="s">
        <v>154</v>
      </c>
      <c r="K78" s="17" t="s">
        <v>154</v>
      </c>
      <c r="L78" s="18" t="s">
        <v>154</v>
      </c>
      <c r="M78" s="17" t="s">
        <v>154</v>
      </c>
      <c r="N78" s="18" t="s">
        <v>154</v>
      </c>
      <c r="O78" s="17" t="s">
        <v>154</v>
      </c>
      <c r="P78" s="18" t="s">
        <v>154</v>
      </c>
      <c r="Q78" s="17" t="s">
        <v>154</v>
      </c>
      <c r="R78" s="18" t="s">
        <v>154</v>
      </c>
    </row>
    <row r="79" spans="1:18" ht="24.95" customHeight="1" x14ac:dyDescent="0.25">
      <c r="A79" s="11" t="s">
        <v>212</v>
      </c>
      <c r="B79" s="17" t="s">
        <v>154</v>
      </c>
      <c r="C79" s="17" t="s">
        <v>154</v>
      </c>
      <c r="D79" s="18" t="s">
        <v>154</v>
      </c>
      <c r="E79" s="17" t="s">
        <v>154</v>
      </c>
      <c r="F79" s="18" t="s">
        <v>154</v>
      </c>
      <c r="G79" s="17" t="s">
        <v>154</v>
      </c>
      <c r="H79" s="18" t="s">
        <v>154</v>
      </c>
      <c r="I79" s="17" t="s">
        <v>154</v>
      </c>
      <c r="J79" s="18" t="s">
        <v>154</v>
      </c>
      <c r="K79" s="17" t="s">
        <v>154</v>
      </c>
      <c r="L79" s="18" t="s">
        <v>154</v>
      </c>
      <c r="M79" s="17" t="s">
        <v>154</v>
      </c>
      <c r="N79" s="18" t="s">
        <v>154</v>
      </c>
      <c r="O79" s="17" t="s">
        <v>154</v>
      </c>
      <c r="P79" s="18" t="s">
        <v>154</v>
      </c>
      <c r="Q79" s="17" t="s">
        <v>154</v>
      </c>
      <c r="R79" s="18" t="s">
        <v>154</v>
      </c>
    </row>
    <row r="80" spans="1:18" x14ac:dyDescent="0.25">
      <c r="A80" s="11" t="s">
        <v>213</v>
      </c>
      <c r="B80" s="17" t="s">
        <v>154</v>
      </c>
      <c r="C80" s="17" t="s">
        <v>154</v>
      </c>
      <c r="D80" s="18" t="s">
        <v>154</v>
      </c>
      <c r="E80" s="17" t="s">
        <v>154</v>
      </c>
      <c r="F80" s="18" t="s">
        <v>154</v>
      </c>
      <c r="G80" s="17" t="s">
        <v>154</v>
      </c>
      <c r="H80" s="18" t="s">
        <v>154</v>
      </c>
      <c r="I80" s="17" t="s">
        <v>154</v>
      </c>
      <c r="J80" s="18" t="s">
        <v>154</v>
      </c>
      <c r="K80" s="17" t="s">
        <v>154</v>
      </c>
      <c r="L80" s="18" t="s">
        <v>154</v>
      </c>
      <c r="M80" s="17" t="s">
        <v>154</v>
      </c>
      <c r="N80" s="18" t="s">
        <v>154</v>
      </c>
      <c r="O80" s="17" t="s">
        <v>154</v>
      </c>
      <c r="P80" s="18" t="s">
        <v>154</v>
      </c>
      <c r="Q80" s="17" t="s">
        <v>154</v>
      </c>
      <c r="R80" s="18" t="s">
        <v>154</v>
      </c>
    </row>
    <row r="81" spans="1:18" x14ac:dyDescent="0.25">
      <c r="A81" s="19" t="s">
        <v>214</v>
      </c>
      <c r="B81" s="13">
        <v>8861</v>
      </c>
      <c r="C81" s="14">
        <f>(7369/B81*100)</f>
        <v>83.162171312492944</v>
      </c>
      <c r="D81" s="15">
        <v>1492</v>
      </c>
      <c r="E81" s="14">
        <v>62.088524059999997</v>
      </c>
      <c r="F81" s="16">
        <v>1.5142596500000001</v>
      </c>
      <c r="G81" s="14">
        <v>37.911475940000003</v>
      </c>
      <c r="H81" s="16">
        <v>1.5142596500000001</v>
      </c>
      <c r="I81" s="14" t="s">
        <v>139</v>
      </c>
      <c r="J81" s="16" t="s">
        <v>139</v>
      </c>
      <c r="K81" s="14">
        <v>0</v>
      </c>
      <c r="L81" s="16">
        <v>0</v>
      </c>
      <c r="M81" s="14">
        <v>0</v>
      </c>
      <c r="N81" s="16">
        <v>0</v>
      </c>
      <c r="O81" s="14">
        <v>0</v>
      </c>
      <c r="P81" s="16">
        <v>0</v>
      </c>
      <c r="Q81" s="14">
        <v>0</v>
      </c>
      <c r="R81" s="16">
        <v>0</v>
      </c>
    </row>
    <row r="82" spans="1:18" x14ac:dyDescent="0.25">
      <c r="A82" s="20"/>
      <c r="B82" s="20" t="s">
        <v>215</v>
      </c>
      <c r="C82" s="20" t="s">
        <v>215</v>
      </c>
      <c r="D82" s="20" t="s">
        <v>215</v>
      </c>
      <c r="E82" s="20" t="s">
        <v>215</v>
      </c>
      <c r="F82" s="20" t="s">
        <v>215</v>
      </c>
      <c r="G82" s="20" t="s">
        <v>215</v>
      </c>
      <c r="H82" s="20" t="s">
        <v>215</v>
      </c>
      <c r="I82" s="20" t="s">
        <v>215</v>
      </c>
      <c r="J82" s="20" t="s">
        <v>215</v>
      </c>
      <c r="K82" s="20" t="s">
        <v>215</v>
      </c>
      <c r="L82" s="20" t="s">
        <v>215</v>
      </c>
      <c r="M82" s="20" t="s">
        <v>215</v>
      </c>
      <c r="N82" s="20" t="s">
        <v>215</v>
      </c>
      <c r="O82" s="20" t="s">
        <v>215</v>
      </c>
      <c r="P82" s="20" t="s">
        <v>215</v>
      </c>
      <c r="Q82" s="20" t="s">
        <v>215</v>
      </c>
      <c r="R82" s="20" t="s">
        <v>215</v>
      </c>
    </row>
    <row r="83" spans="1:18" x14ac:dyDescent="0.25">
      <c r="A83" s="3" t="s">
        <v>216</v>
      </c>
    </row>
    <row r="84" spans="1:18" x14ac:dyDescent="0.25">
      <c r="A84" s="22" t="s">
        <v>217</v>
      </c>
      <c r="B84" s="23"/>
      <c r="C84" s="23"/>
      <c r="D84" s="23"/>
      <c r="E84" s="23"/>
      <c r="F84" s="23"/>
      <c r="G84" s="23"/>
      <c r="H84" s="23"/>
      <c r="I84" s="23"/>
      <c r="J84" s="23"/>
      <c r="K84" s="23"/>
      <c r="L84" s="23"/>
      <c r="M84" s="23"/>
      <c r="N84" s="23"/>
      <c r="O84" s="23"/>
      <c r="P84" s="23"/>
      <c r="Q84" s="23"/>
      <c r="R84" s="23"/>
    </row>
    <row r="85" spans="1:18" x14ac:dyDescent="0.25">
      <c r="A85" s="22" t="s">
        <v>218</v>
      </c>
      <c r="B85" s="23"/>
      <c r="C85" s="23"/>
      <c r="D85" s="23"/>
      <c r="E85" s="23"/>
      <c r="F85" s="23"/>
      <c r="G85" s="23"/>
      <c r="H85" s="23"/>
      <c r="I85" s="23"/>
      <c r="J85" s="23"/>
      <c r="K85" s="23"/>
      <c r="L85" s="23"/>
      <c r="M85" s="23"/>
      <c r="N85" s="23"/>
      <c r="O85" s="23"/>
      <c r="P85" s="23"/>
      <c r="Q85" s="23"/>
      <c r="R85" s="23"/>
    </row>
    <row r="86" spans="1:18" ht="30" customHeight="1" x14ac:dyDescent="0.25">
      <c r="A86" s="22" t="s">
        <v>219</v>
      </c>
      <c r="B86" s="23"/>
      <c r="C86" s="23"/>
      <c r="D86" s="23"/>
      <c r="E86" s="23"/>
      <c r="F86" s="23"/>
      <c r="G86" s="23"/>
      <c r="H86" s="23"/>
      <c r="I86" s="23"/>
      <c r="J86" s="23"/>
      <c r="K86" s="23"/>
      <c r="L86" s="23"/>
      <c r="M86" s="23"/>
      <c r="N86" s="23"/>
      <c r="O86" s="23"/>
      <c r="P86" s="23"/>
      <c r="Q86" s="23"/>
      <c r="R86" s="23"/>
    </row>
    <row r="87" spans="1:18" ht="30" customHeight="1" x14ac:dyDescent="0.25">
      <c r="A87" s="22" t="s">
        <v>215</v>
      </c>
      <c r="B87" s="23"/>
      <c r="C87" s="23"/>
      <c r="D87" s="23"/>
      <c r="E87" s="23"/>
      <c r="F87" s="23"/>
      <c r="G87" s="23"/>
      <c r="H87" s="23"/>
      <c r="I87" s="23"/>
      <c r="J87" s="23"/>
      <c r="K87" s="23"/>
      <c r="L87" s="23"/>
      <c r="M87" s="23"/>
      <c r="N87" s="23"/>
      <c r="O87" s="23"/>
      <c r="P87" s="23"/>
      <c r="Q87" s="23"/>
      <c r="R87" s="23"/>
    </row>
    <row r="88" spans="1:18" ht="30" customHeight="1" x14ac:dyDescent="0.25">
      <c r="A88" s="22" t="s">
        <v>220</v>
      </c>
      <c r="B88" s="23"/>
      <c r="C88" s="23"/>
      <c r="D88" s="23"/>
      <c r="E88" s="23"/>
      <c r="F88" s="23"/>
      <c r="G88" s="23"/>
      <c r="H88" s="23"/>
      <c r="I88" s="23"/>
      <c r="J88" s="23"/>
      <c r="K88" s="23"/>
      <c r="L88" s="23"/>
      <c r="M88" s="23"/>
      <c r="N88" s="23"/>
      <c r="O88" s="23"/>
      <c r="P88" s="23"/>
      <c r="Q88" s="23"/>
      <c r="R88" s="23"/>
    </row>
    <row r="89" spans="1:18" ht="30" customHeight="1" x14ac:dyDescent="0.25">
      <c r="A89" s="22" t="s">
        <v>221</v>
      </c>
      <c r="B89" s="23"/>
      <c r="C89" s="23"/>
      <c r="D89" s="23"/>
      <c r="E89" s="23"/>
      <c r="F89" s="23"/>
      <c r="G89" s="23"/>
      <c r="H89" s="23"/>
      <c r="I89" s="23"/>
      <c r="J89" s="23"/>
      <c r="K89" s="23"/>
      <c r="L89" s="23"/>
      <c r="M89" s="23"/>
      <c r="N89" s="23"/>
      <c r="O89" s="23"/>
      <c r="P89" s="23"/>
      <c r="Q89" s="23"/>
      <c r="R89" s="23"/>
    </row>
    <row r="90" spans="1:18" ht="30" customHeight="1" x14ac:dyDescent="0.25">
      <c r="A90" s="22" t="s">
        <v>222</v>
      </c>
      <c r="B90" s="23"/>
      <c r="C90" s="23"/>
      <c r="D90" s="23"/>
      <c r="E90" s="23"/>
      <c r="F90" s="23"/>
      <c r="G90" s="23"/>
      <c r="H90" s="23"/>
      <c r="I90" s="23"/>
      <c r="J90" s="23"/>
      <c r="K90" s="23"/>
      <c r="L90" s="23"/>
      <c r="M90" s="23"/>
      <c r="N90" s="23"/>
      <c r="O90" s="23"/>
      <c r="P90" s="23"/>
      <c r="Q90" s="23"/>
      <c r="R90" s="23"/>
    </row>
    <row r="91" spans="1:18" ht="30" customHeight="1" x14ac:dyDescent="0.25">
      <c r="A91" s="22" t="s">
        <v>223</v>
      </c>
      <c r="B91" s="23"/>
      <c r="C91" s="23"/>
      <c r="D91" s="23"/>
      <c r="E91" s="23"/>
      <c r="F91" s="23"/>
      <c r="G91" s="23"/>
      <c r="H91" s="23"/>
      <c r="I91" s="23"/>
      <c r="J91" s="23"/>
      <c r="K91" s="23"/>
      <c r="L91" s="23"/>
      <c r="M91" s="23"/>
      <c r="N91" s="23"/>
      <c r="O91" s="23"/>
      <c r="P91" s="23"/>
      <c r="Q91" s="23"/>
      <c r="R91" s="23"/>
    </row>
    <row r="92" spans="1:18" ht="30" customHeight="1" x14ac:dyDescent="0.25">
      <c r="A92" s="22" t="s">
        <v>224</v>
      </c>
      <c r="B92" s="23"/>
      <c r="C92" s="23"/>
      <c r="D92" s="23"/>
      <c r="E92" s="23"/>
      <c r="F92" s="23"/>
      <c r="G92" s="23"/>
      <c r="H92" s="23"/>
      <c r="I92" s="23"/>
      <c r="J92" s="23"/>
      <c r="K92" s="23"/>
      <c r="L92" s="23"/>
      <c r="M92" s="23"/>
      <c r="N92" s="23"/>
      <c r="O92" s="23"/>
      <c r="P92" s="23"/>
      <c r="Q92" s="23"/>
      <c r="R92" s="23"/>
    </row>
    <row r="93" spans="1:18" ht="30" customHeight="1" x14ac:dyDescent="0.25">
      <c r="A93" s="22" t="s">
        <v>225</v>
      </c>
      <c r="B93" s="23"/>
      <c r="C93" s="23"/>
      <c r="D93" s="23"/>
      <c r="E93" s="23"/>
      <c r="F93" s="23"/>
      <c r="G93" s="23"/>
      <c r="H93" s="23"/>
      <c r="I93" s="23"/>
      <c r="J93" s="23"/>
      <c r="K93" s="23"/>
      <c r="L93" s="23"/>
      <c r="M93" s="23"/>
      <c r="N93" s="23"/>
      <c r="O93" s="23"/>
      <c r="P93" s="23"/>
      <c r="Q93" s="23"/>
      <c r="R93" s="23"/>
    </row>
    <row r="94" spans="1:18" ht="30" customHeight="1" x14ac:dyDescent="0.25">
      <c r="A94" s="22" t="s">
        <v>226</v>
      </c>
      <c r="B94" s="23"/>
      <c r="C94" s="23"/>
      <c r="D94" s="23"/>
      <c r="E94" s="23"/>
      <c r="F94" s="23"/>
      <c r="G94" s="23"/>
      <c r="H94" s="23"/>
      <c r="I94" s="23"/>
      <c r="J94" s="23"/>
      <c r="K94" s="23"/>
      <c r="L94" s="23"/>
      <c r="M94" s="23"/>
      <c r="N94" s="23"/>
      <c r="O94" s="23"/>
      <c r="P94" s="23"/>
      <c r="Q94" s="23"/>
      <c r="R94" s="23"/>
    </row>
    <row r="95" spans="1:18" ht="30" customHeight="1" x14ac:dyDescent="0.25">
      <c r="A95" s="22" t="s">
        <v>227</v>
      </c>
      <c r="B95" s="23"/>
      <c r="C95" s="23"/>
      <c r="D95" s="23"/>
      <c r="E95" s="23"/>
      <c r="F95" s="23"/>
      <c r="G95" s="23"/>
      <c r="H95" s="23"/>
      <c r="I95" s="23"/>
      <c r="J95" s="23"/>
      <c r="K95" s="23"/>
      <c r="L95" s="23"/>
      <c r="M95" s="23"/>
      <c r="N95" s="23"/>
      <c r="O95" s="23"/>
      <c r="P95" s="23"/>
      <c r="Q95" s="23"/>
      <c r="R95" s="23"/>
    </row>
    <row r="96" spans="1:18" ht="30" customHeight="1" x14ac:dyDescent="0.25">
      <c r="A96" s="22" t="s">
        <v>228</v>
      </c>
      <c r="B96" s="23"/>
      <c r="C96" s="23"/>
      <c r="D96" s="23"/>
      <c r="E96" s="23"/>
      <c r="F96" s="23"/>
      <c r="G96" s="23"/>
      <c r="H96" s="23"/>
      <c r="I96" s="23"/>
      <c r="J96" s="23"/>
      <c r="K96" s="23"/>
      <c r="L96" s="23"/>
      <c r="M96" s="23"/>
      <c r="N96" s="23"/>
      <c r="O96" s="23"/>
      <c r="P96" s="23"/>
      <c r="Q96" s="23"/>
      <c r="R96" s="23"/>
    </row>
  </sheetData>
  <mergeCells count="22">
    <mergeCell ref="O4:P4"/>
    <mergeCell ref="Q4:R4"/>
    <mergeCell ref="A1:R1"/>
    <mergeCell ref="A2:R2"/>
    <mergeCell ref="A84:R84"/>
    <mergeCell ref="E4:F4"/>
    <mergeCell ref="G4:H4"/>
    <mergeCell ref="I4:J4"/>
    <mergeCell ref="K4:L4"/>
    <mergeCell ref="M4:N4"/>
    <mergeCell ref="A85:R85"/>
    <mergeCell ref="A86:R86"/>
    <mergeCell ref="A87:R87"/>
    <mergeCell ref="A88:R88"/>
    <mergeCell ref="A89:R89"/>
    <mergeCell ref="A95:R95"/>
    <mergeCell ref="A96:R96"/>
    <mergeCell ref="A90:R90"/>
    <mergeCell ref="A91:R91"/>
    <mergeCell ref="A92:R92"/>
    <mergeCell ref="A93:R93"/>
    <mergeCell ref="A94:R94"/>
  </mergeCells>
  <pageMargins left="0.75" right="0.75" top="1" bottom="1" header="0.5" footer="0.5"/>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8"/>
  <dimension ref="A1:R96"/>
  <sheetViews>
    <sheetView zoomScale="80" workbookViewId="0">
      <pane xSplit="4" topLeftCell="E1" activePane="topRight" state="frozen"/>
      <selection sqref="A1:R1"/>
      <selection pane="topRight" sqref="A1:R1"/>
    </sheetView>
  </sheetViews>
  <sheetFormatPr defaultColWidth="11.42578125" defaultRowHeight="15" x14ac:dyDescent="0.25"/>
  <cols>
    <col min="1" max="1" width="50" customWidth="1"/>
  </cols>
  <sheetData>
    <row r="1" spans="1:18" x14ac:dyDescent="0.25">
      <c r="A1" s="26" t="s">
        <v>122</v>
      </c>
      <c r="B1" s="23"/>
      <c r="C1" s="23"/>
      <c r="D1" s="23"/>
      <c r="E1" s="23"/>
      <c r="F1" s="23"/>
      <c r="G1" s="23"/>
      <c r="H1" s="23"/>
      <c r="I1" s="23"/>
      <c r="J1" s="23"/>
      <c r="K1" s="23"/>
      <c r="L1" s="23"/>
      <c r="M1" s="23"/>
      <c r="N1" s="23"/>
      <c r="O1" s="23"/>
      <c r="P1" s="23"/>
      <c r="Q1" s="23"/>
      <c r="R1" s="23"/>
    </row>
    <row r="2" spans="1:18" x14ac:dyDescent="0.25">
      <c r="A2" s="27" t="s">
        <v>284</v>
      </c>
      <c r="B2" s="23"/>
      <c r="C2" s="23"/>
      <c r="D2" s="23"/>
      <c r="E2" s="23"/>
      <c r="F2" s="23"/>
      <c r="G2" s="23"/>
      <c r="H2" s="23"/>
      <c r="I2" s="23"/>
      <c r="J2" s="23"/>
      <c r="K2" s="23"/>
      <c r="L2" s="23"/>
      <c r="M2" s="23"/>
      <c r="N2" s="23"/>
      <c r="O2" s="23"/>
      <c r="P2" s="23"/>
      <c r="Q2" s="23"/>
      <c r="R2" s="23"/>
    </row>
    <row r="4" spans="1:18" ht="30" customHeight="1" x14ac:dyDescent="0.25">
      <c r="A4" s="4"/>
      <c r="B4" s="5" t="s">
        <v>123</v>
      </c>
      <c r="C4" s="5" t="s">
        <v>124</v>
      </c>
      <c r="D4" s="6" t="s">
        <v>123</v>
      </c>
      <c r="E4" s="24" t="s">
        <v>125</v>
      </c>
      <c r="F4" s="25"/>
      <c r="G4" s="24" t="s">
        <v>126</v>
      </c>
      <c r="H4" s="25"/>
      <c r="I4" s="24" t="s">
        <v>127</v>
      </c>
      <c r="J4" s="25"/>
      <c r="K4" s="24" t="s">
        <v>128</v>
      </c>
      <c r="L4" s="25"/>
      <c r="M4" s="24" t="s">
        <v>129</v>
      </c>
      <c r="N4" s="25"/>
      <c r="O4" s="24" t="s">
        <v>130</v>
      </c>
      <c r="P4" s="25"/>
      <c r="Q4" s="24" t="s">
        <v>131</v>
      </c>
      <c r="R4" s="25"/>
    </row>
    <row r="5" spans="1:18" x14ac:dyDescent="0.25">
      <c r="A5" s="7"/>
      <c r="B5" s="8" t="s">
        <v>132</v>
      </c>
      <c r="C5" s="8" t="s">
        <v>133</v>
      </c>
      <c r="D5" s="7" t="s">
        <v>134</v>
      </c>
      <c r="E5" s="8" t="s">
        <v>135</v>
      </c>
      <c r="F5" s="7" t="s">
        <v>136</v>
      </c>
      <c r="G5" s="8" t="s">
        <v>135</v>
      </c>
      <c r="H5" s="7" t="s">
        <v>136</v>
      </c>
      <c r="I5" s="8" t="s">
        <v>135</v>
      </c>
      <c r="J5" s="7" t="s">
        <v>136</v>
      </c>
      <c r="K5" s="8" t="s">
        <v>135</v>
      </c>
      <c r="L5" s="7" t="s">
        <v>136</v>
      </c>
      <c r="M5" s="8" t="s">
        <v>135</v>
      </c>
      <c r="N5" s="7" t="s">
        <v>136</v>
      </c>
      <c r="O5" s="8" t="s">
        <v>135</v>
      </c>
      <c r="P5" s="7" t="s">
        <v>136</v>
      </c>
      <c r="Q5" s="8" t="s">
        <v>135</v>
      </c>
      <c r="R5" s="7" t="s">
        <v>136</v>
      </c>
    </row>
    <row r="6" spans="1:18" x14ac:dyDescent="0.25">
      <c r="A6" s="9" t="s">
        <v>137</v>
      </c>
      <c r="B6" s="10"/>
      <c r="C6" s="10"/>
      <c r="D6" s="11"/>
      <c r="E6" s="10"/>
      <c r="F6" s="11"/>
      <c r="G6" s="10"/>
      <c r="H6" s="11"/>
      <c r="I6" s="10"/>
      <c r="J6" s="11"/>
      <c r="K6" s="10"/>
      <c r="L6" s="11"/>
      <c r="M6" s="10"/>
      <c r="N6" s="11"/>
      <c r="O6" s="10"/>
      <c r="P6" s="11"/>
      <c r="Q6" s="10"/>
      <c r="R6" s="12"/>
    </row>
    <row r="7" spans="1:18" x14ac:dyDescent="0.25">
      <c r="A7" s="11" t="s">
        <v>138</v>
      </c>
      <c r="B7" s="13">
        <v>14530</v>
      </c>
      <c r="C7" s="14">
        <f>(12103/B7*100)</f>
        <v>83.296627666896072</v>
      </c>
      <c r="D7" s="15">
        <v>2427</v>
      </c>
      <c r="E7" s="14">
        <v>55.837451590000001</v>
      </c>
      <c r="F7" s="16">
        <v>1.1748404800000001</v>
      </c>
      <c r="G7" s="14">
        <v>44.162548409999999</v>
      </c>
      <c r="H7" s="16">
        <v>1.1748404800000001</v>
      </c>
      <c r="I7" s="14" t="s">
        <v>139</v>
      </c>
      <c r="J7" s="16" t="s">
        <v>139</v>
      </c>
      <c r="K7" s="14">
        <v>0</v>
      </c>
      <c r="L7" s="16">
        <v>0</v>
      </c>
      <c r="M7" s="14">
        <v>0</v>
      </c>
      <c r="N7" s="16">
        <v>0</v>
      </c>
      <c r="O7" s="14">
        <v>0</v>
      </c>
      <c r="P7" s="16">
        <v>0</v>
      </c>
      <c r="Q7" s="14">
        <v>0</v>
      </c>
      <c r="R7" s="16">
        <v>0</v>
      </c>
    </row>
    <row r="8" spans="1:18" x14ac:dyDescent="0.25">
      <c r="A8" s="11" t="s">
        <v>140</v>
      </c>
      <c r="B8" s="13">
        <v>7007</v>
      </c>
      <c r="C8" s="14">
        <f>(5812/B8*100)</f>
        <v>82.94562580276866</v>
      </c>
      <c r="D8" s="15">
        <v>1195</v>
      </c>
      <c r="E8" s="14">
        <v>75.596004280000002</v>
      </c>
      <c r="F8" s="16">
        <v>1.37193053</v>
      </c>
      <c r="G8" s="14">
        <v>24.403995720000001</v>
      </c>
      <c r="H8" s="16">
        <v>1.37193053</v>
      </c>
      <c r="I8" s="14" t="s">
        <v>139</v>
      </c>
      <c r="J8" s="16" t="s">
        <v>139</v>
      </c>
      <c r="K8" s="14">
        <v>0</v>
      </c>
      <c r="L8" s="16">
        <v>0</v>
      </c>
      <c r="M8" s="14">
        <v>0</v>
      </c>
      <c r="N8" s="16">
        <v>0</v>
      </c>
      <c r="O8" s="14">
        <v>0</v>
      </c>
      <c r="P8" s="16">
        <v>0</v>
      </c>
      <c r="Q8" s="14">
        <v>0</v>
      </c>
      <c r="R8" s="16">
        <v>0</v>
      </c>
    </row>
    <row r="9" spans="1:18" x14ac:dyDescent="0.25">
      <c r="A9" s="11" t="s">
        <v>141</v>
      </c>
      <c r="B9" s="13">
        <v>9651</v>
      </c>
      <c r="C9" s="14">
        <f>(8044/B9*100)</f>
        <v>83.34887576416952</v>
      </c>
      <c r="D9" s="15">
        <v>1607</v>
      </c>
      <c r="E9" s="14">
        <v>76.964112999999998</v>
      </c>
      <c r="F9" s="16">
        <v>1.04260409</v>
      </c>
      <c r="G9" s="14">
        <v>23.035886999999999</v>
      </c>
      <c r="H9" s="16">
        <v>1.04260409</v>
      </c>
      <c r="I9" s="14" t="s">
        <v>139</v>
      </c>
      <c r="J9" s="16" t="s">
        <v>139</v>
      </c>
      <c r="K9" s="14">
        <v>0</v>
      </c>
      <c r="L9" s="16">
        <v>0</v>
      </c>
      <c r="M9" s="14">
        <v>0</v>
      </c>
      <c r="N9" s="16">
        <v>0</v>
      </c>
      <c r="O9" s="14">
        <v>0</v>
      </c>
      <c r="P9" s="16">
        <v>0</v>
      </c>
      <c r="Q9" s="14">
        <v>0</v>
      </c>
      <c r="R9" s="16">
        <v>0</v>
      </c>
    </row>
    <row r="10" spans="1:18" x14ac:dyDescent="0.25">
      <c r="A10" s="11" t="s">
        <v>142</v>
      </c>
      <c r="B10" s="13">
        <v>20058</v>
      </c>
      <c r="C10" s="14">
        <f>(16638/B10*100)</f>
        <v>82.949446604845946</v>
      </c>
      <c r="D10" s="15">
        <v>3420</v>
      </c>
      <c r="E10" s="14">
        <v>61.322567960000001</v>
      </c>
      <c r="F10" s="16">
        <v>1.20181348</v>
      </c>
      <c r="G10" s="14">
        <v>38.677432039999999</v>
      </c>
      <c r="H10" s="16">
        <v>1.20181348</v>
      </c>
      <c r="I10" s="14" t="s">
        <v>139</v>
      </c>
      <c r="J10" s="16" t="s">
        <v>139</v>
      </c>
      <c r="K10" s="14">
        <v>0</v>
      </c>
      <c r="L10" s="16">
        <v>0</v>
      </c>
      <c r="M10" s="14">
        <v>0</v>
      </c>
      <c r="N10" s="16">
        <v>0</v>
      </c>
      <c r="O10" s="14">
        <v>0</v>
      </c>
      <c r="P10" s="16">
        <v>0</v>
      </c>
      <c r="Q10" s="14">
        <v>0</v>
      </c>
      <c r="R10" s="16">
        <v>0</v>
      </c>
    </row>
    <row r="11" spans="1:18" x14ac:dyDescent="0.25">
      <c r="A11" s="11" t="s">
        <v>143</v>
      </c>
      <c r="B11" s="13">
        <v>7053</v>
      </c>
      <c r="C11" s="14">
        <f>(5851/B11*100)</f>
        <v>82.957606692187724</v>
      </c>
      <c r="D11" s="15">
        <v>1202</v>
      </c>
      <c r="E11" s="14">
        <v>81.975933810000001</v>
      </c>
      <c r="F11" s="16">
        <v>1.33718132</v>
      </c>
      <c r="G11" s="14">
        <v>18.024066189999999</v>
      </c>
      <c r="H11" s="16">
        <v>1.33718132</v>
      </c>
      <c r="I11" s="14" t="s">
        <v>139</v>
      </c>
      <c r="J11" s="16" t="s">
        <v>139</v>
      </c>
      <c r="K11" s="14">
        <v>0</v>
      </c>
      <c r="L11" s="16">
        <v>0</v>
      </c>
      <c r="M11" s="14">
        <v>0</v>
      </c>
      <c r="N11" s="16">
        <v>0</v>
      </c>
      <c r="O11" s="14">
        <v>0</v>
      </c>
      <c r="P11" s="16">
        <v>0</v>
      </c>
      <c r="Q11" s="14">
        <v>0</v>
      </c>
      <c r="R11" s="16">
        <v>0</v>
      </c>
    </row>
    <row r="12" spans="1:18" x14ac:dyDescent="0.25">
      <c r="A12" s="11" t="s">
        <v>144</v>
      </c>
      <c r="B12" s="13">
        <v>6894</v>
      </c>
      <c r="C12" s="14">
        <f>(5720/B12*100)</f>
        <v>82.970699158688717</v>
      </c>
      <c r="D12" s="15">
        <v>1174</v>
      </c>
      <c r="E12" s="14">
        <v>83.145160500000003</v>
      </c>
      <c r="F12" s="16">
        <v>1.2043776799999999</v>
      </c>
      <c r="G12" s="14">
        <v>16.854839500000001</v>
      </c>
      <c r="H12" s="16">
        <v>1.2043776799999999</v>
      </c>
      <c r="I12" s="14" t="s">
        <v>139</v>
      </c>
      <c r="J12" s="16" t="s">
        <v>139</v>
      </c>
      <c r="K12" s="14">
        <v>0</v>
      </c>
      <c r="L12" s="16">
        <v>0</v>
      </c>
      <c r="M12" s="14">
        <v>0</v>
      </c>
      <c r="N12" s="16">
        <v>0</v>
      </c>
      <c r="O12" s="14">
        <v>0</v>
      </c>
      <c r="P12" s="16">
        <v>0</v>
      </c>
      <c r="Q12" s="14">
        <v>0</v>
      </c>
      <c r="R12" s="16">
        <v>0</v>
      </c>
    </row>
    <row r="13" spans="1:18" x14ac:dyDescent="0.25">
      <c r="A13" s="11" t="s">
        <v>145</v>
      </c>
      <c r="B13" s="13">
        <v>7161</v>
      </c>
      <c r="C13" s="14">
        <f>(6008/B13*100)</f>
        <v>83.898896802122607</v>
      </c>
      <c r="D13" s="15">
        <v>1153</v>
      </c>
      <c r="E13" s="14">
        <v>67.35961623</v>
      </c>
      <c r="F13" s="16">
        <v>1.74884979</v>
      </c>
      <c r="G13" s="14">
        <v>32.64038377</v>
      </c>
      <c r="H13" s="16">
        <v>1.74884979</v>
      </c>
      <c r="I13" s="14" t="s">
        <v>139</v>
      </c>
      <c r="J13" s="16" t="s">
        <v>139</v>
      </c>
      <c r="K13" s="14">
        <v>0</v>
      </c>
      <c r="L13" s="16">
        <v>0</v>
      </c>
      <c r="M13" s="14">
        <v>0</v>
      </c>
      <c r="N13" s="16">
        <v>0</v>
      </c>
      <c r="O13" s="14">
        <v>0</v>
      </c>
      <c r="P13" s="16">
        <v>0</v>
      </c>
      <c r="Q13" s="14">
        <v>0</v>
      </c>
      <c r="R13" s="16">
        <v>0</v>
      </c>
    </row>
    <row r="14" spans="1:18" x14ac:dyDescent="0.25">
      <c r="A14" s="11" t="s">
        <v>146</v>
      </c>
      <c r="B14" s="13">
        <v>5587</v>
      </c>
      <c r="C14" s="14">
        <f>(4631/B14*100)</f>
        <v>82.888849114014675</v>
      </c>
      <c r="D14" s="15">
        <v>956</v>
      </c>
      <c r="E14" s="14">
        <v>76.963468340000006</v>
      </c>
      <c r="F14" s="16">
        <v>1.7899757199999999</v>
      </c>
      <c r="G14" s="14">
        <v>23.036531660000001</v>
      </c>
      <c r="H14" s="16">
        <v>1.7899757199999999</v>
      </c>
      <c r="I14" s="14" t="s">
        <v>139</v>
      </c>
      <c r="J14" s="16" t="s">
        <v>139</v>
      </c>
      <c r="K14" s="14">
        <v>0</v>
      </c>
      <c r="L14" s="16">
        <v>0</v>
      </c>
      <c r="M14" s="14">
        <v>0</v>
      </c>
      <c r="N14" s="16">
        <v>0</v>
      </c>
      <c r="O14" s="14">
        <v>0</v>
      </c>
      <c r="P14" s="16">
        <v>0</v>
      </c>
      <c r="Q14" s="14">
        <v>0</v>
      </c>
      <c r="R14" s="16">
        <v>0</v>
      </c>
    </row>
    <row r="15" spans="1:18" x14ac:dyDescent="0.25">
      <c r="A15" s="11" t="s">
        <v>147</v>
      </c>
      <c r="B15" s="13">
        <v>5882</v>
      </c>
      <c r="C15" s="14">
        <f>(4867/B15*100)</f>
        <v>82.743964637878278</v>
      </c>
      <c r="D15" s="15">
        <v>1015</v>
      </c>
      <c r="E15" s="14">
        <v>70.49915215</v>
      </c>
      <c r="F15" s="16">
        <v>1.46831701</v>
      </c>
      <c r="G15" s="14">
        <v>29.50084785</v>
      </c>
      <c r="H15" s="16">
        <v>1.46831701</v>
      </c>
      <c r="I15" s="14" t="s">
        <v>139</v>
      </c>
      <c r="J15" s="16" t="s">
        <v>139</v>
      </c>
      <c r="K15" s="14">
        <v>0</v>
      </c>
      <c r="L15" s="16">
        <v>0</v>
      </c>
      <c r="M15" s="14">
        <v>0</v>
      </c>
      <c r="N15" s="16">
        <v>0</v>
      </c>
      <c r="O15" s="14">
        <v>0</v>
      </c>
      <c r="P15" s="16">
        <v>0</v>
      </c>
      <c r="Q15" s="14">
        <v>0</v>
      </c>
      <c r="R15" s="16">
        <v>0</v>
      </c>
    </row>
    <row r="16" spans="1:18" x14ac:dyDescent="0.25">
      <c r="A16" s="11" t="s">
        <v>148</v>
      </c>
      <c r="B16" s="13">
        <v>6108</v>
      </c>
      <c r="C16" s="14">
        <f>(5047/B16*100)</f>
        <v>82.629338572364105</v>
      </c>
      <c r="D16" s="15">
        <v>1061</v>
      </c>
      <c r="E16" s="14">
        <v>74.693470719999993</v>
      </c>
      <c r="F16" s="16">
        <v>1.31438134</v>
      </c>
      <c r="G16" s="14">
        <v>25.306529279999999</v>
      </c>
      <c r="H16" s="16">
        <v>1.31438134</v>
      </c>
      <c r="I16" s="14" t="s">
        <v>139</v>
      </c>
      <c r="J16" s="16" t="s">
        <v>139</v>
      </c>
      <c r="K16" s="14">
        <v>0</v>
      </c>
      <c r="L16" s="16">
        <v>0</v>
      </c>
      <c r="M16" s="14">
        <v>0</v>
      </c>
      <c r="N16" s="16">
        <v>0</v>
      </c>
      <c r="O16" s="14">
        <v>0</v>
      </c>
      <c r="P16" s="16">
        <v>0</v>
      </c>
      <c r="Q16" s="14">
        <v>0</v>
      </c>
      <c r="R16" s="16">
        <v>0</v>
      </c>
    </row>
    <row r="17" spans="1:18" x14ac:dyDescent="0.25">
      <c r="A17" s="11" t="s">
        <v>149</v>
      </c>
      <c r="B17" s="13">
        <v>6504</v>
      </c>
      <c r="C17" s="14">
        <f>(5401/B17*100)</f>
        <v>83.041205412054126</v>
      </c>
      <c r="D17" s="15">
        <v>1103</v>
      </c>
      <c r="E17" s="14">
        <v>77.703484110000005</v>
      </c>
      <c r="F17" s="16">
        <v>1.29027231</v>
      </c>
      <c r="G17" s="14">
        <v>22.296515889999998</v>
      </c>
      <c r="H17" s="16">
        <v>1.29027231</v>
      </c>
      <c r="I17" s="14" t="s">
        <v>139</v>
      </c>
      <c r="J17" s="16" t="s">
        <v>139</v>
      </c>
      <c r="K17" s="14">
        <v>0</v>
      </c>
      <c r="L17" s="16">
        <v>0</v>
      </c>
      <c r="M17" s="14">
        <v>0</v>
      </c>
      <c r="N17" s="16">
        <v>0</v>
      </c>
      <c r="O17" s="14">
        <v>0</v>
      </c>
      <c r="P17" s="16">
        <v>0</v>
      </c>
      <c r="Q17" s="14">
        <v>0</v>
      </c>
      <c r="R17" s="16">
        <v>0</v>
      </c>
    </row>
    <row r="18" spans="1:18" x14ac:dyDescent="0.25">
      <c r="A18" s="11" t="s">
        <v>150</v>
      </c>
      <c r="B18" s="13">
        <v>5532</v>
      </c>
      <c r="C18" s="14">
        <f>(4618/B18*100)</f>
        <v>83.477946493130872</v>
      </c>
      <c r="D18" s="15">
        <v>914</v>
      </c>
      <c r="E18" s="14">
        <v>76.900112210000003</v>
      </c>
      <c r="F18" s="16">
        <v>1.4205050100000001</v>
      </c>
      <c r="G18" s="14">
        <v>23.09988779</v>
      </c>
      <c r="H18" s="16">
        <v>1.4205050100000001</v>
      </c>
      <c r="I18" s="14" t="s">
        <v>139</v>
      </c>
      <c r="J18" s="16" t="s">
        <v>139</v>
      </c>
      <c r="K18" s="14">
        <v>0</v>
      </c>
      <c r="L18" s="16">
        <v>0</v>
      </c>
      <c r="M18" s="14">
        <v>0</v>
      </c>
      <c r="N18" s="16">
        <v>0</v>
      </c>
      <c r="O18" s="14">
        <v>0</v>
      </c>
      <c r="P18" s="16">
        <v>0</v>
      </c>
      <c r="Q18" s="14">
        <v>0</v>
      </c>
      <c r="R18" s="16">
        <v>0</v>
      </c>
    </row>
    <row r="19" spans="1:18" x14ac:dyDescent="0.25">
      <c r="A19" s="11" t="s">
        <v>151</v>
      </c>
      <c r="B19" s="13">
        <v>5658</v>
      </c>
      <c r="C19" s="14">
        <f>(4693/B19*100)</f>
        <v>82.944503358077057</v>
      </c>
      <c r="D19" s="15">
        <v>965</v>
      </c>
      <c r="E19" s="14">
        <v>70.552134010000003</v>
      </c>
      <c r="F19" s="16">
        <v>1.6178292599999999</v>
      </c>
      <c r="G19" s="14">
        <v>29.44786599</v>
      </c>
      <c r="H19" s="16">
        <v>1.6178292599999999</v>
      </c>
      <c r="I19" s="14" t="s">
        <v>139</v>
      </c>
      <c r="J19" s="16" t="s">
        <v>139</v>
      </c>
      <c r="K19" s="14">
        <v>0</v>
      </c>
      <c r="L19" s="16">
        <v>0</v>
      </c>
      <c r="M19" s="14">
        <v>0</v>
      </c>
      <c r="N19" s="16">
        <v>0</v>
      </c>
      <c r="O19" s="14">
        <v>0</v>
      </c>
      <c r="P19" s="16">
        <v>0</v>
      </c>
      <c r="Q19" s="14">
        <v>0</v>
      </c>
      <c r="R19" s="16">
        <v>0</v>
      </c>
    </row>
    <row r="20" spans="1:18" x14ac:dyDescent="0.25">
      <c r="A20" s="11" t="s">
        <v>152</v>
      </c>
      <c r="B20" s="13">
        <v>3371</v>
      </c>
      <c r="C20" s="14">
        <f>(2807/B20*100)</f>
        <v>83.26905962622368</v>
      </c>
      <c r="D20" s="15">
        <v>564</v>
      </c>
      <c r="E20" s="14">
        <v>68.773543970000006</v>
      </c>
      <c r="F20" s="16">
        <v>1.7770379199999999</v>
      </c>
      <c r="G20" s="14">
        <v>31.226456030000001</v>
      </c>
      <c r="H20" s="16">
        <v>1.7770379199999999</v>
      </c>
      <c r="I20" s="14" t="s">
        <v>139</v>
      </c>
      <c r="J20" s="16" t="s">
        <v>139</v>
      </c>
      <c r="K20" s="14">
        <v>0</v>
      </c>
      <c r="L20" s="16">
        <v>0</v>
      </c>
      <c r="M20" s="14">
        <v>0</v>
      </c>
      <c r="N20" s="16">
        <v>0</v>
      </c>
      <c r="O20" s="14">
        <v>0</v>
      </c>
      <c r="P20" s="16">
        <v>0</v>
      </c>
      <c r="Q20" s="14">
        <v>0</v>
      </c>
      <c r="R20" s="16">
        <v>0</v>
      </c>
    </row>
    <row r="21" spans="1:18" x14ac:dyDescent="0.25">
      <c r="A21" s="11" t="s">
        <v>153</v>
      </c>
      <c r="B21" s="17" t="s">
        <v>154</v>
      </c>
      <c r="C21" s="17" t="s">
        <v>154</v>
      </c>
      <c r="D21" s="18" t="s">
        <v>154</v>
      </c>
      <c r="E21" s="17" t="s">
        <v>154</v>
      </c>
      <c r="F21" s="18" t="s">
        <v>154</v>
      </c>
      <c r="G21" s="17" t="s">
        <v>154</v>
      </c>
      <c r="H21" s="18" t="s">
        <v>154</v>
      </c>
      <c r="I21" s="17" t="s">
        <v>154</v>
      </c>
      <c r="J21" s="18" t="s">
        <v>154</v>
      </c>
      <c r="K21" s="17" t="s">
        <v>154</v>
      </c>
      <c r="L21" s="18" t="s">
        <v>154</v>
      </c>
      <c r="M21" s="17" t="s">
        <v>154</v>
      </c>
      <c r="N21" s="18" t="s">
        <v>154</v>
      </c>
      <c r="O21" s="17" t="s">
        <v>154</v>
      </c>
      <c r="P21" s="18" t="s">
        <v>154</v>
      </c>
      <c r="Q21" s="17" t="s">
        <v>154</v>
      </c>
      <c r="R21" s="18" t="s">
        <v>154</v>
      </c>
    </row>
    <row r="22" spans="1:18" x14ac:dyDescent="0.25">
      <c r="A22" s="11" t="s">
        <v>155</v>
      </c>
      <c r="B22" s="13">
        <v>6598</v>
      </c>
      <c r="C22" s="14">
        <f>(5567/B22*100)</f>
        <v>84.374052743255533</v>
      </c>
      <c r="D22" s="15">
        <v>1031</v>
      </c>
      <c r="E22" s="14">
        <v>83.208451260000004</v>
      </c>
      <c r="F22" s="16">
        <v>1.11995668</v>
      </c>
      <c r="G22" s="14">
        <v>16.79154874</v>
      </c>
      <c r="H22" s="16">
        <v>1.11995668</v>
      </c>
      <c r="I22" s="14" t="s">
        <v>139</v>
      </c>
      <c r="J22" s="16" t="s">
        <v>139</v>
      </c>
      <c r="K22" s="14">
        <v>0</v>
      </c>
      <c r="L22" s="16">
        <v>0</v>
      </c>
      <c r="M22" s="14">
        <v>0</v>
      </c>
      <c r="N22" s="16">
        <v>0</v>
      </c>
      <c r="O22" s="14">
        <v>0</v>
      </c>
      <c r="P22" s="16">
        <v>0</v>
      </c>
      <c r="Q22" s="14">
        <v>0</v>
      </c>
      <c r="R22" s="16">
        <v>0</v>
      </c>
    </row>
    <row r="23" spans="1:18" x14ac:dyDescent="0.25">
      <c r="A23" s="11" t="s">
        <v>156</v>
      </c>
      <c r="B23" s="13">
        <v>11583</v>
      </c>
      <c r="C23" s="14">
        <f>(9592/B23*100)</f>
        <v>82.81101614434948</v>
      </c>
      <c r="D23" s="15">
        <v>1991</v>
      </c>
      <c r="E23" s="14">
        <v>76.988133950000005</v>
      </c>
      <c r="F23" s="16">
        <v>1.34563408</v>
      </c>
      <c r="G23" s="14">
        <v>23.011866049999998</v>
      </c>
      <c r="H23" s="16">
        <v>1.34563408</v>
      </c>
      <c r="I23" s="14" t="s">
        <v>139</v>
      </c>
      <c r="J23" s="16" t="s">
        <v>139</v>
      </c>
      <c r="K23" s="14">
        <v>0</v>
      </c>
      <c r="L23" s="16">
        <v>0</v>
      </c>
      <c r="M23" s="14">
        <v>0</v>
      </c>
      <c r="N23" s="16">
        <v>0</v>
      </c>
      <c r="O23" s="14">
        <v>0</v>
      </c>
      <c r="P23" s="16">
        <v>0</v>
      </c>
      <c r="Q23" s="14">
        <v>0</v>
      </c>
      <c r="R23" s="16">
        <v>0</v>
      </c>
    </row>
    <row r="24" spans="1:18" x14ac:dyDescent="0.25">
      <c r="A24" s="11" t="s">
        <v>157</v>
      </c>
      <c r="B24" s="13">
        <v>6647</v>
      </c>
      <c r="C24" s="14">
        <f>(5467/B24*100)</f>
        <v>82.247630510004512</v>
      </c>
      <c r="D24" s="15">
        <v>1180</v>
      </c>
      <c r="E24" s="14">
        <v>59.247710859999998</v>
      </c>
      <c r="F24" s="16">
        <v>1.47408389</v>
      </c>
      <c r="G24" s="14">
        <v>40.752289140000002</v>
      </c>
      <c r="H24" s="16">
        <v>1.47408389</v>
      </c>
      <c r="I24" s="14" t="s">
        <v>139</v>
      </c>
      <c r="J24" s="16" t="s">
        <v>139</v>
      </c>
      <c r="K24" s="14">
        <v>0</v>
      </c>
      <c r="L24" s="16">
        <v>0</v>
      </c>
      <c r="M24" s="14">
        <v>0</v>
      </c>
      <c r="N24" s="16">
        <v>0</v>
      </c>
      <c r="O24" s="14">
        <v>0</v>
      </c>
      <c r="P24" s="16">
        <v>0</v>
      </c>
      <c r="Q24" s="14">
        <v>0</v>
      </c>
      <c r="R24" s="16">
        <v>0</v>
      </c>
    </row>
    <row r="25" spans="1:18" x14ac:dyDescent="0.25">
      <c r="A25" s="11" t="s">
        <v>158</v>
      </c>
      <c r="B25" s="13">
        <v>5581</v>
      </c>
      <c r="C25" s="14">
        <f>(4597/B25*100)</f>
        <v>82.368751119870993</v>
      </c>
      <c r="D25" s="15">
        <v>984</v>
      </c>
      <c r="E25" s="14">
        <v>61.472927679999998</v>
      </c>
      <c r="F25" s="16">
        <v>1.65457287</v>
      </c>
      <c r="G25" s="14">
        <v>38.527072320000002</v>
      </c>
      <c r="H25" s="16">
        <v>1.65457287</v>
      </c>
      <c r="I25" s="14" t="s">
        <v>139</v>
      </c>
      <c r="J25" s="16" t="s">
        <v>139</v>
      </c>
      <c r="K25" s="14">
        <v>0</v>
      </c>
      <c r="L25" s="16">
        <v>0</v>
      </c>
      <c r="M25" s="14">
        <v>0</v>
      </c>
      <c r="N25" s="16">
        <v>0</v>
      </c>
      <c r="O25" s="14">
        <v>0</v>
      </c>
      <c r="P25" s="16">
        <v>0</v>
      </c>
      <c r="Q25" s="14">
        <v>0</v>
      </c>
      <c r="R25" s="16">
        <v>0</v>
      </c>
    </row>
    <row r="26" spans="1:18" x14ac:dyDescent="0.25">
      <c r="A26" s="11" t="s">
        <v>159</v>
      </c>
      <c r="B26" s="13">
        <v>4869</v>
      </c>
      <c r="C26" s="14">
        <f>(4032/B26*100)</f>
        <v>82.809611829944558</v>
      </c>
      <c r="D26" s="15">
        <v>837</v>
      </c>
      <c r="E26" s="14">
        <v>74.291653760000003</v>
      </c>
      <c r="F26" s="16">
        <v>1.7576962300000001</v>
      </c>
      <c r="G26" s="14">
        <v>25.708346240000001</v>
      </c>
      <c r="H26" s="16">
        <v>1.7576962300000001</v>
      </c>
      <c r="I26" s="14" t="s">
        <v>139</v>
      </c>
      <c r="J26" s="16" t="s">
        <v>139</v>
      </c>
      <c r="K26" s="14">
        <v>0</v>
      </c>
      <c r="L26" s="16">
        <v>0</v>
      </c>
      <c r="M26" s="14">
        <v>0</v>
      </c>
      <c r="N26" s="16">
        <v>0</v>
      </c>
      <c r="O26" s="14">
        <v>0</v>
      </c>
      <c r="P26" s="16">
        <v>0</v>
      </c>
      <c r="Q26" s="14">
        <v>0</v>
      </c>
      <c r="R26" s="16">
        <v>0</v>
      </c>
    </row>
    <row r="27" spans="1:18" x14ac:dyDescent="0.25">
      <c r="A27" s="11" t="s">
        <v>160</v>
      </c>
      <c r="B27" s="13">
        <v>5299</v>
      </c>
      <c r="C27" s="14">
        <f>(4397/B27*100)</f>
        <v>82.977920362332512</v>
      </c>
      <c r="D27" s="15">
        <v>902</v>
      </c>
      <c r="E27" s="14">
        <v>75.270801250000005</v>
      </c>
      <c r="F27" s="16">
        <v>1.4532358299999999</v>
      </c>
      <c r="G27" s="14">
        <v>24.729198749999998</v>
      </c>
      <c r="H27" s="16">
        <v>1.4532358299999999</v>
      </c>
      <c r="I27" s="14" t="s">
        <v>139</v>
      </c>
      <c r="J27" s="16" t="s">
        <v>139</v>
      </c>
      <c r="K27" s="14">
        <v>0</v>
      </c>
      <c r="L27" s="16">
        <v>0</v>
      </c>
      <c r="M27" s="14">
        <v>0</v>
      </c>
      <c r="N27" s="16">
        <v>0</v>
      </c>
      <c r="O27" s="14">
        <v>0</v>
      </c>
      <c r="P27" s="16">
        <v>0</v>
      </c>
      <c r="Q27" s="14">
        <v>0</v>
      </c>
      <c r="R27" s="16">
        <v>0</v>
      </c>
    </row>
    <row r="28" spans="1:18" x14ac:dyDescent="0.25">
      <c r="A28" s="11" t="s">
        <v>161</v>
      </c>
      <c r="B28" s="13">
        <v>7568</v>
      </c>
      <c r="C28" s="14">
        <f>(6322/B28*100)</f>
        <v>83.535940803382672</v>
      </c>
      <c r="D28" s="15">
        <v>1246</v>
      </c>
      <c r="E28" s="14">
        <v>75.85000651</v>
      </c>
      <c r="F28" s="16">
        <v>1.4162625200000001</v>
      </c>
      <c r="G28" s="14">
        <v>24.14999349</v>
      </c>
      <c r="H28" s="16">
        <v>1.4162625200000001</v>
      </c>
      <c r="I28" s="14" t="s">
        <v>139</v>
      </c>
      <c r="J28" s="16" t="s">
        <v>139</v>
      </c>
      <c r="K28" s="14">
        <v>0</v>
      </c>
      <c r="L28" s="16">
        <v>0</v>
      </c>
      <c r="M28" s="14">
        <v>0</v>
      </c>
      <c r="N28" s="16">
        <v>0</v>
      </c>
      <c r="O28" s="14">
        <v>0</v>
      </c>
      <c r="P28" s="16">
        <v>0</v>
      </c>
      <c r="Q28" s="14">
        <v>0</v>
      </c>
      <c r="R28" s="16">
        <v>0</v>
      </c>
    </row>
    <row r="29" spans="1:18" x14ac:dyDescent="0.25">
      <c r="A29" s="11" t="s">
        <v>162</v>
      </c>
      <c r="B29" s="13">
        <v>5385</v>
      </c>
      <c r="C29" s="14">
        <f>(4466/B29*100)</f>
        <v>82.934076137418757</v>
      </c>
      <c r="D29" s="15">
        <v>919</v>
      </c>
      <c r="E29" s="14">
        <v>72.492901219999993</v>
      </c>
      <c r="F29" s="16">
        <v>1.5960252100000001</v>
      </c>
      <c r="G29" s="14">
        <v>27.50709878</v>
      </c>
      <c r="H29" s="16">
        <v>1.5960252100000001</v>
      </c>
      <c r="I29" s="14" t="s">
        <v>139</v>
      </c>
      <c r="J29" s="16" t="s">
        <v>139</v>
      </c>
      <c r="K29" s="14">
        <v>0</v>
      </c>
      <c r="L29" s="16">
        <v>0</v>
      </c>
      <c r="M29" s="14">
        <v>0</v>
      </c>
      <c r="N29" s="16">
        <v>0</v>
      </c>
      <c r="O29" s="14">
        <v>0</v>
      </c>
      <c r="P29" s="16">
        <v>0</v>
      </c>
      <c r="Q29" s="14">
        <v>0</v>
      </c>
      <c r="R29" s="16">
        <v>0</v>
      </c>
    </row>
    <row r="30" spans="1:18" x14ac:dyDescent="0.25">
      <c r="A30" s="11" t="s">
        <v>163</v>
      </c>
      <c r="B30" s="13">
        <v>4520</v>
      </c>
      <c r="C30" s="14">
        <f>(3753/B30*100)</f>
        <v>83.030973451327441</v>
      </c>
      <c r="D30" s="15">
        <v>767</v>
      </c>
      <c r="E30" s="14">
        <v>57.168257820000001</v>
      </c>
      <c r="F30" s="16">
        <v>1.9379357800000001</v>
      </c>
      <c r="G30" s="14">
        <v>42.831742179999999</v>
      </c>
      <c r="H30" s="16">
        <v>1.9379357800000001</v>
      </c>
      <c r="I30" s="14" t="s">
        <v>139</v>
      </c>
      <c r="J30" s="16" t="s">
        <v>139</v>
      </c>
      <c r="K30" s="14">
        <v>0</v>
      </c>
      <c r="L30" s="16">
        <v>0</v>
      </c>
      <c r="M30" s="14">
        <v>0</v>
      </c>
      <c r="N30" s="16">
        <v>0</v>
      </c>
      <c r="O30" s="14">
        <v>0</v>
      </c>
      <c r="P30" s="16">
        <v>0</v>
      </c>
      <c r="Q30" s="14">
        <v>0</v>
      </c>
      <c r="R30" s="16">
        <v>0</v>
      </c>
    </row>
    <row r="31" spans="1:18" x14ac:dyDescent="0.25">
      <c r="A31" s="11" t="s">
        <v>164</v>
      </c>
      <c r="B31" s="13">
        <v>5456</v>
      </c>
      <c r="C31" s="14">
        <f>(4490/B31*100)</f>
        <v>82.294721407624635</v>
      </c>
      <c r="D31" s="15">
        <v>966</v>
      </c>
      <c r="E31" s="14">
        <v>69.643384979999993</v>
      </c>
      <c r="F31" s="16">
        <v>1.3830307100000001</v>
      </c>
      <c r="G31" s="14">
        <v>30.35661502</v>
      </c>
      <c r="H31" s="16">
        <v>1.3830307100000001</v>
      </c>
      <c r="I31" s="14" t="s">
        <v>139</v>
      </c>
      <c r="J31" s="16" t="s">
        <v>139</v>
      </c>
      <c r="K31" s="14">
        <v>0</v>
      </c>
      <c r="L31" s="16">
        <v>0</v>
      </c>
      <c r="M31" s="14">
        <v>0</v>
      </c>
      <c r="N31" s="16">
        <v>0</v>
      </c>
      <c r="O31" s="14">
        <v>0</v>
      </c>
      <c r="P31" s="16">
        <v>0</v>
      </c>
      <c r="Q31" s="14">
        <v>0</v>
      </c>
      <c r="R31" s="16">
        <v>0</v>
      </c>
    </row>
    <row r="32" spans="1:18" x14ac:dyDescent="0.25">
      <c r="A32" s="11" t="s">
        <v>165</v>
      </c>
      <c r="B32" s="17" t="s">
        <v>154</v>
      </c>
      <c r="C32" s="17" t="s">
        <v>154</v>
      </c>
      <c r="D32" s="18" t="s">
        <v>154</v>
      </c>
      <c r="E32" s="17" t="s">
        <v>154</v>
      </c>
      <c r="F32" s="18" t="s">
        <v>154</v>
      </c>
      <c r="G32" s="17" t="s">
        <v>154</v>
      </c>
      <c r="H32" s="18" t="s">
        <v>154</v>
      </c>
      <c r="I32" s="17" t="s">
        <v>154</v>
      </c>
      <c r="J32" s="18" t="s">
        <v>154</v>
      </c>
      <c r="K32" s="17" t="s">
        <v>154</v>
      </c>
      <c r="L32" s="18" t="s">
        <v>154</v>
      </c>
      <c r="M32" s="17" t="s">
        <v>154</v>
      </c>
      <c r="N32" s="18" t="s">
        <v>154</v>
      </c>
      <c r="O32" s="17" t="s">
        <v>154</v>
      </c>
      <c r="P32" s="18" t="s">
        <v>154</v>
      </c>
      <c r="Q32" s="17" t="s">
        <v>154</v>
      </c>
      <c r="R32" s="18" t="s">
        <v>154</v>
      </c>
    </row>
    <row r="33" spans="1:18" x14ac:dyDescent="0.25">
      <c r="A33" s="11" t="s">
        <v>166</v>
      </c>
      <c r="B33" s="13">
        <v>7325</v>
      </c>
      <c r="C33" s="14">
        <f>(6062/B33*100)</f>
        <v>82.757679180887365</v>
      </c>
      <c r="D33" s="15">
        <v>1263</v>
      </c>
      <c r="E33" s="14">
        <v>78.960088470000002</v>
      </c>
      <c r="F33" s="16">
        <v>1.21589101</v>
      </c>
      <c r="G33" s="14">
        <v>21.039911530000001</v>
      </c>
      <c r="H33" s="16">
        <v>1.21589101</v>
      </c>
      <c r="I33" s="14" t="s">
        <v>139</v>
      </c>
      <c r="J33" s="16" t="s">
        <v>139</v>
      </c>
      <c r="K33" s="14">
        <v>0</v>
      </c>
      <c r="L33" s="16">
        <v>0</v>
      </c>
      <c r="M33" s="14">
        <v>0</v>
      </c>
      <c r="N33" s="16">
        <v>0</v>
      </c>
      <c r="O33" s="14">
        <v>0</v>
      </c>
      <c r="P33" s="16">
        <v>0</v>
      </c>
      <c r="Q33" s="14">
        <v>0</v>
      </c>
      <c r="R33" s="16">
        <v>0</v>
      </c>
    </row>
    <row r="34" spans="1:18" x14ac:dyDescent="0.25">
      <c r="A34" s="11" t="s">
        <v>167</v>
      </c>
      <c r="B34" s="13">
        <v>6350</v>
      </c>
      <c r="C34" s="14">
        <f>(5302/B34*100)</f>
        <v>83.496062992125985</v>
      </c>
      <c r="D34" s="15">
        <v>1048</v>
      </c>
      <c r="E34" s="14">
        <v>77.788720139999995</v>
      </c>
      <c r="F34" s="16">
        <v>1.36379348</v>
      </c>
      <c r="G34" s="14">
        <v>22.211279860000001</v>
      </c>
      <c r="H34" s="16">
        <v>1.36379348</v>
      </c>
      <c r="I34" s="14" t="s">
        <v>139</v>
      </c>
      <c r="J34" s="16" t="s">
        <v>139</v>
      </c>
      <c r="K34" s="14">
        <v>0</v>
      </c>
      <c r="L34" s="16">
        <v>0</v>
      </c>
      <c r="M34" s="14">
        <v>0</v>
      </c>
      <c r="N34" s="16">
        <v>0</v>
      </c>
      <c r="O34" s="14">
        <v>0</v>
      </c>
      <c r="P34" s="16">
        <v>0</v>
      </c>
      <c r="Q34" s="14">
        <v>0</v>
      </c>
      <c r="R34" s="16">
        <v>0</v>
      </c>
    </row>
    <row r="35" spans="1:18" x14ac:dyDescent="0.25">
      <c r="A35" s="11" t="s">
        <v>168</v>
      </c>
      <c r="B35" s="13">
        <v>6406</v>
      </c>
      <c r="C35" s="14">
        <f>(5326/B35*100)</f>
        <v>83.140805494848578</v>
      </c>
      <c r="D35" s="15">
        <v>1080</v>
      </c>
      <c r="E35" s="14">
        <v>70.113847939999999</v>
      </c>
      <c r="F35" s="16">
        <v>1.7434529000000001</v>
      </c>
      <c r="G35" s="14">
        <v>29.886152060000001</v>
      </c>
      <c r="H35" s="16">
        <v>1.7434529000000001</v>
      </c>
      <c r="I35" s="14" t="s">
        <v>139</v>
      </c>
      <c r="J35" s="16" t="s">
        <v>139</v>
      </c>
      <c r="K35" s="14">
        <v>0</v>
      </c>
      <c r="L35" s="16">
        <v>0</v>
      </c>
      <c r="M35" s="14">
        <v>0</v>
      </c>
      <c r="N35" s="16">
        <v>0</v>
      </c>
      <c r="O35" s="14">
        <v>0</v>
      </c>
      <c r="P35" s="16">
        <v>0</v>
      </c>
      <c r="Q35" s="14">
        <v>0</v>
      </c>
      <c r="R35" s="16">
        <v>0</v>
      </c>
    </row>
    <row r="36" spans="1:18" x14ac:dyDescent="0.25">
      <c r="A36" s="11" t="s">
        <v>169</v>
      </c>
      <c r="B36" s="13">
        <v>6736</v>
      </c>
      <c r="C36" s="14">
        <f>(5591/B36*100)</f>
        <v>83.001781472684087</v>
      </c>
      <c r="D36" s="15">
        <v>1145</v>
      </c>
      <c r="E36" s="14">
        <v>82.113486179999995</v>
      </c>
      <c r="F36" s="16">
        <v>1.3159205</v>
      </c>
      <c r="G36" s="14">
        <v>17.886513820000001</v>
      </c>
      <c r="H36" s="16">
        <v>1.3159205</v>
      </c>
      <c r="I36" s="14" t="s">
        <v>139</v>
      </c>
      <c r="J36" s="16" t="s">
        <v>139</v>
      </c>
      <c r="K36" s="14">
        <v>0</v>
      </c>
      <c r="L36" s="16">
        <v>0</v>
      </c>
      <c r="M36" s="14">
        <v>0</v>
      </c>
      <c r="N36" s="16">
        <v>0</v>
      </c>
      <c r="O36" s="14">
        <v>0</v>
      </c>
      <c r="P36" s="16">
        <v>0</v>
      </c>
      <c r="Q36" s="14">
        <v>0</v>
      </c>
      <c r="R36" s="16">
        <v>0</v>
      </c>
    </row>
    <row r="37" spans="1:18" x14ac:dyDescent="0.25">
      <c r="A37" s="11" t="s">
        <v>170</v>
      </c>
      <c r="B37" s="13">
        <v>5458</v>
      </c>
      <c r="C37" s="14">
        <f>(4522/B37*100)</f>
        <v>82.850861121289853</v>
      </c>
      <c r="D37" s="15">
        <v>936</v>
      </c>
      <c r="E37" s="14">
        <v>74.236543830000002</v>
      </c>
      <c r="F37" s="16">
        <v>1.42091718</v>
      </c>
      <c r="G37" s="14">
        <v>25.763456170000001</v>
      </c>
      <c r="H37" s="16">
        <v>1.42091718</v>
      </c>
      <c r="I37" s="14" t="s">
        <v>139</v>
      </c>
      <c r="J37" s="16" t="s">
        <v>139</v>
      </c>
      <c r="K37" s="14">
        <v>0</v>
      </c>
      <c r="L37" s="16">
        <v>0</v>
      </c>
      <c r="M37" s="14">
        <v>0</v>
      </c>
      <c r="N37" s="16">
        <v>0</v>
      </c>
      <c r="O37" s="14">
        <v>0</v>
      </c>
      <c r="P37" s="16">
        <v>0</v>
      </c>
      <c r="Q37" s="14">
        <v>0</v>
      </c>
      <c r="R37" s="16">
        <v>0</v>
      </c>
    </row>
    <row r="38" spans="1:18" x14ac:dyDescent="0.25">
      <c r="A38" s="11" t="s">
        <v>171</v>
      </c>
      <c r="B38" s="17" t="s">
        <v>154</v>
      </c>
      <c r="C38" s="17" t="s">
        <v>154</v>
      </c>
      <c r="D38" s="18" t="s">
        <v>154</v>
      </c>
      <c r="E38" s="17" t="s">
        <v>154</v>
      </c>
      <c r="F38" s="18" t="s">
        <v>154</v>
      </c>
      <c r="G38" s="17" t="s">
        <v>154</v>
      </c>
      <c r="H38" s="18" t="s">
        <v>154</v>
      </c>
      <c r="I38" s="17" t="s">
        <v>154</v>
      </c>
      <c r="J38" s="18" t="s">
        <v>154</v>
      </c>
      <c r="K38" s="17" t="s">
        <v>154</v>
      </c>
      <c r="L38" s="18" t="s">
        <v>154</v>
      </c>
      <c r="M38" s="17" t="s">
        <v>154</v>
      </c>
      <c r="N38" s="18" t="s">
        <v>154</v>
      </c>
      <c r="O38" s="17" t="s">
        <v>154</v>
      </c>
      <c r="P38" s="18" t="s">
        <v>154</v>
      </c>
      <c r="Q38" s="17" t="s">
        <v>154</v>
      </c>
      <c r="R38" s="18" t="s">
        <v>154</v>
      </c>
    </row>
    <row r="39" spans="1:18" x14ac:dyDescent="0.25">
      <c r="A39" s="11" t="s">
        <v>172</v>
      </c>
      <c r="B39" s="13">
        <v>5895</v>
      </c>
      <c r="C39" s="14">
        <f>(4865/B39*100)</f>
        <v>82.527565733672603</v>
      </c>
      <c r="D39" s="15">
        <v>1030</v>
      </c>
      <c r="E39" s="14">
        <v>68.715882550000003</v>
      </c>
      <c r="F39" s="16">
        <v>1.58664619</v>
      </c>
      <c r="G39" s="14">
        <v>31.28411745</v>
      </c>
      <c r="H39" s="16">
        <v>1.58664619</v>
      </c>
      <c r="I39" s="14" t="s">
        <v>139</v>
      </c>
      <c r="J39" s="16" t="s">
        <v>139</v>
      </c>
      <c r="K39" s="14">
        <v>0</v>
      </c>
      <c r="L39" s="16">
        <v>0</v>
      </c>
      <c r="M39" s="14">
        <v>0</v>
      </c>
      <c r="N39" s="16">
        <v>0</v>
      </c>
      <c r="O39" s="14">
        <v>0</v>
      </c>
      <c r="P39" s="16">
        <v>0</v>
      </c>
      <c r="Q39" s="14">
        <v>0</v>
      </c>
      <c r="R39" s="16">
        <v>0</v>
      </c>
    </row>
    <row r="40" spans="1:18" x14ac:dyDescent="0.25">
      <c r="A40" s="11" t="s">
        <v>173</v>
      </c>
      <c r="B40" s="13">
        <v>14157</v>
      </c>
      <c r="C40" s="14">
        <f>(11676/B40*100)</f>
        <v>82.475100656918841</v>
      </c>
      <c r="D40" s="15">
        <v>2481</v>
      </c>
      <c r="E40" s="14">
        <v>63.402957460000003</v>
      </c>
      <c r="F40" s="16">
        <v>1.4470667399999999</v>
      </c>
      <c r="G40" s="14">
        <v>36.597042539999997</v>
      </c>
      <c r="H40" s="16">
        <v>1.4470667399999999</v>
      </c>
      <c r="I40" s="14" t="s">
        <v>139</v>
      </c>
      <c r="J40" s="16" t="s">
        <v>139</v>
      </c>
      <c r="K40" s="14">
        <v>0</v>
      </c>
      <c r="L40" s="16">
        <v>0</v>
      </c>
      <c r="M40" s="14">
        <v>0</v>
      </c>
      <c r="N40" s="16">
        <v>0</v>
      </c>
      <c r="O40" s="14">
        <v>0</v>
      </c>
      <c r="P40" s="16">
        <v>0</v>
      </c>
      <c r="Q40" s="14">
        <v>0</v>
      </c>
      <c r="R40" s="16">
        <v>0</v>
      </c>
    </row>
    <row r="41" spans="1:18" x14ac:dyDescent="0.25">
      <c r="A41" s="11" t="s">
        <v>174</v>
      </c>
      <c r="B41" s="13">
        <v>5712</v>
      </c>
      <c r="C41" s="14">
        <f>(4753/B41*100)</f>
        <v>83.210784313725497</v>
      </c>
      <c r="D41" s="15">
        <v>959</v>
      </c>
      <c r="E41" s="14">
        <v>59.150520190000002</v>
      </c>
      <c r="F41" s="16">
        <v>1.7461155799999999</v>
      </c>
      <c r="G41" s="14">
        <v>40.849479809999998</v>
      </c>
      <c r="H41" s="16">
        <v>1.7461155799999999</v>
      </c>
      <c r="I41" s="14" t="s">
        <v>139</v>
      </c>
      <c r="J41" s="16" t="s">
        <v>139</v>
      </c>
      <c r="K41" s="14">
        <v>0</v>
      </c>
      <c r="L41" s="16">
        <v>0</v>
      </c>
      <c r="M41" s="14">
        <v>0</v>
      </c>
      <c r="N41" s="16">
        <v>0</v>
      </c>
      <c r="O41" s="14">
        <v>0</v>
      </c>
      <c r="P41" s="16">
        <v>0</v>
      </c>
      <c r="Q41" s="14">
        <v>0</v>
      </c>
      <c r="R41" s="16">
        <v>0</v>
      </c>
    </row>
    <row r="42" spans="1:18" x14ac:dyDescent="0.25">
      <c r="A42" s="11" t="s">
        <v>175</v>
      </c>
      <c r="B42" s="13">
        <f>IF(COUNT(B7:B41) &gt; 0, AVERAGE(B7:B41), "\u2014")</f>
        <v>7266.90625</v>
      </c>
      <c r="C42" s="14">
        <f>IF(COUNT(C7:C41) &gt; 0, AVERAGE(C7:C41), "—")</f>
        <v>83.006499411908919</v>
      </c>
      <c r="D42" s="15">
        <f>IF(COUNT(D7:D41) &gt; 0, AVERAGE(D7:D41), "—")</f>
        <v>1235.03125</v>
      </c>
      <c r="E42" s="14">
        <f>IF(COUNT(E7:E41) &gt; 0, AVERAGE(E7:E41), "—")</f>
        <v>71.825077779062482</v>
      </c>
      <c r="F42" s="16">
        <f>IF(COUNT(F7:F41) &gt; 0, SQRT(SUMSQ(F7:F41)/(COUNT(F7:F41)*COUNT(F7:F41)) ), "—")</f>
        <v>0.26112682550342708</v>
      </c>
      <c r="G42" s="14">
        <f>IF(COUNT(G7:G41) &gt; 0, AVERAGE(G7:G41), "—")</f>
        <v>28.174922220937507</v>
      </c>
      <c r="H42" s="16">
        <f>IF(COUNT(H7:H41) &gt; 0, SQRT(SUMSQ(H7:H41)/(COUNT(H7:H41)*COUNT(H7:H41)) ), "—")</f>
        <v>0.26112682550342708</v>
      </c>
      <c r="I42" s="14" t="str">
        <f>IF(COUNT(I7:I41) &gt; 0, AVERAGE(I7:I41), "—")</f>
        <v>—</v>
      </c>
      <c r="J42" s="16" t="str">
        <f>IF(COUNT(J7:J41) &gt; 0, SQRT(SUMSQ(J7:J41)/(COUNT(J7:J41)*COUNT(J7:J41)) ), "—")</f>
        <v>—</v>
      </c>
      <c r="K42" s="14">
        <f>IF(COUNT(K7:K41) &gt; 0, AVERAGE(K7:K41), "—")</f>
        <v>0</v>
      </c>
      <c r="L42" s="16">
        <f>IF(COUNT(L7:L41) &gt; 0, SQRT(SUMSQ(L7:L41)/(COUNT(L7:L41)*COUNT(L7:L41)) ), "—")</f>
        <v>0</v>
      </c>
      <c r="M42" s="14">
        <f>IF(COUNT(M7:M41) &gt; 0, AVERAGE(M7:M41), "—")</f>
        <v>0</v>
      </c>
      <c r="N42" s="16">
        <f>IF(COUNT(N7:N41) &gt; 0, SQRT(SUMSQ(N7:N41)/(COUNT(N7:N41)*COUNT(N7:N41)) ), "—")</f>
        <v>0</v>
      </c>
      <c r="O42" s="14">
        <f>IF(COUNT(O7:O41) &gt; 0, AVERAGE(O7:O41), "—")</f>
        <v>0</v>
      </c>
      <c r="P42" s="16">
        <f>IF(COUNT(P7:P41) &gt; 0, SQRT(SUMSQ(P7:P41)/(COUNT(P7:P41)*COUNT(P7:P41)) ), "—")</f>
        <v>0</v>
      </c>
      <c r="Q42" s="14">
        <f>IF(COUNT(Q7:Q41) &gt; 0, AVERAGE(Q7:Q41), "—")</f>
        <v>0</v>
      </c>
      <c r="R42" s="16">
        <f>IF(COUNT(R7:R41) &gt; 0, SQRT(SUMSQ(R7:R41)/(COUNT(R7:R41)*COUNT(R7:R41)) ), "—")</f>
        <v>0</v>
      </c>
    </row>
    <row r="43" spans="1:18" x14ac:dyDescent="0.25">
      <c r="A43" s="9" t="s">
        <v>176</v>
      </c>
      <c r="B43" s="10"/>
      <c r="C43" s="10"/>
      <c r="D43" s="11"/>
      <c r="E43" s="10"/>
      <c r="F43" s="11"/>
      <c r="G43" s="10"/>
      <c r="H43" s="11"/>
      <c r="I43" s="10"/>
      <c r="J43" s="11"/>
      <c r="K43" s="10"/>
      <c r="L43" s="11"/>
      <c r="M43" s="10"/>
      <c r="N43" s="11"/>
      <c r="O43" s="10"/>
      <c r="P43" s="11"/>
      <c r="Q43" s="10"/>
      <c r="R43" s="12"/>
    </row>
    <row r="44" spans="1:18" x14ac:dyDescent="0.25">
      <c r="A44" s="11" t="s">
        <v>177</v>
      </c>
      <c r="B44" s="17" t="s">
        <v>154</v>
      </c>
      <c r="C44" s="17" t="s">
        <v>154</v>
      </c>
      <c r="D44" s="18" t="s">
        <v>154</v>
      </c>
      <c r="E44" s="17" t="s">
        <v>154</v>
      </c>
      <c r="F44" s="18" t="s">
        <v>154</v>
      </c>
      <c r="G44" s="17" t="s">
        <v>154</v>
      </c>
      <c r="H44" s="18" t="s">
        <v>154</v>
      </c>
      <c r="I44" s="17" t="s">
        <v>154</v>
      </c>
      <c r="J44" s="18" t="s">
        <v>154</v>
      </c>
      <c r="K44" s="17" t="s">
        <v>154</v>
      </c>
      <c r="L44" s="18" t="s">
        <v>154</v>
      </c>
      <c r="M44" s="17" t="s">
        <v>154</v>
      </c>
      <c r="N44" s="18" t="s">
        <v>154</v>
      </c>
      <c r="O44" s="17" t="s">
        <v>154</v>
      </c>
      <c r="P44" s="18" t="s">
        <v>154</v>
      </c>
      <c r="Q44" s="17" t="s">
        <v>154</v>
      </c>
      <c r="R44" s="18" t="s">
        <v>154</v>
      </c>
    </row>
    <row r="45" spans="1:18" x14ac:dyDescent="0.25">
      <c r="A45" s="11" t="s">
        <v>178</v>
      </c>
      <c r="B45" s="17" t="s">
        <v>154</v>
      </c>
      <c r="C45" s="17" t="s">
        <v>154</v>
      </c>
      <c r="D45" s="18" t="s">
        <v>154</v>
      </c>
      <c r="E45" s="17" t="s">
        <v>154</v>
      </c>
      <c r="F45" s="18" t="s">
        <v>154</v>
      </c>
      <c r="G45" s="17" t="s">
        <v>154</v>
      </c>
      <c r="H45" s="18" t="s">
        <v>154</v>
      </c>
      <c r="I45" s="17" t="s">
        <v>154</v>
      </c>
      <c r="J45" s="18" t="s">
        <v>154</v>
      </c>
      <c r="K45" s="17" t="s">
        <v>154</v>
      </c>
      <c r="L45" s="18" t="s">
        <v>154</v>
      </c>
      <c r="M45" s="17" t="s">
        <v>154</v>
      </c>
      <c r="N45" s="18" t="s">
        <v>154</v>
      </c>
      <c r="O45" s="17" t="s">
        <v>154</v>
      </c>
      <c r="P45" s="18" t="s">
        <v>154</v>
      </c>
      <c r="Q45" s="17" t="s">
        <v>154</v>
      </c>
      <c r="R45" s="18" t="s">
        <v>154</v>
      </c>
    </row>
    <row r="46" spans="1:18" x14ac:dyDescent="0.25">
      <c r="A46" s="11" t="s">
        <v>179</v>
      </c>
      <c r="B46" s="13">
        <v>23141</v>
      </c>
      <c r="C46" s="14">
        <f>(19783/B46*100)</f>
        <v>85.488958990536275</v>
      </c>
      <c r="D46" s="15">
        <v>3358</v>
      </c>
      <c r="E46" s="14">
        <v>81.815719450000003</v>
      </c>
      <c r="F46" s="16">
        <v>0.84037450000000002</v>
      </c>
      <c r="G46" s="14">
        <v>18.18428055</v>
      </c>
      <c r="H46" s="16">
        <v>0.84037450000000002</v>
      </c>
      <c r="I46" s="14" t="s">
        <v>139</v>
      </c>
      <c r="J46" s="16" t="s">
        <v>139</v>
      </c>
      <c r="K46" s="14">
        <v>0</v>
      </c>
      <c r="L46" s="16">
        <v>0</v>
      </c>
      <c r="M46" s="14">
        <v>0</v>
      </c>
      <c r="N46" s="16">
        <v>0</v>
      </c>
      <c r="O46" s="14">
        <v>0</v>
      </c>
      <c r="P46" s="16">
        <v>0</v>
      </c>
      <c r="Q46" s="14">
        <v>0</v>
      </c>
      <c r="R46" s="16">
        <v>0</v>
      </c>
    </row>
    <row r="47" spans="1:18" x14ac:dyDescent="0.25">
      <c r="A47" s="11" t="s">
        <v>180</v>
      </c>
      <c r="B47" s="13">
        <v>5928</v>
      </c>
      <c r="C47" s="14">
        <f>(4923/B47*100)</f>
        <v>83.046558704453446</v>
      </c>
      <c r="D47" s="15">
        <v>1005</v>
      </c>
      <c r="E47" s="14">
        <v>74.113013940000002</v>
      </c>
      <c r="F47" s="16">
        <v>1.26657603</v>
      </c>
      <c r="G47" s="14">
        <v>25.886986060000002</v>
      </c>
      <c r="H47" s="16">
        <v>1.26657603</v>
      </c>
      <c r="I47" s="14" t="s">
        <v>139</v>
      </c>
      <c r="J47" s="16" t="s">
        <v>139</v>
      </c>
      <c r="K47" s="14">
        <v>0</v>
      </c>
      <c r="L47" s="16">
        <v>0</v>
      </c>
      <c r="M47" s="14">
        <v>0</v>
      </c>
      <c r="N47" s="16">
        <v>0</v>
      </c>
      <c r="O47" s="14">
        <v>0</v>
      </c>
      <c r="P47" s="16">
        <v>0</v>
      </c>
      <c r="Q47" s="14">
        <v>0</v>
      </c>
      <c r="R47" s="16">
        <v>0</v>
      </c>
    </row>
    <row r="48" spans="1:18" x14ac:dyDescent="0.25">
      <c r="A48" s="11" t="s">
        <v>181</v>
      </c>
      <c r="B48" s="13">
        <v>9841</v>
      </c>
      <c r="C48" s="14">
        <f>(8132/B48*100)</f>
        <v>82.633878670866778</v>
      </c>
      <c r="D48" s="15">
        <v>1709</v>
      </c>
      <c r="E48" s="14">
        <v>62.46318145</v>
      </c>
      <c r="F48" s="16">
        <v>1.56464107</v>
      </c>
      <c r="G48" s="14">
        <v>37.53681855</v>
      </c>
      <c r="H48" s="16">
        <v>1.56464107</v>
      </c>
      <c r="I48" s="14" t="s">
        <v>139</v>
      </c>
      <c r="J48" s="16" t="s">
        <v>139</v>
      </c>
      <c r="K48" s="14">
        <v>0</v>
      </c>
      <c r="L48" s="16">
        <v>0</v>
      </c>
      <c r="M48" s="14">
        <v>0</v>
      </c>
      <c r="N48" s="16">
        <v>0</v>
      </c>
      <c r="O48" s="14">
        <v>0</v>
      </c>
      <c r="P48" s="16">
        <v>0</v>
      </c>
      <c r="Q48" s="14">
        <v>0</v>
      </c>
      <c r="R48" s="16">
        <v>0</v>
      </c>
    </row>
    <row r="49" spans="1:18" x14ac:dyDescent="0.25">
      <c r="A49" s="11" t="s">
        <v>182</v>
      </c>
      <c r="B49" s="17" t="s">
        <v>154</v>
      </c>
      <c r="C49" s="17" t="s">
        <v>154</v>
      </c>
      <c r="D49" s="18" t="s">
        <v>154</v>
      </c>
      <c r="E49" s="17" t="s">
        <v>154</v>
      </c>
      <c r="F49" s="18" t="s">
        <v>154</v>
      </c>
      <c r="G49" s="17" t="s">
        <v>154</v>
      </c>
      <c r="H49" s="18" t="s">
        <v>154</v>
      </c>
      <c r="I49" s="17" t="s">
        <v>154</v>
      </c>
      <c r="J49" s="18" t="s">
        <v>154</v>
      </c>
      <c r="K49" s="17" t="s">
        <v>154</v>
      </c>
      <c r="L49" s="18" t="s">
        <v>154</v>
      </c>
      <c r="M49" s="17" t="s">
        <v>154</v>
      </c>
      <c r="N49" s="18" t="s">
        <v>154</v>
      </c>
      <c r="O49" s="17" t="s">
        <v>154</v>
      </c>
      <c r="P49" s="18" t="s">
        <v>154</v>
      </c>
      <c r="Q49" s="17" t="s">
        <v>154</v>
      </c>
      <c r="R49" s="18" t="s">
        <v>154</v>
      </c>
    </row>
    <row r="50" spans="1:18" x14ac:dyDescent="0.25">
      <c r="A50" s="11" t="s">
        <v>183</v>
      </c>
      <c r="B50" s="13">
        <v>11795</v>
      </c>
      <c r="C50" s="14">
        <f>(9826/B50*100)</f>
        <v>83.306485799067403</v>
      </c>
      <c r="D50" s="15">
        <v>1969</v>
      </c>
      <c r="E50" s="14">
        <v>79.566308629999995</v>
      </c>
      <c r="F50" s="16">
        <v>1.1072297900000001</v>
      </c>
      <c r="G50" s="14">
        <v>20.433691369999998</v>
      </c>
      <c r="H50" s="16">
        <v>1.1072297900000001</v>
      </c>
      <c r="I50" s="14" t="s">
        <v>139</v>
      </c>
      <c r="J50" s="16" t="s">
        <v>139</v>
      </c>
      <c r="K50" s="14">
        <v>0</v>
      </c>
      <c r="L50" s="16">
        <v>0</v>
      </c>
      <c r="M50" s="14">
        <v>0</v>
      </c>
      <c r="N50" s="16">
        <v>0</v>
      </c>
      <c r="O50" s="14">
        <v>0</v>
      </c>
      <c r="P50" s="16">
        <v>0</v>
      </c>
      <c r="Q50" s="14">
        <v>0</v>
      </c>
      <c r="R50" s="16">
        <v>0</v>
      </c>
    </row>
    <row r="51" spans="1:18" x14ac:dyDescent="0.25">
      <c r="A51" s="11" t="s">
        <v>184</v>
      </c>
      <c r="B51" s="13">
        <v>6866</v>
      </c>
      <c r="C51" s="14">
        <f>(5835/B51*100)</f>
        <v>84.983979027090001</v>
      </c>
      <c r="D51" s="15">
        <v>1031</v>
      </c>
      <c r="E51" s="14">
        <v>82.874875279999998</v>
      </c>
      <c r="F51" s="16">
        <v>1.4219796499999999</v>
      </c>
      <c r="G51" s="14">
        <v>17.125124719999999</v>
      </c>
      <c r="H51" s="16">
        <v>1.4219796499999999</v>
      </c>
      <c r="I51" s="14" t="s">
        <v>139</v>
      </c>
      <c r="J51" s="16" t="s">
        <v>139</v>
      </c>
      <c r="K51" s="14">
        <v>0</v>
      </c>
      <c r="L51" s="16">
        <v>0</v>
      </c>
      <c r="M51" s="14">
        <v>0</v>
      </c>
      <c r="N51" s="16">
        <v>0</v>
      </c>
      <c r="O51" s="14">
        <v>0</v>
      </c>
      <c r="P51" s="16">
        <v>0</v>
      </c>
      <c r="Q51" s="14">
        <v>0</v>
      </c>
      <c r="R51" s="16">
        <v>0</v>
      </c>
    </row>
    <row r="52" spans="1:18" x14ac:dyDescent="0.25">
      <c r="A52" s="11" t="s">
        <v>185</v>
      </c>
      <c r="B52" s="13">
        <v>5809</v>
      </c>
      <c r="C52" s="14">
        <f>(4824/B52*100)</f>
        <v>83.043553107247376</v>
      </c>
      <c r="D52" s="15">
        <v>985</v>
      </c>
      <c r="E52" s="14">
        <v>81.50506661</v>
      </c>
      <c r="F52" s="16">
        <v>1.14466117</v>
      </c>
      <c r="G52" s="14">
        <v>18.49493339</v>
      </c>
      <c r="H52" s="16">
        <v>1.14466117</v>
      </c>
      <c r="I52" s="14" t="s">
        <v>139</v>
      </c>
      <c r="J52" s="16" t="s">
        <v>139</v>
      </c>
      <c r="K52" s="14">
        <v>0</v>
      </c>
      <c r="L52" s="16">
        <v>0</v>
      </c>
      <c r="M52" s="14">
        <v>0</v>
      </c>
      <c r="N52" s="16">
        <v>0</v>
      </c>
      <c r="O52" s="14">
        <v>0</v>
      </c>
      <c r="P52" s="16">
        <v>0</v>
      </c>
      <c r="Q52" s="14">
        <v>0</v>
      </c>
      <c r="R52" s="16">
        <v>0</v>
      </c>
    </row>
    <row r="53" spans="1:18" x14ac:dyDescent="0.25">
      <c r="A53" s="11" t="s">
        <v>186</v>
      </c>
      <c r="B53" s="13">
        <v>5571</v>
      </c>
      <c r="C53" s="14">
        <f>(4602/B53*100)</f>
        <v>82.606354334948833</v>
      </c>
      <c r="D53" s="15">
        <v>969</v>
      </c>
      <c r="E53" s="14">
        <v>76.945324400000004</v>
      </c>
      <c r="F53" s="16">
        <v>1.33367269</v>
      </c>
      <c r="G53" s="14">
        <v>23.054675599999999</v>
      </c>
      <c r="H53" s="16">
        <v>1.33367269</v>
      </c>
      <c r="I53" s="14" t="s">
        <v>139</v>
      </c>
      <c r="J53" s="16" t="s">
        <v>139</v>
      </c>
      <c r="K53" s="14">
        <v>0</v>
      </c>
      <c r="L53" s="16">
        <v>0</v>
      </c>
      <c r="M53" s="14">
        <v>0</v>
      </c>
      <c r="N53" s="16">
        <v>0</v>
      </c>
      <c r="O53" s="14">
        <v>0</v>
      </c>
      <c r="P53" s="16">
        <v>0</v>
      </c>
      <c r="Q53" s="14">
        <v>0</v>
      </c>
      <c r="R53" s="16">
        <v>0</v>
      </c>
    </row>
    <row r="54" spans="1:18" x14ac:dyDescent="0.25">
      <c r="A54" s="11" t="s">
        <v>187</v>
      </c>
      <c r="B54" s="17" t="s">
        <v>154</v>
      </c>
      <c r="C54" s="17" t="s">
        <v>154</v>
      </c>
      <c r="D54" s="18" t="s">
        <v>154</v>
      </c>
      <c r="E54" s="17" t="s">
        <v>154</v>
      </c>
      <c r="F54" s="18" t="s">
        <v>154</v>
      </c>
      <c r="G54" s="17" t="s">
        <v>154</v>
      </c>
      <c r="H54" s="18" t="s">
        <v>154</v>
      </c>
      <c r="I54" s="17" t="s">
        <v>154</v>
      </c>
      <c r="J54" s="18" t="s">
        <v>154</v>
      </c>
      <c r="K54" s="17" t="s">
        <v>154</v>
      </c>
      <c r="L54" s="18" t="s">
        <v>154</v>
      </c>
      <c r="M54" s="17" t="s">
        <v>154</v>
      </c>
      <c r="N54" s="18" t="s">
        <v>154</v>
      </c>
      <c r="O54" s="17" t="s">
        <v>154</v>
      </c>
      <c r="P54" s="18" t="s">
        <v>154</v>
      </c>
      <c r="Q54" s="17" t="s">
        <v>154</v>
      </c>
      <c r="R54" s="18" t="s">
        <v>154</v>
      </c>
    </row>
    <row r="55" spans="1:18" x14ac:dyDescent="0.25">
      <c r="A55" s="11" t="s">
        <v>188</v>
      </c>
      <c r="B55" s="17" t="s">
        <v>154</v>
      </c>
      <c r="C55" s="17" t="s">
        <v>154</v>
      </c>
      <c r="D55" s="18" t="s">
        <v>154</v>
      </c>
      <c r="E55" s="17" t="s">
        <v>154</v>
      </c>
      <c r="F55" s="18" t="s">
        <v>154</v>
      </c>
      <c r="G55" s="17" t="s">
        <v>154</v>
      </c>
      <c r="H55" s="18" t="s">
        <v>154</v>
      </c>
      <c r="I55" s="17" t="s">
        <v>154</v>
      </c>
      <c r="J55" s="18" t="s">
        <v>154</v>
      </c>
      <c r="K55" s="17" t="s">
        <v>154</v>
      </c>
      <c r="L55" s="18" t="s">
        <v>154</v>
      </c>
      <c r="M55" s="17" t="s">
        <v>154</v>
      </c>
      <c r="N55" s="18" t="s">
        <v>154</v>
      </c>
      <c r="O55" s="17" t="s">
        <v>154</v>
      </c>
      <c r="P55" s="18" t="s">
        <v>154</v>
      </c>
      <c r="Q55" s="17" t="s">
        <v>154</v>
      </c>
      <c r="R55" s="18" t="s">
        <v>154</v>
      </c>
    </row>
    <row r="56" spans="1:18" x14ac:dyDescent="0.25">
      <c r="A56" s="11" t="s">
        <v>189</v>
      </c>
      <c r="B56" s="13">
        <v>5359</v>
      </c>
      <c r="C56" s="14">
        <f>(4424/B56*100)</f>
        <v>82.552715058779626</v>
      </c>
      <c r="D56" s="15">
        <v>935</v>
      </c>
      <c r="E56" s="14">
        <v>63.68913397</v>
      </c>
      <c r="F56" s="16">
        <v>1.65010838</v>
      </c>
      <c r="G56" s="14">
        <v>36.31086603</v>
      </c>
      <c r="H56" s="16">
        <v>1.65010838</v>
      </c>
      <c r="I56" s="14" t="s">
        <v>139</v>
      </c>
      <c r="J56" s="16" t="s">
        <v>139</v>
      </c>
      <c r="K56" s="14">
        <v>0</v>
      </c>
      <c r="L56" s="16">
        <v>0</v>
      </c>
      <c r="M56" s="14">
        <v>0</v>
      </c>
      <c r="N56" s="16">
        <v>0</v>
      </c>
      <c r="O56" s="14">
        <v>0</v>
      </c>
      <c r="P56" s="16">
        <v>0</v>
      </c>
      <c r="Q56" s="14">
        <v>0</v>
      </c>
      <c r="R56" s="16">
        <v>0</v>
      </c>
    </row>
    <row r="57" spans="1:18" x14ac:dyDescent="0.25">
      <c r="A57" s="11" t="s">
        <v>190</v>
      </c>
      <c r="B57" s="17" t="s">
        <v>154</v>
      </c>
      <c r="C57" s="17" t="s">
        <v>154</v>
      </c>
      <c r="D57" s="18" t="s">
        <v>154</v>
      </c>
      <c r="E57" s="17" t="s">
        <v>154</v>
      </c>
      <c r="F57" s="18" t="s">
        <v>154</v>
      </c>
      <c r="G57" s="17" t="s">
        <v>154</v>
      </c>
      <c r="H57" s="18" t="s">
        <v>154</v>
      </c>
      <c r="I57" s="17" t="s">
        <v>154</v>
      </c>
      <c r="J57" s="18" t="s">
        <v>154</v>
      </c>
      <c r="K57" s="17" t="s">
        <v>154</v>
      </c>
      <c r="L57" s="18" t="s">
        <v>154</v>
      </c>
      <c r="M57" s="17" t="s">
        <v>154</v>
      </c>
      <c r="N57" s="18" t="s">
        <v>154</v>
      </c>
      <c r="O57" s="17" t="s">
        <v>154</v>
      </c>
      <c r="P57" s="18" t="s">
        <v>154</v>
      </c>
      <c r="Q57" s="17" t="s">
        <v>154</v>
      </c>
      <c r="R57" s="18" t="s">
        <v>154</v>
      </c>
    </row>
    <row r="58" spans="1:18" x14ac:dyDescent="0.25">
      <c r="A58" s="11" t="s">
        <v>191</v>
      </c>
      <c r="B58" s="17" t="s">
        <v>154</v>
      </c>
      <c r="C58" s="17" t="s">
        <v>154</v>
      </c>
      <c r="D58" s="18" t="s">
        <v>154</v>
      </c>
      <c r="E58" s="17" t="s">
        <v>154</v>
      </c>
      <c r="F58" s="18" t="s">
        <v>154</v>
      </c>
      <c r="G58" s="17" t="s">
        <v>154</v>
      </c>
      <c r="H58" s="18" t="s">
        <v>154</v>
      </c>
      <c r="I58" s="17" t="s">
        <v>154</v>
      </c>
      <c r="J58" s="18" t="s">
        <v>154</v>
      </c>
      <c r="K58" s="17" t="s">
        <v>154</v>
      </c>
      <c r="L58" s="18" t="s">
        <v>154</v>
      </c>
      <c r="M58" s="17" t="s">
        <v>154</v>
      </c>
      <c r="N58" s="18" t="s">
        <v>154</v>
      </c>
      <c r="O58" s="17" t="s">
        <v>154</v>
      </c>
      <c r="P58" s="18" t="s">
        <v>154</v>
      </c>
      <c r="Q58" s="17" t="s">
        <v>154</v>
      </c>
      <c r="R58" s="18" t="s">
        <v>154</v>
      </c>
    </row>
    <row r="59" spans="1:18" x14ac:dyDescent="0.25">
      <c r="A59" s="11" t="s">
        <v>192</v>
      </c>
      <c r="B59" s="17" t="s">
        <v>154</v>
      </c>
      <c r="C59" s="17" t="s">
        <v>154</v>
      </c>
      <c r="D59" s="18" t="s">
        <v>154</v>
      </c>
      <c r="E59" s="17" t="s">
        <v>154</v>
      </c>
      <c r="F59" s="18" t="s">
        <v>154</v>
      </c>
      <c r="G59" s="17" t="s">
        <v>154</v>
      </c>
      <c r="H59" s="18" t="s">
        <v>154</v>
      </c>
      <c r="I59" s="17" t="s">
        <v>154</v>
      </c>
      <c r="J59" s="18" t="s">
        <v>154</v>
      </c>
      <c r="K59" s="17" t="s">
        <v>154</v>
      </c>
      <c r="L59" s="18" t="s">
        <v>154</v>
      </c>
      <c r="M59" s="17" t="s">
        <v>154</v>
      </c>
      <c r="N59" s="18" t="s">
        <v>154</v>
      </c>
      <c r="O59" s="17" t="s">
        <v>154</v>
      </c>
      <c r="P59" s="18" t="s">
        <v>154</v>
      </c>
      <c r="Q59" s="17" t="s">
        <v>154</v>
      </c>
      <c r="R59" s="18" t="s">
        <v>154</v>
      </c>
    </row>
    <row r="60" spans="1:18" x14ac:dyDescent="0.25">
      <c r="A60" s="11" t="s">
        <v>193</v>
      </c>
      <c r="B60" s="17" t="s">
        <v>154</v>
      </c>
      <c r="C60" s="17" t="s">
        <v>154</v>
      </c>
      <c r="D60" s="18" t="s">
        <v>154</v>
      </c>
      <c r="E60" s="17" t="s">
        <v>154</v>
      </c>
      <c r="F60" s="18" t="s">
        <v>154</v>
      </c>
      <c r="G60" s="17" t="s">
        <v>154</v>
      </c>
      <c r="H60" s="18" t="s">
        <v>154</v>
      </c>
      <c r="I60" s="17" t="s">
        <v>154</v>
      </c>
      <c r="J60" s="18" t="s">
        <v>154</v>
      </c>
      <c r="K60" s="17" t="s">
        <v>154</v>
      </c>
      <c r="L60" s="18" t="s">
        <v>154</v>
      </c>
      <c r="M60" s="17" t="s">
        <v>154</v>
      </c>
      <c r="N60" s="18" t="s">
        <v>154</v>
      </c>
      <c r="O60" s="17" t="s">
        <v>154</v>
      </c>
      <c r="P60" s="18" t="s">
        <v>154</v>
      </c>
      <c r="Q60" s="17" t="s">
        <v>154</v>
      </c>
      <c r="R60" s="18" t="s">
        <v>154</v>
      </c>
    </row>
    <row r="61" spans="1:18" x14ac:dyDescent="0.25">
      <c r="A61" s="11" t="s">
        <v>194</v>
      </c>
      <c r="B61" s="13">
        <v>6525</v>
      </c>
      <c r="C61" s="14">
        <f>(5415/B61*100)</f>
        <v>82.988505747126439</v>
      </c>
      <c r="D61" s="15">
        <v>1110</v>
      </c>
      <c r="E61" s="14">
        <v>76.266179769999994</v>
      </c>
      <c r="F61" s="16">
        <v>1.34363824</v>
      </c>
      <c r="G61" s="14">
        <v>23.733820229999999</v>
      </c>
      <c r="H61" s="16">
        <v>1.34363824</v>
      </c>
      <c r="I61" s="14" t="s">
        <v>139</v>
      </c>
      <c r="J61" s="16" t="s">
        <v>139</v>
      </c>
      <c r="K61" s="14">
        <v>0</v>
      </c>
      <c r="L61" s="16">
        <v>0</v>
      </c>
      <c r="M61" s="14">
        <v>0</v>
      </c>
      <c r="N61" s="16">
        <v>0</v>
      </c>
      <c r="O61" s="14">
        <v>0</v>
      </c>
      <c r="P61" s="16">
        <v>0</v>
      </c>
      <c r="Q61" s="14">
        <v>0</v>
      </c>
      <c r="R61" s="16">
        <v>0</v>
      </c>
    </row>
    <row r="62" spans="1:18" x14ac:dyDescent="0.25">
      <c r="A62" s="11" t="s">
        <v>195</v>
      </c>
      <c r="B62" s="13">
        <v>4476</v>
      </c>
      <c r="C62" s="14">
        <f>(3712/B62*100)</f>
        <v>82.931188561215379</v>
      </c>
      <c r="D62" s="15">
        <v>764</v>
      </c>
      <c r="E62" s="14">
        <v>62.196266919999999</v>
      </c>
      <c r="F62" s="16">
        <v>1.64335247</v>
      </c>
      <c r="G62" s="14">
        <v>37.803733080000001</v>
      </c>
      <c r="H62" s="16">
        <v>1.64335247</v>
      </c>
      <c r="I62" s="14" t="s">
        <v>139</v>
      </c>
      <c r="J62" s="16" t="s">
        <v>139</v>
      </c>
      <c r="K62" s="14">
        <v>0</v>
      </c>
      <c r="L62" s="16">
        <v>0</v>
      </c>
      <c r="M62" s="14">
        <v>0</v>
      </c>
      <c r="N62" s="16">
        <v>0</v>
      </c>
      <c r="O62" s="14">
        <v>0</v>
      </c>
      <c r="P62" s="16">
        <v>0</v>
      </c>
      <c r="Q62" s="14">
        <v>0</v>
      </c>
      <c r="R62" s="16">
        <v>0</v>
      </c>
    </row>
    <row r="63" spans="1:18" x14ac:dyDescent="0.25">
      <c r="A63" s="11" t="s">
        <v>196</v>
      </c>
      <c r="B63" s="17" t="s">
        <v>154</v>
      </c>
      <c r="C63" s="17" t="s">
        <v>154</v>
      </c>
      <c r="D63" s="18" t="s">
        <v>154</v>
      </c>
      <c r="E63" s="17" t="s">
        <v>154</v>
      </c>
      <c r="F63" s="18" t="s">
        <v>154</v>
      </c>
      <c r="G63" s="17" t="s">
        <v>154</v>
      </c>
      <c r="H63" s="18" t="s">
        <v>154</v>
      </c>
      <c r="I63" s="17" t="s">
        <v>154</v>
      </c>
      <c r="J63" s="18" t="s">
        <v>154</v>
      </c>
      <c r="K63" s="17" t="s">
        <v>154</v>
      </c>
      <c r="L63" s="18" t="s">
        <v>154</v>
      </c>
      <c r="M63" s="17" t="s">
        <v>154</v>
      </c>
      <c r="N63" s="18" t="s">
        <v>154</v>
      </c>
      <c r="O63" s="17" t="s">
        <v>154</v>
      </c>
      <c r="P63" s="18" t="s">
        <v>154</v>
      </c>
      <c r="Q63" s="17" t="s">
        <v>154</v>
      </c>
      <c r="R63" s="18" t="s">
        <v>154</v>
      </c>
    </row>
    <row r="64" spans="1:18" x14ac:dyDescent="0.25">
      <c r="A64" s="11" t="s">
        <v>197</v>
      </c>
      <c r="B64" s="17" t="s">
        <v>154</v>
      </c>
      <c r="C64" s="17" t="s">
        <v>154</v>
      </c>
      <c r="D64" s="18" t="s">
        <v>154</v>
      </c>
      <c r="E64" s="17" t="s">
        <v>154</v>
      </c>
      <c r="F64" s="18" t="s">
        <v>154</v>
      </c>
      <c r="G64" s="17" t="s">
        <v>154</v>
      </c>
      <c r="H64" s="18" t="s">
        <v>154</v>
      </c>
      <c r="I64" s="17" t="s">
        <v>154</v>
      </c>
      <c r="J64" s="18" t="s">
        <v>154</v>
      </c>
      <c r="K64" s="17" t="s">
        <v>154</v>
      </c>
      <c r="L64" s="18" t="s">
        <v>154</v>
      </c>
      <c r="M64" s="17" t="s">
        <v>154</v>
      </c>
      <c r="N64" s="18" t="s">
        <v>154</v>
      </c>
      <c r="O64" s="17" t="s">
        <v>154</v>
      </c>
      <c r="P64" s="18" t="s">
        <v>154</v>
      </c>
      <c r="Q64" s="17" t="s">
        <v>154</v>
      </c>
      <c r="R64" s="18" t="s">
        <v>154</v>
      </c>
    </row>
    <row r="65" spans="1:18" x14ac:dyDescent="0.25">
      <c r="A65" s="11" t="s">
        <v>198</v>
      </c>
      <c r="B65" s="17" t="s">
        <v>154</v>
      </c>
      <c r="C65" s="17" t="s">
        <v>154</v>
      </c>
      <c r="D65" s="18" t="s">
        <v>154</v>
      </c>
      <c r="E65" s="17" t="s">
        <v>154</v>
      </c>
      <c r="F65" s="18" t="s">
        <v>154</v>
      </c>
      <c r="G65" s="17" t="s">
        <v>154</v>
      </c>
      <c r="H65" s="18" t="s">
        <v>154</v>
      </c>
      <c r="I65" s="17" t="s">
        <v>154</v>
      </c>
      <c r="J65" s="18" t="s">
        <v>154</v>
      </c>
      <c r="K65" s="17" t="s">
        <v>154</v>
      </c>
      <c r="L65" s="18" t="s">
        <v>154</v>
      </c>
      <c r="M65" s="17" t="s">
        <v>154</v>
      </c>
      <c r="N65" s="18" t="s">
        <v>154</v>
      </c>
      <c r="O65" s="17" t="s">
        <v>154</v>
      </c>
      <c r="P65" s="18" t="s">
        <v>154</v>
      </c>
      <c r="Q65" s="17" t="s">
        <v>154</v>
      </c>
      <c r="R65" s="18" t="s">
        <v>154</v>
      </c>
    </row>
    <row r="66" spans="1:18" x14ac:dyDescent="0.25">
      <c r="A66" s="11" t="s">
        <v>199</v>
      </c>
      <c r="B66" s="13">
        <v>5665</v>
      </c>
      <c r="C66" s="14">
        <f>(4711/B66*100)</f>
        <v>83.159752868490727</v>
      </c>
      <c r="D66" s="15">
        <v>954</v>
      </c>
      <c r="E66" s="14">
        <v>74.827037840000003</v>
      </c>
      <c r="F66" s="16">
        <v>1.3218889</v>
      </c>
      <c r="G66" s="14">
        <v>25.172962160000001</v>
      </c>
      <c r="H66" s="16">
        <v>1.3218889</v>
      </c>
      <c r="I66" s="14" t="s">
        <v>139</v>
      </c>
      <c r="J66" s="16" t="s">
        <v>139</v>
      </c>
      <c r="K66" s="14">
        <v>0</v>
      </c>
      <c r="L66" s="16">
        <v>0</v>
      </c>
      <c r="M66" s="14">
        <v>0</v>
      </c>
      <c r="N66" s="16">
        <v>0</v>
      </c>
      <c r="O66" s="14">
        <v>0</v>
      </c>
      <c r="P66" s="16">
        <v>0</v>
      </c>
      <c r="Q66" s="14">
        <v>0</v>
      </c>
      <c r="R66" s="16">
        <v>0</v>
      </c>
    </row>
    <row r="67" spans="1:18" x14ac:dyDescent="0.25">
      <c r="A67" s="11" t="s">
        <v>200</v>
      </c>
      <c r="B67" s="13">
        <v>6971</v>
      </c>
      <c r="C67" s="14">
        <f>(5876/B67*100)</f>
        <v>84.292067135274706</v>
      </c>
      <c r="D67" s="15">
        <v>1095</v>
      </c>
      <c r="E67" s="14">
        <v>80.324627960000001</v>
      </c>
      <c r="F67" s="16">
        <v>1.4204444199999999</v>
      </c>
      <c r="G67" s="14">
        <v>19.675372039999999</v>
      </c>
      <c r="H67" s="16">
        <v>1.4204444199999999</v>
      </c>
      <c r="I67" s="14" t="s">
        <v>139</v>
      </c>
      <c r="J67" s="16" t="s">
        <v>139</v>
      </c>
      <c r="K67" s="14">
        <v>0</v>
      </c>
      <c r="L67" s="16">
        <v>0</v>
      </c>
      <c r="M67" s="14">
        <v>0</v>
      </c>
      <c r="N67" s="16">
        <v>0</v>
      </c>
      <c r="O67" s="14">
        <v>0</v>
      </c>
      <c r="P67" s="16">
        <v>0</v>
      </c>
      <c r="Q67" s="14">
        <v>0</v>
      </c>
      <c r="R67" s="16">
        <v>0</v>
      </c>
    </row>
    <row r="68" spans="1:18" x14ac:dyDescent="0.25">
      <c r="A68" s="11" t="s">
        <v>201</v>
      </c>
      <c r="B68" s="17" t="s">
        <v>154</v>
      </c>
      <c r="C68" s="17" t="s">
        <v>154</v>
      </c>
      <c r="D68" s="18" t="s">
        <v>154</v>
      </c>
      <c r="E68" s="17" t="s">
        <v>154</v>
      </c>
      <c r="F68" s="18" t="s">
        <v>154</v>
      </c>
      <c r="G68" s="17" t="s">
        <v>154</v>
      </c>
      <c r="H68" s="18" t="s">
        <v>154</v>
      </c>
      <c r="I68" s="17" t="s">
        <v>154</v>
      </c>
      <c r="J68" s="18" t="s">
        <v>154</v>
      </c>
      <c r="K68" s="17" t="s">
        <v>154</v>
      </c>
      <c r="L68" s="18" t="s">
        <v>154</v>
      </c>
      <c r="M68" s="17" t="s">
        <v>154</v>
      </c>
      <c r="N68" s="18" t="s">
        <v>154</v>
      </c>
      <c r="O68" s="17" t="s">
        <v>154</v>
      </c>
      <c r="P68" s="18" t="s">
        <v>154</v>
      </c>
      <c r="Q68" s="17" t="s">
        <v>154</v>
      </c>
      <c r="R68" s="18" t="s">
        <v>154</v>
      </c>
    </row>
    <row r="69" spans="1:18" x14ac:dyDescent="0.25">
      <c r="A69" s="11" t="s">
        <v>202</v>
      </c>
      <c r="B69" s="17" t="s">
        <v>154</v>
      </c>
      <c r="C69" s="17" t="s">
        <v>154</v>
      </c>
      <c r="D69" s="18" t="s">
        <v>154</v>
      </c>
      <c r="E69" s="17" t="s">
        <v>154</v>
      </c>
      <c r="F69" s="18" t="s">
        <v>154</v>
      </c>
      <c r="G69" s="17" t="s">
        <v>154</v>
      </c>
      <c r="H69" s="18" t="s">
        <v>154</v>
      </c>
      <c r="I69" s="17" t="s">
        <v>154</v>
      </c>
      <c r="J69" s="18" t="s">
        <v>154</v>
      </c>
      <c r="K69" s="17" t="s">
        <v>154</v>
      </c>
      <c r="L69" s="18" t="s">
        <v>154</v>
      </c>
      <c r="M69" s="17" t="s">
        <v>154</v>
      </c>
      <c r="N69" s="18" t="s">
        <v>154</v>
      </c>
      <c r="O69" s="17" t="s">
        <v>154</v>
      </c>
      <c r="P69" s="18" t="s">
        <v>154</v>
      </c>
      <c r="Q69" s="17" t="s">
        <v>154</v>
      </c>
      <c r="R69" s="18" t="s">
        <v>154</v>
      </c>
    </row>
    <row r="70" spans="1:18" x14ac:dyDescent="0.25">
      <c r="A70" s="11" t="s">
        <v>203</v>
      </c>
      <c r="B70" s="13">
        <v>6036</v>
      </c>
      <c r="C70" s="14">
        <f>(5007/B70*100)</f>
        <v>82.952286282306162</v>
      </c>
      <c r="D70" s="15">
        <v>1029</v>
      </c>
      <c r="E70" s="14">
        <v>83.863438540000004</v>
      </c>
      <c r="F70" s="16">
        <v>1.4572187400000001</v>
      </c>
      <c r="G70" s="14">
        <v>16.136561459999999</v>
      </c>
      <c r="H70" s="16">
        <v>1.4572187400000001</v>
      </c>
      <c r="I70" s="14" t="s">
        <v>139</v>
      </c>
      <c r="J70" s="16" t="s">
        <v>139</v>
      </c>
      <c r="K70" s="14">
        <v>0</v>
      </c>
      <c r="L70" s="16">
        <v>0</v>
      </c>
      <c r="M70" s="14">
        <v>0</v>
      </c>
      <c r="N70" s="16">
        <v>0</v>
      </c>
      <c r="O70" s="14">
        <v>0</v>
      </c>
      <c r="P70" s="16">
        <v>0</v>
      </c>
      <c r="Q70" s="14">
        <v>0</v>
      </c>
      <c r="R70" s="16">
        <v>0</v>
      </c>
    </row>
    <row r="71" spans="1:18" x14ac:dyDescent="0.25">
      <c r="A71" s="11" t="s">
        <v>204</v>
      </c>
      <c r="B71" s="17" t="s">
        <v>154</v>
      </c>
      <c r="C71" s="17" t="s">
        <v>154</v>
      </c>
      <c r="D71" s="18" t="s">
        <v>154</v>
      </c>
      <c r="E71" s="17" t="s">
        <v>154</v>
      </c>
      <c r="F71" s="18" t="s">
        <v>154</v>
      </c>
      <c r="G71" s="17" t="s">
        <v>154</v>
      </c>
      <c r="H71" s="18" t="s">
        <v>154</v>
      </c>
      <c r="I71" s="17" t="s">
        <v>154</v>
      </c>
      <c r="J71" s="18" t="s">
        <v>154</v>
      </c>
      <c r="K71" s="17" t="s">
        <v>154</v>
      </c>
      <c r="L71" s="18" t="s">
        <v>154</v>
      </c>
      <c r="M71" s="17" t="s">
        <v>154</v>
      </c>
      <c r="N71" s="18" t="s">
        <v>154</v>
      </c>
      <c r="O71" s="17" t="s">
        <v>154</v>
      </c>
      <c r="P71" s="18" t="s">
        <v>154</v>
      </c>
      <c r="Q71" s="17" t="s">
        <v>154</v>
      </c>
      <c r="R71" s="18" t="s">
        <v>154</v>
      </c>
    </row>
    <row r="72" spans="1:18" x14ac:dyDescent="0.25">
      <c r="A72" s="11" t="s">
        <v>205</v>
      </c>
      <c r="B72" s="13">
        <v>7708</v>
      </c>
      <c r="C72" s="14">
        <f>(6394/B72*100)</f>
        <v>82.952776336273999</v>
      </c>
      <c r="D72" s="15">
        <v>1314</v>
      </c>
      <c r="E72" s="14">
        <v>63.39415159</v>
      </c>
      <c r="F72" s="16">
        <v>1.57126689</v>
      </c>
      <c r="G72" s="14">
        <v>36.60584841</v>
      </c>
      <c r="H72" s="16">
        <v>1.57126689</v>
      </c>
      <c r="I72" s="14" t="s">
        <v>139</v>
      </c>
      <c r="J72" s="16" t="s">
        <v>139</v>
      </c>
      <c r="K72" s="14">
        <v>0</v>
      </c>
      <c r="L72" s="16">
        <v>0</v>
      </c>
      <c r="M72" s="14">
        <v>0</v>
      </c>
      <c r="N72" s="16">
        <v>0</v>
      </c>
      <c r="O72" s="14">
        <v>0</v>
      </c>
      <c r="P72" s="16">
        <v>0</v>
      </c>
      <c r="Q72" s="14">
        <v>0</v>
      </c>
      <c r="R72" s="16">
        <v>0</v>
      </c>
    </row>
    <row r="73" spans="1:18" x14ac:dyDescent="0.25">
      <c r="A73" s="11" t="s">
        <v>206</v>
      </c>
      <c r="B73" s="13">
        <v>8249</v>
      </c>
      <c r="C73" s="14">
        <f>(6882/B73*100)</f>
        <v>83.428294338707715</v>
      </c>
      <c r="D73" s="15">
        <v>1367</v>
      </c>
      <c r="E73" s="14">
        <v>67.213924000000006</v>
      </c>
      <c r="F73" s="16">
        <v>1.34334986</v>
      </c>
      <c r="G73" s="14">
        <v>32.786076000000001</v>
      </c>
      <c r="H73" s="16">
        <v>1.34334986</v>
      </c>
      <c r="I73" s="14" t="s">
        <v>139</v>
      </c>
      <c r="J73" s="16" t="s">
        <v>139</v>
      </c>
      <c r="K73" s="14">
        <v>0</v>
      </c>
      <c r="L73" s="16">
        <v>0</v>
      </c>
      <c r="M73" s="14">
        <v>0</v>
      </c>
      <c r="N73" s="16">
        <v>0</v>
      </c>
      <c r="O73" s="14">
        <v>0</v>
      </c>
      <c r="P73" s="16">
        <v>0</v>
      </c>
      <c r="Q73" s="14">
        <v>0</v>
      </c>
      <c r="R73" s="16">
        <v>0</v>
      </c>
    </row>
    <row r="74" spans="1:18" x14ac:dyDescent="0.25">
      <c r="A74" s="11" t="s">
        <v>207</v>
      </c>
      <c r="B74" s="17" t="s">
        <v>154</v>
      </c>
      <c r="C74" s="17" t="s">
        <v>154</v>
      </c>
      <c r="D74" s="18" t="s">
        <v>154</v>
      </c>
      <c r="E74" s="17" t="s">
        <v>154</v>
      </c>
      <c r="F74" s="18" t="s">
        <v>154</v>
      </c>
      <c r="G74" s="17" t="s">
        <v>154</v>
      </c>
      <c r="H74" s="18" t="s">
        <v>154</v>
      </c>
      <c r="I74" s="17" t="s">
        <v>154</v>
      </c>
      <c r="J74" s="18" t="s">
        <v>154</v>
      </c>
      <c r="K74" s="17" t="s">
        <v>154</v>
      </c>
      <c r="L74" s="18" t="s">
        <v>154</v>
      </c>
      <c r="M74" s="17" t="s">
        <v>154</v>
      </c>
      <c r="N74" s="18" t="s">
        <v>154</v>
      </c>
      <c r="O74" s="17" t="s">
        <v>154</v>
      </c>
      <c r="P74" s="18" t="s">
        <v>154</v>
      </c>
      <c r="Q74" s="17" t="s">
        <v>154</v>
      </c>
      <c r="R74" s="18" t="s">
        <v>154</v>
      </c>
    </row>
    <row r="75" spans="1:18" x14ac:dyDescent="0.25">
      <c r="A75" s="11" t="s">
        <v>208</v>
      </c>
      <c r="B75" s="13">
        <v>5375</v>
      </c>
      <c r="C75" s="14">
        <f>(4557/B75*100)</f>
        <v>84.781395348837208</v>
      </c>
      <c r="D75" s="15">
        <v>818</v>
      </c>
      <c r="E75" s="14">
        <v>82.126515209999994</v>
      </c>
      <c r="F75" s="16">
        <v>1.3406632599999999</v>
      </c>
      <c r="G75" s="14">
        <v>17.873484789999999</v>
      </c>
      <c r="H75" s="16">
        <v>1.3406632599999999</v>
      </c>
      <c r="I75" s="14" t="s">
        <v>139</v>
      </c>
      <c r="J75" s="16" t="s">
        <v>139</v>
      </c>
      <c r="K75" s="14">
        <v>0</v>
      </c>
      <c r="L75" s="16">
        <v>0</v>
      </c>
      <c r="M75" s="14">
        <v>0</v>
      </c>
      <c r="N75" s="16">
        <v>0</v>
      </c>
      <c r="O75" s="14">
        <v>0</v>
      </c>
      <c r="P75" s="16">
        <v>0</v>
      </c>
      <c r="Q75" s="14">
        <v>0</v>
      </c>
      <c r="R75" s="16">
        <v>0</v>
      </c>
    </row>
    <row r="76" spans="1:18" x14ac:dyDescent="0.25">
      <c r="A76" s="11" t="s">
        <v>209</v>
      </c>
      <c r="B76" s="13">
        <v>14167</v>
      </c>
      <c r="C76" s="14">
        <f>(11728/B76*100)</f>
        <v>82.783934495658926</v>
      </c>
      <c r="D76" s="15">
        <v>2439</v>
      </c>
      <c r="E76" s="14">
        <v>72.940632780000001</v>
      </c>
      <c r="F76" s="16">
        <v>1.1232526</v>
      </c>
      <c r="G76" s="14">
        <v>27.059367219999999</v>
      </c>
      <c r="H76" s="16">
        <v>1.1232526</v>
      </c>
      <c r="I76" s="14" t="s">
        <v>139</v>
      </c>
      <c r="J76" s="16" t="s">
        <v>139</v>
      </c>
      <c r="K76" s="14">
        <v>0</v>
      </c>
      <c r="L76" s="16">
        <v>0</v>
      </c>
      <c r="M76" s="14">
        <v>0</v>
      </c>
      <c r="N76" s="16">
        <v>0</v>
      </c>
      <c r="O76" s="14">
        <v>0</v>
      </c>
      <c r="P76" s="16">
        <v>0</v>
      </c>
      <c r="Q76" s="14">
        <v>0</v>
      </c>
      <c r="R76" s="16">
        <v>0</v>
      </c>
    </row>
    <row r="77" spans="1:18" x14ac:dyDescent="0.25">
      <c r="A77" s="11" t="s">
        <v>210</v>
      </c>
      <c r="B77" s="13">
        <v>6062</v>
      </c>
      <c r="C77" s="14">
        <f>(5018/B77*100)</f>
        <v>82.777961068954141</v>
      </c>
      <c r="D77" s="15">
        <v>1044</v>
      </c>
      <c r="E77" s="14">
        <v>81.437130690000004</v>
      </c>
      <c r="F77" s="16">
        <v>1.19135149</v>
      </c>
      <c r="G77" s="14">
        <v>18.56286931</v>
      </c>
      <c r="H77" s="16">
        <v>1.19135149</v>
      </c>
      <c r="I77" s="14" t="s">
        <v>139</v>
      </c>
      <c r="J77" s="16" t="s">
        <v>139</v>
      </c>
      <c r="K77" s="14">
        <v>0</v>
      </c>
      <c r="L77" s="16">
        <v>0</v>
      </c>
      <c r="M77" s="14">
        <v>0</v>
      </c>
      <c r="N77" s="16">
        <v>0</v>
      </c>
      <c r="O77" s="14">
        <v>0</v>
      </c>
      <c r="P77" s="16">
        <v>0</v>
      </c>
      <c r="Q77" s="14">
        <v>0</v>
      </c>
      <c r="R77" s="16">
        <v>0</v>
      </c>
    </row>
    <row r="78" spans="1:18" x14ac:dyDescent="0.25">
      <c r="A78" s="11" t="s">
        <v>211</v>
      </c>
      <c r="B78" s="17" t="s">
        <v>154</v>
      </c>
      <c r="C78" s="17" t="s">
        <v>154</v>
      </c>
      <c r="D78" s="18" t="s">
        <v>154</v>
      </c>
      <c r="E78" s="17" t="s">
        <v>154</v>
      </c>
      <c r="F78" s="18" t="s">
        <v>154</v>
      </c>
      <c r="G78" s="17" t="s">
        <v>154</v>
      </c>
      <c r="H78" s="18" t="s">
        <v>154</v>
      </c>
      <c r="I78" s="17" t="s">
        <v>154</v>
      </c>
      <c r="J78" s="18" t="s">
        <v>154</v>
      </c>
      <c r="K78" s="17" t="s">
        <v>154</v>
      </c>
      <c r="L78" s="18" t="s">
        <v>154</v>
      </c>
      <c r="M78" s="17" t="s">
        <v>154</v>
      </c>
      <c r="N78" s="18" t="s">
        <v>154</v>
      </c>
      <c r="O78" s="17" t="s">
        <v>154</v>
      </c>
      <c r="P78" s="18" t="s">
        <v>154</v>
      </c>
      <c r="Q78" s="17" t="s">
        <v>154</v>
      </c>
      <c r="R78" s="18" t="s">
        <v>154</v>
      </c>
    </row>
    <row r="79" spans="1:18" ht="24.95" customHeight="1" x14ac:dyDescent="0.25">
      <c r="A79" s="11" t="s">
        <v>212</v>
      </c>
      <c r="B79" s="17" t="s">
        <v>154</v>
      </c>
      <c r="C79" s="17" t="s">
        <v>154</v>
      </c>
      <c r="D79" s="18" t="s">
        <v>154</v>
      </c>
      <c r="E79" s="17" t="s">
        <v>154</v>
      </c>
      <c r="F79" s="18" t="s">
        <v>154</v>
      </c>
      <c r="G79" s="17" t="s">
        <v>154</v>
      </c>
      <c r="H79" s="18" t="s">
        <v>154</v>
      </c>
      <c r="I79" s="17" t="s">
        <v>154</v>
      </c>
      <c r="J79" s="18" t="s">
        <v>154</v>
      </c>
      <c r="K79" s="17" t="s">
        <v>154</v>
      </c>
      <c r="L79" s="18" t="s">
        <v>154</v>
      </c>
      <c r="M79" s="17" t="s">
        <v>154</v>
      </c>
      <c r="N79" s="18" t="s">
        <v>154</v>
      </c>
      <c r="O79" s="17" t="s">
        <v>154</v>
      </c>
      <c r="P79" s="18" t="s">
        <v>154</v>
      </c>
      <c r="Q79" s="17" t="s">
        <v>154</v>
      </c>
      <c r="R79" s="18" t="s">
        <v>154</v>
      </c>
    </row>
    <row r="80" spans="1:18" x14ac:dyDescent="0.25">
      <c r="A80" s="11" t="s">
        <v>213</v>
      </c>
      <c r="B80" s="17" t="s">
        <v>154</v>
      </c>
      <c r="C80" s="17" t="s">
        <v>154</v>
      </c>
      <c r="D80" s="18" t="s">
        <v>154</v>
      </c>
      <c r="E80" s="17" t="s">
        <v>154</v>
      </c>
      <c r="F80" s="18" t="s">
        <v>154</v>
      </c>
      <c r="G80" s="17" t="s">
        <v>154</v>
      </c>
      <c r="H80" s="18" t="s">
        <v>154</v>
      </c>
      <c r="I80" s="17" t="s">
        <v>154</v>
      </c>
      <c r="J80" s="18" t="s">
        <v>154</v>
      </c>
      <c r="K80" s="17" t="s">
        <v>154</v>
      </c>
      <c r="L80" s="18" t="s">
        <v>154</v>
      </c>
      <c r="M80" s="17" t="s">
        <v>154</v>
      </c>
      <c r="N80" s="18" t="s">
        <v>154</v>
      </c>
      <c r="O80" s="17" t="s">
        <v>154</v>
      </c>
      <c r="P80" s="18" t="s">
        <v>154</v>
      </c>
      <c r="Q80" s="17" t="s">
        <v>154</v>
      </c>
      <c r="R80" s="18" t="s">
        <v>154</v>
      </c>
    </row>
    <row r="81" spans="1:18" x14ac:dyDescent="0.25">
      <c r="A81" s="19" t="s">
        <v>214</v>
      </c>
      <c r="B81" s="13">
        <v>8861</v>
      </c>
      <c r="C81" s="14">
        <f>(7369/B81*100)</f>
        <v>83.162171312492944</v>
      </c>
      <c r="D81" s="15">
        <v>1492</v>
      </c>
      <c r="E81" s="14">
        <v>81.202436390000003</v>
      </c>
      <c r="F81" s="16">
        <v>1.4131115299999999</v>
      </c>
      <c r="G81" s="14">
        <v>18.797563610000001</v>
      </c>
      <c r="H81" s="16">
        <v>1.4131115299999999</v>
      </c>
      <c r="I81" s="14" t="s">
        <v>139</v>
      </c>
      <c r="J81" s="16" t="s">
        <v>139</v>
      </c>
      <c r="K81" s="14">
        <v>0</v>
      </c>
      <c r="L81" s="16">
        <v>0</v>
      </c>
      <c r="M81" s="14">
        <v>0</v>
      </c>
      <c r="N81" s="16">
        <v>0</v>
      </c>
      <c r="O81" s="14">
        <v>0</v>
      </c>
      <c r="P81" s="16">
        <v>0</v>
      </c>
      <c r="Q81" s="14">
        <v>0</v>
      </c>
      <c r="R81" s="16">
        <v>0</v>
      </c>
    </row>
    <row r="82" spans="1:18" x14ac:dyDescent="0.25">
      <c r="A82" s="20"/>
      <c r="B82" s="20" t="s">
        <v>215</v>
      </c>
      <c r="C82" s="20" t="s">
        <v>215</v>
      </c>
      <c r="D82" s="20" t="s">
        <v>215</v>
      </c>
      <c r="E82" s="20" t="s">
        <v>215</v>
      </c>
      <c r="F82" s="20" t="s">
        <v>215</v>
      </c>
      <c r="G82" s="20" t="s">
        <v>215</v>
      </c>
      <c r="H82" s="20" t="s">
        <v>215</v>
      </c>
      <c r="I82" s="20" t="s">
        <v>215</v>
      </c>
      <c r="J82" s="20" t="s">
        <v>215</v>
      </c>
      <c r="K82" s="20" t="s">
        <v>215</v>
      </c>
      <c r="L82" s="20" t="s">
        <v>215</v>
      </c>
      <c r="M82" s="20" t="s">
        <v>215</v>
      </c>
      <c r="N82" s="20" t="s">
        <v>215</v>
      </c>
      <c r="O82" s="20" t="s">
        <v>215</v>
      </c>
      <c r="P82" s="20" t="s">
        <v>215</v>
      </c>
      <c r="Q82" s="20" t="s">
        <v>215</v>
      </c>
      <c r="R82" s="20" t="s">
        <v>215</v>
      </c>
    </row>
    <row r="83" spans="1:18" x14ac:dyDescent="0.25">
      <c r="A83" s="3" t="s">
        <v>216</v>
      </c>
    </row>
    <row r="84" spans="1:18" x14ac:dyDescent="0.25">
      <c r="A84" s="22" t="s">
        <v>217</v>
      </c>
      <c r="B84" s="23"/>
      <c r="C84" s="23"/>
      <c r="D84" s="23"/>
      <c r="E84" s="23"/>
      <c r="F84" s="23"/>
      <c r="G84" s="23"/>
      <c r="H84" s="23"/>
      <c r="I84" s="23"/>
      <c r="J84" s="23"/>
      <c r="K84" s="23"/>
      <c r="L84" s="23"/>
      <c r="M84" s="23"/>
      <c r="N84" s="23"/>
      <c r="O84" s="23"/>
      <c r="P84" s="23"/>
      <c r="Q84" s="23"/>
      <c r="R84" s="23"/>
    </row>
    <row r="85" spans="1:18" x14ac:dyDescent="0.25">
      <c r="A85" s="22" t="s">
        <v>218</v>
      </c>
      <c r="B85" s="23"/>
      <c r="C85" s="23"/>
      <c r="D85" s="23"/>
      <c r="E85" s="23"/>
      <c r="F85" s="23"/>
      <c r="G85" s="23"/>
      <c r="H85" s="23"/>
      <c r="I85" s="23"/>
      <c r="J85" s="23"/>
      <c r="K85" s="23"/>
      <c r="L85" s="23"/>
      <c r="M85" s="23"/>
      <c r="N85" s="23"/>
      <c r="O85" s="23"/>
      <c r="P85" s="23"/>
      <c r="Q85" s="23"/>
      <c r="R85" s="23"/>
    </row>
    <row r="86" spans="1:18" ht="30" customHeight="1" x14ac:dyDescent="0.25">
      <c r="A86" s="22" t="s">
        <v>219</v>
      </c>
      <c r="B86" s="23"/>
      <c r="C86" s="23"/>
      <c r="D86" s="23"/>
      <c r="E86" s="23"/>
      <c r="F86" s="23"/>
      <c r="G86" s="23"/>
      <c r="H86" s="23"/>
      <c r="I86" s="23"/>
      <c r="J86" s="23"/>
      <c r="K86" s="23"/>
      <c r="L86" s="23"/>
      <c r="M86" s="23"/>
      <c r="N86" s="23"/>
      <c r="O86" s="23"/>
      <c r="P86" s="23"/>
      <c r="Q86" s="23"/>
      <c r="R86" s="23"/>
    </row>
    <row r="87" spans="1:18" ht="30" customHeight="1" x14ac:dyDescent="0.25">
      <c r="A87" s="22" t="s">
        <v>215</v>
      </c>
      <c r="B87" s="23"/>
      <c r="C87" s="23"/>
      <c r="D87" s="23"/>
      <c r="E87" s="23"/>
      <c r="F87" s="23"/>
      <c r="G87" s="23"/>
      <c r="H87" s="23"/>
      <c r="I87" s="23"/>
      <c r="J87" s="23"/>
      <c r="K87" s="23"/>
      <c r="L87" s="23"/>
      <c r="M87" s="23"/>
      <c r="N87" s="23"/>
      <c r="O87" s="23"/>
      <c r="P87" s="23"/>
      <c r="Q87" s="23"/>
      <c r="R87" s="23"/>
    </row>
    <row r="88" spans="1:18" ht="30" customHeight="1" x14ac:dyDescent="0.25">
      <c r="A88" s="22" t="s">
        <v>220</v>
      </c>
      <c r="B88" s="23"/>
      <c r="C88" s="23"/>
      <c r="D88" s="23"/>
      <c r="E88" s="23"/>
      <c r="F88" s="23"/>
      <c r="G88" s="23"/>
      <c r="H88" s="23"/>
      <c r="I88" s="23"/>
      <c r="J88" s="23"/>
      <c r="K88" s="23"/>
      <c r="L88" s="23"/>
      <c r="M88" s="23"/>
      <c r="N88" s="23"/>
      <c r="O88" s="23"/>
      <c r="P88" s="23"/>
      <c r="Q88" s="23"/>
      <c r="R88" s="23"/>
    </row>
    <row r="89" spans="1:18" ht="30" customHeight="1" x14ac:dyDescent="0.25">
      <c r="A89" s="22" t="s">
        <v>221</v>
      </c>
      <c r="B89" s="23"/>
      <c r="C89" s="23"/>
      <c r="D89" s="23"/>
      <c r="E89" s="23"/>
      <c r="F89" s="23"/>
      <c r="G89" s="23"/>
      <c r="H89" s="23"/>
      <c r="I89" s="23"/>
      <c r="J89" s="23"/>
      <c r="K89" s="23"/>
      <c r="L89" s="23"/>
      <c r="M89" s="23"/>
      <c r="N89" s="23"/>
      <c r="O89" s="23"/>
      <c r="P89" s="23"/>
      <c r="Q89" s="23"/>
      <c r="R89" s="23"/>
    </row>
    <row r="90" spans="1:18" ht="30" customHeight="1" x14ac:dyDescent="0.25">
      <c r="A90" s="22" t="s">
        <v>222</v>
      </c>
      <c r="B90" s="23"/>
      <c r="C90" s="23"/>
      <c r="D90" s="23"/>
      <c r="E90" s="23"/>
      <c r="F90" s="23"/>
      <c r="G90" s="23"/>
      <c r="H90" s="23"/>
      <c r="I90" s="23"/>
      <c r="J90" s="23"/>
      <c r="K90" s="23"/>
      <c r="L90" s="23"/>
      <c r="M90" s="23"/>
      <c r="N90" s="23"/>
      <c r="O90" s="23"/>
      <c r="P90" s="23"/>
      <c r="Q90" s="23"/>
      <c r="R90" s="23"/>
    </row>
    <row r="91" spans="1:18" ht="30" customHeight="1" x14ac:dyDescent="0.25">
      <c r="A91" s="22" t="s">
        <v>223</v>
      </c>
      <c r="B91" s="23"/>
      <c r="C91" s="23"/>
      <c r="D91" s="23"/>
      <c r="E91" s="23"/>
      <c r="F91" s="23"/>
      <c r="G91" s="23"/>
      <c r="H91" s="23"/>
      <c r="I91" s="23"/>
      <c r="J91" s="23"/>
      <c r="K91" s="23"/>
      <c r="L91" s="23"/>
      <c r="M91" s="23"/>
      <c r="N91" s="23"/>
      <c r="O91" s="23"/>
      <c r="P91" s="23"/>
      <c r="Q91" s="23"/>
      <c r="R91" s="23"/>
    </row>
    <row r="92" spans="1:18" ht="30" customHeight="1" x14ac:dyDescent="0.25">
      <c r="A92" s="22" t="s">
        <v>224</v>
      </c>
      <c r="B92" s="23"/>
      <c r="C92" s="23"/>
      <c r="D92" s="23"/>
      <c r="E92" s="23"/>
      <c r="F92" s="23"/>
      <c r="G92" s="23"/>
      <c r="H92" s="23"/>
      <c r="I92" s="23"/>
      <c r="J92" s="23"/>
      <c r="K92" s="23"/>
      <c r="L92" s="23"/>
      <c r="M92" s="23"/>
      <c r="N92" s="23"/>
      <c r="O92" s="23"/>
      <c r="P92" s="23"/>
      <c r="Q92" s="23"/>
      <c r="R92" s="23"/>
    </row>
    <row r="93" spans="1:18" ht="30" customHeight="1" x14ac:dyDescent="0.25">
      <c r="A93" s="22" t="s">
        <v>225</v>
      </c>
      <c r="B93" s="23"/>
      <c r="C93" s="23"/>
      <c r="D93" s="23"/>
      <c r="E93" s="23"/>
      <c r="F93" s="23"/>
      <c r="G93" s="23"/>
      <c r="H93" s="23"/>
      <c r="I93" s="23"/>
      <c r="J93" s="23"/>
      <c r="K93" s="23"/>
      <c r="L93" s="23"/>
      <c r="M93" s="23"/>
      <c r="N93" s="23"/>
      <c r="O93" s="23"/>
      <c r="P93" s="23"/>
      <c r="Q93" s="23"/>
      <c r="R93" s="23"/>
    </row>
    <row r="94" spans="1:18" ht="30" customHeight="1" x14ac:dyDescent="0.25">
      <c r="A94" s="22" t="s">
        <v>226</v>
      </c>
      <c r="B94" s="23"/>
      <c r="C94" s="23"/>
      <c r="D94" s="23"/>
      <c r="E94" s="23"/>
      <c r="F94" s="23"/>
      <c r="G94" s="23"/>
      <c r="H94" s="23"/>
      <c r="I94" s="23"/>
      <c r="J94" s="23"/>
      <c r="K94" s="23"/>
      <c r="L94" s="23"/>
      <c r="M94" s="23"/>
      <c r="N94" s="23"/>
      <c r="O94" s="23"/>
      <c r="P94" s="23"/>
      <c r="Q94" s="23"/>
      <c r="R94" s="23"/>
    </row>
    <row r="95" spans="1:18" ht="30" customHeight="1" x14ac:dyDescent="0.25">
      <c r="A95" s="22" t="s">
        <v>227</v>
      </c>
      <c r="B95" s="23"/>
      <c r="C95" s="23"/>
      <c r="D95" s="23"/>
      <c r="E95" s="23"/>
      <c r="F95" s="23"/>
      <c r="G95" s="23"/>
      <c r="H95" s="23"/>
      <c r="I95" s="23"/>
      <c r="J95" s="23"/>
      <c r="K95" s="23"/>
      <c r="L95" s="23"/>
      <c r="M95" s="23"/>
      <c r="N95" s="23"/>
      <c r="O95" s="23"/>
      <c r="P95" s="23"/>
      <c r="Q95" s="23"/>
      <c r="R95" s="23"/>
    </row>
    <row r="96" spans="1:18" ht="30" customHeight="1" x14ac:dyDescent="0.25">
      <c r="A96" s="22" t="s">
        <v>228</v>
      </c>
      <c r="B96" s="23"/>
      <c r="C96" s="23"/>
      <c r="D96" s="23"/>
      <c r="E96" s="23"/>
      <c r="F96" s="23"/>
      <c r="G96" s="23"/>
      <c r="H96" s="23"/>
      <c r="I96" s="23"/>
      <c r="J96" s="23"/>
      <c r="K96" s="23"/>
      <c r="L96" s="23"/>
      <c r="M96" s="23"/>
      <c r="N96" s="23"/>
      <c r="O96" s="23"/>
      <c r="P96" s="23"/>
      <c r="Q96" s="23"/>
      <c r="R96" s="23"/>
    </row>
  </sheetData>
  <mergeCells count="22">
    <mergeCell ref="O4:P4"/>
    <mergeCell ref="Q4:R4"/>
    <mergeCell ref="A1:R1"/>
    <mergeCell ref="A2:R2"/>
    <mergeCell ref="A84:R84"/>
    <mergeCell ref="E4:F4"/>
    <mergeCell ref="G4:H4"/>
    <mergeCell ref="I4:J4"/>
    <mergeCell ref="K4:L4"/>
    <mergeCell ref="M4:N4"/>
    <mergeCell ref="A85:R85"/>
    <mergeCell ref="A86:R86"/>
    <mergeCell ref="A87:R87"/>
    <mergeCell ref="A88:R88"/>
    <mergeCell ref="A89:R89"/>
    <mergeCell ref="A95:R95"/>
    <mergeCell ref="A96:R96"/>
    <mergeCell ref="A90:R90"/>
    <mergeCell ref="A91:R91"/>
    <mergeCell ref="A92:R92"/>
    <mergeCell ref="A93:R93"/>
    <mergeCell ref="A94:R94"/>
  </mergeCells>
  <pageMargins left="0.75" right="0.75" top="1" bottom="1" header="0.5" footer="0.5"/>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9"/>
  <dimension ref="A1:R96"/>
  <sheetViews>
    <sheetView zoomScale="80" workbookViewId="0">
      <pane xSplit="4" topLeftCell="E1" activePane="topRight" state="frozen"/>
      <selection sqref="A1:R1"/>
      <selection pane="topRight" sqref="A1:R1"/>
    </sheetView>
  </sheetViews>
  <sheetFormatPr defaultColWidth="11.42578125" defaultRowHeight="15" x14ac:dyDescent="0.25"/>
  <cols>
    <col min="1" max="1" width="50" customWidth="1"/>
  </cols>
  <sheetData>
    <row r="1" spans="1:18" x14ac:dyDescent="0.25">
      <c r="A1" s="26" t="s">
        <v>122</v>
      </c>
      <c r="B1" s="23"/>
      <c r="C1" s="23"/>
      <c r="D1" s="23"/>
      <c r="E1" s="23"/>
      <c r="F1" s="23"/>
      <c r="G1" s="23"/>
      <c r="H1" s="23"/>
      <c r="I1" s="23"/>
      <c r="J1" s="23"/>
      <c r="K1" s="23"/>
      <c r="L1" s="23"/>
      <c r="M1" s="23"/>
      <c r="N1" s="23"/>
      <c r="O1" s="23"/>
      <c r="P1" s="23"/>
      <c r="Q1" s="23"/>
      <c r="R1" s="23"/>
    </row>
    <row r="2" spans="1:18" x14ac:dyDescent="0.25">
      <c r="A2" s="27" t="s">
        <v>285</v>
      </c>
      <c r="B2" s="23"/>
      <c r="C2" s="23"/>
      <c r="D2" s="23"/>
      <c r="E2" s="23"/>
      <c r="F2" s="23"/>
      <c r="G2" s="23"/>
      <c r="H2" s="23"/>
      <c r="I2" s="23"/>
      <c r="J2" s="23"/>
      <c r="K2" s="23"/>
      <c r="L2" s="23"/>
      <c r="M2" s="23"/>
      <c r="N2" s="23"/>
      <c r="O2" s="23"/>
      <c r="P2" s="23"/>
      <c r="Q2" s="23"/>
      <c r="R2" s="23"/>
    </row>
    <row r="4" spans="1:18" ht="30" customHeight="1" x14ac:dyDescent="0.25">
      <c r="A4" s="4"/>
      <c r="B4" s="5" t="s">
        <v>123</v>
      </c>
      <c r="C4" s="5" t="s">
        <v>124</v>
      </c>
      <c r="D4" s="6" t="s">
        <v>123</v>
      </c>
      <c r="E4" s="24" t="s">
        <v>125</v>
      </c>
      <c r="F4" s="25"/>
      <c r="G4" s="24" t="s">
        <v>126</v>
      </c>
      <c r="H4" s="25"/>
      <c r="I4" s="24" t="s">
        <v>127</v>
      </c>
      <c r="J4" s="25"/>
      <c r="K4" s="24" t="s">
        <v>128</v>
      </c>
      <c r="L4" s="25"/>
      <c r="M4" s="24" t="s">
        <v>129</v>
      </c>
      <c r="N4" s="25"/>
      <c r="O4" s="24" t="s">
        <v>130</v>
      </c>
      <c r="P4" s="25"/>
      <c r="Q4" s="24" t="s">
        <v>131</v>
      </c>
      <c r="R4" s="25"/>
    </row>
    <row r="5" spans="1:18" x14ac:dyDescent="0.25">
      <c r="A5" s="7"/>
      <c r="B5" s="8" t="s">
        <v>132</v>
      </c>
      <c r="C5" s="8" t="s">
        <v>133</v>
      </c>
      <c r="D5" s="7" t="s">
        <v>134</v>
      </c>
      <c r="E5" s="8" t="s">
        <v>135</v>
      </c>
      <c r="F5" s="7" t="s">
        <v>136</v>
      </c>
      <c r="G5" s="8" t="s">
        <v>135</v>
      </c>
      <c r="H5" s="7" t="s">
        <v>136</v>
      </c>
      <c r="I5" s="8" t="s">
        <v>135</v>
      </c>
      <c r="J5" s="7" t="s">
        <v>136</v>
      </c>
      <c r="K5" s="8" t="s">
        <v>135</v>
      </c>
      <c r="L5" s="7" t="s">
        <v>136</v>
      </c>
      <c r="M5" s="8" t="s">
        <v>135</v>
      </c>
      <c r="N5" s="7" t="s">
        <v>136</v>
      </c>
      <c r="O5" s="8" t="s">
        <v>135</v>
      </c>
      <c r="P5" s="7" t="s">
        <v>136</v>
      </c>
      <c r="Q5" s="8" t="s">
        <v>135</v>
      </c>
      <c r="R5" s="7" t="s">
        <v>136</v>
      </c>
    </row>
    <row r="6" spans="1:18" x14ac:dyDescent="0.25">
      <c r="A6" s="9" t="s">
        <v>137</v>
      </c>
      <c r="B6" s="10"/>
      <c r="C6" s="10"/>
      <c r="D6" s="11"/>
      <c r="E6" s="10"/>
      <c r="F6" s="11"/>
      <c r="G6" s="10"/>
      <c r="H6" s="11"/>
      <c r="I6" s="10"/>
      <c r="J6" s="11"/>
      <c r="K6" s="10"/>
      <c r="L6" s="11"/>
      <c r="M6" s="10"/>
      <c r="N6" s="11"/>
      <c r="O6" s="10"/>
      <c r="P6" s="11"/>
      <c r="Q6" s="10"/>
      <c r="R6" s="12"/>
    </row>
    <row r="7" spans="1:18" x14ac:dyDescent="0.25">
      <c r="A7" s="11" t="s">
        <v>138</v>
      </c>
      <c r="B7" s="13">
        <v>14530</v>
      </c>
      <c r="C7" s="14">
        <f>(12103/B7*100)</f>
        <v>83.296627666896072</v>
      </c>
      <c r="D7" s="15">
        <v>2427</v>
      </c>
      <c r="E7" s="14">
        <v>40.066216580000003</v>
      </c>
      <c r="F7" s="16">
        <v>1.1042695499999999</v>
      </c>
      <c r="G7" s="14">
        <v>59.933783419999997</v>
      </c>
      <c r="H7" s="16">
        <v>1.1042695499999999</v>
      </c>
      <c r="I7" s="14" t="s">
        <v>139</v>
      </c>
      <c r="J7" s="16" t="s">
        <v>139</v>
      </c>
      <c r="K7" s="14">
        <v>0</v>
      </c>
      <c r="L7" s="16">
        <v>0</v>
      </c>
      <c r="M7" s="14">
        <v>0</v>
      </c>
      <c r="N7" s="16">
        <v>0</v>
      </c>
      <c r="O7" s="14">
        <v>0</v>
      </c>
      <c r="P7" s="16">
        <v>0</v>
      </c>
      <c r="Q7" s="14">
        <v>0</v>
      </c>
      <c r="R7" s="16">
        <v>0</v>
      </c>
    </row>
    <row r="8" spans="1:18" x14ac:dyDescent="0.25">
      <c r="A8" s="11" t="s">
        <v>140</v>
      </c>
      <c r="B8" s="13">
        <v>7007</v>
      </c>
      <c r="C8" s="14">
        <f>(5812/B8*100)</f>
        <v>82.94562580276866</v>
      </c>
      <c r="D8" s="15">
        <v>1195</v>
      </c>
      <c r="E8" s="14">
        <v>37.993320390000001</v>
      </c>
      <c r="F8" s="16">
        <v>1.34955227</v>
      </c>
      <c r="G8" s="14">
        <v>62.006679609999999</v>
      </c>
      <c r="H8" s="16">
        <v>1.34955227</v>
      </c>
      <c r="I8" s="14" t="s">
        <v>139</v>
      </c>
      <c r="J8" s="16" t="s">
        <v>139</v>
      </c>
      <c r="K8" s="14">
        <v>0</v>
      </c>
      <c r="L8" s="16">
        <v>0</v>
      </c>
      <c r="M8" s="14">
        <v>0</v>
      </c>
      <c r="N8" s="16">
        <v>0</v>
      </c>
      <c r="O8" s="14">
        <v>0</v>
      </c>
      <c r="P8" s="16">
        <v>0</v>
      </c>
      <c r="Q8" s="14">
        <v>0</v>
      </c>
      <c r="R8" s="16">
        <v>0</v>
      </c>
    </row>
    <row r="9" spans="1:18" x14ac:dyDescent="0.25">
      <c r="A9" s="11" t="s">
        <v>141</v>
      </c>
      <c r="B9" s="13">
        <v>9651</v>
      </c>
      <c r="C9" s="14">
        <f>(8044/B9*100)</f>
        <v>83.34887576416952</v>
      </c>
      <c r="D9" s="15">
        <v>1607</v>
      </c>
      <c r="E9" s="14">
        <v>32.3990784</v>
      </c>
      <c r="F9" s="16">
        <v>1.1057110999999999</v>
      </c>
      <c r="G9" s="14">
        <v>67.600921600000007</v>
      </c>
      <c r="H9" s="16">
        <v>1.1057110999999999</v>
      </c>
      <c r="I9" s="14" t="s">
        <v>139</v>
      </c>
      <c r="J9" s="16" t="s">
        <v>139</v>
      </c>
      <c r="K9" s="14">
        <v>0</v>
      </c>
      <c r="L9" s="16">
        <v>0</v>
      </c>
      <c r="M9" s="14">
        <v>0</v>
      </c>
      <c r="N9" s="16">
        <v>0</v>
      </c>
      <c r="O9" s="14">
        <v>0</v>
      </c>
      <c r="P9" s="16">
        <v>0</v>
      </c>
      <c r="Q9" s="14">
        <v>0</v>
      </c>
      <c r="R9" s="16">
        <v>0</v>
      </c>
    </row>
    <row r="10" spans="1:18" x14ac:dyDescent="0.25">
      <c r="A10" s="11" t="s">
        <v>142</v>
      </c>
      <c r="B10" s="13">
        <v>20058</v>
      </c>
      <c r="C10" s="14">
        <f>(16638/B10*100)</f>
        <v>82.949446604845946</v>
      </c>
      <c r="D10" s="15">
        <v>3420</v>
      </c>
      <c r="E10" s="14">
        <v>36.973976440000001</v>
      </c>
      <c r="F10" s="16">
        <v>1.24993642</v>
      </c>
      <c r="G10" s="14">
        <v>63.026023559999999</v>
      </c>
      <c r="H10" s="16">
        <v>1.24993642</v>
      </c>
      <c r="I10" s="14" t="s">
        <v>139</v>
      </c>
      <c r="J10" s="16" t="s">
        <v>139</v>
      </c>
      <c r="K10" s="14">
        <v>0</v>
      </c>
      <c r="L10" s="16">
        <v>0</v>
      </c>
      <c r="M10" s="14">
        <v>0</v>
      </c>
      <c r="N10" s="16">
        <v>0</v>
      </c>
      <c r="O10" s="14">
        <v>0</v>
      </c>
      <c r="P10" s="16">
        <v>0</v>
      </c>
      <c r="Q10" s="14">
        <v>0</v>
      </c>
      <c r="R10" s="16">
        <v>0</v>
      </c>
    </row>
    <row r="11" spans="1:18" x14ac:dyDescent="0.25">
      <c r="A11" s="11" t="s">
        <v>143</v>
      </c>
      <c r="B11" s="13">
        <v>7053</v>
      </c>
      <c r="C11" s="14">
        <f>(5851/B11*100)</f>
        <v>82.957606692187724</v>
      </c>
      <c r="D11" s="15">
        <v>1202</v>
      </c>
      <c r="E11" s="14">
        <v>41.110572240000003</v>
      </c>
      <c r="F11" s="16">
        <v>1.5836699299999999</v>
      </c>
      <c r="G11" s="14">
        <v>58.889427759999997</v>
      </c>
      <c r="H11" s="16">
        <v>1.5836699299999999</v>
      </c>
      <c r="I11" s="14" t="s">
        <v>139</v>
      </c>
      <c r="J11" s="16" t="s">
        <v>139</v>
      </c>
      <c r="K11" s="14">
        <v>0</v>
      </c>
      <c r="L11" s="16">
        <v>0</v>
      </c>
      <c r="M11" s="14">
        <v>0</v>
      </c>
      <c r="N11" s="16">
        <v>0</v>
      </c>
      <c r="O11" s="14">
        <v>0</v>
      </c>
      <c r="P11" s="16">
        <v>0</v>
      </c>
      <c r="Q11" s="14">
        <v>0</v>
      </c>
      <c r="R11" s="16">
        <v>0</v>
      </c>
    </row>
    <row r="12" spans="1:18" x14ac:dyDescent="0.25">
      <c r="A12" s="11" t="s">
        <v>144</v>
      </c>
      <c r="B12" s="13">
        <v>6894</v>
      </c>
      <c r="C12" s="14">
        <f>(5720/B12*100)</f>
        <v>82.970699158688717</v>
      </c>
      <c r="D12" s="15">
        <v>1174</v>
      </c>
      <c r="E12" s="14">
        <v>41.286214409999999</v>
      </c>
      <c r="F12" s="16">
        <v>1.9832866499999999</v>
      </c>
      <c r="G12" s="14">
        <v>58.713785590000001</v>
      </c>
      <c r="H12" s="16">
        <v>1.9832866499999999</v>
      </c>
      <c r="I12" s="14" t="s">
        <v>139</v>
      </c>
      <c r="J12" s="16" t="s">
        <v>139</v>
      </c>
      <c r="K12" s="14">
        <v>0</v>
      </c>
      <c r="L12" s="16">
        <v>0</v>
      </c>
      <c r="M12" s="14">
        <v>0</v>
      </c>
      <c r="N12" s="16">
        <v>0</v>
      </c>
      <c r="O12" s="14">
        <v>0</v>
      </c>
      <c r="P12" s="16">
        <v>0</v>
      </c>
      <c r="Q12" s="14">
        <v>0</v>
      </c>
      <c r="R12" s="16">
        <v>0</v>
      </c>
    </row>
    <row r="13" spans="1:18" x14ac:dyDescent="0.25">
      <c r="A13" s="11" t="s">
        <v>145</v>
      </c>
      <c r="B13" s="13">
        <v>7161</v>
      </c>
      <c r="C13" s="14">
        <f>(6008/B13*100)</f>
        <v>83.898896802122607</v>
      </c>
      <c r="D13" s="15">
        <v>1153</v>
      </c>
      <c r="E13" s="14">
        <v>39.702459439999998</v>
      </c>
      <c r="F13" s="16">
        <v>1.83308951</v>
      </c>
      <c r="G13" s="14">
        <v>60.297540560000002</v>
      </c>
      <c r="H13" s="16">
        <v>1.83308951</v>
      </c>
      <c r="I13" s="14" t="s">
        <v>139</v>
      </c>
      <c r="J13" s="16" t="s">
        <v>139</v>
      </c>
      <c r="K13" s="14">
        <v>0</v>
      </c>
      <c r="L13" s="16">
        <v>0</v>
      </c>
      <c r="M13" s="14">
        <v>0</v>
      </c>
      <c r="N13" s="16">
        <v>0</v>
      </c>
      <c r="O13" s="14">
        <v>0</v>
      </c>
      <c r="P13" s="16">
        <v>0</v>
      </c>
      <c r="Q13" s="14">
        <v>0</v>
      </c>
      <c r="R13" s="16">
        <v>0</v>
      </c>
    </row>
    <row r="14" spans="1:18" x14ac:dyDescent="0.25">
      <c r="A14" s="11" t="s">
        <v>146</v>
      </c>
      <c r="B14" s="13">
        <v>5587</v>
      </c>
      <c r="C14" s="14">
        <f>(4631/B14*100)</f>
        <v>82.888849114014675</v>
      </c>
      <c r="D14" s="15">
        <v>956</v>
      </c>
      <c r="E14" s="14">
        <v>25.29145201</v>
      </c>
      <c r="F14" s="16">
        <v>1.54332789</v>
      </c>
      <c r="G14" s="14">
        <v>74.70854799</v>
      </c>
      <c r="H14" s="16">
        <v>1.54332789</v>
      </c>
      <c r="I14" s="14" t="s">
        <v>139</v>
      </c>
      <c r="J14" s="16" t="s">
        <v>139</v>
      </c>
      <c r="K14" s="14">
        <v>0</v>
      </c>
      <c r="L14" s="16">
        <v>0</v>
      </c>
      <c r="M14" s="14">
        <v>0</v>
      </c>
      <c r="N14" s="16">
        <v>0</v>
      </c>
      <c r="O14" s="14">
        <v>0</v>
      </c>
      <c r="P14" s="16">
        <v>0</v>
      </c>
      <c r="Q14" s="14">
        <v>0</v>
      </c>
      <c r="R14" s="16">
        <v>0</v>
      </c>
    </row>
    <row r="15" spans="1:18" x14ac:dyDescent="0.25">
      <c r="A15" s="11" t="s">
        <v>147</v>
      </c>
      <c r="B15" s="13">
        <v>5882</v>
      </c>
      <c r="C15" s="14">
        <f>(4867/B15*100)</f>
        <v>82.743964637878278</v>
      </c>
      <c r="D15" s="15">
        <v>1015</v>
      </c>
      <c r="E15" s="14">
        <v>27.530737890000001</v>
      </c>
      <c r="F15" s="16">
        <v>1.35550869</v>
      </c>
      <c r="G15" s="14">
        <v>72.469262110000003</v>
      </c>
      <c r="H15" s="16">
        <v>1.35550869</v>
      </c>
      <c r="I15" s="14" t="s">
        <v>139</v>
      </c>
      <c r="J15" s="16" t="s">
        <v>139</v>
      </c>
      <c r="K15" s="14">
        <v>0</v>
      </c>
      <c r="L15" s="16">
        <v>0</v>
      </c>
      <c r="M15" s="14">
        <v>0</v>
      </c>
      <c r="N15" s="16">
        <v>0</v>
      </c>
      <c r="O15" s="14">
        <v>0</v>
      </c>
      <c r="P15" s="16">
        <v>0</v>
      </c>
      <c r="Q15" s="14">
        <v>0</v>
      </c>
      <c r="R15" s="16">
        <v>0</v>
      </c>
    </row>
    <row r="16" spans="1:18" x14ac:dyDescent="0.25">
      <c r="A16" s="11" t="s">
        <v>148</v>
      </c>
      <c r="B16" s="13">
        <v>6108</v>
      </c>
      <c r="C16" s="14">
        <f>(5047/B16*100)</f>
        <v>82.629338572364105</v>
      </c>
      <c r="D16" s="15">
        <v>1061</v>
      </c>
      <c r="E16" s="14">
        <v>36.613863760000001</v>
      </c>
      <c r="F16" s="16">
        <v>1.5614948799999999</v>
      </c>
      <c r="G16" s="14">
        <v>63.386136239999999</v>
      </c>
      <c r="H16" s="16">
        <v>1.5614948799999999</v>
      </c>
      <c r="I16" s="14" t="s">
        <v>139</v>
      </c>
      <c r="J16" s="16" t="s">
        <v>139</v>
      </c>
      <c r="K16" s="14">
        <v>0</v>
      </c>
      <c r="L16" s="16">
        <v>0</v>
      </c>
      <c r="M16" s="14">
        <v>0</v>
      </c>
      <c r="N16" s="16">
        <v>0</v>
      </c>
      <c r="O16" s="14">
        <v>0</v>
      </c>
      <c r="P16" s="16">
        <v>0</v>
      </c>
      <c r="Q16" s="14">
        <v>0</v>
      </c>
      <c r="R16" s="16">
        <v>0</v>
      </c>
    </row>
    <row r="17" spans="1:18" x14ac:dyDescent="0.25">
      <c r="A17" s="11" t="s">
        <v>149</v>
      </c>
      <c r="B17" s="13">
        <v>6504</v>
      </c>
      <c r="C17" s="14">
        <f>(5401/B17*100)</f>
        <v>83.041205412054126</v>
      </c>
      <c r="D17" s="15">
        <v>1103</v>
      </c>
      <c r="E17" s="14">
        <v>32.759704380000002</v>
      </c>
      <c r="F17" s="16">
        <v>1.4432907500000001</v>
      </c>
      <c r="G17" s="14">
        <v>67.240295619999998</v>
      </c>
      <c r="H17" s="16">
        <v>1.4432907500000001</v>
      </c>
      <c r="I17" s="14" t="s">
        <v>139</v>
      </c>
      <c r="J17" s="16" t="s">
        <v>139</v>
      </c>
      <c r="K17" s="14">
        <v>0</v>
      </c>
      <c r="L17" s="16">
        <v>0</v>
      </c>
      <c r="M17" s="14">
        <v>0</v>
      </c>
      <c r="N17" s="16">
        <v>0</v>
      </c>
      <c r="O17" s="14">
        <v>0</v>
      </c>
      <c r="P17" s="16">
        <v>0</v>
      </c>
      <c r="Q17" s="14">
        <v>0</v>
      </c>
      <c r="R17" s="16">
        <v>0</v>
      </c>
    </row>
    <row r="18" spans="1:18" x14ac:dyDescent="0.25">
      <c r="A18" s="11" t="s">
        <v>150</v>
      </c>
      <c r="B18" s="13">
        <v>5532</v>
      </c>
      <c r="C18" s="14">
        <f>(4618/B18*100)</f>
        <v>83.477946493130872</v>
      </c>
      <c r="D18" s="15">
        <v>914</v>
      </c>
      <c r="E18" s="14">
        <v>44.513470349999999</v>
      </c>
      <c r="F18" s="16">
        <v>1.93753544</v>
      </c>
      <c r="G18" s="14">
        <v>55.486529650000001</v>
      </c>
      <c r="H18" s="16">
        <v>1.93753544</v>
      </c>
      <c r="I18" s="14" t="s">
        <v>139</v>
      </c>
      <c r="J18" s="16" t="s">
        <v>139</v>
      </c>
      <c r="K18" s="14">
        <v>0</v>
      </c>
      <c r="L18" s="16">
        <v>0</v>
      </c>
      <c r="M18" s="14">
        <v>0</v>
      </c>
      <c r="N18" s="16">
        <v>0</v>
      </c>
      <c r="O18" s="14">
        <v>0</v>
      </c>
      <c r="P18" s="16">
        <v>0</v>
      </c>
      <c r="Q18" s="14">
        <v>0</v>
      </c>
      <c r="R18" s="16">
        <v>0</v>
      </c>
    </row>
    <row r="19" spans="1:18" x14ac:dyDescent="0.25">
      <c r="A19" s="11" t="s">
        <v>151</v>
      </c>
      <c r="B19" s="13">
        <v>5658</v>
      </c>
      <c r="C19" s="14">
        <f>(4693/B19*100)</f>
        <v>82.944503358077057</v>
      </c>
      <c r="D19" s="15">
        <v>965</v>
      </c>
      <c r="E19" s="14">
        <v>55.528078729999997</v>
      </c>
      <c r="F19" s="16">
        <v>1.48718309</v>
      </c>
      <c r="G19" s="14">
        <v>44.471921270000003</v>
      </c>
      <c r="H19" s="16">
        <v>1.48718309</v>
      </c>
      <c r="I19" s="14" t="s">
        <v>139</v>
      </c>
      <c r="J19" s="16" t="s">
        <v>139</v>
      </c>
      <c r="K19" s="14">
        <v>0</v>
      </c>
      <c r="L19" s="16">
        <v>0</v>
      </c>
      <c r="M19" s="14">
        <v>0</v>
      </c>
      <c r="N19" s="16">
        <v>0</v>
      </c>
      <c r="O19" s="14">
        <v>0</v>
      </c>
      <c r="P19" s="16">
        <v>0</v>
      </c>
      <c r="Q19" s="14">
        <v>0</v>
      </c>
      <c r="R19" s="16">
        <v>0</v>
      </c>
    </row>
    <row r="20" spans="1:18" x14ac:dyDescent="0.25">
      <c r="A20" s="11" t="s">
        <v>152</v>
      </c>
      <c r="B20" s="13">
        <v>3371</v>
      </c>
      <c r="C20" s="14">
        <f>(2807/B20*100)</f>
        <v>83.26905962622368</v>
      </c>
      <c r="D20" s="15">
        <v>564</v>
      </c>
      <c r="E20" s="14">
        <v>41.464627980000003</v>
      </c>
      <c r="F20" s="16">
        <v>2.21204073</v>
      </c>
      <c r="G20" s="14">
        <v>58.535372019999997</v>
      </c>
      <c r="H20" s="16">
        <v>2.21204073</v>
      </c>
      <c r="I20" s="14" t="s">
        <v>139</v>
      </c>
      <c r="J20" s="16" t="s">
        <v>139</v>
      </c>
      <c r="K20" s="14">
        <v>0</v>
      </c>
      <c r="L20" s="16">
        <v>0</v>
      </c>
      <c r="M20" s="14">
        <v>0</v>
      </c>
      <c r="N20" s="16">
        <v>0</v>
      </c>
      <c r="O20" s="14">
        <v>0</v>
      </c>
      <c r="P20" s="16">
        <v>0</v>
      </c>
      <c r="Q20" s="14">
        <v>0</v>
      </c>
      <c r="R20" s="16">
        <v>0</v>
      </c>
    </row>
    <row r="21" spans="1:18" x14ac:dyDescent="0.25">
      <c r="A21" s="11" t="s">
        <v>153</v>
      </c>
      <c r="B21" s="17" t="s">
        <v>154</v>
      </c>
      <c r="C21" s="17" t="s">
        <v>154</v>
      </c>
      <c r="D21" s="18" t="s">
        <v>154</v>
      </c>
      <c r="E21" s="17" t="s">
        <v>154</v>
      </c>
      <c r="F21" s="18" t="s">
        <v>154</v>
      </c>
      <c r="G21" s="17" t="s">
        <v>154</v>
      </c>
      <c r="H21" s="18" t="s">
        <v>154</v>
      </c>
      <c r="I21" s="17" t="s">
        <v>154</v>
      </c>
      <c r="J21" s="18" t="s">
        <v>154</v>
      </c>
      <c r="K21" s="17" t="s">
        <v>154</v>
      </c>
      <c r="L21" s="18" t="s">
        <v>154</v>
      </c>
      <c r="M21" s="17" t="s">
        <v>154</v>
      </c>
      <c r="N21" s="18" t="s">
        <v>154</v>
      </c>
      <c r="O21" s="17" t="s">
        <v>154</v>
      </c>
      <c r="P21" s="18" t="s">
        <v>154</v>
      </c>
      <c r="Q21" s="17" t="s">
        <v>154</v>
      </c>
      <c r="R21" s="18" t="s">
        <v>154</v>
      </c>
    </row>
    <row r="22" spans="1:18" x14ac:dyDescent="0.25">
      <c r="A22" s="11" t="s">
        <v>155</v>
      </c>
      <c r="B22" s="13">
        <v>6598</v>
      </c>
      <c r="C22" s="14">
        <f>(5567/B22*100)</f>
        <v>84.374052743255533</v>
      </c>
      <c r="D22" s="15">
        <v>1031</v>
      </c>
      <c r="E22" s="14">
        <v>33.296846180000003</v>
      </c>
      <c r="F22" s="16">
        <v>1.44180625</v>
      </c>
      <c r="G22" s="14">
        <v>66.703153819999997</v>
      </c>
      <c r="H22" s="16">
        <v>1.44180625</v>
      </c>
      <c r="I22" s="14" t="s">
        <v>139</v>
      </c>
      <c r="J22" s="16" t="s">
        <v>139</v>
      </c>
      <c r="K22" s="14">
        <v>0</v>
      </c>
      <c r="L22" s="16">
        <v>0</v>
      </c>
      <c r="M22" s="14">
        <v>0</v>
      </c>
      <c r="N22" s="16">
        <v>0</v>
      </c>
      <c r="O22" s="14">
        <v>0</v>
      </c>
      <c r="P22" s="16">
        <v>0</v>
      </c>
      <c r="Q22" s="14">
        <v>0</v>
      </c>
      <c r="R22" s="16">
        <v>0</v>
      </c>
    </row>
    <row r="23" spans="1:18" x14ac:dyDescent="0.25">
      <c r="A23" s="11" t="s">
        <v>156</v>
      </c>
      <c r="B23" s="13">
        <v>11583</v>
      </c>
      <c r="C23" s="14">
        <f>(9592/B23*100)</f>
        <v>82.81101614434948</v>
      </c>
      <c r="D23" s="15">
        <v>1991</v>
      </c>
      <c r="E23" s="14">
        <v>43.620892069999996</v>
      </c>
      <c r="F23" s="16">
        <v>1.7429819600000001</v>
      </c>
      <c r="G23" s="14">
        <v>56.379107930000004</v>
      </c>
      <c r="H23" s="16">
        <v>1.7429819600000001</v>
      </c>
      <c r="I23" s="14" t="s">
        <v>139</v>
      </c>
      <c r="J23" s="16" t="s">
        <v>139</v>
      </c>
      <c r="K23" s="14">
        <v>0</v>
      </c>
      <c r="L23" s="16">
        <v>0</v>
      </c>
      <c r="M23" s="14">
        <v>0</v>
      </c>
      <c r="N23" s="16">
        <v>0</v>
      </c>
      <c r="O23" s="14">
        <v>0</v>
      </c>
      <c r="P23" s="16">
        <v>0</v>
      </c>
      <c r="Q23" s="14">
        <v>0</v>
      </c>
      <c r="R23" s="16">
        <v>0</v>
      </c>
    </row>
    <row r="24" spans="1:18" x14ac:dyDescent="0.25">
      <c r="A24" s="11" t="s">
        <v>157</v>
      </c>
      <c r="B24" s="13">
        <v>6647</v>
      </c>
      <c r="C24" s="14">
        <f>(5467/B24*100)</f>
        <v>82.247630510004512</v>
      </c>
      <c r="D24" s="15">
        <v>1180</v>
      </c>
      <c r="E24" s="14">
        <v>31.805214889999998</v>
      </c>
      <c r="F24" s="16">
        <v>1.4945650800000001</v>
      </c>
      <c r="G24" s="14">
        <v>68.194785109999998</v>
      </c>
      <c r="H24" s="16">
        <v>1.4945650800000001</v>
      </c>
      <c r="I24" s="14" t="s">
        <v>139</v>
      </c>
      <c r="J24" s="16" t="s">
        <v>139</v>
      </c>
      <c r="K24" s="14">
        <v>0</v>
      </c>
      <c r="L24" s="16">
        <v>0</v>
      </c>
      <c r="M24" s="14">
        <v>0</v>
      </c>
      <c r="N24" s="16">
        <v>0</v>
      </c>
      <c r="O24" s="14">
        <v>0</v>
      </c>
      <c r="P24" s="16">
        <v>0</v>
      </c>
      <c r="Q24" s="14">
        <v>0</v>
      </c>
      <c r="R24" s="16">
        <v>0</v>
      </c>
    </row>
    <row r="25" spans="1:18" x14ac:dyDescent="0.25">
      <c r="A25" s="11" t="s">
        <v>158</v>
      </c>
      <c r="B25" s="13">
        <v>5581</v>
      </c>
      <c r="C25" s="14">
        <f>(4597/B25*100)</f>
        <v>82.368751119870993</v>
      </c>
      <c r="D25" s="15">
        <v>984</v>
      </c>
      <c r="E25" s="14">
        <v>40.005155260000002</v>
      </c>
      <c r="F25" s="16">
        <v>1.62037875</v>
      </c>
      <c r="G25" s="14">
        <v>59.994844739999998</v>
      </c>
      <c r="H25" s="16">
        <v>1.62037875</v>
      </c>
      <c r="I25" s="14" t="s">
        <v>139</v>
      </c>
      <c r="J25" s="16" t="s">
        <v>139</v>
      </c>
      <c r="K25" s="14">
        <v>0</v>
      </c>
      <c r="L25" s="16">
        <v>0</v>
      </c>
      <c r="M25" s="14">
        <v>0</v>
      </c>
      <c r="N25" s="16">
        <v>0</v>
      </c>
      <c r="O25" s="14">
        <v>0</v>
      </c>
      <c r="P25" s="16">
        <v>0</v>
      </c>
      <c r="Q25" s="14">
        <v>0</v>
      </c>
      <c r="R25" s="16">
        <v>0</v>
      </c>
    </row>
    <row r="26" spans="1:18" x14ac:dyDescent="0.25">
      <c r="A26" s="11" t="s">
        <v>159</v>
      </c>
      <c r="B26" s="13">
        <v>4869</v>
      </c>
      <c r="C26" s="14">
        <f>(4032/B26*100)</f>
        <v>82.809611829944558</v>
      </c>
      <c r="D26" s="15">
        <v>837</v>
      </c>
      <c r="E26" s="14">
        <v>39.096244980000002</v>
      </c>
      <c r="F26" s="16">
        <v>1.6886230900000001</v>
      </c>
      <c r="G26" s="14">
        <v>60.903755019999998</v>
      </c>
      <c r="H26" s="16">
        <v>1.6886230900000001</v>
      </c>
      <c r="I26" s="14" t="s">
        <v>139</v>
      </c>
      <c r="J26" s="16" t="s">
        <v>139</v>
      </c>
      <c r="K26" s="14">
        <v>0</v>
      </c>
      <c r="L26" s="16">
        <v>0</v>
      </c>
      <c r="M26" s="14">
        <v>0</v>
      </c>
      <c r="N26" s="16">
        <v>0</v>
      </c>
      <c r="O26" s="14">
        <v>0</v>
      </c>
      <c r="P26" s="16">
        <v>0</v>
      </c>
      <c r="Q26" s="14">
        <v>0</v>
      </c>
      <c r="R26" s="16">
        <v>0</v>
      </c>
    </row>
    <row r="27" spans="1:18" x14ac:dyDescent="0.25">
      <c r="A27" s="11" t="s">
        <v>160</v>
      </c>
      <c r="B27" s="13">
        <v>5299</v>
      </c>
      <c r="C27" s="14">
        <f>(4397/B27*100)</f>
        <v>82.977920362332512</v>
      </c>
      <c r="D27" s="15">
        <v>902</v>
      </c>
      <c r="E27" s="14">
        <v>41.432643130000002</v>
      </c>
      <c r="F27" s="16">
        <v>1.5232663</v>
      </c>
      <c r="G27" s="14">
        <v>58.567356869999998</v>
      </c>
      <c r="H27" s="16">
        <v>1.5232663</v>
      </c>
      <c r="I27" s="14" t="s">
        <v>139</v>
      </c>
      <c r="J27" s="16" t="s">
        <v>139</v>
      </c>
      <c r="K27" s="14">
        <v>0</v>
      </c>
      <c r="L27" s="16">
        <v>0</v>
      </c>
      <c r="M27" s="14">
        <v>0</v>
      </c>
      <c r="N27" s="16">
        <v>0</v>
      </c>
      <c r="O27" s="14">
        <v>0</v>
      </c>
      <c r="P27" s="16">
        <v>0</v>
      </c>
      <c r="Q27" s="14">
        <v>0</v>
      </c>
      <c r="R27" s="16">
        <v>0</v>
      </c>
    </row>
    <row r="28" spans="1:18" x14ac:dyDescent="0.25">
      <c r="A28" s="11" t="s">
        <v>161</v>
      </c>
      <c r="B28" s="13">
        <v>7568</v>
      </c>
      <c r="C28" s="14">
        <f>(6322/B28*100)</f>
        <v>83.535940803382672</v>
      </c>
      <c r="D28" s="15">
        <v>1246</v>
      </c>
      <c r="E28" s="14">
        <v>43.370159940000001</v>
      </c>
      <c r="F28" s="16">
        <v>1.6009757899999999</v>
      </c>
      <c r="G28" s="14">
        <v>56.629840059999999</v>
      </c>
      <c r="H28" s="16">
        <v>1.6009757899999999</v>
      </c>
      <c r="I28" s="14" t="s">
        <v>139</v>
      </c>
      <c r="J28" s="16" t="s">
        <v>139</v>
      </c>
      <c r="K28" s="14">
        <v>0</v>
      </c>
      <c r="L28" s="16">
        <v>0</v>
      </c>
      <c r="M28" s="14">
        <v>0</v>
      </c>
      <c r="N28" s="16">
        <v>0</v>
      </c>
      <c r="O28" s="14">
        <v>0</v>
      </c>
      <c r="P28" s="16">
        <v>0</v>
      </c>
      <c r="Q28" s="14">
        <v>0</v>
      </c>
      <c r="R28" s="16">
        <v>0</v>
      </c>
    </row>
    <row r="29" spans="1:18" x14ac:dyDescent="0.25">
      <c r="A29" s="11" t="s">
        <v>162</v>
      </c>
      <c r="B29" s="13">
        <v>5385</v>
      </c>
      <c r="C29" s="14">
        <f>(4466/B29*100)</f>
        <v>82.934076137418757</v>
      </c>
      <c r="D29" s="15">
        <v>919</v>
      </c>
      <c r="E29" s="14">
        <v>23.30936054</v>
      </c>
      <c r="F29" s="16">
        <v>1.40756415</v>
      </c>
      <c r="G29" s="14">
        <v>76.69063946</v>
      </c>
      <c r="H29" s="16">
        <v>1.40756415</v>
      </c>
      <c r="I29" s="14" t="s">
        <v>139</v>
      </c>
      <c r="J29" s="16" t="s">
        <v>139</v>
      </c>
      <c r="K29" s="14">
        <v>0</v>
      </c>
      <c r="L29" s="16">
        <v>0</v>
      </c>
      <c r="M29" s="14">
        <v>0</v>
      </c>
      <c r="N29" s="16">
        <v>0</v>
      </c>
      <c r="O29" s="14">
        <v>0</v>
      </c>
      <c r="P29" s="16">
        <v>0</v>
      </c>
      <c r="Q29" s="14">
        <v>0</v>
      </c>
      <c r="R29" s="16">
        <v>0</v>
      </c>
    </row>
    <row r="30" spans="1:18" x14ac:dyDescent="0.25">
      <c r="A30" s="11" t="s">
        <v>163</v>
      </c>
      <c r="B30" s="13">
        <v>4520</v>
      </c>
      <c r="C30" s="14">
        <f>(3753/B30*100)</f>
        <v>83.030973451327441</v>
      </c>
      <c r="D30" s="15">
        <v>767</v>
      </c>
      <c r="E30" s="14">
        <v>37.045091200000002</v>
      </c>
      <c r="F30" s="16">
        <v>1.8240255400000001</v>
      </c>
      <c r="G30" s="14">
        <v>62.954908799999998</v>
      </c>
      <c r="H30" s="16">
        <v>1.8240255400000001</v>
      </c>
      <c r="I30" s="14" t="s">
        <v>139</v>
      </c>
      <c r="J30" s="16" t="s">
        <v>139</v>
      </c>
      <c r="K30" s="14">
        <v>0</v>
      </c>
      <c r="L30" s="16">
        <v>0</v>
      </c>
      <c r="M30" s="14">
        <v>0</v>
      </c>
      <c r="N30" s="16">
        <v>0</v>
      </c>
      <c r="O30" s="14">
        <v>0</v>
      </c>
      <c r="P30" s="16">
        <v>0</v>
      </c>
      <c r="Q30" s="14">
        <v>0</v>
      </c>
      <c r="R30" s="16">
        <v>0</v>
      </c>
    </row>
    <row r="31" spans="1:18" x14ac:dyDescent="0.25">
      <c r="A31" s="11" t="s">
        <v>164</v>
      </c>
      <c r="B31" s="13">
        <v>5456</v>
      </c>
      <c r="C31" s="14">
        <f>(4490/B31*100)</f>
        <v>82.294721407624635</v>
      </c>
      <c r="D31" s="15">
        <v>966</v>
      </c>
      <c r="E31" s="14">
        <v>37.908372100000001</v>
      </c>
      <c r="F31" s="16">
        <v>1.34409534</v>
      </c>
      <c r="G31" s="14">
        <v>62.091627899999999</v>
      </c>
      <c r="H31" s="16">
        <v>1.34409534</v>
      </c>
      <c r="I31" s="14" t="s">
        <v>139</v>
      </c>
      <c r="J31" s="16" t="s">
        <v>139</v>
      </c>
      <c r="K31" s="14">
        <v>0</v>
      </c>
      <c r="L31" s="16">
        <v>0</v>
      </c>
      <c r="M31" s="14">
        <v>0</v>
      </c>
      <c r="N31" s="16">
        <v>0</v>
      </c>
      <c r="O31" s="14">
        <v>0</v>
      </c>
      <c r="P31" s="16">
        <v>0</v>
      </c>
      <c r="Q31" s="14">
        <v>0</v>
      </c>
      <c r="R31" s="16">
        <v>0</v>
      </c>
    </row>
    <row r="32" spans="1:18" x14ac:dyDescent="0.25">
      <c r="A32" s="11" t="s">
        <v>165</v>
      </c>
      <c r="B32" s="17" t="s">
        <v>154</v>
      </c>
      <c r="C32" s="17" t="s">
        <v>154</v>
      </c>
      <c r="D32" s="18" t="s">
        <v>154</v>
      </c>
      <c r="E32" s="17" t="s">
        <v>154</v>
      </c>
      <c r="F32" s="18" t="s">
        <v>154</v>
      </c>
      <c r="G32" s="17" t="s">
        <v>154</v>
      </c>
      <c r="H32" s="18" t="s">
        <v>154</v>
      </c>
      <c r="I32" s="17" t="s">
        <v>154</v>
      </c>
      <c r="J32" s="18" t="s">
        <v>154</v>
      </c>
      <c r="K32" s="17" t="s">
        <v>154</v>
      </c>
      <c r="L32" s="18" t="s">
        <v>154</v>
      </c>
      <c r="M32" s="17" t="s">
        <v>154</v>
      </c>
      <c r="N32" s="18" t="s">
        <v>154</v>
      </c>
      <c r="O32" s="17" t="s">
        <v>154</v>
      </c>
      <c r="P32" s="18" t="s">
        <v>154</v>
      </c>
      <c r="Q32" s="17" t="s">
        <v>154</v>
      </c>
      <c r="R32" s="18" t="s">
        <v>154</v>
      </c>
    </row>
    <row r="33" spans="1:18" x14ac:dyDescent="0.25">
      <c r="A33" s="11" t="s">
        <v>166</v>
      </c>
      <c r="B33" s="13">
        <v>7325</v>
      </c>
      <c r="C33" s="14">
        <f>(6062/B33*100)</f>
        <v>82.757679180887365</v>
      </c>
      <c r="D33" s="15">
        <v>1263</v>
      </c>
      <c r="E33" s="14">
        <v>42.401947849999999</v>
      </c>
      <c r="F33" s="16">
        <v>1.6103520200000001</v>
      </c>
      <c r="G33" s="14">
        <v>57.598052150000001</v>
      </c>
      <c r="H33" s="16">
        <v>1.6103520200000001</v>
      </c>
      <c r="I33" s="14" t="s">
        <v>139</v>
      </c>
      <c r="J33" s="16" t="s">
        <v>139</v>
      </c>
      <c r="K33" s="14">
        <v>0</v>
      </c>
      <c r="L33" s="16">
        <v>0</v>
      </c>
      <c r="M33" s="14">
        <v>0</v>
      </c>
      <c r="N33" s="16">
        <v>0</v>
      </c>
      <c r="O33" s="14">
        <v>0</v>
      </c>
      <c r="P33" s="16">
        <v>0</v>
      </c>
      <c r="Q33" s="14">
        <v>0</v>
      </c>
      <c r="R33" s="16">
        <v>0</v>
      </c>
    </row>
    <row r="34" spans="1:18" x14ac:dyDescent="0.25">
      <c r="A34" s="11" t="s">
        <v>167</v>
      </c>
      <c r="B34" s="13">
        <v>6350</v>
      </c>
      <c r="C34" s="14">
        <f>(5302/B34*100)</f>
        <v>83.496062992125985</v>
      </c>
      <c r="D34" s="15">
        <v>1048</v>
      </c>
      <c r="E34" s="14">
        <v>45.787653779999999</v>
      </c>
      <c r="F34" s="16">
        <v>1.6881905100000001</v>
      </c>
      <c r="G34" s="14">
        <v>54.212346220000001</v>
      </c>
      <c r="H34" s="16">
        <v>1.6881905100000001</v>
      </c>
      <c r="I34" s="14" t="s">
        <v>139</v>
      </c>
      <c r="J34" s="16" t="s">
        <v>139</v>
      </c>
      <c r="K34" s="14">
        <v>0</v>
      </c>
      <c r="L34" s="16">
        <v>0</v>
      </c>
      <c r="M34" s="14">
        <v>0</v>
      </c>
      <c r="N34" s="16">
        <v>0</v>
      </c>
      <c r="O34" s="14">
        <v>0</v>
      </c>
      <c r="P34" s="16">
        <v>0</v>
      </c>
      <c r="Q34" s="14">
        <v>0</v>
      </c>
      <c r="R34" s="16">
        <v>0</v>
      </c>
    </row>
    <row r="35" spans="1:18" x14ac:dyDescent="0.25">
      <c r="A35" s="11" t="s">
        <v>168</v>
      </c>
      <c r="B35" s="13">
        <v>6406</v>
      </c>
      <c r="C35" s="14">
        <f>(5326/B35*100)</f>
        <v>83.140805494848578</v>
      </c>
      <c r="D35" s="15">
        <v>1080</v>
      </c>
      <c r="E35" s="14">
        <v>40.082401419999997</v>
      </c>
      <c r="F35" s="16">
        <v>1.9170084599999999</v>
      </c>
      <c r="G35" s="14">
        <v>59.917598580000003</v>
      </c>
      <c r="H35" s="16">
        <v>1.9170084599999999</v>
      </c>
      <c r="I35" s="14" t="s">
        <v>139</v>
      </c>
      <c r="J35" s="16" t="s">
        <v>139</v>
      </c>
      <c r="K35" s="14">
        <v>0</v>
      </c>
      <c r="L35" s="16">
        <v>0</v>
      </c>
      <c r="M35" s="14">
        <v>0</v>
      </c>
      <c r="N35" s="16">
        <v>0</v>
      </c>
      <c r="O35" s="14">
        <v>0</v>
      </c>
      <c r="P35" s="16">
        <v>0</v>
      </c>
      <c r="Q35" s="14">
        <v>0</v>
      </c>
      <c r="R35" s="16">
        <v>0</v>
      </c>
    </row>
    <row r="36" spans="1:18" x14ac:dyDescent="0.25">
      <c r="A36" s="11" t="s">
        <v>169</v>
      </c>
      <c r="B36" s="13">
        <v>6736</v>
      </c>
      <c r="C36" s="14">
        <f>(5591/B36*100)</f>
        <v>83.001781472684087</v>
      </c>
      <c r="D36" s="15">
        <v>1145</v>
      </c>
      <c r="E36" s="14">
        <v>31.300582810000002</v>
      </c>
      <c r="F36" s="16">
        <v>1.43868895</v>
      </c>
      <c r="G36" s="14">
        <v>68.699417190000005</v>
      </c>
      <c r="H36" s="16">
        <v>1.43868895</v>
      </c>
      <c r="I36" s="14" t="s">
        <v>139</v>
      </c>
      <c r="J36" s="16" t="s">
        <v>139</v>
      </c>
      <c r="K36" s="14">
        <v>0</v>
      </c>
      <c r="L36" s="16">
        <v>0</v>
      </c>
      <c r="M36" s="14">
        <v>0</v>
      </c>
      <c r="N36" s="16">
        <v>0</v>
      </c>
      <c r="O36" s="14">
        <v>0</v>
      </c>
      <c r="P36" s="16">
        <v>0</v>
      </c>
      <c r="Q36" s="14">
        <v>0</v>
      </c>
      <c r="R36" s="16">
        <v>0</v>
      </c>
    </row>
    <row r="37" spans="1:18" x14ac:dyDescent="0.25">
      <c r="A37" s="11" t="s">
        <v>170</v>
      </c>
      <c r="B37" s="13">
        <v>5458</v>
      </c>
      <c r="C37" s="14">
        <f>(4522/B37*100)</f>
        <v>82.850861121289853</v>
      </c>
      <c r="D37" s="15">
        <v>936</v>
      </c>
      <c r="E37" s="14">
        <v>43.020767569999997</v>
      </c>
      <c r="F37" s="16">
        <v>1.7712906500000001</v>
      </c>
      <c r="G37" s="14">
        <v>56.979232430000003</v>
      </c>
      <c r="H37" s="16">
        <v>1.7712906500000001</v>
      </c>
      <c r="I37" s="14" t="s">
        <v>139</v>
      </c>
      <c r="J37" s="16" t="s">
        <v>139</v>
      </c>
      <c r="K37" s="14">
        <v>0</v>
      </c>
      <c r="L37" s="16">
        <v>0</v>
      </c>
      <c r="M37" s="14">
        <v>0</v>
      </c>
      <c r="N37" s="16">
        <v>0</v>
      </c>
      <c r="O37" s="14">
        <v>0</v>
      </c>
      <c r="P37" s="16">
        <v>0</v>
      </c>
      <c r="Q37" s="14">
        <v>0</v>
      </c>
      <c r="R37" s="16">
        <v>0</v>
      </c>
    </row>
    <row r="38" spans="1:18" x14ac:dyDescent="0.25">
      <c r="A38" s="11" t="s">
        <v>171</v>
      </c>
      <c r="B38" s="17" t="s">
        <v>154</v>
      </c>
      <c r="C38" s="17" t="s">
        <v>154</v>
      </c>
      <c r="D38" s="18" t="s">
        <v>154</v>
      </c>
      <c r="E38" s="17" t="s">
        <v>154</v>
      </c>
      <c r="F38" s="18" t="s">
        <v>154</v>
      </c>
      <c r="G38" s="17" t="s">
        <v>154</v>
      </c>
      <c r="H38" s="18" t="s">
        <v>154</v>
      </c>
      <c r="I38" s="17" t="s">
        <v>154</v>
      </c>
      <c r="J38" s="18" t="s">
        <v>154</v>
      </c>
      <c r="K38" s="17" t="s">
        <v>154</v>
      </c>
      <c r="L38" s="18" t="s">
        <v>154</v>
      </c>
      <c r="M38" s="17" t="s">
        <v>154</v>
      </c>
      <c r="N38" s="18" t="s">
        <v>154</v>
      </c>
      <c r="O38" s="17" t="s">
        <v>154</v>
      </c>
      <c r="P38" s="18" t="s">
        <v>154</v>
      </c>
      <c r="Q38" s="17" t="s">
        <v>154</v>
      </c>
      <c r="R38" s="18" t="s">
        <v>154</v>
      </c>
    </row>
    <row r="39" spans="1:18" x14ac:dyDescent="0.25">
      <c r="A39" s="11" t="s">
        <v>172</v>
      </c>
      <c r="B39" s="13">
        <v>5895</v>
      </c>
      <c r="C39" s="14">
        <f>(4865/B39*100)</f>
        <v>82.527565733672603</v>
      </c>
      <c r="D39" s="15">
        <v>1030</v>
      </c>
      <c r="E39" s="14">
        <v>50.272885680000002</v>
      </c>
      <c r="F39" s="16">
        <v>1.78560443</v>
      </c>
      <c r="G39" s="14">
        <v>49.727114319999998</v>
      </c>
      <c r="H39" s="16">
        <v>1.78560443</v>
      </c>
      <c r="I39" s="14" t="s">
        <v>139</v>
      </c>
      <c r="J39" s="16" t="s">
        <v>139</v>
      </c>
      <c r="K39" s="14">
        <v>0</v>
      </c>
      <c r="L39" s="16">
        <v>0</v>
      </c>
      <c r="M39" s="14">
        <v>0</v>
      </c>
      <c r="N39" s="16">
        <v>0</v>
      </c>
      <c r="O39" s="14">
        <v>0</v>
      </c>
      <c r="P39" s="16">
        <v>0</v>
      </c>
      <c r="Q39" s="14">
        <v>0</v>
      </c>
      <c r="R39" s="16">
        <v>0</v>
      </c>
    </row>
    <row r="40" spans="1:18" x14ac:dyDescent="0.25">
      <c r="A40" s="11" t="s">
        <v>173</v>
      </c>
      <c r="B40" s="13">
        <v>14157</v>
      </c>
      <c r="C40" s="14">
        <f>(11676/B40*100)</f>
        <v>82.475100656918841</v>
      </c>
      <c r="D40" s="15">
        <v>2481</v>
      </c>
      <c r="E40" s="14">
        <v>42.238232539999998</v>
      </c>
      <c r="F40" s="16">
        <v>1.26856492</v>
      </c>
      <c r="G40" s="14">
        <v>57.761767460000002</v>
      </c>
      <c r="H40" s="16">
        <v>1.26856492</v>
      </c>
      <c r="I40" s="14" t="s">
        <v>139</v>
      </c>
      <c r="J40" s="16" t="s">
        <v>139</v>
      </c>
      <c r="K40" s="14">
        <v>0</v>
      </c>
      <c r="L40" s="16">
        <v>0</v>
      </c>
      <c r="M40" s="14">
        <v>0</v>
      </c>
      <c r="N40" s="16">
        <v>0</v>
      </c>
      <c r="O40" s="14">
        <v>0</v>
      </c>
      <c r="P40" s="16">
        <v>0</v>
      </c>
      <c r="Q40" s="14">
        <v>0</v>
      </c>
      <c r="R40" s="16">
        <v>0</v>
      </c>
    </row>
    <row r="41" spans="1:18" x14ac:dyDescent="0.25">
      <c r="A41" s="11" t="s">
        <v>174</v>
      </c>
      <c r="B41" s="13">
        <v>5712</v>
      </c>
      <c r="C41" s="14">
        <f>(4753/B41*100)</f>
        <v>83.210784313725497</v>
      </c>
      <c r="D41" s="15">
        <v>959</v>
      </c>
      <c r="E41" s="14">
        <v>38.145772839999999</v>
      </c>
      <c r="F41" s="16">
        <v>1.6412883199999999</v>
      </c>
      <c r="G41" s="14">
        <v>61.854227160000001</v>
      </c>
      <c r="H41" s="16">
        <v>1.6412883199999999</v>
      </c>
      <c r="I41" s="14" t="s">
        <v>139</v>
      </c>
      <c r="J41" s="16" t="s">
        <v>139</v>
      </c>
      <c r="K41" s="14">
        <v>0</v>
      </c>
      <c r="L41" s="16">
        <v>0</v>
      </c>
      <c r="M41" s="14">
        <v>0</v>
      </c>
      <c r="N41" s="16">
        <v>0</v>
      </c>
      <c r="O41" s="14">
        <v>0</v>
      </c>
      <c r="P41" s="16">
        <v>0</v>
      </c>
      <c r="Q41" s="14">
        <v>0</v>
      </c>
      <c r="R41" s="16">
        <v>0</v>
      </c>
    </row>
    <row r="42" spans="1:18" x14ac:dyDescent="0.25">
      <c r="A42" s="11" t="s">
        <v>175</v>
      </c>
      <c r="B42" s="13">
        <f>IF(COUNT(B7:B41) &gt; 0, AVERAGE(B7:B41), "\u2014")</f>
        <v>7266.90625</v>
      </c>
      <c r="C42" s="14">
        <f>IF(COUNT(C7:C41) &gt; 0, AVERAGE(C7:C41), "—")</f>
        <v>83.006499411908919</v>
      </c>
      <c r="D42" s="15">
        <f>IF(COUNT(D7:D41) &gt; 0, AVERAGE(D7:D41), "—")</f>
        <v>1235.03125</v>
      </c>
      <c r="E42" s="14">
        <f>IF(COUNT(E7:E41) &gt; 0, AVERAGE(E7:E41), "—")</f>
        <v>38.667937430625003</v>
      </c>
      <c r="F42" s="16">
        <f>IF(COUNT(F7:F41) &gt; 0, SQRT(SUMSQ(F7:F41)/(COUNT(F7:F41)*COUNT(F7:F41)) ), "—")</f>
        <v>0.2827557856318802</v>
      </c>
      <c r="G42" s="14">
        <f>IF(COUNT(G7:G41) &gt; 0, AVERAGE(G7:G41), "—")</f>
        <v>61.332062569375012</v>
      </c>
      <c r="H42" s="16">
        <f>IF(COUNT(H7:H41) &gt; 0, SQRT(SUMSQ(H7:H41)/(COUNT(H7:H41)*COUNT(H7:H41)) ), "—")</f>
        <v>0.2827557856318802</v>
      </c>
      <c r="I42" s="14" t="str">
        <f>IF(COUNT(I7:I41) &gt; 0, AVERAGE(I7:I41), "—")</f>
        <v>—</v>
      </c>
      <c r="J42" s="16" t="str">
        <f>IF(COUNT(J7:J41) &gt; 0, SQRT(SUMSQ(J7:J41)/(COUNT(J7:J41)*COUNT(J7:J41)) ), "—")</f>
        <v>—</v>
      </c>
      <c r="K42" s="14">
        <f>IF(COUNT(K7:K41) &gt; 0, AVERAGE(K7:K41), "—")</f>
        <v>0</v>
      </c>
      <c r="L42" s="16">
        <f>IF(COUNT(L7:L41) &gt; 0, SQRT(SUMSQ(L7:L41)/(COUNT(L7:L41)*COUNT(L7:L41)) ), "—")</f>
        <v>0</v>
      </c>
      <c r="M42" s="14">
        <f>IF(COUNT(M7:M41) &gt; 0, AVERAGE(M7:M41), "—")</f>
        <v>0</v>
      </c>
      <c r="N42" s="16">
        <f>IF(COUNT(N7:N41) &gt; 0, SQRT(SUMSQ(N7:N41)/(COUNT(N7:N41)*COUNT(N7:N41)) ), "—")</f>
        <v>0</v>
      </c>
      <c r="O42" s="14">
        <f>IF(COUNT(O7:O41) &gt; 0, AVERAGE(O7:O41), "—")</f>
        <v>0</v>
      </c>
      <c r="P42" s="16">
        <f>IF(COUNT(P7:P41) &gt; 0, SQRT(SUMSQ(P7:P41)/(COUNT(P7:P41)*COUNT(P7:P41)) ), "—")</f>
        <v>0</v>
      </c>
      <c r="Q42" s="14">
        <f>IF(COUNT(Q7:Q41) &gt; 0, AVERAGE(Q7:Q41), "—")</f>
        <v>0</v>
      </c>
      <c r="R42" s="16">
        <f>IF(COUNT(R7:R41) &gt; 0, SQRT(SUMSQ(R7:R41)/(COUNT(R7:R41)*COUNT(R7:R41)) ), "—")</f>
        <v>0</v>
      </c>
    </row>
    <row r="43" spans="1:18" x14ac:dyDescent="0.25">
      <c r="A43" s="9" t="s">
        <v>176</v>
      </c>
      <c r="B43" s="10"/>
      <c r="C43" s="10"/>
      <c r="D43" s="11"/>
      <c r="E43" s="10"/>
      <c r="F43" s="11"/>
      <c r="G43" s="10"/>
      <c r="H43" s="11"/>
      <c r="I43" s="10"/>
      <c r="J43" s="11"/>
      <c r="K43" s="10"/>
      <c r="L43" s="11"/>
      <c r="M43" s="10"/>
      <c r="N43" s="11"/>
      <c r="O43" s="10"/>
      <c r="P43" s="11"/>
      <c r="Q43" s="10"/>
      <c r="R43" s="12"/>
    </row>
    <row r="44" spans="1:18" x14ac:dyDescent="0.25">
      <c r="A44" s="11" t="s">
        <v>177</v>
      </c>
      <c r="B44" s="17" t="s">
        <v>154</v>
      </c>
      <c r="C44" s="17" t="s">
        <v>154</v>
      </c>
      <c r="D44" s="18" t="s">
        <v>154</v>
      </c>
      <c r="E44" s="17" t="s">
        <v>154</v>
      </c>
      <c r="F44" s="18" t="s">
        <v>154</v>
      </c>
      <c r="G44" s="17" t="s">
        <v>154</v>
      </c>
      <c r="H44" s="18" t="s">
        <v>154</v>
      </c>
      <c r="I44" s="17" t="s">
        <v>154</v>
      </c>
      <c r="J44" s="18" t="s">
        <v>154</v>
      </c>
      <c r="K44" s="17" t="s">
        <v>154</v>
      </c>
      <c r="L44" s="18" t="s">
        <v>154</v>
      </c>
      <c r="M44" s="17" t="s">
        <v>154</v>
      </c>
      <c r="N44" s="18" t="s">
        <v>154</v>
      </c>
      <c r="O44" s="17" t="s">
        <v>154</v>
      </c>
      <c r="P44" s="18" t="s">
        <v>154</v>
      </c>
      <c r="Q44" s="17" t="s">
        <v>154</v>
      </c>
      <c r="R44" s="18" t="s">
        <v>154</v>
      </c>
    </row>
    <row r="45" spans="1:18" x14ac:dyDescent="0.25">
      <c r="A45" s="11" t="s">
        <v>178</v>
      </c>
      <c r="B45" s="17" t="s">
        <v>154</v>
      </c>
      <c r="C45" s="17" t="s">
        <v>154</v>
      </c>
      <c r="D45" s="18" t="s">
        <v>154</v>
      </c>
      <c r="E45" s="17" t="s">
        <v>154</v>
      </c>
      <c r="F45" s="18" t="s">
        <v>154</v>
      </c>
      <c r="G45" s="17" t="s">
        <v>154</v>
      </c>
      <c r="H45" s="18" t="s">
        <v>154</v>
      </c>
      <c r="I45" s="17" t="s">
        <v>154</v>
      </c>
      <c r="J45" s="18" t="s">
        <v>154</v>
      </c>
      <c r="K45" s="17" t="s">
        <v>154</v>
      </c>
      <c r="L45" s="18" t="s">
        <v>154</v>
      </c>
      <c r="M45" s="17" t="s">
        <v>154</v>
      </c>
      <c r="N45" s="18" t="s">
        <v>154</v>
      </c>
      <c r="O45" s="17" t="s">
        <v>154</v>
      </c>
      <c r="P45" s="18" t="s">
        <v>154</v>
      </c>
      <c r="Q45" s="17" t="s">
        <v>154</v>
      </c>
      <c r="R45" s="18" t="s">
        <v>154</v>
      </c>
    </row>
    <row r="46" spans="1:18" x14ac:dyDescent="0.25">
      <c r="A46" s="11" t="s">
        <v>179</v>
      </c>
      <c r="B46" s="13">
        <v>23141</v>
      </c>
      <c r="C46" s="14">
        <f>(19783/B46*100)</f>
        <v>85.488958990536275</v>
      </c>
      <c r="D46" s="15">
        <v>3358</v>
      </c>
      <c r="E46" s="14">
        <v>55.093605359999998</v>
      </c>
      <c r="F46" s="16">
        <v>1.0808386400000001</v>
      </c>
      <c r="G46" s="14">
        <v>44.906394640000002</v>
      </c>
      <c r="H46" s="16">
        <v>1.0808386400000001</v>
      </c>
      <c r="I46" s="14" t="s">
        <v>139</v>
      </c>
      <c r="J46" s="16" t="s">
        <v>139</v>
      </c>
      <c r="K46" s="14">
        <v>0</v>
      </c>
      <c r="L46" s="16">
        <v>0</v>
      </c>
      <c r="M46" s="14">
        <v>0</v>
      </c>
      <c r="N46" s="16">
        <v>0</v>
      </c>
      <c r="O46" s="14">
        <v>0</v>
      </c>
      <c r="P46" s="16">
        <v>0</v>
      </c>
      <c r="Q46" s="14">
        <v>0</v>
      </c>
      <c r="R46" s="16">
        <v>0</v>
      </c>
    </row>
    <row r="47" spans="1:18" x14ac:dyDescent="0.25">
      <c r="A47" s="11" t="s">
        <v>180</v>
      </c>
      <c r="B47" s="13">
        <v>5928</v>
      </c>
      <c r="C47" s="14">
        <f>(4923/B47*100)</f>
        <v>83.046558704453446</v>
      </c>
      <c r="D47" s="15">
        <v>1005</v>
      </c>
      <c r="E47" s="14">
        <v>53.754375760000002</v>
      </c>
      <c r="F47" s="16">
        <v>1.51371616</v>
      </c>
      <c r="G47" s="14">
        <v>46.245624239999998</v>
      </c>
      <c r="H47" s="16">
        <v>1.51371616</v>
      </c>
      <c r="I47" s="14" t="s">
        <v>139</v>
      </c>
      <c r="J47" s="16" t="s">
        <v>139</v>
      </c>
      <c r="K47" s="14">
        <v>0</v>
      </c>
      <c r="L47" s="16">
        <v>0</v>
      </c>
      <c r="M47" s="14">
        <v>0</v>
      </c>
      <c r="N47" s="16">
        <v>0</v>
      </c>
      <c r="O47" s="14">
        <v>0</v>
      </c>
      <c r="P47" s="16">
        <v>0</v>
      </c>
      <c r="Q47" s="14">
        <v>0</v>
      </c>
      <c r="R47" s="16">
        <v>0</v>
      </c>
    </row>
    <row r="48" spans="1:18" x14ac:dyDescent="0.25">
      <c r="A48" s="11" t="s">
        <v>181</v>
      </c>
      <c r="B48" s="13">
        <v>9841</v>
      </c>
      <c r="C48" s="14">
        <f>(8132/B48*100)</f>
        <v>82.633878670866778</v>
      </c>
      <c r="D48" s="15">
        <v>1709</v>
      </c>
      <c r="E48" s="14">
        <v>32.860131389999999</v>
      </c>
      <c r="F48" s="16">
        <v>1.5497234600000001</v>
      </c>
      <c r="G48" s="14">
        <v>67.139868609999994</v>
      </c>
      <c r="H48" s="16">
        <v>1.5497234600000001</v>
      </c>
      <c r="I48" s="14" t="s">
        <v>139</v>
      </c>
      <c r="J48" s="16" t="s">
        <v>139</v>
      </c>
      <c r="K48" s="14">
        <v>0</v>
      </c>
      <c r="L48" s="16">
        <v>0</v>
      </c>
      <c r="M48" s="14">
        <v>0</v>
      </c>
      <c r="N48" s="16">
        <v>0</v>
      </c>
      <c r="O48" s="14">
        <v>0</v>
      </c>
      <c r="P48" s="16">
        <v>0</v>
      </c>
      <c r="Q48" s="14">
        <v>0</v>
      </c>
      <c r="R48" s="16">
        <v>0</v>
      </c>
    </row>
    <row r="49" spans="1:18" x14ac:dyDescent="0.25">
      <c r="A49" s="11" t="s">
        <v>182</v>
      </c>
      <c r="B49" s="17" t="s">
        <v>154</v>
      </c>
      <c r="C49" s="17" t="s">
        <v>154</v>
      </c>
      <c r="D49" s="18" t="s">
        <v>154</v>
      </c>
      <c r="E49" s="17" t="s">
        <v>154</v>
      </c>
      <c r="F49" s="18" t="s">
        <v>154</v>
      </c>
      <c r="G49" s="17" t="s">
        <v>154</v>
      </c>
      <c r="H49" s="18" t="s">
        <v>154</v>
      </c>
      <c r="I49" s="17" t="s">
        <v>154</v>
      </c>
      <c r="J49" s="18" t="s">
        <v>154</v>
      </c>
      <c r="K49" s="17" t="s">
        <v>154</v>
      </c>
      <c r="L49" s="18" t="s">
        <v>154</v>
      </c>
      <c r="M49" s="17" t="s">
        <v>154</v>
      </c>
      <c r="N49" s="18" t="s">
        <v>154</v>
      </c>
      <c r="O49" s="17" t="s">
        <v>154</v>
      </c>
      <c r="P49" s="18" t="s">
        <v>154</v>
      </c>
      <c r="Q49" s="17" t="s">
        <v>154</v>
      </c>
      <c r="R49" s="18" t="s">
        <v>154</v>
      </c>
    </row>
    <row r="50" spans="1:18" x14ac:dyDescent="0.25">
      <c r="A50" s="11" t="s">
        <v>183</v>
      </c>
      <c r="B50" s="13">
        <v>11795</v>
      </c>
      <c r="C50" s="14">
        <f>(9826/B50*100)</f>
        <v>83.306485799067403</v>
      </c>
      <c r="D50" s="15">
        <v>1969</v>
      </c>
      <c r="E50" s="14">
        <v>48.771474419999997</v>
      </c>
      <c r="F50" s="16">
        <v>1.51252948</v>
      </c>
      <c r="G50" s="14">
        <v>51.228525580000003</v>
      </c>
      <c r="H50" s="16">
        <v>1.51252948</v>
      </c>
      <c r="I50" s="14" t="s">
        <v>139</v>
      </c>
      <c r="J50" s="16" t="s">
        <v>139</v>
      </c>
      <c r="K50" s="14">
        <v>0</v>
      </c>
      <c r="L50" s="16">
        <v>0</v>
      </c>
      <c r="M50" s="14">
        <v>0</v>
      </c>
      <c r="N50" s="16">
        <v>0</v>
      </c>
      <c r="O50" s="14">
        <v>0</v>
      </c>
      <c r="P50" s="16">
        <v>0</v>
      </c>
      <c r="Q50" s="14">
        <v>0</v>
      </c>
      <c r="R50" s="16">
        <v>0</v>
      </c>
    </row>
    <row r="51" spans="1:18" x14ac:dyDescent="0.25">
      <c r="A51" s="11" t="s">
        <v>184</v>
      </c>
      <c r="B51" s="13">
        <v>6866</v>
      </c>
      <c r="C51" s="14">
        <f>(5835/B51*100)</f>
        <v>84.983979027090001</v>
      </c>
      <c r="D51" s="15">
        <v>1031</v>
      </c>
      <c r="E51" s="14">
        <v>43.337786870000002</v>
      </c>
      <c r="F51" s="16">
        <v>1.73285497</v>
      </c>
      <c r="G51" s="14">
        <v>56.662213129999998</v>
      </c>
      <c r="H51" s="16">
        <v>1.73285497</v>
      </c>
      <c r="I51" s="14" t="s">
        <v>139</v>
      </c>
      <c r="J51" s="16" t="s">
        <v>139</v>
      </c>
      <c r="K51" s="14">
        <v>0</v>
      </c>
      <c r="L51" s="16">
        <v>0</v>
      </c>
      <c r="M51" s="14">
        <v>0</v>
      </c>
      <c r="N51" s="16">
        <v>0</v>
      </c>
      <c r="O51" s="14">
        <v>0</v>
      </c>
      <c r="P51" s="16">
        <v>0</v>
      </c>
      <c r="Q51" s="14">
        <v>0</v>
      </c>
      <c r="R51" s="16">
        <v>0</v>
      </c>
    </row>
    <row r="52" spans="1:18" x14ac:dyDescent="0.25">
      <c r="A52" s="11" t="s">
        <v>185</v>
      </c>
      <c r="B52" s="13">
        <v>5809</v>
      </c>
      <c r="C52" s="14">
        <f>(4824/B52*100)</f>
        <v>83.043553107247376</v>
      </c>
      <c r="D52" s="15">
        <v>985</v>
      </c>
      <c r="E52" s="14">
        <v>39.266962679999999</v>
      </c>
      <c r="F52" s="16">
        <v>2.0304463300000002</v>
      </c>
      <c r="G52" s="14">
        <v>60.733037320000001</v>
      </c>
      <c r="H52" s="16">
        <v>2.0304463300000002</v>
      </c>
      <c r="I52" s="14" t="s">
        <v>139</v>
      </c>
      <c r="J52" s="16" t="s">
        <v>139</v>
      </c>
      <c r="K52" s="14">
        <v>0</v>
      </c>
      <c r="L52" s="16">
        <v>0</v>
      </c>
      <c r="M52" s="14">
        <v>0</v>
      </c>
      <c r="N52" s="16">
        <v>0</v>
      </c>
      <c r="O52" s="14">
        <v>0</v>
      </c>
      <c r="P52" s="16">
        <v>0</v>
      </c>
      <c r="Q52" s="14">
        <v>0</v>
      </c>
      <c r="R52" s="16">
        <v>0</v>
      </c>
    </row>
    <row r="53" spans="1:18" x14ac:dyDescent="0.25">
      <c r="A53" s="11" t="s">
        <v>186</v>
      </c>
      <c r="B53" s="13">
        <v>5571</v>
      </c>
      <c r="C53" s="14">
        <f>(4602/B53*100)</f>
        <v>82.606354334948833</v>
      </c>
      <c r="D53" s="15">
        <v>969</v>
      </c>
      <c r="E53" s="14">
        <v>55.169235800000003</v>
      </c>
      <c r="F53" s="16">
        <v>1.7195871</v>
      </c>
      <c r="G53" s="14">
        <v>44.830764199999997</v>
      </c>
      <c r="H53" s="16">
        <v>1.7195871</v>
      </c>
      <c r="I53" s="14" t="s">
        <v>139</v>
      </c>
      <c r="J53" s="16" t="s">
        <v>139</v>
      </c>
      <c r="K53" s="14">
        <v>0</v>
      </c>
      <c r="L53" s="16">
        <v>0</v>
      </c>
      <c r="M53" s="14">
        <v>0</v>
      </c>
      <c r="N53" s="16">
        <v>0</v>
      </c>
      <c r="O53" s="14">
        <v>0</v>
      </c>
      <c r="P53" s="16">
        <v>0</v>
      </c>
      <c r="Q53" s="14">
        <v>0</v>
      </c>
      <c r="R53" s="16">
        <v>0</v>
      </c>
    </row>
    <row r="54" spans="1:18" x14ac:dyDescent="0.25">
      <c r="A54" s="11" t="s">
        <v>187</v>
      </c>
      <c r="B54" s="17" t="s">
        <v>154</v>
      </c>
      <c r="C54" s="17" t="s">
        <v>154</v>
      </c>
      <c r="D54" s="18" t="s">
        <v>154</v>
      </c>
      <c r="E54" s="17" t="s">
        <v>154</v>
      </c>
      <c r="F54" s="18" t="s">
        <v>154</v>
      </c>
      <c r="G54" s="17" t="s">
        <v>154</v>
      </c>
      <c r="H54" s="18" t="s">
        <v>154</v>
      </c>
      <c r="I54" s="17" t="s">
        <v>154</v>
      </c>
      <c r="J54" s="18" t="s">
        <v>154</v>
      </c>
      <c r="K54" s="17" t="s">
        <v>154</v>
      </c>
      <c r="L54" s="18" t="s">
        <v>154</v>
      </c>
      <c r="M54" s="17" t="s">
        <v>154</v>
      </c>
      <c r="N54" s="18" t="s">
        <v>154</v>
      </c>
      <c r="O54" s="17" t="s">
        <v>154</v>
      </c>
      <c r="P54" s="18" t="s">
        <v>154</v>
      </c>
      <c r="Q54" s="17" t="s">
        <v>154</v>
      </c>
      <c r="R54" s="18" t="s">
        <v>154</v>
      </c>
    </row>
    <row r="55" spans="1:18" x14ac:dyDescent="0.25">
      <c r="A55" s="11" t="s">
        <v>188</v>
      </c>
      <c r="B55" s="17" t="s">
        <v>154</v>
      </c>
      <c r="C55" s="17" t="s">
        <v>154</v>
      </c>
      <c r="D55" s="18" t="s">
        <v>154</v>
      </c>
      <c r="E55" s="17" t="s">
        <v>154</v>
      </c>
      <c r="F55" s="18" t="s">
        <v>154</v>
      </c>
      <c r="G55" s="17" t="s">
        <v>154</v>
      </c>
      <c r="H55" s="18" t="s">
        <v>154</v>
      </c>
      <c r="I55" s="17" t="s">
        <v>154</v>
      </c>
      <c r="J55" s="18" t="s">
        <v>154</v>
      </c>
      <c r="K55" s="17" t="s">
        <v>154</v>
      </c>
      <c r="L55" s="18" t="s">
        <v>154</v>
      </c>
      <c r="M55" s="17" t="s">
        <v>154</v>
      </c>
      <c r="N55" s="18" t="s">
        <v>154</v>
      </c>
      <c r="O55" s="17" t="s">
        <v>154</v>
      </c>
      <c r="P55" s="18" t="s">
        <v>154</v>
      </c>
      <c r="Q55" s="17" t="s">
        <v>154</v>
      </c>
      <c r="R55" s="18" t="s">
        <v>154</v>
      </c>
    </row>
    <row r="56" spans="1:18" x14ac:dyDescent="0.25">
      <c r="A56" s="11" t="s">
        <v>189</v>
      </c>
      <c r="B56" s="13">
        <v>5359</v>
      </c>
      <c r="C56" s="14">
        <f>(4424/B56*100)</f>
        <v>82.552715058779626</v>
      </c>
      <c r="D56" s="15">
        <v>935</v>
      </c>
      <c r="E56" s="14">
        <v>41.966902920000003</v>
      </c>
      <c r="F56" s="16">
        <v>2.0389446800000002</v>
      </c>
      <c r="G56" s="14">
        <v>58.033097079999997</v>
      </c>
      <c r="H56" s="16">
        <v>2.0389446800000002</v>
      </c>
      <c r="I56" s="14" t="s">
        <v>139</v>
      </c>
      <c r="J56" s="16" t="s">
        <v>139</v>
      </c>
      <c r="K56" s="14">
        <v>0</v>
      </c>
      <c r="L56" s="16">
        <v>0</v>
      </c>
      <c r="M56" s="14">
        <v>0</v>
      </c>
      <c r="N56" s="16">
        <v>0</v>
      </c>
      <c r="O56" s="14">
        <v>0</v>
      </c>
      <c r="P56" s="16">
        <v>0</v>
      </c>
      <c r="Q56" s="14">
        <v>0</v>
      </c>
      <c r="R56" s="16">
        <v>0</v>
      </c>
    </row>
    <row r="57" spans="1:18" x14ac:dyDescent="0.25">
      <c r="A57" s="11" t="s">
        <v>190</v>
      </c>
      <c r="B57" s="17" t="s">
        <v>154</v>
      </c>
      <c r="C57" s="17" t="s">
        <v>154</v>
      </c>
      <c r="D57" s="18" t="s">
        <v>154</v>
      </c>
      <c r="E57" s="17" t="s">
        <v>154</v>
      </c>
      <c r="F57" s="18" t="s">
        <v>154</v>
      </c>
      <c r="G57" s="17" t="s">
        <v>154</v>
      </c>
      <c r="H57" s="18" t="s">
        <v>154</v>
      </c>
      <c r="I57" s="17" t="s">
        <v>154</v>
      </c>
      <c r="J57" s="18" t="s">
        <v>154</v>
      </c>
      <c r="K57" s="17" t="s">
        <v>154</v>
      </c>
      <c r="L57" s="18" t="s">
        <v>154</v>
      </c>
      <c r="M57" s="17" t="s">
        <v>154</v>
      </c>
      <c r="N57" s="18" t="s">
        <v>154</v>
      </c>
      <c r="O57" s="17" t="s">
        <v>154</v>
      </c>
      <c r="P57" s="18" t="s">
        <v>154</v>
      </c>
      <c r="Q57" s="17" t="s">
        <v>154</v>
      </c>
      <c r="R57" s="18" t="s">
        <v>154</v>
      </c>
    </row>
    <row r="58" spans="1:18" x14ac:dyDescent="0.25">
      <c r="A58" s="11" t="s">
        <v>191</v>
      </c>
      <c r="B58" s="17" t="s">
        <v>154</v>
      </c>
      <c r="C58" s="17" t="s">
        <v>154</v>
      </c>
      <c r="D58" s="18" t="s">
        <v>154</v>
      </c>
      <c r="E58" s="17" t="s">
        <v>154</v>
      </c>
      <c r="F58" s="18" t="s">
        <v>154</v>
      </c>
      <c r="G58" s="17" t="s">
        <v>154</v>
      </c>
      <c r="H58" s="18" t="s">
        <v>154</v>
      </c>
      <c r="I58" s="17" t="s">
        <v>154</v>
      </c>
      <c r="J58" s="18" t="s">
        <v>154</v>
      </c>
      <c r="K58" s="17" t="s">
        <v>154</v>
      </c>
      <c r="L58" s="18" t="s">
        <v>154</v>
      </c>
      <c r="M58" s="17" t="s">
        <v>154</v>
      </c>
      <c r="N58" s="18" t="s">
        <v>154</v>
      </c>
      <c r="O58" s="17" t="s">
        <v>154</v>
      </c>
      <c r="P58" s="18" t="s">
        <v>154</v>
      </c>
      <c r="Q58" s="17" t="s">
        <v>154</v>
      </c>
      <c r="R58" s="18" t="s">
        <v>154</v>
      </c>
    </row>
    <row r="59" spans="1:18" x14ac:dyDescent="0.25">
      <c r="A59" s="11" t="s">
        <v>192</v>
      </c>
      <c r="B59" s="17" t="s">
        <v>154</v>
      </c>
      <c r="C59" s="17" t="s">
        <v>154</v>
      </c>
      <c r="D59" s="18" t="s">
        <v>154</v>
      </c>
      <c r="E59" s="17" t="s">
        <v>154</v>
      </c>
      <c r="F59" s="18" t="s">
        <v>154</v>
      </c>
      <c r="G59" s="17" t="s">
        <v>154</v>
      </c>
      <c r="H59" s="18" t="s">
        <v>154</v>
      </c>
      <c r="I59" s="17" t="s">
        <v>154</v>
      </c>
      <c r="J59" s="18" t="s">
        <v>154</v>
      </c>
      <c r="K59" s="17" t="s">
        <v>154</v>
      </c>
      <c r="L59" s="18" t="s">
        <v>154</v>
      </c>
      <c r="M59" s="17" t="s">
        <v>154</v>
      </c>
      <c r="N59" s="18" t="s">
        <v>154</v>
      </c>
      <c r="O59" s="17" t="s">
        <v>154</v>
      </c>
      <c r="P59" s="18" t="s">
        <v>154</v>
      </c>
      <c r="Q59" s="17" t="s">
        <v>154</v>
      </c>
      <c r="R59" s="18" t="s">
        <v>154</v>
      </c>
    </row>
    <row r="60" spans="1:18" x14ac:dyDescent="0.25">
      <c r="A60" s="11" t="s">
        <v>193</v>
      </c>
      <c r="B60" s="17" t="s">
        <v>154</v>
      </c>
      <c r="C60" s="17" t="s">
        <v>154</v>
      </c>
      <c r="D60" s="18" t="s">
        <v>154</v>
      </c>
      <c r="E60" s="17" t="s">
        <v>154</v>
      </c>
      <c r="F60" s="18" t="s">
        <v>154</v>
      </c>
      <c r="G60" s="17" t="s">
        <v>154</v>
      </c>
      <c r="H60" s="18" t="s">
        <v>154</v>
      </c>
      <c r="I60" s="17" t="s">
        <v>154</v>
      </c>
      <c r="J60" s="18" t="s">
        <v>154</v>
      </c>
      <c r="K60" s="17" t="s">
        <v>154</v>
      </c>
      <c r="L60" s="18" t="s">
        <v>154</v>
      </c>
      <c r="M60" s="17" t="s">
        <v>154</v>
      </c>
      <c r="N60" s="18" t="s">
        <v>154</v>
      </c>
      <c r="O60" s="17" t="s">
        <v>154</v>
      </c>
      <c r="P60" s="18" t="s">
        <v>154</v>
      </c>
      <c r="Q60" s="17" t="s">
        <v>154</v>
      </c>
      <c r="R60" s="18" t="s">
        <v>154</v>
      </c>
    </row>
    <row r="61" spans="1:18" x14ac:dyDescent="0.25">
      <c r="A61" s="11" t="s">
        <v>194</v>
      </c>
      <c r="B61" s="13">
        <v>6525</v>
      </c>
      <c r="C61" s="14">
        <f>(5415/B61*100)</f>
        <v>82.988505747126439</v>
      </c>
      <c r="D61" s="15">
        <v>1110</v>
      </c>
      <c r="E61" s="14">
        <v>42.774902480000002</v>
      </c>
      <c r="F61" s="16">
        <v>1.6347702900000001</v>
      </c>
      <c r="G61" s="14">
        <v>57.225097519999998</v>
      </c>
      <c r="H61" s="16">
        <v>1.6347702900000001</v>
      </c>
      <c r="I61" s="14" t="s">
        <v>139</v>
      </c>
      <c r="J61" s="16" t="s">
        <v>139</v>
      </c>
      <c r="K61" s="14">
        <v>0</v>
      </c>
      <c r="L61" s="16">
        <v>0</v>
      </c>
      <c r="M61" s="14">
        <v>0</v>
      </c>
      <c r="N61" s="16">
        <v>0</v>
      </c>
      <c r="O61" s="14">
        <v>0</v>
      </c>
      <c r="P61" s="16">
        <v>0</v>
      </c>
      <c r="Q61" s="14">
        <v>0</v>
      </c>
      <c r="R61" s="16">
        <v>0</v>
      </c>
    </row>
    <row r="62" spans="1:18" x14ac:dyDescent="0.25">
      <c r="A62" s="11" t="s">
        <v>195</v>
      </c>
      <c r="B62" s="13">
        <v>4476</v>
      </c>
      <c r="C62" s="14">
        <f>(3712/B62*100)</f>
        <v>82.931188561215379</v>
      </c>
      <c r="D62" s="15">
        <v>764</v>
      </c>
      <c r="E62" s="14">
        <v>37.819937039999999</v>
      </c>
      <c r="F62" s="16">
        <v>1.6044433199999999</v>
      </c>
      <c r="G62" s="14">
        <v>62.180062960000001</v>
      </c>
      <c r="H62" s="16">
        <v>1.6044433199999999</v>
      </c>
      <c r="I62" s="14" t="s">
        <v>139</v>
      </c>
      <c r="J62" s="16" t="s">
        <v>139</v>
      </c>
      <c r="K62" s="14">
        <v>0</v>
      </c>
      <c r="L62" s="16">
        <v>0</v>
      </c>
      <c r="M62" s="14">
        <v>0</v>
      </c>
      <c r="N62" s="16">
        <v>0</v>
      </c>
      <c r="O62" s="14">
        <v>0</v>
      </c>
      <c r="P62" s="16">
        <v>0</v>
      </c>
      <c r="Q62" s="14">
        <v>0</v>
      </c>
      <c r="R62" s="16">
        <v>0</v>
      </c>
    </row>
    <row r="63" spans="1:18" x14ac:dyDescent="0.25">
      <c r="A63" s="11" t="s">
        <v>196</v>
      </c>
      <c r="B63" s="17" t="s">
        <v>154</v>
      </c>
      <c r="C63" s="17" t="s">
        <v>154</v>
      </c>
      <c r="D63" s="18" t="s">
        <v>154</v>
      </c>
      <c r="E63" s="17" t="s">
        <v>154</v>
      </c>
      <c r="F63" s="18" t="s">
        <v>154</v>
      </c>
      <c r="G63" s="17" t="s">
        <v>154</v>
      </c>
      <c r="H63" s="18" t="s">
        <v>154</v>
      </c>
      <c r="I63" s="17" t="s">
        <v>154</v>
      </c>
      <c r="J63" s="18" t="s">
        <v>154</v>
      </c>
      <c r="K63" s="17" t="s">
        <v>154</v>
      </c>
      <c r="L63" s="18" t="s">
        <v>154</v>
      </c>
      <c r="M63" s="17" t="s">
        <v>154</v>
      </c>
      <c r="N63" s="18" t="s">
        <v>154</v>
      </c>
      <c r="O63" s="17" t="s">
        <v>154</v>
      </c>
      <c r="P63" s="18" t="s">
        <v>154</v>
      </c>
      <c r="Q63" s="17" t="s">
        <v>154</v>
      </c>
      <c r="R63" s="18" t="s">
        <v>154</v>
      </c>
    </row>
    <row r="64" spans="1:18" x14ac:dyDescent="0.25">
      <c r="A64" s="11" t="s">
        <v>197</v>
      </c>
      <c r="B64" s="17" t="s">
        <v>154</v>
      </c>
      <c r="C64" s="17" t="s">
        <v>154</v>
      </c>
      <c r="D64" s="18" t="s">
        <v>154</v>
      </c>
      <c r="E64" s="17" t="s">
        <v>154</v>
      </c>
      <c r="F64" s="18" t="s">
        <v>154</v>
      </c>
      <c r="G64" s="17" t="s">
        <v>154</v>
      </c>
      <c r="H64" s="18" t="s">
        <v>154</v>
      </c>
      <c r="I64" s="17" t="s">
        <v>154</v>
      </c>
      <c r="J64" s="18" t="s">
        <v>154</v>
      </c>
      <c r="K64" s="17" t="s">
        <v>154</v>
      </c>
      <c r="L64" s="18" t="s">
        <v>154</v>
      </c>
      <c r="M64" s="17" t="s">
        <v>154</v>
      </c>
      <c r="N64" s="18" t="s">
        <v>154</v>
      </c>
      <c r="O64" s="17" t="s">
        <v>154</v>
      </c>
      <c r="P64" s="18" t="s">
        <v>154</v>
      </c>
      <c r="Q64" s="17" t="s">
        <v>154</v>
      </c>
      <c r="R64" s="18" t="s">
        <v>154</v>
      </c>
    </row>
    <row r="65" spans="1:18" x14ac:dyDescent="0.25">
      <c r="A65" s="11" t="s">
        <v>198</v>
      </c>
      <c r="B65" s="17" t="s">
        <v>154</v>
      </c>
      <c r="C65" s="17" t="s">
        <v>154</v>
      </c>
      <c r="D65" s="18" t="s">
        <v>154</v>
      </c>
      <c r="E65" s="17" t="s">
        <v>154</v>
      </c>
      <c r="F65" s="18" t="s">
        <v>154</v>
      </c>
      <c r="G65" s="17" t="s">
        <v>154</v>
      </c>
      <c r="H65" s="18" t="s">
        <v>154</v>
      </c>
      <c r="I65" s="17" t="s">
        <v>154</v>
      </c>
      <c r="J65" s="18" t="s">
        <v>154</v>
      </c>
      <c r="K65" s="17" t="s">
        <v>154</v>
      </c>
      <c r="L65" s="18" t="s">
        <v>154</v>
      </c>
      <c r="M65" s="17" t="s">
        <v>154</v>
      </c>
      <c r="N65" s="18" t="s">
        <v>154</v>
      </c>
      <c r="O65" s="17" t="s">
        <v>154</v>
      </c>
      <c r="P65" s="18" t="s">
        <v>154</v>
      </c>
      <c r="Q65" s="17" t="s">
        <v>154</v>
      </c>
      <c r="R65" s="18" t="s">
        <v>154</v>
      </c>
    </row>
    <row r="66" spans="1:18" x14ac:dyDescent="0.25">
      <c r="A66" s="11" t="s">
        <v>199</v>
      </c>
      <c r="B66" s="13">
        <v>5665</v>
      </c>
      <c r="C66" s="14">
        <f>(4711/B66*100)</f>
        <v>83.159752868490727</v>
      </c>
      <c r="D66" s="15">
        <v>954</v>
      </c>
      <c r="E66" s="14">
        <v>55.290479529999999</v>
      </c>
      <c r="F66" s="16">
        <v>1.60430629</v>
      </c>
      <c r="G66" s="14">
        <v>44.709520470000001</v>
      </c>
      <c r="H66" s="16">
        <v>1.60430629</v>
      </c>
      <c r="I66" s="14" t="s">
        <v>139</v>
      </c>
      <c r="J66" s="16" t="s">
        <v>139</v>
      </c>
      <c r="K66" s="14">
        <v>0</v>
      </c>
      <c r="L66" s="16">
        <v>0</v>
      </c>
      <c r="M66" s="14">
        <v>0</v>
      </c>
      <c r="N66" s="16">
        <v>0</v>
      </c>
      <c r="O66" s="14">
        <v>0</v>
      </c>
      <c r="P66" s="16">
        <v>0</v>
      </c>
      <c r="Q66" s="14">
        <v>0</v>
      </c>
      <c r="R66" s="16">
        <v>0</v>
      </c>
    </row>
    <row r="67" spans="1:18" x14ac:dyDescent="0.25">
      <c r="A67" s="11" t="s">
        <v>200</v>
      </c>
      <c r="B67" s="13">
        <v>6971</v>
      </c>
      <c r="C67" s="14">
        <f>(5876/B67*100)</f>
        <v>84.292067135274706</v>
      </c>
      <c r="D67" s="15">
        <v>1095</v>
      </c>
      <c r="E67" s="14">
        <v>46.387670579999998</v>
      </c>
      <c r="F67" s="16">
        <v>1.73437241</v>
      </c>
      <c r="G67" s="14">
        <v>53.612329420000002</v>
      </c>
      <c r="H67" s="16">
        <v>1.73437241</v>
      </c>
      <c r="I67" s="14" t="s">
        <v>139</v>
      </c>
      <c r="J67" s="16" t="s">
        <v>139</v>
      </c>
      <c r="K67" s="14">
        <v>0</v>
      </c>
      <c r="L67" s="16">
        <v>0</v>
      </c>
      <c r="M67" s="14">
        <v>0</v>
      </c>
      <c r="N67" s="16">
        <v>0</v>
      </c>
      <c r="O67" s="14">
        <v>0</v>
      </c>
      <c r="P67" s="16">
        <v>0</v>
      </c>
      <c r="Q67" s="14">
        <v>0</v>
      </c>
      <c r="R67" s="16">
        <v>0</v>
      </c>
    </row>
    <row r="68" spans="1:18" x14ac:dyDescent="0.25">
      <c r="A68" s="11" t="s">
        <v>201</v>
      </c>
      <c r="B68" s="17" t="s">
        <v>154</v>
      </c>
      <c r="C68" s="17" t="s">
        <v>154</v>
      </c>
      <c r="D68" s="18" t="s">
        <v>154</v>
      </c>
      <c r="E68" s="17" t="s">
        <v>154</v>
      </c>
      <c r="F68" s="18" t="s">
        <v>154</v>
      </c>
      <c r="G68" s="17" t="s">
        <v>154</v>
      </c>
      <c r="H68" s="18" t="s">
        <v>154</v>
      </c>
      <c r="I68" s="17" t="s">
        <v>154</v>
      </c>
      <c r="J68" s="18" t="s">
        <v>154</v>
      </c>
      <c r="K68" s="17" t="s">
        <v>154</v>
      </c>
      <c r="L68" s="18" t="s">
        <v>154</v>
      </c>
      <c r="M68" s="17" t="s">
        <v>154</v>
      </c>
      <c r="N68" s="18" t="s">
        <v>154</v>
      </c>
      <c r="O68" s="17" t="s">
        <v>154</v>
      </c>
      <c r="P68" s="18" t="s">
        <v>154</v>
      </c>
      <c r="Q68" s="17" t="s">
        <v>154</v>
      </c>
      <c r="R68" s="18" t="s">
        <v>154</v>
      </c>
    </row>
    <row r="69" spans="1:18" x14ac:dyDescent="0.25">
      <c r="A69" s="11" t="s">
        <v>202</v>
      </c>
      <c r="B69" s="17" t="s">
        <v>154</v>
      </c>
      <c r="C69" s="17" t="s">
        <v>154</v>
      </c>
      <c r="D69" s="18" t="s">
        <v>154</v>
      </c>
      <c r="E69" s="17" t="s">
        <v>154</v>
      </c>
      <c r="F69" s="18" t="s">
        <v>154</v>
      </c>
      <c r="G69" s="17" t="s">
        <v>154</v>
      </c>
      <c r="H69" s="18" t="s">
        <v>154</v>
      </c>
      <c r="I69" s="17" t="s">
        <v>154</v>
      </c>
      <c r="J69" s="18" t="s">
        <v>154</v>
      </c>
      <c r="K69" s="17" t="s">
        <v>154</v>
      </c>
      <c r="L69" s="18" t="s">
        <v>154</v>
      </c>
      <c r="M69" s="17" t="s">
        <v>154</v>
      </c>
      <c r="N69" s="18" t="s">
        <v>154</v>
      </c>
      <c r="O69" s="17" t="s">
        <v>154</v>
      </c>
      <c r="P69" s="18" t="s">
        <v>154</v>
      </c>
      <c r="Q69" s="17" t="s">
        <v>154</v>
      </c>
      <c r="R69" s="18" t="s">
        <v>154</v>
      </c>
    </row>
    <row r="70" spans="1:18" x14ac:dyDescent="0.25">
      <c r="A70" s="11" t="s">
        <v>203</v>
      </c>
      <c r="B70" s="13">
        <v>6036</v>
      </c>
      <c r="C70" s="14">
        <f>(5007/B70*100)</f>
        <v>82.952286282306162</v>
      </c>
      <c r="D70" s="15">
        <v>1029</v>
      </c>
      <c r="E70" s="14">
        <v>43.465661359999999</v>
      </c>
      <c r="F70" s="16">
        <v>2.0432608299999999</v>
      </c>
      <c r="G70" s="14">
        <v>56.534338640000001</v>
      </c>
      <c r="H70" s="16">
        <v>2.0432608299999999</v>
      </c>
      <c r="I70" s="14" t="s">
        <v>139</v>
      </c>
      <c r="J70" s="16" t="s">
        <v>139</v>
      </c>
      <c r="K70" s="14">
        <v>0</v>
      </c>
      <c r="L70" s="16">
        <v>0</v>
      </c>
      <c r="M70" s="14">
        <v>0</v>
      </c>
      <c r="N70" s="16">
        <v>0</v>
      </c>
      <c r="O70" s="14">
        <v>0</v>
      </c>
      <c r="P70" s="16">
        <v>0</v>
      </c>
      <c r="Q70" s="14">
        <v>0</v>
      </c>
      <c r="R70" s="16">
        <v>0</v>
      </c>
    </row>
    <row r="71" spans="1:18" x14ac:dyDescent="0.25">
      <c r="A71" s="11" t="s">
        <v>204</v>
      </c>
      <c r="B71" s="17" t="s">
        <v>154</v>
      </c>
      <c r="C71" s="17" t="s">
        <v>154</v>
      </c>
      <c r="D71" s="18" t="s">
        <v>154</v>
      </c>
      <c r="E71" s="17" t="s">
        <v>154</v>
      </c>
      <c r="F71" s="18" t="s">
        <v>154</v>
      </c>
      <c r="G71" s="17" t="s">
        <v>154</v>
      </c>
      <c r="H71" s="18" t="s">
        <v>154</v>
      </c>
      <c r="I71" s="17" t="s">
        <v>154</v>
      </c>
      <c r="J71" s="18" t="s">
        <v>154</v>
      </c>
      <c r="K71" s="17" t="s">
        <v>154</v>
      </c>
      <c r="L71" s="18" t="s">
        <v>154</v>
      </c>
      <c r="M71" s="17" t="s">
        <v>154</v>
      </c>
      <c r="N71" s="18" t="s">
        <v>154</v>
      </c>
      <c r="O71" s="17" t="s">
        <v>154</v>
      </c>
      <c r="P71" s="18" t="s">
        <v>154</v>
      </c>
      <c r="Q71" s="17" t="s">
        <v>154</v>
      </c>
      <c r="R71" s="18" t="s">
        <v>154</v>
      </c>
    </row>
    <row r="72" spans="1:18" x14ac:dyDescent="0.25">
      <c r="A72" s="11" t="s">
        <v>205</v>
      </c>
      <c r="B72" s="13">
        <v>7708</v>
      </c>
      <c r="C72" s="14">
        <f>(6394/B72*100)</f>
        <v>82.952776336273999</v>
      </c>
      <c r="D72" s="15">
        <v>1314</v>
      </c>
      <c r="E72" s="14">
        <v>31.80402686</v>
      </c>
      <c r="F72" s="16">
        <v>1.3564400999999999</v>
      </c>
      <c r="G72" s="14">
        <v>68.195973140000007</v>
      </c>
      <c r="H72" s="16">
        <v>1.3564400999999999</v>
      </c>
      <c r="I72" s="14" t="s">
        <v>139</v>
      </c>
      <c r="J72" s="16" t="s">
        <v>139</v>
      </c>
      <c r="K72" s="14">
        <v>0</v>
      </c>
      <c r="L72" s="16">
        <v>0</v>
      </c>
      <c r="M72" s="14">
        <v>0</v>
      </c>
      <c r="N72" s="16">
        <v>0</v>
      </c>
      <c r="O72" s="14">
        <v>0</v>
      </c>
      <c r="P72" s="16">
        <v>0</v>
      </c>
      <c r="Q72" s="14">
        <v>0</v>
      </c>
      <c r="R72" s="16">
        <v>0</v>
      </c>
    </row>
    <row r="73" spans="1:18" x14ac:dyDescent="0.25">
      <c r="A73" s="11" t="s">
        <v>206</v>
      </c>
      <c r="B73" s="13">
        <v>8249</v>
      </c>
      <c r="C73" s="14">
        <f>(6882/B73*100)</f>
        <v>83.428294338707715</v>
      </c>
      <c r="D73" s="15">
        <v>1367</v>
      </c>
      <c r="E73" s="14">
        <v>56.798400540000003</v>
      </c>
      <c r="F73" s="16">
        <v>1.6904141100000001</v>
      </c>
      <c r="G73" s="14">
        <v>43.201599459999997</v>
      </c>
      <c r="H73" s="16">
        <v>1.6904141100000001</v>
      </c>
      <c r="I73" s="14" t="s">
        <v>139</v>
      </c>
      <c r="J73" s="16" t="s">
        <v>139</v>
      </c>
      <c r="K73" s="14">
        <v>0</v>
      </c>
      <c r="L73" s="16">
        <v>0</v>
      </c>
      <c r="M73" s="14">
        <v>0</v>
      </c>
      <c r="N73" s="16">
        <v>0</v>
      </c>
      <c r="O73" s="14">
        <v>0</v>
      </c>
      <c r="P73" s="16">
        <v>0</v>
      </c>
      <c r="Q73" s="14">
        <v>0</v>
      </c>
      <c r="R73" s="16">
        <v>0</v>
      </c>
    </row>
    <row r="74" spans="1:18" x14ac:dyDescent="0.25">
      <c r="A74" s="11" t="s">
        <v>207</v>
      </c>
      <c r="B74" s="17" t="s">
        <v>154</v>
      </c>
      <c r="C74" s="17" t="s">
        <v>154</v>
      </c>
      <c r="D74" s="18" t="s">
        <v>154</v>
      </c>
      <c r="E74" s="17" t="s">
        <v>154</v>
      </c>
      <c r="F74" s="18" t="s">
        <v>154</v>
      </c>
      <c r="G74" s="17" t="s">
        <v>154</v>
      </c>
      <c r="H74" s="18" t="s">
        <v>154</v>
      </c>
      <c r="I74" s="17" t="s">
        <v>154</v>
      </c>
      <c r="J74" s="18" t="s">
        <v>154</v>
      </c>
      <c r="K74" s="17" t="s">
        <v>154</v>
      </c>
      <c r="L74" s="18" t="s">
        <v>154</v>
      </c>
      <c r="M74" s="17" t="s">
        <v>154</v>
      </c>
      <c r="N74" s="18" t="s">
        <v>154</v>
      </c>
      <c r="O74" s="17" t="s">
        <v>154</v>
      </c>
      <c r="P74" s="18" t="s">
        <v>154</v>
      </c>
      <c r="Q74" s="17" t="s">
        <v>154</v>
      </c>
      <c r="R74" s="18" t="s">
        <v>154</v>
      </c>
    </row>
    <row r="75" spans="1:18" x14ac:dyDescent="0.25">
      <c r="A75" s="11" t="s">
        <v>208</v>
      </c>
      <c r="B75" s="13">
        <v>5375</v>
      </c>
      <c r="C75" s="14">
        <f>(4557/B75*100)</f>
        <v>84.781395348837208</v>
      </c>
      <c r="D75" s="15">
        <v>818</v>
      </c>
      <c r="E75" s="14">
        <v>66.704810870000003</v>
      </c>
      <c r="F75" s="16">
        <v>1.89127767</v>
      </c>
      <c r="G75" s="14">
        <v>33.295189129999997</v>
      </c>
      <c r="H75" s="16">
        <v>1.89127767</v>
      </c>
      <c r="I75" s="14" t="s">
        <v>139</v>
      </c>
      <c r="J75" s="16" t="s">
        <v>139</v>
      </c>
      <c r="K75" s="14">
        <v>0</v>
      </c>
      <c r="L75" s="16">
        <v>0</v>
      </c>
      <c r="M75" s="14">
        <v>0</v>
      </c>
      <c r="N75" s="16">
        <v>0</v>
      </c>
      <c r="O75" s="14">
        <v>0</v>
      </c>
      <c r="P75" s="16">
        <v>0</v>
      </c>
      <c r="Q75" s="14">
        <v>0</v>
      </c>
      <c r="R75" s="16">
        <v>0</v>
      </c>
    </row>
    <row r="76" spans="1:18" x14ac:dyDescent="0.25">
      <c r="A76" s="11" t="s">
        <v>209</v>
      </c>
      <c r="B76" s="13">
        <v>14167</v>
      </c>
      <c r="C76" s="14">
        <f>(11728/B76*100)</f>
        <v>82.783934495658926</v>
      </c>
      <c r="D76" s="15">
        <v>2439</v>
      </c>
      <c r="E76" s="14">
        <v>53.718101769999997</v>
      </c>
      <c r="F76" s="16">
        <v>1.0769883099999999</v>
      </c>
      <c r="G76" s="14">
        <v>46.281898230000003</v>
      </c>
      <c r="H76" s="16">
        <v>1.0769883099999999</v>
      </c>
      <c r="I76" s="14" t="s">
        <v>139</v>
      </c>
      <c r="J76" s="16" t="s">
        <v>139</v>
      </c>
      <c r="K76" s="14">
        <v>0</v>
      </c>
      <c r="L76" s="16">
        <v>0</v>
      </c>
      <c r="M76" s="14">
        <v>0</v>
      </c>
      <c r="N76" s="16">
        <v>0</v>
      </c>
      <c r="O76" s="14">
        <v>0</v>
      </c>
      <c r="P76" s="16">
        <v>0</v>
      </c>
      <c r="Q76" s="14">
        <v>0</v>
      </c>
      <c r="R76" s="16">
        <v>0</v>
      </c>
    </row>
    <row r="77" spans="1:18" x14ac:dyDescent="0.25">
      <c r="A77" s="11" t="s">
        <v>210</v>
      </c>
      <c r="B77" s="13">
        <v>6062</v>
      </c>
      <c r="C77" s="14">
        <f>(5018/B77*100)</f>
        <v>82.777961068954141</v>
      </c>
      <c r="D77" s="15">
        <v>1044</v>
      </c>
      <c r="E77" s="14">
        <v>43.481562670000002</v>
      </c>
      <c r="F77" s="16">
        <v>1.5754005</v>
      </c>
      <c r="G77" s="14">
        <v>56.518437329999998</v>
      </c>
      <c r="H77" s="16">
        <v>1.5754005</v>
      </c>
      <c r="I77" s="14" t="s">
        <v>139</v>
      </c>
      <c r="J77" s="16" t="s">
        <v>139</v>
      </c>
      <c r="K77" s="14">
        <v>0</v>
      </c>
      <c r="L77" s="16">
        <v>0</v>
      </c>
      <c r="M77" s="14">
        <v>0</v>
      </c>
      <c r="N77" s="16">
        <v>0</v>
      </c>
      <c r="O77" s="14">
        <v>0</v>
      </c>
      <c r="P77" s="16">
        <v>0</v>
      </c>
      <c r="Q77" s="14">
        <v>0</v>
      </c>
      <c r="R77" s="16">
        <v>0</v>
      </c>
    </row>
    <row r="78" spans="1:18" x14ac:dyDescent="0.25">
      <c r="A78" s="11" t="s">
        <v>211</v>
      </c>
      <c r="B78" s="17" t="s">
        <v>154</v>
      </c>
      <c r="C78" s="17" t="s">
        <v>154</v>
      </c>
      <c r="D78" s="18" t="s">
        <v>154</v>
      </c>
      <c r="E78" s="17" t="s">
        <v>154</v>
      </c>
      <c r="F78" s="18" t="s">
        <v>154</v>
      </c>
      <c r="G78" s="17" t="s">
        <v>154</v>
      </c>
      <c r="H78" s="18" t="s">
        <v>154</v>
      </c>
      <c r="I78" s="17" t="s">
        <v>154</v>
      </c>
      <c r="J78" s="18" t="s">
        <v>154</v>
      </c>
      <c r="K78" s="17" t="s">
        <v>154</v>
      </c>
      <c r="L78" s="18" t="s">
        <v>154</v>
      </c>
      <c r="M78" s="17" t="s">
        <v>154</v>
      </c>
      <c r="N78" s="18" t="s">
        <v>154</v>
      </c>
      <c r="O78" s="17" t="s">
        <v>154</v>
      </c>
      <c r="P78" s="18" t="s">
        <v>154</v>
      </c>
      <c r="Q78" s="17" t="s">
        <v>154</v>
      </c>
      <c r="R78" s="18" t="s">
        <v>154</v>
      </c>
    </row>
    <row r="79" spans="1:18" ht="24.95" customHeight="1" x14ac:dyDescent="0.25">
      <c r="A79" s="11" t="s">
        <v>212</v>
      </c>
      <c r="B79" s="17" t="s">
        <v>154</v>
      </c>
      <c r="C79" s="17" t="s">
        <v>154</v>
      </c>
      <c r="D79" s="18" t="s">
        <v>154</v>
      </c>
      <c r="E79" s="17" t="s">
        <v>154</v>
      </c>
      <c r="F79" s="18" t="s">
        <v>154</v>
      </c>
      <c r="G79" s="17" t="s">
        <v>154</v>
      </c>
      <c r="H79" s="18" t="s">
        <v>154</v>
      </c>
      <c r="I79" s="17" t="s">
        <v>154</v>
      </c>
      <c r="J79" s="18" t="s">
        <v>154</v>
      </c>
      <c r="K79" s="17" t="s">
        <v>154</v>
      </c>
      <c r="L79" s="18" t="s">
        <v>154</v>
      </c>
      <c r="M79" s="17" t="s">
        <v>154</v>
      </c>
      <c r="N79" s="18" t="s">
        <v>154</v>
      </c>
      <c r="O79" s="17" t="s">
        <v>154</v>
      </c>
      <c r="P79" s="18" t="s">
        <v>154</v>
      </c>
      <c r="Q79" s="17" t="s">
        <v>154</v>
      </c>
      <c r="R79" s="18" t="s">
        <v>154</v>
      </c>
    </row>
    <row r="80" spans="1:18" x14ac:dyDescent="0.25">
      <c r="A80" s="11" t="s">
        <v>213</v>
      </c>
      <c r="B80" s="17" t="s">
        <v>154</v>
      </c>
      <c r="C80" s="17" t="s">
        <v>154</v>
      </c>
      <c r="D80" s="18" t="s">
        <v>154</v>
      </c>
      <c r="E80" s="17" t="s">
        <v>154</v>
      </c>
      <c r="F80" s="18" t="s">
        <v>154</v>
      </c>
      <c r="G80" s="17" t="s">
        <v>154</v>
      </c>
      <c r="H80" s="18" t="s">
        <v>154</v>
      </c>
      <c r="I80" s="17" t="s">
        <v>154</v>
      </c>
      <c r="J80" s="18" t="s">
        <v>154</v>
      </c>
      <c r="K80" s="17" t="s">
        <v>154</v>
      </c>
      <c r="L80" s="18" t="s">
        <v>154</v>
      </c>
      <c r="M80" s="17" t="s">
        <v>154</v>
      </c>
      <c r="N80" s="18" t="s">
        <v>154</v>
      </c>
      <c r="O80" s="17" t="s">
        <v>154</v>
      </c>
      <c r="P80" s="18" t="s">
        <v>154</v>
      </c>
      <c r="Q80" s="17" t="s">
        <v>154</v>
      </c>
      <c r="R80" s="18" t="s">
        <v>154</v>
      </c>
    </row>
    <row r="81" spans="1:18" x14ac:dyDescent="0.25">
      <c r="A81" s="19" t="s">
        <v>214</v>
      </c>
      <c r="B81" s="13">
        <v>8861</v>
      </c>
      <c r="C81" s="14">
        <f>(7369/B81*100)</f>
        <v>83.162171312492944</v>
      </c>
      <c r="D81" s="15">
        <v>1492</v>
      </c>
      <c r="E81" s="14">
        <v>58.851396110000003</v>
      </c>
      <c r="F81" s="16">
        <v>1.5014046700000001</v>
      </c>
      <c r="G81" s="14">
        <v>41.148603889999997</v>
      </c>
      <c r="H81" s="16">
        <v>1.5014046700000001</v>
      </c>
      <c r="I81" s="14" t="s">
        <v>139</v>
      </c>
      <c r="J81" s="16" t="s">
        <v>139</v>
      </c>
      <c r="K81" s="14">
        <v>0</v>
      </c>
      <c r="L81" s="16">
        <v>0</v>
      </c>
      <c r="M81" s="14">
        <v>0</v>
      </c>
      <c r="N81" s="16">
        <v>0</v>
      </c>
      <c r="O81" s="14">
        <v>0</v>
      </c>
      <c r="P81" s="16">
        <v>0</v>
      </c>
      <c r="Q81" s="14">
        <v>0</v>
      </c>
      <c r="R81" s="16">
        <v>0</v>
      </c>
    </row>
    <row r="82" spans="1:18" x14ac:dyDescent="0.25">
      <c r="A82" s="20"/>
      <c r="B82" s="20" t="s">
        <v>215</v>
      </c>
      <c r="C82" s="20" t="s">
        <v>215</v>
      </c>
      <c r="D82" s="20" t="s">
        <v>215</v>
      </c>
      <c r="E82" s="20" t="s">
        <v>215</v>
      </c>
      <c r="F82" s="20" t="s">
        <v>215</v>
      </c>
      <c r="G82" s="20" t="s">
        <v>215</v>
      </c>
      <c r="H82" s="20" t="s">
        <v>215</v>
      </c>
      <c r="I82" s="20" t="s">
        <v>215</v>
      </c>
      <c r="J82" s="20" t="s">
        <v>215</v>
      </c>
      <c r="K82" s="20" t="s">
        <v>215</v>
      </c>
      <c r="L82" s="20" t="s">
        <v>215</v>
      </c>
      <c r="M82" s="20" t="s">
        <v>215</v>
      </c>
      <c r="N82" s="20" t="s">
        <v>215</v>
      </c>
      <c r="O82" s="20" t="s">
        <v>215</v>
      </c>
      <c r="P82" s="20" t="s">
        <v>215</v>
      </c>
      <c r="Q82" s="20" t="s">
        <v>215</v>
      </c>
      <c r="R82" s="20" t="s">
        <v>215</v>
      </c>
    </row>
    <row r="83" spans="1:18" x14ac:dyDescent="0.25">
      <c r="A83" s="3" t="s">
        <v>216</v>
      </c>
    </row>
    <row r="84" spans="1:18" x14ac:dyDescent="0.25">
      <c r="A84" s="22" t="s">
        <v>217</v>
      </c>
      <c r="B84" s="23"/>
      <c r="C84" s="23"/>
      <c r="D84" s="23"/>
      <c r="E84" s="23"/>
      <c r="F84" s="23"/>
      <c r="G84" s="23"/>
      <c r="H84" s="23"/>
      <c r="I84" s="23"/>
      <c r="J84" s="23"/>
      <c r="K84" s="23"/>
      <c r="L84" s="23"/>
      <c r="M84" s="23"/>
      <c r="N84" s="23"/>
      <c r="O84" s="23"/>
      <c r="P84" s="23"/>
      <c r="Q84" s="23"/>
      <c r="R84" s="23"/>
    </row>
    <row r="85" spans="1:18" x14ac:dyDescent="0.25">
      <c r="A85" s="22" t="s">
        <v>218</v>
      </c>
      <c r="B85" s="23"/>
      <c r="C85" s="23"/>
      <c r="D85" s="23"/>
      <c r="E85" s="23"/>
      <c r="F85" s="23"/>
      <c r="G85" s="23"/>
      <c r="H85" s="23"/>
      <c r="I85" s="23"/>
      <c r="J85" s="23"/>
      <c r="K85" s="23"/>
      <c r="L85" s="23"/>
      <c r="M85" s="23"/>
      <c r="N85" s="23"/>
      <c r="O85" s="23"/>
      <c r="P85" s="23"/>
      <c r="Q85" s="23"/>
      <c r="R85" s="23"/>
    </row>
    <row r="86" spans="1:18" ht="30" customHeight="1" x14ac:dyDescent="0.25">
      <c r="A86" s="22" t="s">
        <v>219</v>
      </c>
      <c r="B86" s="23"/>
      <c r="C86" s="23"/>
      <c r="D86" s="23"/>
      <c r="E86" s="23"/>
      <c r="F86" s="23"/>
      <c r="G86" s="23"/>
      <c r="H86" s="23"/>
      <c r="I86" s="23"/>
      <c r="J86" s="23"/>
      <c r="K86" s="23"/>
      <c r="L86" s="23"/>
      <c r="M86" s="23"/>
      <c r="N86" s="23"/>
      <c r="O86" s="23"/>
      <c r="P86" s="23"/>
      <c r="Q86" s="23"/>
      <c r="R86" s="23"/>
    </row>
    <row r="87" spans="1:18" ht="30" customHeight="1" x14ac:dyDescent="0.25">
      <c r="A87" s="22" t="s">
        <v>215</v>
      </c>
      <c r="B87" s="23"/>
      <c r="C87" s="23"/>
      <c r="D87" s="23"/>
      <c r="E87" s="23"/>
      <c r="F87" s="23"/>
      <c r="G87" s="23"/>
      <c r="H87" s="23"/>
      <c r="I87" s="23"/>
      <c r="J87" s="23"/>
      <c r="K87" s="23"/>
      <c r="L87" s="23"/>
      <c r="M87" s="23"/>
      <c r="N87" s="23"/>
      <c r="O87" s="23"/>
      <c r="P87" s="23"/>
      <c r="Q87" s="23"/>
      <c r="R87" s="23"/>
    </row>
    <row r="88" spans="1:18" ht="30" customHeight="1" x14ac:dyDescent="0.25">
      <c r="A88" s="22" t="s">
        <v>220</v>
      </c>
      <c r="B88" s="23"/>
      <c r="C88" s="23"/>
      <c r="D88" s="23"/>
      <c r="E88" s="23"/>
      <c r="F88" s="23"/>
      <c r="G88" s="23"/>
      <c r="H88" s="23"/>
      <c r="I88" s="23"/>
      <c r="J88" s="23"/>
      <c r="K88" s="23"/>
      <c r="L88" s="23"/>
      <c r="M88" s="23"/>
      <c r="N88" s="23"/>
      <c r="O88" s="23"/>
      <c r="P88" s="23"/>
      <c r="Q88" s="23"/>
      <c r="R88" s="23"/>
    </row>
    <row r="89" spans="1:18" ht="30" customHeight="1" x14ac:dyDescent="0.25">
      <c r="A89" s="22" t="s">
        <v>221</v>
      </c>
      <c r="B89" s="23"/>
      <c r="C89" s="23"/>
      <c r="D89" s="23"/>
      <c r="E89" s="23"/>
      <c r="F89" s="23"/>
      <c r="G89" s="23"/>
      <c r="H89" s="23"/>
      <c r="I89" s="23"/>
      <c r="J89" s="23"/>
      <c r="K89" s="23"/>
      <c r="L89" s="23"/>
      <c r="M89" s="23"/>
      <c r="N89" s="23"/>
      <c r="O89" s="23"/>
      <c r="P89" s="23"/>
      <c r="Q89" s="23"/>
      <c r="R89" s="23"/>
    </row>
    <row r="90" spans="1:18" ht="30" customHeight="1" x14ac:dyDescent="0.25">
      <c r="A90" s="22" t="s">
        <v>222</v>
      </c>
      <c r="B90" s="23"/>
      <c r="C90" s="23"/>
      <c r="D90" s="23"/>
      <c r="E90" s="23"/>
      <c r="F90" s="23"/>
      <c r="G90" s="23"/>
      <c r="H90" s="23"/>
      <c r="I90" s="23"/>
      <c r="J90" s="23"/>
      <c r="K90" s="23"/>
      <c r="L90" s="23"/>
      <c r="M90" s="23"/>
      <c r="N90" s="23"/>
      <c r="O90" s="23"/>
      <c r="P90" s="23"/>
      <c r="Q90" s="23"/>
      <c r="R90" s="23"/>
    </row>
    <row r="91" spans="1:18" ht="30" customHeight="1" x14ac:dyDescent="0.25">
      <c r="A91" s="22" t="s">
        <v>223</v>
      </c>
      <c r="B91" s="23"/>
      <c r="C91" s="23"/>
      <c r="D91" s="23"/>
      <c r="E91" s="23"/>
      <c r="F91" s="23"/>
      <c r="G91" s="23"/>
      <c r="H91" s="23"/>
      <c r="I91" s="23"/>
      <c r="J91" s="23"/>
      <c r="K91" s="23"/>
      <c r="L91" s="23"/>
      <c r="M91" s="23"/>
      <c r="N91" s="23"/>
      <c r="O91" s="23"/>
      <c r="P91" s="23"/>
      <c r="Q91" s="23"/>
      <c r="R91" s="23"/>
    </row>
    <row r="92" spans="1:18" ht="30" customHeight="1" x14ac:dyDescent="0.25">
      <c r="A92" s="22" t="s">
        <v>224</v>
      </c>
      <c r="B92" s="23"/>
      <c r="C92" s="23"/>
      <c r="D92" s="23"/>
      <c r="E92" s="23"/>
      <c r="F92" s="23"/>
      <c r="G92" s="23"/>
      <c r="H92" s="23"/>
      <c r="I92" s="23"/>
      <c r="J92" s="23"/>
      <c r="K92" s="23"/>
      <c r="L92" s="23"/>
      <c r="M92" s="23"/>
      <c r="N92" s="23"/>
      <c r="O92" s="23"/>
      <c r="P92" s="23"/>
      <c r="Q92" s="23"/>
      <c r="R92" s="23"/>
    </row>
    <row r="93" spans="1:18" ht="30" customHeight="1" x14ac:dyDescent="0.25">
      <c r="A93" s="22" t="s">
        <v>225</v>
      </c>
      <c r="B93" s="23"/>
      <c r="C93" s="23"/>
      <c r="D93" s="23"/>
      <c r="E93" s="23"/>
      <c r="F93" s="23"/>
      <c r="G93" s="23"/>
      <c r="H93" s="23"/>
      <c r="I93" s="23"/>
      <c r="J93" s="23"/>
      <c r="K93" s="23"/>
      <c r="L93" s="23"/>
      <c r="M93" s="23"/>
      <c r="N93" s="23"/>
      <c r="O93" s="23"/>
      <c r="P93" s="23"/>
      <c r="Q93" s="23"/>
      <c r="R93" s="23"/>
    </row>
    <row r="94" spans="1:18" ht="30" customHeight="1" x14ac:dyDescent="0.25">
      <c r="A94" s="22" t="s">
        <v>226</v>
      </c>
      <c r="B94" s="23"/>
      <c r="C94" s="23"/>
      <c r="D94" s="23"/>
      <c r="E94" s="23"/>
      <c r="F94" s="23"/>
      <c r="G94" s="23"/>
      <c r="H94" s="23"/>
      <c r="I94" s="23"/>
      <c r="J94" s="23"/>
      <c r="K94" s="23"/>
      <c r="L94" s="23"/>
      <c r="M94" s="23"/>
      <c r="N94" s="23"/>
      <c r="O94" s="23"/>
      <c r="P94" s="23"/>
      <c r="Q94" s="23"/>
      <c r="R94" s="23"/>
    </row>
    <row r="95" spans="1:18" ht="30" customHeight="1" x14ac:dyDescent="0.25">
      <c r="A95" s="22" t="s">
        <v>227</v>
      </c>
      <c r="B95" s="23"/>
      <c r="C95" s="23"/>
      <c r="D95" s="23"/>
      <c r="E95" s="23"/>
      <c r="F95" s="23"/>
      <c r="G95" s="23"/>
      <c r="H95" s="23"/>
      <c r="I95" s="23"/>
      <c r="J95" s="23"/>
      <c r="K95" s="23"/>
      <c r="L95" s="23"/>
      <c r="M95" s="23"/>
      <c r="N95" s="23"/>
      <c r="O95" s="23"/>
      <c r="P95" s="23"/>
      <c r="Q95" s="23"/>
      <c r="R95" s="23"/>
    </row>
    <row r="96" spans="1:18" ht="30" customHeight="1" x14ac:dyDescent="0.25">
      <c r="A96" s="22" t="s">
        <v>228</v>
      </c>
      <c r="B96" s="23"/>
      <c r="C96" s="23"/>
      <c r="D96" s="23"/>
      <c r="E96" s="23"/>
      <c r="F96" s="23"/>
      <c r="G96" s="23"/>
      <c r="H96" s="23"/>
      <c r="I96" s="23"/>
      <c r="J96" s="23"/>
      <c r="K96" s="23"/>
      <c r="L96" s="23"/>
      <c r="M96" s="23"/>
      <c r="N96" s="23"/>
      <c r="O96" s="23"/>
      <c r="P96" s="23"/>
      <c r="Q96" s="23"/>
      <c r="R96" s="23"/>
    </row>
  </sheetData>
  <mergeCells count="22">
    <mergeCell ref="O4:P4"/>
    <mergeCell ref="Q4:R4"/>
    <mergeCell ref="A1:R1"/>
    <mergeCell ref="A2:R2"/>
    <mergeCell ref="A84:R84"/>
    <mergeCell ref="E4:F4"/>
    <mergeCell ref="G4:H4"/>
    <mergeCell ref="I4:J4"/>
    <mergeCell ref="K4:L4"/>
    <mergeCell ref="M4:N4"/>
    <mergeCell ref="A85:R85"/>
    <mergeCell ref="A86:R86"/>
    <mergeCell ref="A87:R87"/>
    <mergeCell ref="A88:R88"/>
    <mergeCell ref="A89:R89"/>
    <mergeCell ref="A95:R95"/>
    <mergeCell ref="A96:R96"/>
    <mergeCell ref="A90:R90"/>
    <mergeCell ref="A91:R91"/>
    <mergeCell ref="A92:R92"/>
    <mergeCell ref="A93:R93"/>
    <mergeCell ref="A94:R94"/>
  </mergeCells>
  <pageMargins left="0.75" right="0.75" top="1" bottom="1" header="0.5" footer="0.5"/>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0"/>
  <dimension ref="A1:R96"/>
  <sheetViews>
    <sheetView zoomScale="80" workbookViewId="0">
      <pane xSplit="4" topLeftCell="E1" activePane="topRight" state="frozen"/>
      <selection sqref="A1:R1"/>
      <selection pane="topRight" sqref="A1:R1"/>
    </sheetView>
  </sheetViews>
  <sheetFormatPr defaultColWidth="11.42578125" defaultRowHeight="15" x14ac:dyDescent="0.25"/>
  <cols>
    <col min="1" max="1" width="50" customWidth="1"/>
  </cols>
  <sheetData>
    <row r="1" spans="1:18" x14ac:dyDescent="0.25">
      <c r="A1" s="26" t="s">
        <v>122</v>
      </c>
      <c r="B1" s="23"/>
      <c r="C1" s="23"/>
      <c r="D1" s="23"/>
      <c r="E1" s="23"/>
      <c r="F1" s="23"/>
      <c r="G1" s="23"/>
      <c r="H1" s="23"/>
      <c r="I1" s="23"/>
      <c r="J1" s="23"/>
      <c r="K1" s="23"/>
      <c r="L1" s="23"/>
      <c r="M1" s="23"/>
      <c r="N1" s="23"/>
      <c r="O1" s="23"/>
      <c r="P1" s="23"/>
      <c r="Q1" s="23"/>
      <c r="R1" s="23"/>
    </row>
    <row r="2" spans="1:18" x14ac:dyDescent="0.25">
      <c r="A2" s="27" t="s">
        <v>286</v>
      </c>
      <c r="B2" s="23"/>
      <c r="C2" s="23"/>
      <c r="D2" s="23"/>
      <c r="E2" s="23"/>
      <c r="F2" s="23"/>
      <c r="G2" s="23"/>
      <c r="H2" s="23"/>
      <c r="I2" s="23"/>
      <c r="J2" s="23"/>
      <c r="K2" s="23"/>
      <c r="L2" s="23"/>
      <c r="M2" s="23"/>
      <c r="N2" s="23"/>
      <c r="O2" s="23"/>
      <c r="P2" s="23"/>
      <c r="Q2" s="23"/>
      <c r="R2" s="23"/>
    </row>
    <row r="4" spans="1:18" ht="30" customHeight="1" x14ac:dyDescent="0.25">
      <c r="A4" s="4"/>
      <c r="B4" s="5" t="s">
        <v>123</v>
      </c>
      <c r="C4" s="5" t="s">
        <v>124</v>
      </c>
      <c r="D4" s="6" t="s">
        <v>123</v>
      </c>
      <c r="E4" s="24" t="s">
        <v>125</v>
      </c>
      <c r="F4" s="25"/>
      <c r="G4" s="24" t="s">
        <v>126</v>
      </c>
      <c r="H4" s="25"/>
      <c r="I4" s="24" t="s">
        <v>127</v>
      </c>
      <c r="J4" s="25"/>
      <c r="K4" s="24" t="s">
        <v>128</v>
      </c>
      <c r="L4" s="25"/>
      <c r="M4" s="24" t="s">
        <v>129</v>
      </c>
      <c r="N4" s="25"/>
      <c r="O4" s="24" t="s">
        <v>130</v>
      </c>
      <c r="P4" s="25"/>
      <c r="Q4" s="24" t="s">
        <v>131</v>
      </c>
      <c r="R4" s="25"/>
    </row>
    <row r="5" spans="1:18" x14ac:dyDescent="0.25">
      <c r="A5" s="7"/>
      <c r="B5" s="8" t="s">
        <v>132</v>
      </c>
      <c r="C5" s="8" t="s">
        <v>133</v>
      </c>
      <c r="D5" s="7" t="s">
        <v>134</v>
      </c>
      <c r="E5" s="8" t="s">
        <v>135</v>
      </c>
      <c r="F5" s="7" t="s">
        <v>136</v>
      </c>
      <c r="G5" s="8" t="s">
        <v>135</v>
      </c>
      <c r="H5" s="7" t="s">
        <v>136</v>
      </c>
      <c r="I5" s="8" t="s">
        <v>135</v>
      </c>
      <c r="J5" s="7" t="s">
        <v>136</v>
      </c>
      <c r="K5" s="8" t="s">
        <v>135</v>
      </c>
      <c r="L5" s="7" t="s">
        <v>136</v>
      </c>
      <c r="M5" s="8" t="s">
        <v>135</v>
      </c>
      <c r="N5" s="7" t="s">
        <v>136</v>
      </c>
      <c r="O5" s="8" t="s">
        <v>135</v>
      </c>
      <c r="P5" s="7" t="s">
        <v>136</v>
      </c>
      <c r="Q5" s="8" t="s">
        <v>135</v>
      </c>
      <c r="R5" s="7" t="s">
        <v>136</v>
      </c>
    </row>
    <row r="6" spans="1:18" x14ac:dyDescent="0.25">
      <c r="A6" s="9" t="s">
        <v>137</v>
      </c>
      <c r="B6" s="10"/>
      <c r="C6" s="10"/>
      <c r="D6" s="11"/>
      <c r="E6" s="10"/>
      <c r="F6" s="11"/>
      <c r="G6" s="10"/>
      <c r="H6" s="11"/>
      <c r="I6" s="10"/>
      <c r="J6" s="11"/>
      <c r="K6" s="10"/>
      <c r="L6" s="11"/>
      <c r="M6" s="10"/>
      <c r="N6" s="11"/>
      <c r="O6" s="10"/>
      <c r="P6" s="11"/>
      <c r="Q6" s="10"/>
      <c r="R6" s="12"/>
    </row>
    <row r="7" spans="1:18" x14ac:dyDescent="0.25">
      <c r="A7" s="11" t="s">
        <v>138</v>
      </c>
      <c r="B7" s="13">
        <v>14530</v>
      </c>
      <c r="C7" s="14">
        <f>(12103/B7*100)</f>
        <v>83.296627666896072</v>
      </c>
      <c r="D7" s="15">
        <v>2427</v>
      </c>
      <c r="E7" s="14">
        <v>52.539576959999998</v>
      </c>
      <c r="F7" s="16">
        <v>1.1546089399999999</v>
      </c>
      <c r="G7" s="14">
        <v>47.460423040000002</v>
      </c>
      <c r="H7" s="16">
        <v>1.1546089399999999</v>
      </c>
      <c r="I7" s="14" t="s">
        <v>139</v>
      </c>
      <c r="J7" s="16" t="s">
        <v>139</v>
      </c>
      <c r="K7" s="14">
        <v>0</v>
      </c>
      <c r="L7" s="16">
        <v>0</v>
      </c>
      <c r="M7" s="14">
        <v>0</v>
      </c>
      <c r="N7" s="16">
        <v>0</v>
      </c>
      <c r="O7" s="14">
        <v>0</v>
      </c>
      <c r="P7" s="16">
        <v>0</v>
      </c>
      <c r="Q7" s="14">
        <v>0</v>
      </c>
      <c r="R7" s="16">
        <v>0</v>
      </c>
    </row>
    <row r="8" spans="1:18" x14ac:dyDescent="0.25">
      <c r="A8" s="11" t="s">
        <v>140</v>
      </c>
      <c r="B8" s="13">
        <v>7007</v>
      </c>
      <c r="C8" s="14">
        <f>(5812/B8*100)</f>
        <v>82.94562580276866</v>
      </c>
      <c r="D8" s="15">
        <v>1195</v>
      </c>
      <c r="E8" s="14">
        <v>58.032597840000001</v>
      </c>
      <c r="F8" s="16">
        <v>1.54409723</v>
      </c>
      <c r="G8" s="14">
        <v>41.967402159999999</v>
      </c>
      <c r="H8" s="16">
        <v>1.54409723</v>
      </c>
      <c r="I8" s="14" t="s">
        <v>139</v>
      </c>
      <c r="J8" s="16" t="s">
        <v>139</v>
      </c>
      <c r="K8" s="14">
        <v>0</v>
      </c>
      <c r="L8" s="16">
        <v>0</v>
      </c>
      <c r="M8" s="14">
        <v>0</v>
      </c>
      <c r="N8" s="16">
        <v>0</v>
      </c>
      <c r="O8" s="14">
        <v>0</v>
      </c>
      <c r="P8" s="16">
        <v>0</v>
      </c>
      <c r="Q8" s="14">
        <v>0</v>
      </c>
      <c r="R8" s="16">
        <v>0</v>
      </c>
    </row>
    <row r="9" spans="1:18" x14ac:dyDescent="0.25">
      <c r="A9" s="11" t="s">
        <v>141</v>
      </c>
      <c r="B9" s="13">
        <v>9651</v>
      </c>
      <c r="C9" s="14">
        <f>(8044/B9*100)</f>
        <v>83.34887576416952</v>
      </c>
      <c r="D9" s="15">
        <v>1607</v>
      </c>
      <c r="E9" s="14">
        <v>64.860537239999999</v>
      </c>
      <c r="F9" s="16">
        <v>1.40535382</v>
      </c>
      <c r="G9" s="14">
        <v>35.139462760000001</v>
      </c>
      <c r="H9" s="16">
        <v>1.40535382</v>
      </c>
      <c r="I9" s="14" t="s">
        <v>139</v>
      </c>
      <c r="J9" s="16" t="s">
        <v>139</v>
      </c>
      <c r="K9" s="14">
        <v>0</v>
      </c>
      <c r="L9" s="16">
        <v>0</v>
      </c>
      <c r="M9" s="14">
        <v>0</v>
      </c>
      <c r="N9" s="16">
        <v>0</v>
      </c>
      <c r="O9" s="14">
        <v>0</v>
      </c>
      <c r="P9" s="16">
        <v>0</v>
      </c>
      <c r="Q9" s="14">
        <v>0</v>
      </c>
      <c r="R9" s="16">
        <v>0</v>
      </c>
    </row>
    <row r="10" spans="1:18" x14ac:dyDescent="0.25">
      <c r="A10" s="11" t="s">
        <v>142</v>
      </c>
      <c r="B10" s="13">
        <v>20058</v>
      </c>
      <c r="C10" s="14">
        <f>(16638/B10*100)</f>
        <v>82.949446604845946</v>
      </c>
      <c r="D10" s="15">
        <v>3420</v>
      </c>
      <c r="E10" s="14">
        <v>50.203051379999998</v>
      </c>
      <c r="F10" s="16">
        <v>1.23500955</v>
      </c>
      <c r="G10" s="14">
        <v>49.796948620000002</v>
      </c>
      <c r="H10" s="16">
        <v>1.23500955</v>
      </c>
      <c r="I10" s="14" t="s">
        <v>139</v>
      </c>
      <c r="J10" s="16" t="s">
        <v>139</v>
      </c>
      <c r="K10" s="14">
        <v>0</v>
      </c>
      <c r="L10" s="16">
        <v>0</v>
      </c>
      <c r="M10" s="14">
        <v>0</v>
      </c>
      <c r="N10" s="16">
        <v>0</v>
      </c>
      <c r="O10" s="14">
        <v>0</v>
      </c>
      <c r="P10" s="16">
        <v>0</v>
      </c>
      <c r="Q10" s="14">
        <v>0</v>
      </c>
      <c r="R10" s="16">
        <v>0</v>
      </c>
    </row>
    <row r="11" spans="1:18" x14ac:dyDescent="0.25">
      <c r="A11" s="11" t="s">
        <v>143</v>
      </c>
      <c r="B11" s="13">
        <v>7053</v>
      </c>
      <c r="C11" s="14">
        <f>(5851/B11*100)</f>
        <v>82.957606692187724</v>
      </c>
      <c r="D11" s="15">
        <v>1202</v>
      </c>
      <c r="E11" s="14">
        <v>74.391383829999995</v>
      </c>
      <c r="F11" s="16">
        <v>1.52181711</v>
      </c>
      <c r="G11" s="14">
        <v>25.608616170000001</v>
      </c>
      <c r="H11" s="16">
        <v>1.52181711</v>
      </c>
      <c r="I11" s="14" t="s">
        <v>139</v>
      </c>
      <c r="J11" s="16" t="s">
        <v>139</v>
      </c>
      <c r="K11" s="14">
        <v>0</v>
      </c>
      <c r="L11" s="16">
        <v>0</v>
      </c>
      <c r="M11" s="14">
        <v>0</v>
      </c>
      <c r="N11" s="16">
        <v>0</v>
      </c>
      <c r="O11" s="14">
        <v>0</v>
      </c>
      <c r="P11" s="16">
        <v>0</v>
      </c>
      <c r="Q11" s="14">
        <v>0</v>
      </c>
      <c r="R11" s="16">
        <v>0</v>
      </c>
    </row>
    <row r="12" spans="1:18" x14ac:dyDescent="0.25">
      <c r="A12" s="11" t="s">
        <v>144</v>
      </c>
      <c r="B12" s="13">
        <v>6894</v>
      </c>
      <c r="C12" s="14">
        <f>(5720/B12*100)</f>
        <v>82.970699158688717</v>
      </c>
      <c r="D12" s="15">
        <v>1174</v>
      </c>
      <c r="E12" s="14">
        <v>59.903563810000001</v>
      </c>
      <c r="F12" s="16">
        <v>1.4375963899999999</v>
      </c>
      <c r="G12" s="14">
        <v>40.096436189999999</v>
      </c>
      <c r="H12" s="16">
        <v>1.4375963899999999</v>
      </c>
      <c r="I12" s="14" t="s">
        <v>139</v>
      </c>
      <c r="J12" s="16" t="s">
        <v>139</v>
      </c>
      <c r="K12" s="14">
        <v>0</v>
      </c>
      <c r="L12" s="16">
        <v>0</v>
      </c>
      <c r="M12" s="14">
        <v>0</v>
      </c>
      <c r="N12" s="16">
        <v>0</v>
      </c>
      <c r="O12" s="14">
        <v>0</v>
      </c>
      <c r="P12" s="16">
        <v>0</v>
      </c>
      <c r="Q12" s="14">
        <v>0</v>
      </c>
      <c r="R12" s="16">
        <v>0</v>
      </c>
    </row>
    <row r="13" spans="1:18" x14ac:dyDescent="0.25">
      <c r="A13" s="11" t="s">
        <v>145</v>
      </c>
      <c r="B13" s="13">
        <v>7161</v>
      </c>
      <c r="C13" s="14">
        <f>(6008/B13*100)</f>
        <v>83.898896802122607</v>
      </c>
      <c r="D13" s="15">
        <v>1153</v>
      </c>
      <c r="E13" s="14">
        <v>52.48601189</v>
      </c>
      <c r="F13" s="16">
        <v>1.9517578600000001</v>
      </c>
      <c r="G13" s="14">
        <v>47.51398811</v>
      </c>
      <c r="H13" s="16">
        <v>1.9517578600000001</v>
      </c>
      <c r="I13" s="14" t="s">
        <v>139</v>
      </c>
      <c r="J13" s="16" t="s">
        <v>139</v>
      </c>
      <c r="K13" s="14">
        <v>0</v>
      </c>
      <c r="L13" s="16">
        <v>0</v>
      </c>
      <c r="M13" s="14">
        <v>0</v>
      </c>
      <c r="N13" s="16">
        <v>0</v>
      </c>
      <c r="O13" s="14">
        <v>0</v>
      </c>
      <c r="P13" s="16">
        <v>0</v>
      </c>
      <c r="Q13" s="14">
        <v>0</v>
      </c>
      <c r="R13" s="16">
        <v>0</v>
      </c>
    </row>
    <row r="14" spans="1:18" x14ac:dyDescent="0.25">
      <c r="A14" s="11" t="s">
        <v>146</v>
      </c>
      <c r="B14" s="13">
        <v>5587</v>
      </c>
      <c r="C14" s="14">
        <f>(4631/B14*100)</f>
        <v>82.888849114014675</v>
      </c>
      <c r="D14" s="15">
        <v>956</v>
      </c>
      <c r="E14" s="14">
        <v>51.79561649</v>
      </c>
      <c r="F14" s="16">
        <v>1.7235836099999999</v>
      </c>
      <c r="G14" s="14">
        <v>48.20438351</v>
      </c>
      <c r="H14" s="16">
        <v>1.7235836099999999</v>
      </c>
      <c r="I14" s="14" t="s">
        <v>139</v>
      </c>
      <c r="J14" s="16" t="s">
        <v>139</v>
      </c>
      <c r="K14" s="14">
        <v>0</v>
      </c>
      <c r="L14" s="16">
        <v>0</v>
      </c>
      <c r="M14" s="14">
        <v>0</v>
      </c>
      <c r="N14" s="16">
        <v>0</v>
      </c>
      <c r="O14" s="14">
        <v>0</v>
      </c>
      <c r="P14" s="16">
        <v>0</v>
      </c>
      <c r="Q14" s="14">
        <v>0</v>
      </c>
      <c r="R14" s="16">
        <v>0</v>
      </c>
    </row>
    <row r="15" spans="1:18" x14ac:dyDescent="0.25">
      <c r="A15" s="11" t="s">
        <v>147</v>
      </c>
      <c r="B15" s="13">
        <v>5882</v>
      </c>
      <c r="C15" s="14">
        <f>(4867/B15*100)</f>
        <v>82.743964637878278</v>
      </c>
      <c r="D15" s="15">
        <v>1015</v>
      </c>
      <c r="E15" s="14">
        <v>59.030171520000003</v>
      </c>
      <c r="F15" s="16">
        <v>1.77104605</v>
      </c>
      <c r="G15" s="14">
        <v>40.969828479999997</v>
      </c>
      <c r="H15" s="16">
        <v>1.77104605</v>
      </c>
      <c r="I15" s="14" t="s">
        <v>139</v>
      </c>
      <c r="J15" s="16" t="s">
        <v>139</v>
      </c>
      <c r="K15" s="14">
        <v>0</v>
      </c>
      <c r="L15" s="16">
        <v>0</v>
      </c>
      <c r="M15" s="14">
        <v>0</v>
      </c>
      <c r="N15" s="16">
        <v>0</v>
      </c>
      <c r="O15" s="14">
        <v>0</v>
      </c>
      <c r="P15" s="16">
        <v>0</v>
      </c>
      <c r="Q15" s="14">
        <v>0</v>
      </c>
      <c r="R15" s="16">
        <v>0</v>
      </c>
    </row>
    <row r="16" spans="1:18" x14ac:dyDescent="0.25">
      <c r="A16" s="11" t="s">
        <v>148</v>
      </c>
      <c r="B16" s="13">
        <v>6108</v>
      </c>
      <c r="C16" s="14">
        <f>(5047/B16*100)</f>
        <v>82.629338572364105</v>
      </c>
      <c r="D16" s="15">
        <v>1061</v>
      </c>
      <c r="E16" s="14">
        <v>60.657687619999997</v>
      </c>
      <c r="F16" s="16">
        <v>1.43494133</v>
      </c>
      <c r="G16" s="14">
        <v>39.342312380000003</v>
      </c>
      <c r="H16" s="16">
        <v>1.43494133</v>
      </c>
      <c r="I16" s="14" t="s">
        <v>139</v>
      </c>
      <c r="J16" s="16" t="s">
        <v>139</v>
      </c>
      <c r="K16" s="14">
        <v>0</v>
      </c>
      <c r="L16" s="16">
        <v>0</v>
      </c>
      <c r="M16" s="14">
        <v>0</v>
      </c>
      <c r="N16" s="16">
        <v>0</v>
      </c>
      <c r="O16" s="14">
        <v>0</v>
      </c>
      <c r="P16" s="16">
        <v>0</v>
      </c>
      <c r="Q16" s="14">
        <v>0</v>
      </c>
      <c r="R16" s="16">
        <v>0</v>
      </c>
    </row>
    <row r="17" spans="1:18" x14ac:dyDescent="0.25">
      <c r="A17" s="11" t="s">
        <v>149</v>
      </c>
      <c r="B17" s="13">
        <v>6504</v>
      </c>
      <c r="C17" s="14">
        <f>(5401/B17*100)</f>
        <v>83.041205412054126</v>
      </c>
      <c r="D17" s="15">
        <v>1103</v>
      </c>
      <c r="E17" s="14">
        <v>56.97320465</v>
      </c>
      <c r="F17" s="16">
        <v>1.4986201299999999</v>
      </c>
      <c r="G17" s="14">
        <v>43.02679535</v>
      </c>
      <c r="H17" s="16">
        <v>1.4986201299999999</v>
      </c>
      <c r="I17" s="14" t="s">
        <v>139</v>
      </c>
      <c r="J17" s="16" t="s">
        <v>139</v>
      </c>
      <c r="K17" s="14">
        <v>0</v>
      </c>
      <c r="L17" s="16">
        <v>0</v>
      </c>
      <c r="M17" s="14">
        <v>0</v>
      </c>
      <c r="N17" s="16">
        <v>0</v>
      </c>
      <c r="O17" s="14">
        <v>0</v>
      </c>
      <c r="P17" s="16">
        <v>0</v>
      </c>
      <c r="Q17" s="14">
        <v>0</v>
      </c>
      <c r="R17" s="16">
        <v>0</v>
      </c>
    </row>
    <row r="18" spans="1:18" x14ac:dyDescent="0.25">
      <c r="A18" s="11" t="s">
        <v>150</v>
      </c>
      <c r="B18" s="13">
        <v>5532</v>
      </c>
      <c r="C18" s="14">
        <f>(4618/B18*100)</f>
        <v>83.477946493130872</v>
      </c>
      <c r="D18" s="15">
        <v>914</v>
      </c>
      <c r="E18" s="14">
        <v>67.260974820000001</v>
      </c>
      <c r="F18" s="16">
        <v>1.6190862500000001</v>
      </c>
      <c r="G18" s="14">
        <v>32.739025179999999</v>
      </c>
      <c r="H18" s="16">
        <v>1.6190862500000001</v>
      </c>
      <c r="I18" s="14" t="s">
        <v>139</v>
      </c>
      <c r="J18" s="16" t="s">
        <v>139</v>
      </c>
      <c r="K18" s="14">
        <v>0</v>
      </c>
      <c r="L18" s="16">
        <v>0</v>
      </c>
      <c r="M18" s="14">
        <v>0</v>
      </c>
      <c r="N18" s="16">
        <v>0</v>
      </c>
      <c r="O18" s="14">
        <v>0</v>
      </c>
      <c r="P18" s="16">
        <v>0</v>
      </c>
      <c r="Q18" s="14">
        <v>0</v>
      </c>
      <c r="R18" s="16">
        <v>0</v>
      </c>
    </row>
    <row r="19" spans="1:18" x14ac:dyDescent="0.25">
      <c r="A19" s="11" t="s">
        <v>151</v>
      </c>
      <c r="B19" s="13">
        <v>5658</v>
      </c>
      <c r="C19" s="14">
        <f>(4693/B19*100)</f>
        <v>82.944503358077057</v>
      </c>
      <c r="D19" s="15">
        <v>965</v>
      </c>
      <c r="E19" s="14">
        <v>75.355952759999994</v>
      </c>
      <c r="F19" s="16">
        <v>1.72605735</v>
      </c>
      <c r="G19" s="14">
        <v>24.644047239999999</v>
      </c>
      <c r="H19" s="16">
        <v>1.72605735</v>
      </c>
      <c r="I19" s="14" t="s">
        <v>139</v>
      </c>
      <c r="J19" s="16" t="s">
        <v>139</v>
      </c>
      <c r="K19" s="14">
        <v>0</v>
      </c>
      <c r="L19" s="16">
        <v>0</v>
      </c>
      <c r="M19" s="14">
        <v>0</v>
      </c>
      <c r="N19" s="16">
        <v>0</v>
      </c>
      <c r="O19" s="14">
        <v>0</v>
      </c>
      <c r="P19" s="16">
        <v>0</v>
      </c>
      <c r="Q19" s="14">
        <v>0</v>
      </c>
      <c r="R19" s="16">
        <v>0</v>
      </c>
    </row>
    <row r="20" spans="1:18" x14ac:dyDescent="0.25">
      <c r="A20" s="11" t="s">
        <v>152</v>
      </c>
      <c r="B20" s="13">
        <v>3371</v>
      </c>
      <c r="C20" s="14">
        <f>(2807/B20*100)</f>
        <v>83.26905962622368</v>
      </c>
      <c r="D20" s="15">
        <v>564</v>
      </c>
      <c r="E20" s="14">
        <v>59.214351739999998</v>
      </c>
      <c r="F20" s="16">
        <v>2.0832620199999998</v>
      </c>
      <c r="G20" s="14">
        <v>40.785648260000002</v>
      </c>
      <c r="H20" s="16">
        <v>2.0832620199999998</v>
      </c>
      <c r="I20" s="14" t="s">
        <v>139</v>
      </c>
      <c r="J20" s="16" t="s">
        <v>139</v>
      </c>
      <c r="K20" s="14">
        <v>0</v>
      </c>
      <c r="L20" s="16">
        <v>0</v>
      </c>
      <c r="M20" s="14">
        <v>0</v>
      </c>
      <c r="N20" s="16">
        <v>0</v>
      </c>
      <c r="O20" s="14">
        <v>0</v>
      </c>
      <c r="P20" s="16">
        <v>0</v>
      </c>
      <c r="Q20" s="14">
        <v>0</v>
      </c>
      <c r="R20" s="16">
        <v>0</v>
      </c>
    </row>
    <row r="21" spans="1:18" x14ac:dyDescent="0.25">
      <c r="A21" s="11" t="s">
        <v>153</v>
      </c>
      <c r="B21" s="17" t="s">
        <v>154</v>
      </c>
      <c r="C21" s="17" t="s">
        <v>154</v>
      </c>
      <c r="D21" s="18" t="s">
        <v>154</v>
      </c>
      <c r="E21" s="17" t="s">
        <v>154</v>
      </c>
      <c r="F21" s="18" t="s">
        <v>154</v>
      </c>
      <c r="G21" s="17" t="s">
        <v>154</v>
      </c>
      <c r="H21" s="18" t="s">
        <v>154</v>
      </c>
      <c r="I21" s="17" t="s">
        <v>154</v>
      </c>
      <c r="J21" s="18" t="s">
        <v>154</v>
      </c>
      <c r="K21" s="17" t="s">
        <v>154</v>
      </c>
      <c r="L21" s="18" t="s">
        <v>154</v>
      </c>
      <c r="M21" s="17" t="s">
        <v>154</v>
      </c>
      <c r="N21" s="18" t="s">
        <v>154</v>
      </c>
      <c r="O21" s="17" t="s">
        <v>154</v>
      </c>
      <c r="P21" s="18" t="s">
        <v>154</v>
      </c>
      <c r="Q21" s="17" t="s">
        <v>154</v>
      </c>
      <c r="R21" s="18" t="s">
        <v>154</v>
      </c>
    </row>
    <row r="22" spans="1:18" x14ac:dyDescent="0.25">
      <c r="A22" s="11" t="s">
        <v>155</v>
      </c>
      <c r="B22" s="13">
        <v>6598</v>
      </c>
      <c r="C22" s="14">
        <f>(5567/B22*100)</f>
        <v>84.374052743255533</v>
      </c>
      <c r="D22" s="15">
        <v>1031</v>
      </c>
      <c r="E22" s="14">
        <v>59.837606010000002</v>
      </c>
      <c r="F22" s="16">
        <v>1.99681251</v>
      </c>
      <c r="G22" s="14">
        <v>40.162393989999998</v>
      </c>
      <c r="H22" s="16">
        <v>1.99681251</v>
      </c>
      <c r="I22" s="14" t="s">
        <v>139</v>
      </c>
      <c r="J22" s="16" t="s">
        <v>139</v>
      </c>
      <c r="K22" s="14">
        <v>0</v>
      </c>
      <c r="L22" s="16">
        <v>0</v>
      </c>
      <c r="M22" s="14">
        <v>0</v>
      </c>
      <c r="N22" s="16">
        <v>0</v>
      </c>
      <c r="O22" s="14">
        <v>0</v>
      </c>
      <c r="P22" s="16">
        <v>0</v>
      </c>
      <c r="Q22" s="14">
        <v>0</v>
      </c>
      <c r="R22" s="16">
        <v>0</v>
      </c>
    </row>
    <row r="23" spans="1:18" x14ac:dyDescent="0.25">
      <c r="A23" s="11" t="s">
        <v>156</v>
      </c>
      <c r="B23" s="13">
        <v>11583</v>
      </c>
      <c r="C23" s="14">
        <f>(9592/B23*100)</f>
        <v>82.81101614434948</v>
      </c>
      <c r="D23" s="15">
        <v>1991</v>
      </c>
      <c r="E23" s="14">
        <v>60.91462843</v>
      </c>
      <c r="F23" s="16">
        <v>1.7824371999999999</v>
      </c>
      <c r="G23" s="14">
        <v>39.08537157</v>
      </c>
      <c r="H23" s="16">
        <v>1.7824371999999999</v>
      </c>
      <c r="I23" s="14" t="s">
        <v>139</v>
      </c>
      <c r="J23" s="16" t="s">
        <v>139</v>
      </c>
      <c r="K23" s="14">
        <v>0</v>
      </c>
      <c r="L23" s="16">
        <v>0</v>
      </c>
      <c r="M23" s="14">
        <v>0</v>
      </c>
      <c r="N23" s="16">
        <v>0</v>
      </c>
      <c r="O23" s="14">
        <v>0</v>
      </c>
      <c r="P23" s="16">
        <v>0</v>
      </c>
      <c r="Q23" s="14">
        <v>0</v>
      </c>
      <c r="R23" s="16">
        <v>0</v>
      </c>
    </row>
    <row r="24" spans="1:18" x14ac:dyDescent="0.25">
      <c r="A24" s="11" t="s">
        <v>157</v>
      </c>
      <c r="B24" s="13">
        <v>6647</v>
      </c>
      <c r="C24" s="14">
        <f>(5467/B24*100)</f>
        <v>82.247630510004512</v>
      </c>
      <c r="D24" s="15">
        <v>1180</v>
      </c>
      <c r="E24" s="14">
        <v>25.463447689999999</v>
      </c>
      <c r="F24" s="16">
        <v>1.3046186900000001</v>
      </c>
      <c r="G24" s="14">
        <v>74.536552310000005</v>
      </c>
      <c r="H24" s="16">
        <v>1.3046186900000001</v>
      </c>
      <c r="I24" s="14" t="s">
        <v>139</v>
      </c>
      <c r="J24" s="16" t="s">
        <v>139</v>
      </c>
      <c r="K24" s="14">
        <v>0</v>
      </c>
      <c r="L24" s="16">
        <v>0</v>
      </c>
      <c r="M24" s="14">
        <v>0</v>
      </c>
      <c r="N24" s="16">
        <v>0</v>
      </c>
      <c r="O24" s="14">
        <v>0</v>
      </c>
      <c r="P24" s="16">
        <v>0</v>
      </c>
      <c r="Q24" s="14">
        <v>0</v>
      </c>
      <c r="R24" s="16">
        <v>0</v>
      </c>
    </row>
    <row r="25" spans="1:18" x14ac:dyDescent="0.25">
      <c r="A25" s="11" t="s">
        <v>158</v>
      </c>
      <c r="B25" s="13">
        <v>5581</v>
      </c>
      <c r="C25" s="14">
        <f>(4597/B25*100)</f>
        <v>82.368751119870993</v>
      </c>
      <c r="D25" s="15">
        <v>984</v>
      </c>
      <c r="E25" s="14">
        <v>47.110947060000001</v>
      </c>
      <c r="F25" s="16">
        <v>1.6267210700000001</v>
      </c>
      <c r="G25" s="14">
        <v>52.889052939999999</v>
      </c>
      <c r="H25" s="16">
        <v>1.6267210700000001</v>
      </c>
      <c r="I25" s="14" t="s">
        <v>139</v>
      </c>
      <c r="J25" s="16" t="s">
        <v>139</v>
      </c>
      <c r="K25" s="14">
        <v>0</v>
      </c>
      <c r="L25" s="16">
        <v>0</v>
      </c>
      <c r="M25" s="14">
        <v>0</v>
      </c>
      <c r="N25" s="16">
        <v>0</v>
      </c>
      <c r="O25" s="14">
        <v>0</v>
      </c>
      <c r="P25" s="16">
        <v>0</v>
      </c>
      <c r="Q25" s="14">
        <v>0</v>
      </c>
      <c r="R25" s="16">
        <v>0</v>
      </c>
    </row>
    <row r="26" spans="1:18" x14ac:dyDescent="0.25">
      <c r="A26" s="11" t="s">
        <v>159</v>
      </c>
      <c r="B26" s="13">
        <v>4869</v>
      </c>
      <c r="C26" s="14">
        <f>(4032/B26*100)</f>
        <v>82.809611829944558</v>
      </c>
      <c r="D26" s="15">
        <v>837</v>
      </c>
      <c r="E26" s="14">
        <v>70.099078570000003</v>
      </c>
      <c r="F26" s="16">
        <v>1.7988631100000001</v>
      </c>
      <c r="G26" s="14">
        <v>29.90092143</v>
      </c>
      <c r="H26" s="16">
        <v>1.7988631100000001</v>
      </c>
      <c r="I26" s="14" t="s">
        <v>139</v>
      </c>
      <c r="J26" s="16" t="s">
        <v>139</v>
      </c>
      <c r="K26" s="14">
        <v>0</v>
      </c>
      <c r="L26" s="16">
        <v>0</v>
      </c>
      <c r="M26" s="14">
        <v>0</v>
      </c>
      <c r="N26" s="16">
        <v>0</v>
      </c>
      <c r="O26" s="14">
        <v>0</v>
      </c>
      <c r="P26" s="16">
        <v>0</v>
      </c>
      <c r="Q26" s="14">
        <v>0</v>
      </c>
      <c r="R26" s="16">
        <v>0</v>
      </c>
    </row>
    <row r="27" spans="1:18" x14ac:dyDescent="0.25">
      <c r="A27" s="11" t="s">
        <v>160</v>
      </c>
      <c r="B27" s="13">
        <v>5299</v>
      </c>
      <c r="C27" s="14">
        <f>(4397/B27*100)</f>
        <v>82.977920362332512</v>
      </c>
      <c r="D27" s="15">
        <v>902</v>
      </c>
      <c r="E27" s="14">
        <v>63.077807870000001</v>
      </c>
      <c r="F27" s="16">
        <v>1.4749143499999999</v>
      </c>
      <c r="G27" s="14">
        <v>36.922192129999999</v>
      </c>
      <c r="H27" s="16">
        <v>1.4749143499999999</v>
      </c>
      <c r="I27" s="14" t="s">
        <v>139</v>
      </c>
      <c r="J27" s="16" t="s">
        <v>139</v>
      </c>
      <c r="K27" s="14">
        <v>0</v>
      </c>
      <c r="L27" s="16">
        <v>0</v>
      </c>
      <c r="M27" s="14">
        <v>0</v>
      </c>
      <c r="N27" s="16">
        <v>0</v>
      </c>
      <c r="O27" s="14">
        <v>0</v>
      </c>
      <c r="P27" s="16">
        <v>0</v>
      </c>
      <c r="Q27" s="14">
        <v>0</v>
      </c>
      <c r="R27" s="16">
        <v>0</v>
      </c>
    </row>
    <row r="28" spans="1:18" x14ac:dyDescent="0.25">
      <c r="A28" s="11" t="s">
        <v>161</v>
      </c>
      <c r="B28" s="13">
        <v>7568</v>
      </c>
      <c r="C28" s="14">
        <f>(6322/B28*100)</f>
        <v>83.535940803382672</v>
      </c>
      <c r="D28" s="15">
        <v>1246</v>
      </c>
      <c r="E28" s="14">
        <v>80.972407799999999</v>
      </c>
      <c r="F28" s="16">
        <v>1.0323071399999999</v>
      </c>
      <c r="G28" s="14">
        <v>19.027592200000001</v>
      </c>
      <c r="H28" s="16">
        <v>1.0323071399999999</v>
      </c>
      <c r="I28" s="14" t="s">
        <v>139</v>
      </c>
      <c r="J28" s="16" t="s">
        <v>139</v>
      </c>
      <c r="K28" s="14">
        <v>0</v>
      </c>
      <c r="L28" s="16">
        <v>0</v>
      </c>
      <c r="M28" s="14">
        <v>0</v>
      </c>
      <c r="N28" s="16">
        <v>0</v>
      </c>
      <c r="O28" s="14">
        <v>0</v>
      </c>
      <c r="P28" s="16">
        <v>0</v>
      </c>
      <c r="Q28" s="14">
        <v>0</v>
      </c>
      <c r="R28" s="16">
        <v>0</v>
      </c>
    </row>
    <row r="29" spans="1:18" x14ac:dyDescent="0.25">
      <c r="A29" s="11" t="s">
        <v>162</v>
      </c>
      <c r="B29" s="13">
        <v>5385</v>
      </c>
      <c r="C29" s="14">
        <f>(4466/B29*100)</f>
        <v>82.934076137418757</v>
      </c>
      <c r="D29" s="15">
        <v>919</v>
      </c>
      <c r="E29" s="14">
        <v>66.655377040000005</v>
      </c>
      <c r="F29" s="16">
        <v>1.58691319</v>
      </c>
      <c r="G29" s="14">
        <v>33.344622960000002</v>
      </c>
      <c r="H29" s="16">
        <v>1.58691319</v>
      </c>
      <c r="I29" s="14" t="s">
        <v>139</v>
      </c>
      <c r="J29" s="16" t="s">
        <v>139</v>
      </c>
      <c r="K29" s="14">
        <v>0</v>
      </c>
      <c r="L29" s="16">
        <v>0</v>
      </c>
      <c r="M29" s="14">
        <v>0</v>
      </c>
      <c r="N29" s="16">
        <v>0</v>
      </c>
      <c r="O29" s="14">
        <v>0</v>
      </c>
      <c r="P29" s="16">
        <v>0</v>
      </c>
      <c r="Q29" s="14">
        <v>0</v>
      </c>
      <c r="R29" s="16">
        <v>0</v>
      </c>
    </row>
    <row r="30" spans="1:18" x14ac:dyDescent="0.25">
      <c r="A30" s="11" t="s">
        <v>163</v>
      </c>
      <c r="B30" s="13">
        <v>4520</v>
      </c>
      <c r="C30" s="14">
        <f>(3753/B30*100)</f>
        <v>83.030973451327441</v>
      </c>
      <c r="D30" s="15">
        <v>767</v>
      </c>
      <c r="E30" s="14">
        <v>52.911164530000001</v>
      </c>
      <c r="F30" s="16">
        <v>1.78747718</v>
      </c>
      <c r="G30" s="14">
        <v>47.088835469999999</v>
      </c>
      <c r="H30" s="16">
        <v>1.78747718</v>
      </c>
      <c r="I30" s="14" t="s">
        <v>139</v>
      </c>
      <c r="J30" s="16" t="s">
        <v>139</v>
      </c>
      <c r="K30" s="14">
        <v>0</v>
      </c>
      <c r="L30" s="16">
        <v>0</v>
      </c>
      <c r="M30" s="14">
        <v>0</v>
      </c>
      <c r="N30" s="16">
        <v>0</v>
      </c>
      <c r="O30" s="14">
        <v>0</v>
      </c>
      <c r="P30" s="16">
        <v>0</v>
      </c>
      <c r="Q30" s="14">
        <v>0</v>
      </c>
      <c r="R30" s="16">
        <v>0</v>
      </c>
    </row>
    <row r="31" spans="1:18" x14ac:dyDescent="0.25">
      <c r="A31" s="11" t="s">
        <v>164</v>
      </c>
      <c r="B31" s="13">
        <v>5456</v>
      </c>
      <c r="C31" s="14">
        <f>(4490/B31*100)</f>
        <v>82.294721407624635</v>
      </c>
      <c r="D31" s="15">
        <v>966</v>
      </c>
      <c r="E31" s="14">
        <v>64.557630880000005</v>
      </c>
      <c r="F31" s="16">
        <v>1.4451302699999999</v>
      </c>
      <c r="G31" s="14">
        <v>35.442369120000002</v>
      </c>
      <c r="H31" s="16">
        <v>1.4451302699999999</v>
      </c>
      <c r="I31" s="14" t="s">
        <v>139</v>
      </c>
      <c r="J31" s="16" t="s">
        <v>139</v>
      </c>
      <c r="K31" s="14">
        <v>0</v>
      </c>
      <c r="L31" s="16">
        <v>0</v>
      </c>
      <c r="M31" s="14">
        <v>0</v>
      </c>
      <c r="N31" s="16">
        <v>0</v>
      </c>
      <c r="O31" s="14">
        <v>0</v>
      </c>
      <c r="P31" s="16">
        <v>0</v>
      </c>
      <c r="Q31" s="14">
        <v>0</v>
      </c>
      <c r="R31" s="16">
        <v>0</v>
      </c>
    </row>
    <row r="32" spans="1:18" x14ac:dyDescent="0.25">
      <c r="A32" s="11" t="s">
        <v>165</v>
      </c>
      <c r="B32" s="17" t="s">
        <v>154</v>
      </c>
      <c r="C32" s="17" t="s">
        <v>154</v>
      </c>
      <c r="D32" s="18" t="s">
        <v>154</v>
      </c>
      <c r="E32" s="17" t="s">
        <v>154</v>
      </c>
      <c r="F32" s="18" t="s">
        <v>154</v>
      </c>
      <c r="G32" s="17" t="s">
        <v>154</v>
      </c>
      <c r="H32" s="18" t="s">
        <v>154</v>
      </c>
      <c r="I32" s="17" t="s">
        <v>154</v>
      </c>
      <c r="J32" s="18" t="s">
        <v>154</v>
      </c>
      <c r="K32" s="17" t="s">
        <v>154</v>
      </c>
      <c r="L32" s="18" t="s">
        <v>154</v>
      </c>
      <c r="M32" s="17" t="s">
        <v>154</v>
      </c>
      <c r="N32" s="18" t="s">
        <v>154</v>
      </c>
      <c r="O32" s="17" t="s">
        <v>154</v>
      </c>
      <c r="P32" s="18" t="s">
        <v>154</v>
      </c>
      <c r="Q32" s="17" t="s">
        <v>154</v>
      </c>
      <c r="R32" s="18" t="s">
        <v>154</v>
      </c>
    </row>
    <row r="33" spans="1:18" x14ac:dyDescent="0.25">
      <c r="A33" s="11" t="s">
        <v>166</v>
      </c>
      <c r="B33" s="13">
        <v>7325</v>
      </c>
      <c r="C33" s="14">
        <f>(6062/B33*100)</f>
        <v>82.757679180887365</v>
      </c>
      <c r="D33" s="15">
        <v>1263</v>
      </c>
      <c r="E33" s="14">
        <v>62.29199182</v>
      </c>
      <c r="F33" s="16">
        <v>1.9108428099999999</v>
      </c>
      <c r="G33" s="14">
        <v>37.70800818</v>
      </c>
      <c r="H33" s="16">
        <v>1.9108428099999999</v>
      </c>
      <c r="I33" s="14" t="s">
        <v>139</v>
      </c>
      <c r="J33" s="16" t="s">
        <v>139</v>
      </c>
      <c r="K33" s="14">
        <v>0</v>
      </c>
      <c r="L33" s="16">
        <v>0</v>
      </c>
      <c r="M33" s="14">
        <v>0</v>
      </c>
      <c r="N33" s="16">
        <v>0</v>
      </c>
      <c r="O33" s="14">
        <v>0</v>
      </c>
      <c r="P33" s="16">
        <v>0</v>
      </c>
      <c r="Q33" s="14">
        <v>0</v>
      </c>
      <c r="R33" s="16">
        <v>0</v>
      </c>
    </row>
    <row r="34" spans="1:18" x14ac:dyDescent="0.25">
      <c r="A34" s="11" t="s">
        <v>167</v>
      </c>
      <c r="B34" s="13">
        <v>6350</v>
      </c>
      <c r="C34" s="14">
        <f>(5302/B34*100)</f>
        <v>83.496062992125985</v>
      </c>
      <c r="D34" s="15">
        <v>1048</v>
      </c>
      <c r="E34" s="14">
        <v>70.857878450000001</v>
      </c>
      <c r="F34" s="16">
        <v>1.49015615</v>
      </c>
      <c r="G34" s="14">
        <v>29.142121549999999</v>
      </c>
      <c r="H34" s="16">
        <v>1.49015615</v>
      </c>
      <c r="I34" s="14" t="s">
        <v>139</v>
      </c>
      <c r="J34" s="16" t="s">
        <v>139</v>
      </c>
      <c r="K34" s="14">
        <v>0</v>
      </c>
      <c r="L34" s="16">
        <v>0</v>
      </c>
      <c r="M34" s="14">
        <v>0</v>
      </c>
      <c r="N34" s="16">
        <v>0</v>
      </c>
      <c r="O34" s="14">
        <v>0</v>
      </c>
      <c r="P34" s="16">
        <v>0</v>
      </c>
      <c r="Q34" s="14">
        <v>0</v>
      </c>
      <c r="R34" s="16">
        <v>0</v>
      </c>
    </row>
    <row r="35" spans="1:18" x14ac:dyDescent="0.25">
      <c r="A35" s="11" t="s">
        <v>168</v>
      </c>
      <c r="B35" s="13">
        <v>6406</v>
      </c>
      <c r="C35" s="14">
        <f>(5326/B35*100)</f>
        <v>83.140805494848578</v>
      </c>
      <c r="D35" s="15">
        <v>1080</v>
      </c>
      <c r="E35" s="14">
        <v>56.683692489999999</v>
      </c>
      <c r="F35" s="16">
        <v>2.2214546400000001</v>
      </c>
      <c r="G35" s="14">
        <v>43.316307510000001</v>
      </c>
      <c r="H35" s="16">
        <v>2.2214546400000001</v>
      </c>
      <c r="I35" s="14" t="s">
        <v>139</v>
      </c>
      <c r="J35" s="16" t="s">
        <v>139</v>
      </c>
      <c r="K35" s="14">
        <v>0</v>
      </c>
      <c r="L35" s="16">
        <v>0</v>
      </c>
      <c r="M35" s="14">
        <v>0</v>
      </c>
      <c r="N35" s="16">
        <v>0</v>
      </c>
      <c r="O35" s="14">
        <v>0</v>
      </c>
      <c r="P35" s="16">
        <v>0</v>
      </c>
      <c r="Q35" s="14">
        <v>0</v>
      </c>
      <c r="R35" s="16">
        <v>0</v>
      </c>
    </row>
    <row r="36" spans="1:18" x14ac:dyDescent="0.25">
      <c r="A36" s="11" t="s">
        <v>169</v>
      </c>
      <c r="B36" s="13">
        <v>6736</v>
      </c>
      <c r="C36" s="14">
        <f>(5591/B36*100)</f>
        <v>83.001781472684087</v>
      </c>
      <c r="D36" s="15">
        <v>1145</v>
      </c>
      <c r="E36" s="14">
        <v>58.184106100000001</v>
      </c>
      <c r="F36" s="16">
        <v>1.38065193</v>
      </c>
      <c r="G36" s="14">
        <v>41.815893899999999</v>
      </c>
      <c r="H36" s="16">
        <v>1.38065193</v>
      </c>
      <c r="I36" s="14" t="s">
        <v>139</v>
      </c>
      <c r="J36" s="16" t="s">
        <v>139</v>
      </c>
      <c r="K36" s="14">
        <v>0</v>
      </c>
      <c r="L36" s="16">
        <v>0</v>
      </c>
      <c r="M36" s="14">
        <v>0</v>
      </c>
      <c r="N36" s="16">
        <v>0</v>
      </c>
      <c r="O36" s="14">
        <v>0</v>
      </c>
      <c r="P36" s="16">
        <v>0</v>
      </c>
      <c r="Q36" s="14">
        <v>0</v>
      </c>
      <c r="R36" s="16">
        <v>0</v>
      </c>
    </row>
    <row r="37" spans="1:18" x14ac:dyDescent="0.25">
      <c r="A37" s="11" t="s">
        <v>170</v>
      </c>
      <c r="B37" s="13">
        <v>5458</v>
      </c>
      <c r="C37" s="14">
        <f>(4522/B37*100)</f>
        <v>82.850861121289853</v>
      </c>
      <c r="D37" s="15">
        <v>936</v>
      </c>
      <c r="E37" s="14">
        <v>66.435558880000002</v>
      </c>
      <c r="F37" s="16">
        <v>1.7108827600000001</v>
      </c>
      <c r="G37" s="14">
        <v>33.564441119999998</v>
      </c>
      <c r="H37" s="16">
        <v>1.7108827600000001</v>
      </c>
      <c r="I37" s="14" t="s">
        <v>139</v>
      </c>
      <c r="J37" s="16" t="s">
        <v>139</v>
      </c>
      <c r="K37" s="14">
        <v>0</v>
      </c>
      <c r="L37" s="16">
        <v>0</v>
      </c>
      <c r="M37" s="14">
        <v>0</v>
      </c>
      <c r="N37" s="16">
        <v>0</v>
      </c>
      <c r="O37" s="14">
        <v>0</v>
      </c>
      <c r="P37" s="16">
        <v>0</v>
      </c>
      <c r="Q37" s="14">
        <v>0</v>
      </c>
      <c r="R37" s="16">
        <v>0</v>
      </c>
    </row>
    <row r="38" spans="1:18" x14ac:dyDescent="0.25">
      <c r="A38" s="11" t="s">
        <v>171</v>
      </c>
      <c r="B38" s="17" t="s">
        <v>154</v>
      </c>
      <c r="C38" s="17" t="s">
        <v>154</v>
      </c>
      <c r="D38" s="18" t="s">
        <v>154</v>
      </c>
      <c r="E38" s="17" t="s">
        <v>154</v>
      </c>
      <c r="F38" s="18" t="s">
        <v>154</v>
      </c>
      <c r="G38" s="17" t="s">
        <v>154</v>
      </c>
      <c r="H38" s="18" t="s">
        <v>154</v>
      </c>
      <c r="I38" s="17" t="s">
        <v>154</v>
      </c>
      <c r="J38" s="18" t="s">
        <v>154</v>
      </c>
      <c r="K38" s="17" t="s">
        <v>154</v>
      </c>
      <c r="L38" s="18" t="s">
        <v>154</v>
      </c>
      <c r="M38" s="17" t="s">
        <v>154</v>
      </c>
      <c r="N38" s="18" t="s">
        <v>154</v>
      </c>
      <c r="O38" s="17" t="s">
        <v>154</v>
      </c>
      <c r="P38" s="18" t="s">
        <v>154</v>
      </c>
      <c r="Q38" s="17" t="s">
        <v>154</v>
      </c>
      <c r="R38" s="18" t="s">
        <v>154</v>
      </c>
    </row>
    <row r="39" spans="1:18" x14ac:dyDescent="0.25">
      <c r="A39" s="11" t="s">
        <v>172</v>
      </c>
      <c r="B39" s="13">
        <v>5895</v>
      </c>
      <c r="C39" s="14">
        <f>(4865/B39*100)</f>
        <v>82.527565733672603</v>
      </c>
      <c r="D39" s="15">
        <v>1030</v>
      </c>
      <c r="E39" s="14">
        <v>78.337747960000002</v>
      </c>
      <c r="F39" s="16">
        <v>1.7207638700000001</v>
      </c>
      <c r="G39" s="14">
        <v>21.662252039999998</v>
      </c>
      <c r="H39" s="16">
        <v>1.7207638700000001</v>
      </c>
      <c r="I39" s="14" t="s">
        <v>139</v>
      </c>
      <c r="J39" s="16" t="s">
        <v>139</v>
      </c>
      <c r="K39" s="14">
        <v>0</v>
      </c>
      <c r="L39" s="16">
        <v>0</v>
      </c>
      <c r="M39" s="14">
        <v>0</v>
      </c>
      <c r="N39" s="16">
        <v>0</v>
      </c>
      <c r="O39" s="14">
        <v>0</v>
      </c>
      <c r="P39" s="16">
        <v>0</v>
      </c>
      <c r="Q39" s="14">
        <v>0</v>
      </c>
      <c r="R39" s="16">
        <v>0</v>
      </c>
    </row>
    <row r="40" spans="1:18" x14ac:dyDescent="0.25">
      <c r="A40" s="11" t="s">
        <v>173</v>
      </c>
      <c r="B40" s="13">
        <v>14157</v>
      </c>
      <c r="C40" s="14">
        <f>(11676/B40*100)</f>
        <v>82.475100656918841</v>
      </c>
      <c r="D40" s="15">
        <v>2481</v>
      </c>
      <c r="E40" s="14">
        <v>58.402506879999997</v>
      </c>
      <c r="F40" s="16">
        <v>1.6008948599999999</v>
      </c>
      <c r="G40" s="14">
        <v>41.597493120000003</v>
      </c>
      <c r="H40" s="16">
        <v>1.6008948599999999</v>
      </c>
      <c r="I40" s="14" t="s">
        <v>139</v>
      </c>
      <c r="J40" s="16" t="s">
        <v>139</v>
      </c>
      <c r="K40" s="14">
        <v>0</v>
      </c>
      <c r="L40" s="16">
        <v>0</v>
      </c>
      <c r="M40" s="14">
        <v>0</v>
      </c>
      <c r="N40" s="16">
        <v>0</v>
      </c>
      <c r="O40" s="14">
        <v>0</v>
      </c>
      <c r="P40" s="16">
        <v>0</v>
      </c>
      <c r="Q40" s="14">
        <v>0</v>
      </c>
      <c r="R40" s="16">
        <v>0</v>
      </c>
    </row>
    <row r="41" spans="1:18" x14ac:dyDescent="0.25">
      <c r="A41" s="11" t="s">
        <v>174</v>
      </c>
      <c r="B41" s="13">
        <v>5712</v>
      </c>
      <c r="C41" s="14">
        <f>(4753/B41*100)</f>
        <v>83.210784313725497</v>
      </c>
      <c r="D41" s="15">
        <v>959</v>
      </c>
      <c r="E41" s="14">
        <v>55.692176889999999</v>
      </c>
      <c r="F41" s="16">
        <v>1.92981124</v>
      </c>
      <c r="G41" s="14">
        <v>44.307823110000001</v>
      </c>
      <c r="H41" s="16">
        <v>1.92981124</v>
      </c>
      <c r="I41" s="14" t="s">
        <v>139</v>
      </c>
      <c r="J41" s="16" t="s">
        <v>139</v>
      </c>
      <c r="K41" s="14">
        <v>0</v>
      </c>
      <c r="L41" s="16">
        <v>0</v>
      </c>
      <c r="M41" s="14">
        <v>0</v>
      </c>
      <c r="N41" s="16">
        <v>0</v>
      </c>
      <c r="O41" s="14">
        <v>0</v>
      </c>
      <c r="P41" s="16">
        <v>0</v>
      </c>
      <c r="Q41" s="14">
        <v>0</v>
      </c>
      <c r="R41" s="16">
        <v>0</v>
      </c>
    </row>
    <row r="42" spans="1:18" x14ac:dyDescent="0.25">
      <c r="A42" s="11" t="s">
        <v>175</v>
      </c>
      <c r="B42" s="13">
        <f>IF(COUNT(B7:B41) &gt; 0, AVERAGE(B7:B41), "\u2014")</f>
        <v>7266.90625</v>
      </c>
      <c r="C42" s="14">
        <f>IF(COUNT(C7:C41) &gt; 0, AVERAGE(C7:C41), "—")</f>
        <v>83.006499411908919</v>
      </c>
      <c r="D42" s="15">
        <f>IF(COUNT(D7:D41) &gt; 0, AVERAGE(D7:D41), "—")</f>
        <v>1235.03125</v>
      </c>
      <c r="E42" s="14">
        <f>IF(COUNT(E7:E41) &gt; 0, AVERAGE(E7:E41), "—")</f>
        <v>60.662201184374993</v>
      </c>
      <c r="F42" s="16">
        <f>IF(COUNT(F7:F41) &gt; 0, SQRT(SUMSQ(F7:F41)/(COUNT(F7:F41)*COUNT(F7:F41)) ), "—")</f>
        <v>0.29054432050687284</v>
      </c>
      <c r="G42" s="14">
        <f>IF(COUNT(G7:G41) &gt; 0, AVERAGE(G7:G41), "—")</f>
        <v>39.337798815625007</v>
      </c>
      <c r="H42" s="16">
        <f>IF(COUNT(H7:H41) &gt; 0, SQRT(SUMSQ(H7:H41)/(COUNT(H7:H41)*COUNT(H7:H41)) ), "—")</f>
        <v>0.29054432050687284</v>
      </c>
      <c r="I42" s="14" t="str">
        <f>IF(COUNT(I7:I41) &gt; 0, AVERAGE(I7:I41), "—")</f>
        <v>—</v>
      </c>
      <c r="J42" s="16" t="str">
        <f>IF(COUNT(J7:J41) &gt; 0, SQRT(SUMSQ(J7:J41)/(COUNT(J7:J41)*COUNT(J7:J41)) ), "—")</f>
        <v>—</v>
      </c>
      <c r="K42" s="14">
        <f>IF(COUNT(K7:K41) &gt; 0, AVERAGE(K7:K41), "—")</f>
        <v>0</v>
      </c>
      <c r="L42" s="16">
        <f>IF(COUNT(L7:L41) &gt; 0, SQRT(SUMSQ(L7:L41)/(COUNT(L7:L41)*COUNT(L7:L41)) ), "—")</f>
        <v>0</v>
      </c>
      <c r="M42" s="14">
        <f>IF(COUNT(M7:M41) &gt; 0, AVERAGE(M7:M41), "—")</f>
        <v>0</v>
      </c>
      <c r="N42" s="16">
        <f>IF(COUNT(N7:N41) &gt; 0, SQRT(SUMSQ(N7:N41)/(COUNT(N7:N41)*COUNT(N7:N41)) ), "—")</f>
        <v>0</v>
      </c>
      <c r="O42" s="14">
        <f>IF(COUNT(O7:O41) &gt; 0, AVERAGE(O7:O41), "—")</f>
        <v>0</v>
      </c>
      <c r="P42" s="16">
        <f>IF(COUNT(P7:P41) &gt; 0, SQRT(SUMSQ(P7:P41)/(COUNT(P7:P41)*COUNT(P7:P41)) ), "—")</f>
        <v>0</v>
      </c>
      <c r="Q42" s="14">
        <f>IF(COUNT(Q7:Q41) &gt; 0, AVERAGE(Q7:Q41), "—")</f>
        <v>0</v>
      </c>
      <c r="R42" s="16">
        <f>IF(COUNT(R7:R41) &gt; 0, SQRT(SUMSQ(R7:R41)/(COUNT(R7:R41)*COUNT(R7:R41)) ), "—")</f>
        <v>0</v>
      </c>
    </row>
    <row r="43" spans="1:18" x14ac:dyDescent="0.25">
      <c r="A43" s="9" t="s">
        <v>176</v>
      </c>
      <c r="B43" s="10"/>
      <c r="C43" s="10"/>
      <c r="D43" s="11"/>
      <c r="E43" s="10"/>
      <c r="F43" s="11"/>
      <c r="G43" s="10"/>
      <c r="H43" s="11"/>
      <c r="I43" s="10"/>
      <c r="J43" s="11"/>
      <c r="K43" s="10"/>
      <c r="L43" s="11"/>
      <c r="M43" s="10"/>
      <c r="N43" s="11"/>
      <c r="O43" s="10"/>
      <c r="P43" s="11"/>
      <c r="Q43" s="10"/>
      <c r="R43" s="12"/>
    </row>
    <row r="44" spans="1:18" x14ac:dyDescent="0.25">
      <c r="A44" s="11" t="s">
        <v>177</v>
      </c>
      <c r="B44" s="17" t="s">
        <v>154</v>
      </c>
      <c r="C44" s="17" t="s">
        <v>154</v>
      </c>
      <c r="D44" s="18" t="s">
        <v>154</v>
      </c>
      <c r="E44" s="17" t="s">
        <v>154</v>
      </c>
      <c r="F44" s="18" t="s">
        <v>154</v>
      </c>
      <c r="G44" s="17" t="s">
        <v>154</v>
      </c>
      <c r="H44" s="18" t="s">
        <v>154</v>
      </c>
      <c r="I44" s="17" t="s">
        <v>154</v>
      </c>
      <c r="J44" s="18" t="s">
        <v>154</v>
      </c>
      <c r="K44" s="17" t="s">
        <v>154</v>
      </c>
      <c r="L44" s="18" t="s">
        <v>154</v>
      </c>
      <c r="M44" s="17" t="s">
        <v>154</v>
      </c>
      <c r="N44" s="18" t="s">
        <v>154</v>
      </c>
      <c r="O44" s="17" t="s">
        <v>154</v>
      </c>
      <c r="P44" s="18" t="s">
        <v>154</v>
      </c>
      <c r="Q44" s="17" t="s">
        <v>154</v>
      </c>
      <c r="R44" s="18" t="s">
        <v>154</v>
      </c>
    </row>
    <row r="45" spans="1:18" x14ac:dyDescent="0.25">
      <c r="A45" s="11" t="s">
        <v>178</v>
      </c>
      <c r="B45" s="17" t="s">
        <v>154</v>
      </c>
      <c r="C45" s="17" t="s">
        <v>154</v>
      </c>
      <c r="D45" s="18" t="s">
        <v>154</v>
      </c>
      <c r="E45" s="17" t="s">
        <v>154</v>
      </c>
      <c r="F45" s="18" t="s">
        <v>154</v>
      </c>
      <c r="G45" s="17" t="s">
        <v>154</v>
      </c>
      <c r="H45" s="18" t="s">
        <v>154</v>
      </c>
      <c r="I45" s="17" t="s">
        <v>154</v>
      </c>
      <c r="J45" s="18" t="s">
        <v>154</v>
      </c>
      <c r="K45" s="17" t="s">
        <v>154</v>
      </c>
      <c r="L45" s="18" t="s">
        <v>154</v>
      </c>
      <c r="M45" s="17" t="s">
        <v>154</v>
      </c>
      <c r="N45" s="18" t="s">
        <v>154</v>
      </c>
      <c r="O45" s="17" t="s">
        <v>154</v>
      </c>
      <c r="P45" s="18" t="s">
        <v>154</v>
      </c>
      <c r="Q45" s="17" t="s">
        <v>154</v>
      </c>
      <c r="R45" s="18" t="s">
        <v>154</v>
      </c>
    </row>
    <row r="46" spans="1:18" x14ac:dyDescent="0.25">
      <c r="A46" s="11" t="s">
        <v>179</v>
      </c>
      <c r="B46" s="13">
        <v>23141</v>
      </c>
      <c r="C46" s="14">
        <f>(19783/B46*100)</f>
        <v>85.488958990536275</v>
      </c>
      <c r="D46" s="15">
        <v>3358</v>
      </c>
      <c r="E46" s="14">
        <v>76.768224619999998</v>
      </c>
      <c r="F46" s="16">
        <v>1.2222980299999999</v>
      </c>
      <c r="G46" s="14">
        <v>23.231775379999998</v>
      </c>
      <c r="H46" s="16">
        <v>1.2222980299999999</v>
      </c>
      <c r="I46" s="14" t="s">
        <v>139</v>
      </c>
      <c r="J46" s="16" t="s">
        <v>139</v>
      </c>
      <c r="K46" s="14">
        <v>0</v>
      </c>
      <c r="L46" s="16">
        <v>0</v>
      </c>
      <c r="M46" s="14">
        <v>0</v>
      </c>
      <c r="N46" s="16">
        <v>0</v>
      </c>
      <c r="O46" s="14">
        <v>0</v>
      </c>
      <c r="P46" s="16">
        <v>0</v>
      </c>
      <c r="Q46" s="14">
        <v>0</v>
      </c>
      <c r="R46" s="16">
        <v>0</v>
      </c>
    </row>
    <row r="47" spans="1:18" x14ac:dyDescent="0.25">
      <c r="A47" s="11" t="s">
        <v>180</v>
      </c>
      <c r="B47" s="13">
        <v>5928</v>
      </c>
      <c r="C47" s="14">
        <f>(4923/B47*100)</f>
        <v>83.046558704453446</v>
      </c>
      <c r="D47" s="15">
        <v>1005</v>
      </c>
      <c r="E47" s="14">
        <v>74.269290870000006</v>
      </c>
      <c r="F47" s="16">
        <v>1.3023771900000001</v>
      </c>
      <c r="G47" s="14">
        <v>25.730709130000001</v>
      </c>
      <c r="H47" s="16">
        <v>1.3023771900000001</v>
      </c>
      <c r="I47" s="14" t="s">
        <v>139</v>
      </c>
      <c r="J47" s="16" t="s">
        <v>139</v>
      </c>
      <c r="K47" s="14">
        <v>0</v>
      </c>
      <c r="L47" s="16">
        <v>0</v>
      </c>
      <c r="M47" s="14">
        <v>0</v>
      </c>
      <c r="N47" s="16">
        <v>0</v>
      </c>
      <c r="O47" s="14">
        <v>0</v>
      </c>
      <c r="P47" s="16">
        <v>0</v>
      </c>
      <c r="Q47" s="14">
        <v>0</v>
      </c>
      <c r="R47" s="16">
        <v>0</v>
      </c>
    </row>
    <row r="48" spans="1:18" x14ac:dyDescent="0.25">
      <c r="A48" s="11" t="s">
        <v>181</v>
      </c>
      <c r="B48" s="13">
        <v>9841</v>
      </c>
      <c r="C48" s="14">
        <f>(8132/B48*100)</f>
        <v>82.633878670866778</v>
      </c>
      <c r="D48" s="15">
        <v>1709</v>
      </c>
      <c r="E48" s="14">
        <v>53.707163880000003</v>
      </c>
      <c r="F48" s="16">
        <v>1.92440732</v>
      </c>
      <c r="G48" s="14">
        <v>46.292836119999997</v>
      </c>
      <c r="H48" s="16">
        <v>1.92440732</v>
      </c>
      <c r="I48" s="14" t="s">
        <v>139</v>
      </c>
      <c r="J48" s="16" t="s">
        <v>139</v>
      </c>
      <c r="K48" s="14">
        <v>0</v>
      </c>
      <c r="L48" s="16">
        <v>0</v>
      </c>
      <c r="M48" s="14">
        <v>0</v>
      </c>
      <c r="N48" s="16">
        <v>0</v>
      </c>
      <c r="O48" s="14">
        <v>0</v>
      </c>
      <c r="P48" s="16">
        <v>0</v>
      </c>
      <c r="Q48" s="14">
        <v>0</v>
      </c>
      <c r="R48" s="16">
        <v>0</v>
      </c>
    </row>
    <row r="49" spans="1:18" x14ac:dyDescent="0.25">
      <c r="A49" s="11" t="s">
        <v>182</v>
      </c>
      <c r="B49" s="17" t="s">
        <v>154</v>
      </c>
      <c r="C49" s="17" t="s">
        <v>154</v>
      </c>
      <c r="D49" s="18" t="s">
        <v>154</v>
      </c>
      <c r="E49" s="17" t="s">
        <v>154</v>
      </c>
      <c r="F49" s="18" t="s">
        <v>154</v>
      </c>
      <c r="G49" s="17" t="s">
        <v>154</v>
      </c>
      <c r="H49" s="18" t="s">
        <v>154</v>
      </c>
      <c r="I49" s="17" t="s">
        <v>154</v>
      </c>
      <c r="J49" s="18" t="s">
        <v>154</v>
      </c>
      <c r="K49" s="17" t="s">
        <v>154</v>
      </c>
      <c r="L49" s="18" t="s">
        <v>154</v>
      </c>
      <c r="M49" s="17" t="s">
        <v>154</v>
      </c>
      <c r="N49" s="18" t="s">
        <v>154</v>
      </c>
      <c r="O49" s="17" t="s">
        <v>154</v>
      </c>
      <c r="P49" s="18" t="s">
        <v>154</v>
      </c>
      <c r="Q49" s="17" t="s">
        <v>154</v>
      </c>
      <c r="R49" s="18" t="s">
        <v>154</v>
      </c>
    </row>
    <row r="50" spans="1:18" x14ac:dyDescent="0.25">
      <c r="A50" s="11" t="s">
        <v>183</v>
      </c>
      <c r="B50" s="13">
        <v>11795</v>
      </c>
      <c r="C50" s="14">
        <f>(9826/B50*100)</f>
        <v>83.306485799067403</v>
      </c>
      <c r="D50" s="15">
        <v>1969</v>
      </c>
      <c r="E50" s="14">
        <v>78.885142239999993</v>
      </c>
      <c r="F50" s="16">
        <v>1.14770554</v>
      </c>
      <c r="G50" s="14">
        <v>21.11485776</v>
      </c>
      <c r="H50" s="16">
        <v>1.14770554</v>
      </c>
      <c r="I50" s="14" t="s">
        <v>139</v>
      </c>
      <c r="J50" s="16" t="s">
        <v>139</v>
      </c>
      <c r="K50" s="14">
        <v>0</v>
      </c>
      <c r="L50" s="16">
        <v>0</v>
      </c>
      <c r="M50" s="14">
        <v>0</v>
      </c>
      <c r="N50" s="16">
        <v>0</v>
      </c>
      <c r="O50" s="14">
        <v>0</v>
      </c>
      <c r="P50" s="16">
        <v>0</v>
      </c>
      <c r="Q50" s="14">
        <v>0</v>
      </c>
      <c r="R50" s="16">
        <v>0</v>
      </c>
    </row>
    <row r="51" spans="1:18" x14ac:dyDescent="0.25">
      <c r="A51" s="11" t="s">
        <v>184</v>
      </c>
      <c r="B51" s="13">
        <v>6866</v>
      </c>
      <c r="C51" s="14">
        <f>(5835/B51*100)</f>
        <v>84.983979027090001</v>
      </c>
      <c r="D51" s="15">
        <v>1031</v>
      </c>
      <c r="E51" s="14">
        <v>77.340812540000002</v>
      </c>
      <c r="F51" s="16">
        <v>1.3889583000000001</v>
      </c>
      <c r="G51" s="14">
        <v>22.659187459999998</v>
      </c>
      <c r="H51" s="16">
        <v>1.3889583000000001</v>
      </c>
      <c r="I51" s="14" t="s">
        <v>139</v>
      </c>
      <c r="J51" s="16" t="s">
        <v>139</v>
      </c>
      <c r="K51" s="14">
        <v>0</v>
      </c>
      <c r="L51" s="16">
        <v>0</v>
      </c>
      <c r="M51" s="14">
        <v>0</v>
      </c>
      <c r="N51" s="16">
        <v>0</v>
      </c>
      <c r="O51" s="14">
        <v>0</v>
      </c>
      <c r="P51" s="16">
        <v>0</v>
      </c>
      <c r="Q51" s="14">
        <v>0</v>
      </c>
      <c r="R51" s="16">
        <v>0</v>
      </c>
    </row>
    <row r="52" spans="1:18" x14ac:dyDescent="0.25">
      <c r="A52" s="11" t="s">
        <v>185</v>
      </c>
      <c r="B52" s="13">
        <v>5809</v>
      </c>
      <c r="C52" s="14">
        <f>(4824/B52*100)</f>
        <v>83.043553107247376</v>
      </c>
      <c r="D52" s="15">
        <v>985</v>
      </c>
      <c r="E52" s="14">
        <v>71.384436699999995</v>
      </c>
      <c r="F52" s="16">
        <v>1.6873444</v>
      </c>
      <c r="G52" s="14">
        <v>28.615563300000002</v>
      </c>
      <c r="H52" s="16">
        <v>1.6873444</v>
      </c>
      <c r="I52" s="14" t="s">
        <v>139</v>
      </c>
      <c r="J52" s="16" t="s">
        <v>139</v>
      </c>
      <c r="K52" s="14">
        <v>0</v>
      </c>
      <c r="L52" s="16">
        <v>0</v>
      </c>
      <c r="M52" s="14">
        <v>0</v>
      </c>
      <c r="N52" s="16">
        <v>0</v>
      </c>
      <c r="O52" s="14">
        <v>0</v>
      </c>
      <c r="P52" s="16">
        <v>0</v>
      </c>
      <c r="Q52" s="14">
        <v>0</v>
      </c>
      <c r="R52" s="16">
        <v>0</v>
      </c>
    </row>
    <row r="53" spans="1:18" x14ac:dyDescent="0.25">
      <c r="A53" s="11" t="s">
        <v>186</v>
      </c>
      <c r="B53" s="13">
        <v>5571</v>
      </c>
      <c r="C53" s="14">
        <f>(4602/B53*100)</f>
        <v>82.606354334948833</v>
      </c>
      <c r="D53" s="15">
        <v>969</v>
      </c>
      <c r="E53" s="14">
        <v>72.127620649999997</v>
      </c>
      <c r="F53" s="16">
        <v>1.5788298999999999</v>
      </c>
      <c r="G53" s="14">
        <v>27.872379349999999</v>
      </c>
      <c r="H53" s="16">
        <v>1.5788298999999999</v>
      </c>
      <c r="I53" s="14" t="s">
        <v>139</v>
      </c>
      <c r="J53" s="16" t="s">
        <v>139</v>
      </c>
      <c r="K53" s="14">
        <v>0</v>
      </c>
      <c r="L53" s="16">
        <v>0</v>
      </c>
      <c r="M53" s="14">
        <v>0</v>
      </c>
      <c r="N53" s="16">
        <v>0</v>
      </c>
      <c r="O53" s="14">
        <v>0</v>
      </c>
      <c r="P53" s="16">
        <v>0</v>
      </c>
      <c r="Q53" s="14">
        <v>0</v>
      </c>
      <c r="R53" s="16">
        <v>0</v>
      </c>
    </row>
    <row r="54" spans="1:18" x14ac:dyDescent="0.25">
      <c r="A54" s="11" t="s">
        <v>187</v>
      </c>
      <c r="B54" s="17" t="s">
        <v>154</v>
      </c>
      <c r="C54" s="17" t="s">
        <v>154</v>
      </c>
      <c r="D54" s="18" t="s">
        <v>154</v>
      </c>
      <c r="E54" s="17" t="s">
        <v>154</v>
      </c>
      <c r="F54" s="18" t="s">
        <v>154</v>
      </c>
      <c r="G54" s="17" t="s">
        <v>154</v>
      </c>
      <c r="H54" s="18" t="s">
        <v>154</v>
      </c>
      <c r="I54" s="17" t="s">
        <v>154</v>
      </c>
      <c r="J54" s="18" t="s">
        <v>154</v>
      </c>
      <c r="K54" s="17" t="s">
        <v>154</v>
      </c>
      <c r="L54" s="18" t="s">
        <v>154</v>
      </c>
      <c r="M54" s="17" t="s">
        <v>154</v>
      </c>
      <c r="N54" s="18" t="s">
        <v>154</v>
      </c>
      <c r="O54" s="17" t="s">
        <v>154</v>
      </c>
      <c r="P54" s="18" t="s">
        <v>154</v>
      </c>
      <c r="Q54" s="17" t="s">
        <v>154</v>
      </c>
      <c r="R54" s="18" t="s">
        <v>154</v>
      </c>
    </row>
    <row r="55" spans="1:18" x14ac:dyDescent="0.25">
      <c r="A55" s="11" t="s">
        <v>188</v>
      </c>
      <c r="B55" s="17" t="s">
        <v>154</v>
      </c>
      <c r="C55" s="17" t="s">
        <v>154</v>
      </c>
      <c r="D55" s="18" t="s">
        <v>154</v>
      </c>
      <c r="E55" s="17" t="s">
        <v>154</v>
      </c>
      <c r="F55" s="18" t="s">
        <v>154</v>
      </c>
      <c r="G55" s="17" t="s">
        <v>154</v>
      </c>
      <c r="H55" s="18" t="s">
        <v>154</v>
      </c>
      <c r="I55" s="17" t="s">
        <v>154</v>
      </c>
      <c r="J55" s="18" t="s">
        <v>154</v>
      </c>
      <c r="K55" s="17" t="s">
        <v>154</v>
      </c>
      <c r="L55" s="18" t="s">
        <v>154</v>
      </c>
      <c r="M55" s="17" t="s">
        <v>154</v>
      </c>
      <c r="N55" s="18" t="s">
        <v>154</v>
      </c>
      <c r="O55" s="17" t="s">
        <v>154</v>
      </c>
      <c r="P55" s="18" t="s">
        <v>154</v>
      </c>
      <c r="Q55" s="17" t="s">
        <v>154</v>
      </c>
      <c r="R55" s="18" t="s">
        <v>154</v>
      </c>
    </row>
    <row r="56" spans="1:18" x14ac:dyDescent="0.25">
      <c r="A56" s="11" t="s">
        <v>189</v>
      </c>
      <c r="B56" s="13">
        <v>5359</v>
      </c>
      <c r="C56" s="14">
        <f>(4424/B56*100)</f>
        <v>82.552715058779626</v>
      </c>
      <c r="D56" s="15">
        <v>935</v>
      </c>
      <c r="E56" s="14">
        <v>52.700211150000001</v>
      </c>
      <c r="F56" s="16">
        <v>1.93262288</v>
      </c>
      <c r="G56" s="14">
        <v>47.299788849999999</v>
      </c>
      <c r="H56" s="16">
        <v>1.93262288</v>
      </c>
      <c r="I56" s="14" t="s">
        <v>139</v>
      </c>
      <c r="J56" s="16" t="s">
        <v>139</v>
      </c>
      <c r="K56" s="14">
        <v>0</v>
      </c>
      <c r="L56" s="16">
        <v>0</v>
      </c>
      <c r="M56" s="14">
        <v>0</v>
      </c>
      <c r="N56" s="16">
        <v>0</v>
      </c>
      <c r="O56" s="14">
        <v>0</v>
      </c>
      <c r="P56" s="16">
        <v>0</v>
      </c>
      <c r="Q56" s="14">
        <v>0</v>
      </c>
      <c r="R56" s="16">
        <v>0</v>
      </c>
    </row>
    <row r="57" spans="1:18" x14ac:dyDescent="0.25">
      <c r="A57" s="11" t="s">
        <v>190</v>
      </c>
      <c r="B57" s="17" t="s">
        <v>154</v>
      </c>
      <c r="C57" s="17" t="s">
        <v>154</v>
      </c>
      <c r="D57" s="18" t="s">
        <v>154</v>
      </c>
      <c r="E57" s="17" t="s">
        <v>154</v>
      </c>
      <c r="F57" s="18" t="s">
        <v>154</v>
      </c>
      <c r="G57" s="17" t="s">
        <v>154</v>
      </c>
      <c r="H57" s="18" t="s">
        <v>154</v>
      </c>
      <c r="I57" s="17" t="s">
        <v>154</v>
      </c>
      <c r="J57" s="18" t="s">
        <v>154</v>
      </c>
      <c r="K57" s="17" t="s">
        <v>154</v>
      </c>
      <c r="L57" s="18" t="s">
        <v>154</v>
      </c>
      <c r="M57" s="17" t="s">
        <v>154</v>
      </c>
      <c r="N57" s="18" t="s">
        <v>154</v>
      </c>
      <c r="O57" s="17" t="s">
        <v>154</v>
      </c>
      <c r="P57" s="18" t="s">
        <v>154</v>
      </c>
      <c r="Q57" s="17" t="s">
        <v>154</v>
      </c>
      <c r="R57" s="18" t="s">
        <v>154</v>
      </c>
    </row>
    <row r="58" spans="1:18" x14ac:dyDescent="0.25">
      <c r="A58" s="11" t="s">
        <v>191</v>
      </c>
      <c r="B58" s="17" t="s">
        <v>154</v>
      </c>
      <c r="C58" s="17" t="s">
        <v>154</v>
      </c>
      <c r="D58" s="18" t="s">
        <v>154</v>
      </c>
      <c r="E58" s="17" t="s">
        <v>154</v>
      </c>
      <c r="F58" s="18" t="s">
        <v>154</v>
      </c>
      <c r="G58" s="17" t="s">
        <v>154</v>
      </c>
      <c r="H58" s="18" t="s">
        <v>154</v>
      </c>
      <c r="I58" s="17" t="s">
        <v>154</v>
      </c>
      <c r="J58" s="18" t="s">
        <v>154</v>
      </c>
      <c r="K58" s="17" t="s">
        <v>154</v>
      </c>
      <c r="L58" s="18" t="s">
        <v>154</v>
      </c>
      <c r="M58" s="17" t="s">
        <v>154</v>
      </c>
      <c r="N58" s="18" t="s">
        <v>154</v>
      </c>
      <c r="O58" s="17" t="s">
        <v>154</v>
      </c>
      <c r="P58" s="18" t="s">
        <v>154</v>
      </c>
      <c r="Q58" s="17" t="s">
        <v>154</v>
      </c>
      <c r="R58" s="18" t="s">
        <v>154</v>
      </c>
    </row>
    <row r="59" spans="1:18" x14ac:dyDescent="0.25">
      <c r="A59" s="11" t="s">
        <v>192</v>
      </c>
      <c r="B59" s="17" t="s">
        <v>154</v>
      </c>
      <c r="C59" s="17" t="s">
        <v>154</v>
      </c>
      <c r="D59" s="18" t="s">
        <v>154</v>
      </c>
      <c r="E59" s="17" t="s">
        <v>154</v>
      </c>
      <c r="F59" s="18" t="s">
        <v>154</v>
      </c>
      <c r="G59" s="17" t="s">
        <v>154</v>
      </c>
      <c r="H59" s="18" t="s">
        <v>154</v>
      </c>
      <c r="I59" s="17" t="s">
        <v>154</v>
      </c>
      <c r="J59" s="18" t="s">
        <v>154</v>
      </c>
      <c r="K59" s="17" t="s">
        <v>154</v>
      </c>
      <c r="L59" s="18" t="s">
        <v>154</v>
      </c>
      <c r="M59" s="17" t="s">
        <v>154</v>
      </c>
      <c r="N59" s="18" t="s">
        <v>154</v>
      </c>
      <c r="O59" s="17" t="s">
        <v>154</v>
      </c>
      <c r="P59" s="18" t="s">
        <v>154</v>
      </c>
      <c r="Q59" s="17" t="s">
        <v>154</v>
      </c>
      <c r="R59" s="18" t="s">
        <v>154</v>
      </c>
    </row>
    <row r="60" spans="1:18" x14ac:dyDescent="0.25">
      <c r="A60" s="11" t="s">
        <v>193</v>
      </c>
      <c r="B60" s="17" t="s">
        <v>154</v>
      </c>
      <c r="C60" s="17" t="s">
        <v>154</v>
      </c>
      <c r="D60" s="18" t="s">
        <v>154</v>
      </c>
      <c r="E60" s="17" t="s">
        <v>154</v>
      </c>
      <c r="F60" s="18" t="s">
        <v>154</v>
      </c>
      <c r="G60" s="17" t="s">
        <v>154</v>
      </c>
      <c r="H60" s="18" t="s">
        <v>154</v>
      </c>
      <c r="I60" s="17" t="s">
        <v>154</v>
      </c>
      <c r="J60" s="18" t="s">
        <v>154</v>
      </c>
      <c r="K60" s="17" t="s">
        <v>154</v>
      </c>
      <c r="L60" s="18" t="s">
        <v>154</v>
      </c>
      <c r="M60" s="17" t="s">
        <v>154</v>
      </c>
      <c r="N60" s="18" t="s">
        <v>154</v>
      </c>
      <c r="O60" s="17" t="s">
        <v>154</v>
      </c>
      <c r="P60" s="18" t="s">
        <v>154</v>
      </c>
      <c r="Q60" s="17" t="s">
        <v>154</v>
      </c>
      <c r="R60" s="18" t="s">
        <v>154</v>
      </c>
    </row>
    <row r="61" spans="1:18" x14ac:dyDescent="0.25">
      <c r="A61" s="11" t="s">
        <v>194</v>
      </c>
      <c r="B61" s="13">
        <v>6525</v>
      </c>
      <c r="C61" s="14">
        <f>(5415/B61*100)</f>
        <v>82.988505747126439</v>
      </c>
      <c r="D61" s="15">
        <v>1110</v>
      </c>
      <c r="E61" s="14">
        <v>65.773780360000003</v>
      </c>
      <c r="F61" s="16">
        <v>1.7264797199999999</v>
      </c>
      <c r="G61" s="14">
        <v>34.226219639999997</v>
      </c>
      <c r="H61" s="16">
        <v>1.7264797199999999</v>
      </c>
      <c r="I61" s="14" t="s">
        <v>139</v>
      </c>
      <c r="J61" s="16" t="s">
        <v>139</v>
      </c>
      <c r="K61" s="14">
        <v>0</v>
      </c>
      <c r="L61" s="16">
        <v>0</v>
      </c>
      <c r="M61" s="14">
        <v>0</v>
      </c>
      <c r="N61" s="16">
        <v>0</v>
      </c>
      <c r="O61" s="14">
        <v>0</v>
      </c>
      <c r="P61" s="16">
        <v>0</v>
      </c>
      <c r="Q61" s="14">
        <v>0</v>
      </c>
      <c r="R61" s="16">
        <v>0</v>
      </c>
    </row>
    <row r="62" spans="1:18" x14ac:dyDescent="0.25">
      <c r="A62" s="11" t="s">
        <v>195</v>
      </c>
      <c r="B62" s="13">
        <v>4476</v>
      </c>
      <c r="C62" s="14">
        <f>(3712/B62*100)</f>
        <v>82.931188561215379</v>
      </c>
      <c r="D62" s="15">
        <v>764</v>
      </c>
      <c r="E62" s="14">
        <v>59.21683376</v>
      </c>
      <c r="F62" s="16">
        <v>1.7531841399999999</v>
      </c>
      <c r="G62" s="14">
        <v>40.78316624</v>
      </c>
      <c r="H62" s="16">
        <v>1.7531841399999999</v>
      </c>
      <c r="I62" s="14" t="s">
        <v>139</v>
      </c>
      <c r="J62" s="16" t="s">
        <v>139</v>
      </c>
      <c r="K62" s="14">
        <v>0</v>
      </c>
      <c r="L62" s="16">
        <v>0</v>
      </c>
      <c r="M62" s="14">
        <v>0</v>
      </c>
      <c r="N62" s="16">
        <v>0</v>
      </c>
      <c r="O62" s="14">
        <v>0</v>
      </c>
      <c r="P62" s="16">
        <v>0</v>
      </c>
      <c r="Q62" s="14">
        <v>0</v>
      </c>
      <c r="R62" s="16">
        <v>0</v>
      </c>
    </row>
    <row r="63" spans="1:18" x14ac:dyDescent="0.25">
      <c r="A63" s="11" t="s">
        <v>196</v>
      </c>
      <c r="B63" s="17" t="s">
        <v>154</v>
      </c>
      <c r="C63" s="17" t="s">
        <v>154</v>
      </c>
      <c r="D63" s="18" t="s">
        <v>154</v>
      </c>
      <c r="E63" s="17" t="s">
        <v>154</v>
      </c>
      <c r="F63" s="18" t="s">
        <v>154</v>
      </c>
      <c r="G63" s="17" t="s">
        <v>154</v>
      </c>
      <c r="H63" s="18" t="s">
        <v>154</v>
      </c>
      <c r="I63" s="17" t="s">
        <v>154</v>
      </c>
      <c r="J63" s="18" t="s">
        <v>154</v>
      </c>
      <c r="K63" s="17" t="s">
        <v>154</v>
      </c>
      <c r="L63" s="18" t="s">
        <v>154</v>
      </c>
      <c r="M63" s="17" t="s">
        <v>154</v>
      </c>
      <c r="N63" s="18" t="s">
        <v>154</v>
      </c>
      <c r="O63" s="17" t="s">
        <v>154</v>
      </c>
      <c r="P63" s="18" t="s">
        <v>154</v>
      </c>
      <c r="Q63" s="17" t="s">
        <v>154</v>
      </c>
      <c r="R63" s="18" t="s">
        <v>154</v>
      </c>
    </row>
    <row r="64" spans="1:18" x14ac:dyDescent="0.25">
      <c r="A64" s="11" t="s">
        <v>197</v>
      </c>
      <c r="B64" s="17" t="s">
        <v>154</v>
      </c>
      <c r="C64" s="17" t="s">
        <v>154</v>
      </c>
      <c r="D64" s="18" t="s">
        <v>154</v>
      </c>
      <c r="E64" s="17" t="s">
        <v>154</v>
      </c>
      <c r="F64" s="18" t="s">
        <v>154</v>
      </c>
      <c r="G64" s="17" t="s">
        <v>154</v>
      </c>
      <c r="H64" s="18" t="s">
        <v>154</v>
      </c>
      <c r="I64" s="17" t="s">
        <v>154</v>
      </c>
      <c r="J64" s="18" t="s">
        <v>154</v>
      </c>
      <c r="K64" s="17" t="s">
        <v>154</v>
      </c>
      <c r="L64" s="18" t="s">
        <v>154</v>
      </c>
      <c r="M64" s="17" t="s">
        <v>154</v>
      </c>
      <c r="N64" s="18" t="s">
        <v>154</v>
      </c>
      <c r="O64" s="17" t="s">
        <v>154</v>
      </c>
      <c r="P64" s="18" t="s">
        <v>154</v>
      </c>
      <c r="Q64" s="17" t="s">
        <v>154</v>
      </c>
      <c r="R64" s="18" t="s">
        <v>154</v>
      </c>
    </row>
    <row r="65" spans="1:18" x14ac:dyDescent="0.25">
      <c r="A65" s="11" t="s">
        <v>198</v>
      </c>
      <c r="B65" s="17" t="s">
        <v>154</v>
      </c>
      <c r="C65" s="17" t="s">
        <v>154</v>
      </c>
      <c r="D65" s="18" t="s">
        <v>154</v>
      </c>
      <c r="E65" s="17" t="s">
        <v>154</v>
      </c>
      <c r="F65" s="18" t="s">
        <v>154</v>
      </c>
      <c r="G65" s="17" t="s">
        <v>154</v>
      </c>
      <c r="H65" s="18" t="s">
        <v>154</v>
      </c>
      <c r="I65" s="17" t="s">
        <v>154</v>
      </c>
      <c r="J65" s="18" t="s">
        <v>154</v>
      </c>
      <c r="K65" s="17" t="s">
        <v>154</v>
      </c>
      <c r="L65" s="18" t="s">
        <v>154</v>
      </c>
      <c r="M65" s="17" t="s">
        <v>154</v>
      </c>
      <c r="N65" s="18" t="s">
        <v>154</v>
      </c>
      <c r="O65" s="17" t="s">
        <v>154</v>
      </c>
      <c r="P65" s="18" t="s">
        <v>154</v>
      </c>
      <c r="Q65" s="17" t="s">
        <v>154</v>
      </c>
      <c r="R65" s="18" t="s">
        <v>154</v>
      </c>
    </row>
    <row r="66" spans="1:18" x14ac:dyDescent="0.25">
      <c r="A66" s="11" t="s">
        <v>199</v>
      </c>
      <c r="B66" s="13">
        <v>5665</v>
      </c>
      <c r="C66" s="14">
        <f>(4711/B66*100)</f>
        <v>83.159752868490727</v>
      </c>
      <c r="D66" s="15">
        <v>954</v>
      </c>
      <c r="E66" s="14">
        <v>77.285578409999999</v>
      </c>
      <c r="F66" s="16">
        <v>1.5204342399999999</v>
      </c>
      <c r="G66" s="14">
        <v>22.714421590000001</v>
      </c>
      <c r="H66" s="16">
        <v>1.5204342399999999</v>
      </c>
      <c r="I66" s="14" t="s">
        <v>139</v>
      </c>
      <c r="J66" s="16" t="s">
        <v>139</v>
      </c>
      <c r="K66" s="14">
        <v>0</v>
      </c>
      <c r="L66" s="16">
        <v>0</v>
      </c>
      <c r="M66" s="14">
        <v>0</v>
      </c>
      <c r="N66" s="16">
        <v>0</v>
      </c>
      <c r="O66" s="14">
        <v>0</v>
      </c>
      <c r="P66" s="16">
        <v>0</v>
      </c>
      <c r="Q66" s="14">
        <v>0</v>
      </c>
      <c r="R66" s="16">
        <v>0</v>
      </c>
    </row>
    <row r="67" spans="1:18" x14ac:dyDescent="0.25">
      <c r="A67" s="11" t="s">
        <v>200</v>
      </c>
      <c r="B67" s="13">
        <v>6971</v>
      </c>
      <c r="C67" s="14">
        <f>(5876/B67*100)</f>
        <v>84.292067135274706</v>
      </c>
      <c r="D67" s="15">
        <v>1095</v>
      </c>
      <c r="E67" s="14">
        <v>80.494800870000006</v>
      </c>
      <c r="F67" s="16">
        <v>1.4767726299999999</v>
      </c>
      <c r="G67" s="14">
        <v>19.505199130000001</v>
      </c>
      <c r="H67" s="16">
        <v>1.4767726299999999</v>
      </c>
      <c r="I67" s="14" t="s">
        <v>139</v>
      </c>
      <c r="J67" s="16" t="s">
        <v>139</v>
      </c>
      <c r="K67" s="14">
        <v>0</v>
      </c>
      <c r="L67" s="16">
        <v>0</v>
      </c>
      <c r="M67" s="14">
        <v>0</v>
      </c>
      <c r="N67" s="16">
        <v>0</v>
      </c>
      <c r="O67" s="14">
        <v>0</v>
      </c>
      <c r="P67" s="16">
        <v>0</v>
      </c>
      <c r="Q67" s="14">
        <v>0</v>
      </c>
      <c r="R67" s="16">
        <v>0</v>
      </c>
    </row>
    <row r="68" spans="1:18" x14ac:dyDescent="0.25">
      <c r="A68" s="11" t="s">
        <v>201</v>
      </c>
      <c r="B68" s="17" t="s">
        <v>154</v>
      </c>
      <c r="C68" s="17" t="s">
        <v>154</v>
      </c>
      <c r="D68" s="18" t="s">
        <v>154</v>
      </c>
      <c r="E68" s="17" t="s">
        <v>154</v>
      </c>
      <c r="F68" s="18" t="s">
        <v>154</v>
      </c>
      <c r="G68" s="17" t="s">
        <v>154</v>
      </c>
      <c r="H68" s="18" t="s">
        <v>154</v>
      </c>
      <c r="I68" s="17" t="s">
        <v>154</v>
      </c>
      <c r="J68" s="18" t="s">
        <v>154</v>
      </c>
      <c r="K68" s="17" t="s">
        <v>154</v>
      </c>
      <c r="L68" s="18" t="s">
        <v>154</v>
      </c>
      <c r="M68" s="17" t="s">
        <v>154</v>
      </c>
      <c r="N68" s="18" t="s">
        <v>154</v>
      </c>
      <c r="O68" s="17" t="s">
        <v>154</v>
      </c>
      <c r="P68" s="18" t="s">
        <v>154</v>
      </c>
      <c r="Q68" s="17" t="s">
        <v>154</v>
      </c>
      <c r="R68" s="18" t="s">
        <v>154</v>
      </c>
    </row>
    <row r="69" spans="1:18" x14ac:dyDescent="0.25">
      <c r="A69" s="11" t="s">
        <v>202</v>
      </c>
      <c r="B69" s="17" t="s">
        <v>154</v>
      </c>
      <c r="C69" s="17" t="s">
        <v>154</v>
      </c>
      <c r="D69" s="18" t="s">
        <v>154</v>
      </c>
      <c r="E69" s="17" t="s">
        <v>154</v>
      </c>
      <c r="F69" s="18" t="s">
        <v>154</v>
      </c>
      <c r="G69" s="17" t="s">
        <v>154</v>
      </c>
      <c r="H69" s="18" t="s">
        <v>154</v>
      </c>
      <c r="I69" s="17" t="s">
        <v>154</v>
      </c>
      <c r="J69" s="18" t="s">
        <v>154</v>
      </c>
      <c r="K69" s="17" t="s">
        <v>154</v>
      </c>
      <c r="L69" s="18" t="s">
        <v>154</v>
      </c>
      <c r="M69" s="17" t="s">
        <v>154</v>
      </c>
      <c r="N69" s="18" t="s">
        <v>154</v>
      </c>
      <c r="O69" s="17" t="s">
        <v>154</v>
      </c>
      <c r="P69" s="18" t="s">
        <v>154</v>
      </c>
      <c r="Q69" s="17" t="s">
        <v>154</v>
      </c>
      <c r="R69" s="18" t="s">
        <v>154</v>
      </c>
    </row>
    <row r="70" spans="1:18" x14ac:dyDescent="0.25">
      <c r="A70" s="11" t="s">
        <v>203</v>
      </c>
      <c r="B70" s="13">
        <v>6036</v>
      </c>
      <c r="C70" s="14">
        <f>(5007/B70*100)</f>
        <v>82.952286282306162</v>
      </c>
      <c r="D70" s="15">
        <v>1029</v>
      </c>
      <c r="E70" s="14">
        <v>66.562392250000002</v>
      </c>
      <c r="F70" s="16">
        <v>1.90577829</v>
      </c>
      <c r="G70" s="14">
        <v>33.437607749999998</v>
      </c>
      <c r="H70" s="16">
        <v>1.90577829</v>
      </c>
      <c r="I70" s="14" t="s">
        <v>139</v>
      </c>
      <c r="J70" s="16" t="s">
        <v>139</v>
      </c>
      <c r="K70" s="14">
        <v>0</v>
      </c>
      <c r="L70" s="16">
        <v>0</v>
      </c>
      <c r="M70" s="14">
        <v>0</v>
      </c>
      <c r="N70" s="16">
        <v>0</v>
      </c>
      <c r="O70" s="14">
        <v>0</v>
      </c>
      <c r="P70" s="16">
        <v>0</v>
      </c>
      <c r="Q70" s="14">
        <v>0</v>
      </c>
      <c r="R70" s="16">
        <v>0</v>
      </c>
    </row>
    <row r="71" spans="1:18" x14ac:dyDescent="0.25">
      <c r="A71" s="11" t="s">
        <v>204</v>
      </c>
      <c r="B71" s="17" t="s">
        <v>154</v>
      </c>
      <c r="C71" s="17" t="s">
        <v>154</v>
      </c>
      <c r="D71" s="18" t="s">
        <v>154</v>
      </c>
      <c r="E71" s="17" t="s">
        <v>154</v>
      </c>
      <c r="F71" s="18" t="s">
        <v>154</v>
      </c>
      <c r="G71" s="17" t="s">
        <v>154</v>
      </c>
      <c r="H71" s="18" t="s">
        <v>154</v>
      </c>
      <c r="I71" s="17" t="s">
        <v>154</v>
      </c>
      <c r="J71" s="18" t="s">
        <v>154</v>
      </c>
      <c r="K71" s="17" t="s">
        <v>154</v>
      </c>
      <c r="L71" s="18" t="s">
        <v>154</v>
      </c>
      <c r="M71" s="17" t="s">
        <v>154</v>
      </c>
      <c r="N71" s="18" t="s">
        <v>154</v>
      </c>
      <c r="O71" s="17" t="s">
        <v>154</v>
      </c>
      <c r="P71" s="18" t="s">
        <v>154</v>
      </c>
      <c r="Q71" s="17" t="s">
        <v>154</v>
      </c>
      <c r="R71" s="18" t="s">
        <v>154</v>
      </c>
    </row>
    <row r="72" spans="1:18" x14ac:dyDescent="0.25">
      <c r="A72" s="11" t="s">
        <v>205</v>
      </c>
      <c r="B72" s="13">
        <v>7708</v>
      </c>
      <c r="C72" s="14">
        <f>(6394/B72*100)</f>
        <v>82.952776336273999</v>
      </c>
      <c r="D72" s="15">
        <v>1314</v>
      </c>
      <c r="E72" s="14">
        <v>49.153610350000001</v>
      </c>
      <c r="F72" s="16">
        <v>1.4600109999999999</v>
      </c>
      <c r="G72" s="14">
        <v>50.846389649999999</v>
      </c>
      <c r="H72" s="16">
        <v>1.4600109999999999</v>
      </c>
      <c r="I72" s="14" t="s">
        <v>139</v>
      </c>
      <c r="J72" s="16" t="s">
        <v>139</v>
      </c>
      <c r="K72" s="14">
        <v>0</v>
      </c>
      <c r="L72" s="16">
        <v>0</v>
      </c>
      <c r="M72" s="14">
        <v>0</v>
      </c>
      <c r="N72" s="16">
        <v>0</v>
      </c>
      <c r="O72" s="14">
        <v>0</v>
      </c>
      <c r="P72" s="16">
        <v>0</v>
      </c>
      <c r="Q72" s="14">
        <v>0</v>
      </c>
      <c r="R72" s="16">
        <v>0</v>
      </c>
    </row>
    <row r="73" spans="1:18" x14ac:dyDescent="0.25">
      <c r="A73" s="11" t="s">
        <v>206</v>
      </c>
      <c r="B73" s="13">
        <v>8249</v>
      </c>
      <c r="C73" s="14">
        <f>(6882/B73*100)</f>
        <v>83.428294338707715</v>
      </c>
      <c r="D73" s="15">
        <v>1367</v>
      </c>
      <c r="E73" s="14">
        <v>73.724454649999998</v>
      </c>
      <c r="F73" s="16">
        <v>1.6582556399999999</v>
      </c>
      <c r="G73" s="14">
        <v>26.275545350000002</v>
      </c>
      <c r="H73" s="16">
        <v>1.6582556399999999</v>
      </c>
      <c r="I73" s="14" t="s">
        <v>139</v>
      </c>
      <c r="J73" s="16" t="s">
        <v>139</v>
      </c>
      <c r="K73" s="14">
        <v>0</v>
      </c>
      <c r="L73" s="16">
        <v>0</v>
      </c>
      <c r="M73" s="14">
        <v>0</v>
      </c>
      <c r="N73" s="16">
        <v>0</v>
      </c>
      <c r="O73" s="14">
        <v>0</v>
      </c>
      <c r="P73" s="16">
        <v>0</v>
      </c>
      <c r="Q73" s="14">
        <v>0</v>
      </c>
      <c r="R73" s="16">
        <v>0</v>
      </c>
    </row>
    <row r="74" spans="1:18" x14ac:dyDescent="0.25">
      <c r="A74" s="11" t="s">
        <v>207</v>
      </c>
      <c r="B74" s="17" t="s">
        <v>154</v>
      </c>
      <c r="C74" s="17" t="s">
        <v>154</v>
      </c>
      <c r="D74" s="18" t="s">
        <v>154</v>
      </c>
      <c r="E74" s="17" t="s">
        <v>154</v>
      </c>
      <c r="F74" s="18" t="s">
        <v>154</v>
      </c>
      <c r="G74" s="17" t="s">
        <v>154</v>
      </c>
      <c r="H74" s="18" t="s">
        <v>154</v>
      </c>
      <c r="I74" s="17" t="s">
        <v>154</v>
      </c>
      <c r="J74" s="18" t="s">
        <v>154</v>
      </c>
      <c r="K74" s="17" t="s">
        <v>154</v>
      </c>
      <c r="L74" s="18" t="s">
        <v>154</v>
      </c>
      <c r="M74" s="17" t="s">
        <v>154</v>
      </c>
      <c r="N74" s="18" t="s">
        <v>154</v>
      </c>
      <c r="O74" s="17" t="s">
        <v>154</v>
      </c>
      <c r="P74" s="18" t="s">
        <v>154</v>
      </c>
      <c r="Q74" s="17" t="s">
        <v>154</v>
      </c>
      <c r="R74" s="18" t="s">
        <v>154</v>
      </c>
    </row>
    <row r="75" spans="1:18" x14ac:dyDescent="0.25">
      <c r="A75" s="11" t="s">
        <v>208</v>
      </c>
      <c r="B75" s="13">
        <v>5375</v>
      </c>
      <c r="C75" s="14">
        <f>(4557/B75*100)</f>
        <v>84.781395348837208</v>
      </c>
      <c r="D75" s="15">
        <v>818</v>
      </c>
      <c r="E75" s="14">
        <v>80.414810360000004</v>
      </c>
      <c r="F75" s="16">
        <v>1.3673501299999999</v>
      </c>
      <c r="G75" s="14">
        <v>19.585189639999999</v>
      </c>
      <c r="H75" s="16">
        <v>1.3673501299999999</v>
      </c>
      <c r="I75" s="14" t="s">
        <v>139</v>
      </c>
      <c r="J75" s="16" t="s">
        <v>139</v>
      </c>
      <c r="K75" s="14">
        <v>0</v>
      </c>
      <c r="L75" s="16">
        <v>0</v>
      </c>
      <c r="M75" s="14">
        <v>0</v>
      </c>
      <c r="N75" s="16">
        <v>0</v>
      </c>
      <c r="O75" s="14">
        <v>0</v>
      </c>
      <c r="P75" s="16">
        <v>0</v>
      </c>
      <c r="Q75" s="14">
        <v>0</v>
      </c>
      <c r="R75" s="16">
        <v>0</v>
      </c>
    </row>
    <row r="76" spans="1:18" x14ac:dyDescent="0.25">
      <c r="A76" s="11" t="s">
        <v>209</v>
      </c>
      <c r="B76" s="13">
        <v>14167</v>
      </c>
      <c r="C76" s="14">
        <f>(11728/B76*100)</f>
        <v>82.783934495658926</v>
      </c>
      <c r="D76" s="15">
        <v>2439</v>
      </c>
      <c r="E76" s="14">
        <v>73.265025699999995</v>
      </c>
      <c r="F76" s="16">
        <v>1.2055547099999999</v>
      </c>
      <c r="G76" s="14">
        <v>26.734974300000001</v>
      </c>
      <c r="H76" s="16">
        <v>1.2055547099999999</v>
      </c>
      <c r="I76" s="14" t="s">
        <v>139</v>
      </c>
      <c r="J76" s="16" t="s">
        <v>139</v>
      </c>
      <c r="K76" s="14">
        <v>0</v>
      </c>
      <c r="L76" s="16">
        <v>0</v>
      </c>
      <c r="M76" s="14">
        <v>0</v>
      </c>
      <c r="N76" s="16">
        <v>0</v>
      </c>
      <c r="O76" s="14">
        <v>0</v>
      </c>
      <c r="P76" s="16">
        <v>0</v>
      </c>
      <c r="Q76" s="14">
        <v>0</v>
      </c>
      <c r="R76" s="16">
        <v>0</v>
      </c>
    </row>
    <row r="77" spans="1:18" x14ac:dyDescent="0.25">
      <c r="A77" s="11" t="s">
        <v>210</v>
      </c>
      <c r="B77" s="13">
        <v>6062</v>
      </c>
      <c r="C77" s="14">
        <f>(5018/B77*100)</f>
        <v>82.777961068954141</v>
      </c>
      <c r="D77" s="15">
        <v>1044</v>
      </c>
      <c r="E77" s="14">
        <v>78.371723770000003</v>
      </c>
      <c r="F77" s="16">
        <v>1.47772806</v>
      </c>
      <c r="G77" s="14">
        <v>21.628276230000001</v>
      </c>
      <c r="H77" s="16">
        <v>1.47772806</v>
      </c>
      <c r="I77" s="14" t="s">
        <v>139</v>
      </c>
      <c r="J77" s="16" t="s">
        <v>139</v>
      </c>
      <c r="K77" s="14">
        <v>0</v>
      </c>
      <c r="L77" s="16">
        <v>0</v>
      </c>
      <c r="M77" s="14">
        <v>0</v>
      </c>
      <c r="N77" s="16">
        <v>0</v>
      </c>
      <c r="O77" s="14">
        <v>0</v>
      </c>
      <c r="P77" s="16">
        <v>0</v>
      </c>
      <c r="Q77" s="14">
        <v>0</v>
      </c>
      <c r="R77" s="16">
        <v>0</v>
      </c>
    </row>
    <row r="78" spans="1:18" x14ac:dyDescent="0.25">
      <c r="A78" s="11" t="s">
        <v>211</v>
      </c>
      <c r="B78" s="17" t="s">
        <v>154</v>
      </c>
      <c r="C78" s="17" t="s">
        <v>154</v>
      </c>
      <c r="D78" s="18" t="s">
        <v>154</v>
      </c>
      <c r="E78" s="17" t="s">
        <v>154</v>
      </c>
      <c r="F78" s="18" t="s">
        <v>154</v>
      </c>
      <c r="G78" s="17" t="s">
        <v>154</v>
      </c>
      <c r="H78" s="18" t="s">
        <v>154</v>
      </c>
      <c r="I78" s="17" t="s">
        <v>154</v>
      </c>
      <c r="J78" s="18" t="s">
        <v>154</v>
      </c>
      <c r="K78" s="17" t="s">
        <v>154</v>
      </c>
      <c r="L78" s="18" t="s">
        <v>154</v>
      </c>
      <c r="M78" s="17" t="s">
        <v>154</v>
      </c>
      <c r="N78" s="18" t="s">
        <v>154</v>
      </c>
      <c r="O78" s="17" t="s">
        <v>154</v>
      </c>
      <c r="P78" s="18" t="s">
        <v>154</v>
      </c>
      <c r="Q78" s="17" t="s">
        <v>154</v>
      </c>
      <c r="R78" s="18" t="s">
        <v>154</v>
      </c>
    </row>
    <row r="79" spans="1:18" ht="24.95" customHeight="1" x14ac:dyDescent="0.25">
      <c r="A79" s="11" t="s">
        <v>212</v>
      </c>
      <c r="B79" s="17" t="s">
        <v>154</v>
      </c>
      <c r="C79" s="17" t="s">
        <v>154</v>
      </c>
      <c r="D79" s="18" t="s">
        <v>154</v>
      </c>
      <c r="E79" s="17" t="s">
        <v>154</v>
      </c>
      <c r="F79" s="18" t="s">
        <v>154</v>
      </c>
      <c r="G79" s="17" t="s">
        <v>154</v>
      </c>
      <c r="H79" s="18" t="s">
        <v>154</v>
      </c>
      <c r="I79" s="17" t="s">
        <v>154</v>
      </c>
      <c r="J79" s="18" t="s">
        <v>154</v>
      </c>
      <c r="K79" s="17" t="s">
        <v>154</v>
      </c>
      <c r="L79" s="18" t="s">
        <v>154</v>
      </c>
      <c r="M79" s="17" t="s">
        <v>154</v>
      </c>
      <c r="N79" s="18" t="s">
        <v>154</v>
      </c>
      <c r="O79" s="17" t="s">
        <v>154</v>
      </c>
      <c r="P79" s="18" t="s">
        <v>154</v>
      </c>
      <c r="Q79" s="17" t="s">
        <v>154</v>
      </c>
      <c r="R79" s="18" t="s">
        <v>154</v>
      </c>
    </row>
    <row r="80" spans="1:18" x14ac:dyDescent="0.25">
      <c r="A80" s="11" t="s">
        <v>213</v>
      </c>
      <c r="B80" s="17" t="s">
        <v>154</v>
      </c>
      <c r="C80" s="17" t="s">
        <v>154</v>
      </c>
      <c r="D80" s="18" t="s">
        <v>154</v>
      </c>
      <c r="E80" s="17" t="s">
        <v>154</v>
      </c>
      <c r="F80" s="18" t="s">
        <v>154</v>
      </c>
      <c r="G80" s="17" t="s">
        <v>154</v>
      </c>
      <c r="H80" s="18" t="s">
        <v>154</v>
      </c>
      <c r="I80" s="17" t="s">
        <v>154</v>
      </c>
      <c r="J80" s="18" t="s">
        <v>154</v>
      </c>
      <c r="K80" s="17" t="s">
        <v>154</v>
      </c>
      <c r="L80" s="18" t="s">
        <v>154</v>
      </c>
      <c r="M80" s="17" t="s">
        <v>154</v>
      </c>
      <c r="N80" s="18" t="s">
        <v>154</v>
      </c>
      <c r="O80" s="17" t="s">
        <v>154</v>
      </c>
      <c r="P80" s="18" t="s">
        <v>154</v>
      </c>
      <c r="Q80" s="17" t="s">
        <v>154</v>
      </c>
      <c r="R80" s="18" t="s">
        <v>154</v>
      </c>
    </row>
    <row r="81" spans="1:18" x14ac:dyDescent="0.25">
      <c r="A81" s="19" t="s">
        <v>214</v>
      </c>
      <c r="B81" s="13">
        <v>8861</v>
      </c>
      <c r="C81" s="14">
        <f>(7369/B81*100)</f>
        <v>83.162171312492944</v>
      </c>
      <c r="D81" s="15">
        <v>1492</v>
      </c>
      <c r="E81" s="14">
        <v>70.41488726</v>
      </c>
      <c r="F81" s="16">
        <v>1.51094175</v>
      </c>
      <c r="G81" s="14">
        <v>29.58511274</v>
      </c>
      <c r="H81" s="16">
        <v>1.51094175</v>
      </c>
      <c r="I81" s="14" t="s">
        <v>139</v>
      </c>
      <c r="J81" s="16" t="s">
        <v>139</v>
      </c>
      <c r="K81" s="14">
        <v>0</v>
      </c>
      <c r="L81" s="16">
        <v>0</v>
      </c>
      <c r="M81" s="14">
        <v>0</v>
      </c>
      <c r="N81" s="16">
        <v>0</v>
      </c>
      <c r="O81" s="14">
        <v>0</v>
      </c>
      <c r="P81" s="16">
        <v>0</v>
      </c>
      <c r="Q81" s="14">
        <v>0</v>
      </c>
      <c r="R81" s="16">
        <v>0</v>
      </c>
    </row>
    <row r="82" spans="1:18" x14ac:dyDescent="0.25">
      <c r="A82" s="20"/>
      <c r="B82" s="20" t="s">
        <v>215</v>
      </c>
      <c r="C82" s="20" t="s">
        <v>215</v>
      </c>
      <c r="D82" s="20" t="s">
        <v>215</v>
      </c>
      <c r="E82" s="20" t="s">
        <v>215</v>
      </c>
      <c r="F82" s="20" t="s">
        <v>215</v>
      </c>
      <c r="G82" s="20" t="s">
        <v>215</v>
      </c>
      <c r="H82" s="20" t="s">
        <v>215</v>
      </c>
      <c r="I82" s="20" t="s">
        <v>215</v>
      </c>
      <c r="J82" s="20" t="s">
        <v>215</v>
      </c>
      <c r="K82" s="20" t="s">
        <v>215</v>
      </c>
      <c r="L82" s="20" t="s">
        <v>215</v>
      </c>
      <c r="M82" s="20" t="s">
        <v>215</v>
      </c>
      <c r="N82" s="20" t="s">
        <v>215</v>
      </c>
      <c r="O82" s="20" t="s">
        <v>215</v>
      </c>
      <c r="P82" s="20" t="s">
        <v>215</v>
      </c>
      <c r="Q82" s="20" t="s">
        <v>215</v>
      </c>
      <c r="R82" s="20" t="s">
        <v>215</v>
      </c>
    </row>
    <row r="83" spans="1:18" x14ac:dyDescent="0.25">
      <c r="A83" s="3" t="s">
        <v>216</v>
      </c>
    </row>
    <row r="84" spans="1:18" x14ac:dyDescent="0.25">
      <c r="A84" s="22" t="s">
        <v>217</v>
      </c>
      <c r="B84" s="23"/>
      <c r="C84" s="23"/>
      <c r="D84" s="23"/>
      <c r="E84" s="23"/>
      <c r="F84" s="23"/>
      <c r="G84" s="23"/>
      <c r="H84" s="23"/>
      <c r="I84" s="23"/>
      <c r="J84" s="23"/>
      <c r="K84" s="23"/>
      <c r="L84" s="23"/>
      <c r="M84" s="23"/>
      <c r="N84" s="23"/>
      <c r="O84" s="23"/>
      <c r="P84" s="23"/>
      <c r="Q84" s="23"/>
      <c r="R84" s="23"/>
    </row>
    <row r="85" spans="1:18" x14ac:dyDescent="0.25">
      <c r="A85" s="22" t="s">
        <v>218</v>
      </c>
      <c r="B85" s="23"/>
      <c r="C85" s="23"/>
      <c r="D85" s="23"/>
      <c r="E85" s="23"/>
      <c r="F85" s="23"/>
      <c r="G85" s="23"/>
      <c r="H85" s="23"/>
      <c r="I85" s="23"/>
      <c r="J85" s="23"/>
      <c r="K85" s="23"/>
      <c r="L85" s="23"/>
      <c r="M85" s="23"/>
      <c r="N85" s="23"/>
      <c r="O85" s="23"/>
      <c r="P85" s="23"/>
      <c r="Q85" s="23"/>
      <c r="R85" s="23"/>
    </row>
    <row r="86" spans="1:18" ht="30" customHeight="1" x14ac:dyDescent="0.25">
      <c r="A86" s="22" t="s">
        <v>219</v>
      </c>
      <c r="B86" s="23"/>
      <c r="C86" s="23"/>
      <c r="D86" s="23"/>
      <c r="E86" s="23"/>
      <c r="F86" s="23"/>
      <c r="G86" s="23"/>
      <c r="H86" s="23"/>
      <c r="I86" s="23"/>
      <c r="J86" s="23"/>
      <c r="K86" s="23"/>
      <c r="L86" s="23"/>
      <c r="M86" s="23"/>
      <c r="N86" s="23"/>
      <c r="O86" s="23"/>
      <c r="P86" s="23"/>
      <c r="Q86" s="23"/>
      <c r="R86" s="23"/>
    </row>
    <row r="87" spans="1:18" ht="30" customHeight="1" x14ac:dyDescent="0.25">
      <c r="A87" s="22" t="s">
        <v>215</v>
      </c>
      <c r="B87" s="23"/>
      <c r="C87" s="23"/>
      <c r="D87" s="23"/>
      <c r="E87" s="23"/>
      <c r="F87" s="23"/>
      <c r="G87" s="23"/>
      <c r="H87" s="23"/>
      <c r="I87" s="23"/>
      <c r="J87" s="23"/>
      <c r="K87" s="23"/>
      <c r="L87" s="23"/>
      <c r="M87" s="23"/>
      <c r="N87" s="23"/>
      <c r="O87" s="23"/>
      <c r="P87" s="23"/>
      <c r="Q87" s="23"/>
      <c r="R87" s="23"/>
    </row>
    <row r="88" spans="1:18" ht="30" customHeight="1" x14ac:dyDescent="0.25">
      <c r="A88" s="22" t="s">
        <v>220</v>
      </c>
      <c r="B88" s="23"/>
      <c r="C88" s="23"/>
      <c r="D88" s="23"/>
      <c r="E88" s="23"/>
      <c r="F88" s="23"/>
      <c r="G88" s="23"/>
      <c r="H88" s="23"/>
      <c r="I88" s="23"/>
      <c r="J88" s="23"/>
      <c r="K88" s="23"/>
      <c r="L88" s="23"/>
      <c r="M88" s="23"/>
      <c r="N88" s="23"/>
      <c r="O88" s="23"/>
      <c r="P88" s="23"/>
      <c r="Q88" s="23"/>
      <c r="R88" s="23"/>
    </row>
    <row r="89" spans="1:18" ht="30" customHeight="1" x14ac:dyDescent="0.25">
      <c r="A89" s="22" t="s">
        <v>221</v>
      </c>
      <c r="B89" s="23"/>
      <c r="C89" s="23"/>
      <c r="D89" s="23"/>
      <c r="E89" s="23"/>
      <c r="F89" s="23"/>
      <c r="G89" s="23"/>
      <c r="H89" s="23"/>
      <c r="I89" s="23"/>
      <c r="J89" s="23"/>
      <c r="K89" s="23"/>
      <c r="L89" s="23"/>
      <c r="M89" s="23"/>
      <c r="N89" s="23"/>
      <c r="O89" s="23"/>
      <c r="P89" s="23"/>
      <c r="Q89" s="23"/>
      <c r="R89" s="23"/>
    </row>
    <row r="90" spans="1:18" ht="30" customHeight="1" x14ac:dyDescent="0.25">
      <c r="A90" s="22" t="s">
        <v>222</v>
      </c>
      <c r="B90" s="23"/>
      <c r="C90" s="23"/>
      <c r="D90" s="23"/>
      <c r="E90" s="23"/>
      <c r="F90" s="23"/>
      <c r="G90" s="23"/>
      <c r="H90" s="23"/>
      <c r="I90" s="23"/>
      <c r="J90" s="23"/>
      <c r="K90" s="23"/>
      <c r="L90" s="23"/>
      <c r="M90" s="23"/>
      <c r="N90" s="23"/>
      <c r="O90" s="23"/>
      <c r="P90" s="23"/>
      <c r="Q90" s="23"/>
      <c r="R90" s="23"/>
    </row>
    <row r="91" spans="1:18" ht="30" customHeight="1" x14ac:dyDescent="0.25">
      <c r="A91" s="22" t="s">
        <v>223</v>
      </c>
      <c r="B91" s="23"/>
      <c r="C91" s="23"/>
      <c r="D91" s="23"/>
      <c r="E91" s="23"/>
      <c r="F91" s="23"/>
      <c r="G91" s="23"/>
      <c r="H91" s="23"/>
      <c r="I91" s="23"/>
      <c r="J91" s="23"/>
      <c r="K91" s="23"/>
      <c r="L91" s="23"/>
      <c r="M91" s="23"/>
      <c r="N91" s="23"/>
      <c r="O91" s="23"/>
      <c r="P91" s="23"/>
      <c r="Q91" s="23"/>
      <c r="R91" s="23"/>
    </row>
    <row r="92" spans="1:18" ht="30" customHeight="1" x14ac:dyDescent="0.25">
      <c r="A92" s="22" t="s">
        <v>224</v>
      </c>
      <c r="B92" s="23"/>
      <c r="C92" s="23"/>
      <c r="D92" s="23"/>
      <c r="E92" s="23"/>
      <c r="F92" s="23"/>
      <c r="G92" s="23"/>
      <c r="H92" s="23"/>
      <c r="I92" s="23"/>
      <c r="J92" s="23"/>
      <c r="K92" s="23"/>
      <c r="L92" s="23"/>
      <c r="M92" s="23"/>
      <c r="N92" s="23"/>
      <c r="O92" s="23"/>
      <c r="P92" s="23"/>
      <c r="Q92" s="23"/>
      <c r="R92" s="23"/>
    </row>
    <row r="93" spans="1:18" ht="30" customHeight="1" x14ac:dyDescent="0.25">
      <c r="A93" s="22" t="s">
        <v>225</v>
      </c>
      <c r="B93" s="23"/>
      <c r="C93" s="23"/>
      <c r="D93" s="23"/>
      <c r="E93" s="23"/>
      <c r="F93" s="23"/>
      <c r="G93" s="23"/>
      <c r="H93" s="23"/>
      <c r="I93" s="23"/>
      <c r="J93" s="23"/>
      <c r="K93" s="23"/>
      <c r="L93" s="23"/>
      <c r="M93" s="23"/>
      <c r="N93" s="23"/>
      <c r="O93" s="23"/>
      <c r="P93" s="23"/>
      <c r="Q93" s="23"/>
      <c r="R93" s="23"/>
    </row>
    <row r="94" spans="1:18" ht="30" customHeight="1" x14ac:dyDescent="0.25">
      <c r="A94" s="22" t="s">
        <v>226</v>
      </c>
      <c r="B94" s="23"/>
      <c r="C94" s="23"/>
      <c r="D94" s="23"/>
      <c r="E94" s="23"/>
      <c r="F94" s="23"/>
      <c r="G94" s="23"/>
      <c r="H94" s="23"/>
      <c r="I94" s="23"/>
      <c r="J94" s="23"/>
      <c r="K94" s="23"/>
      <c r="L94" s="23"/>
      <c r="M94" s="23"/>
      <c r="N94" s="23"/>
      <c r="O94" s="23"/>
      <c r="P94" s="23"/>
      <c r="Q94" s="23"/>
      <c r="R94" s="23"/>
    </row>
    <row r="95" spans="1:18" ht="30" customHeight="1" x14ac:dyDescent="0.25">
      <c r="A95" s="22" t="s">
        <v>227</v>
      </c>
      <c r="B95" s="23"/>
      <c r="C95" s="23"/>
      <c r="D95" s="23"/>
      <c r="E95" s="23"/>
      <c r="F95" s="23"/>
      <c r="G95" s="23"/>
      <c r="H95" s="23"/>
      <c r="I95" s="23"/>
      <c r="J95" s="23"/>
      <c r="K95" s="23"/>
      <c r="L95" s="23"/>
      <c r="M95" s="23"/>
      <c r="N95" s="23"/>
      <c r="O95" s="23"/>
      <c r="P95" s="23"/>
      <c r="Q95" s="23"/>
      <c r="R95" s="23"/>
    </row>
    <row r="96" spans="1:18" ht="30" customHeight="1" x14ac:dyDescent="0.25">
      <c r="A96" s="22" t="s">
        <v>228</v>
      </c>
      <c r="B96" s="23"/>
      <c r="C96" s="23"/>
      <c r="D96" s="23"/>
      <c r="E96" s="23"/>
      <c r="F96" s="23"/>
      <c r="G96" s="23"/>
      <c r="H96" s="23"/>
      <c r="I96" s="23"/>
      <c r="J96" s="23"/>
      <c r="K96" s="23"/>
      <c r="L96" s="23"/>
      <c r="M96" s="23"/>
      <c r="N96" s="23"/>
      <c r="O96" s="23"/>
      <c r="P96" s="23"/>
      <c r="Q96" s="23"/>
      <c r="R96" s="23"/>
    </row>
  </sheetData>
  <mergeCells count="22">
    <mergeCell ref="O4:P4"/>
    <mergeCell ref="Q4:R4"/>
    <mergeCell ref="A1:R1"/>
    <mergeCell ref="A2:R2"/>
    <mergeCell ref="A84:R84"/>
    <mergeCell ref="E4:F4"/>
    <mergeCell ref="G4:H4"/>
    <mergeCell ref="I4:J4"/>
    <mergeCell ref="K4:L4"/>
    <mergeCell ref="M4:N4"/>
    <mergeCell ref="A85:R85"/>
    <mergeCell ref="A86:R86"/>
    <mergeCell ref="A87:R87"/>
    <mergeCell ref="A88:R88"/>
    <mergeCell ref="A89:R89"/>
    <mergeCell ref="A95:R95"/>
    <mergeCell ref="A96:R96"/>
    <mergeCell ref="A90:R90"/>
    <mergeCell ref="A91:R91"/>
    <mergeCell ref="A92:R92"/>
    <mergeCell ref="A93:R93"/>
    <mergeCell ref="A94:R94"/>
  </mergeCells>
  <pageMargins left="0.75" right="0.75" top="1" bottom="1" header="0.5" footer="0.5"/>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1"/>
  <dimension ref="A1:R96"/>
  <sheetViews>
    <sheetView zoomScale="80" workbookViewId="0">
      <pane xSplit="4" topLeftCell="E1" activePane="topRight" state="frozen"/>
      <selection sqref="A1:R1"/>
      <selection pane="topRight" sqref="A1:R1"/>
    </sheetView>
  </sheetViews>
  <sheetFormatPr defaultColWidth="11.42578125" defaultRowHeight="15" x14ac:dyDescent="0.25"/>
  <cols>
    <col min="1" max="1" width="50" customWidth="1"/>
  </cols>
  <sheetData>
    <row r="1" spans="1:18" x14ac:dyDescent="0.25">
      <c r="A1" s="26" t="s">
        <v>122</v>
      </c>
      <c r="B1" s="23"/>
      <c r="C1" s="23"/>
      <c r="D1" s="23"/>
      <c r="E1" s="23"/>
      <c r="F1" s="23"/>
      <c r="G1" s="23"/>
      <c r="H1" s="23"/>
      <c r="I1" s="23"/>
      <c r="J1" s="23"/>
      <c r="K1" s="23"/>
      <c r="L1" s="23"/>
      <c r="M1" s="23"/>
      <c r="N1" s="23"/>
      <c r="O1" s="23"/>
      <c r="P1" s="23"/>
      <c r="Q1" s="23"/>
      <c r="R1" s="23"/>
    </row>
    <row r="2" spans="1:18" x14ac:dyDescent="0.25">
      <c r="A2" s="27" t="s">
        <v>287</v>
      </c>
      <c r="B2" s="23"/>
      <c r="C2" s="23"/>
      <c r="D2" s="23"/>
      <c r="E2" s="23"/>
      <c r="F2" s="23"/>
      <c r="G2" s="23"/>
      <c r="H2" s="23"/>
      <c r="I2" s="23"/>
      <c r="J2" s="23"/>
      <c r="K2" s="23"/>
      <c r="L2" s="23"/>
      <c r="M2" s="23"/>
      <c r="N2" s="23"/>
      <c r="O2" s="23"/>
      <c r="P2" s="23"/>
      <c r="Q2" s="23"/>
      <c r="R2" s="23"/>
    </row>
    <row r="4" spans="1:18" ht="30" customHeight="1" x14ac:dyDescent="0.25">
      <c r="A4" s="4"/>
      <c r="B4" s="5" t="s">
        <v>123</v>
      </c>
      <c r="C4" s="5" t="s">
        <v>124</v>
      </c>
      <c r="D4" s="6" t="s">
        <v>123</v>
      </c>
      <c r="E4" s="24" t="s">
        <v>125</v>
      </c>
      <c r="F4" s="25"/>
      <c r="G4" s="24" t="s">
        <v>126</v>
      </c>
      <c r="H4" s="25"/>
      <c r="I4" s="24" t="s">
        <v>127</v>
      </c>
      <c r="J4" s="25"/>
      <c r="K4" s="24" t="s">
        <v>128</v>
      </c>
      <c r="L4" s="25"/>
      <c r="M4" s="24" t="s">
        <v>129</v>
      </c>
      <c r="N4" s="25"/>
      <c r="O4" s="24" t="s">
        <v>130</v>
      </c>
      <c r="P4" s="25"/>
      <c r="Q4" s="24" t="s">
        <v>131</v>
      </c>
      <c r="R4" s="25"/>
    </row>
    <row r="5" spans="1:18" x14ac:dyDescent="0.25">
      <c r="A5" s="7"/>
      <c r="B5" s="8" t="s">
        <v>132</v>
      </c>
      <c r="C5" s="8" t="s">
        <v>133</v>
      </c>
      <c r="D5" s="7" t="s">
        <v>134</v>
      </c>
      <c r="E5" s="8" t="s">
        <v>135</v>
      </c>
      <c r="F5" s="7" t="s">
        <v>136</v>
      </c>
      <c r="G5" s="8" t="s">
        <v>135</v>
      </c>
      <c r="H5" s="7" t="s">
        <v>136</v>
      </c>
      <c r="I5" s="8" t="s">
        <v>135</v>
      </c>
      <c r="J5" s="7" t="s">
        <v>136</v>
      </c>
      <c r="K5" s="8" t="s">
        <v>135</v>
      </c>
      <c r="L5" s="7" t="s">
        <v>136</v>
      </c>
      <c r="M5" s="8" t="s">
        <v>135</v>
      </c>
      <c r="N5" s="7" t="s">
        <v>136</v>
      </c>
      <c r="O5" s="8" t="s">
        <v>135</v>
      </c>
      <c r="P5" s="7" t="s">
        <v>136</v>
      </c>
      <c r="Q5" s="8" t="s">
        <v>135</v>
      </c>
      <c r="R5" s="7" t="s">
        <v>136</v>
      </c>
    </row>
    <row r="6" spans="1:18" x14ac:dyDescent="0.25">
      <c r="A6" s="9" t="s">
        <v>137</v>
      </c>
      <c r="B6" s="10"/>
      <c r="C6" s="10"/>
      <c r="D6" s="11"/>
      <c r="E6" s="10"/>
      <c r="F6" s="11"/>
      <c r="G6" s="10"/>
      <c r="H6" s="11"/>
      <c r="I6" s="10"/>
      <c r="J6" s="11"/>
      <c r="K6" s="10"/>
      <c r="L6" s="11"/>
      <c r="M6" s="10"/>
      <c r="N6" s="11"/>
      <c r="O6" s="10"/>
      <c r="P6" s="11"/>
      <c r="Q6" s="10"/>
      <c r="R6" s="12"/>
    </row>
    <row r="7" spans="1:18" x14ac:dyDescent="0.25">
      <c r="A7" s="11" t="s">
        <v>138</v>
      </c>
      <c r="B7" s="13">
        <v>14530</v>
      </c>
      <c r="C7" s="14">
        <f>(12103/B7*100)</f>
        <v>83.296627666896072</v>
      </c>
      <c r="D7" s="15">
        <v>2427</v>
      </c>
      <c r="E7" s="14">
        <v>0</v>
      </c>
      <c r="F7" s="16">
        <v>0</v>
      </c>
      <c r="G7" s="14">
        <v>0</v>
      </c>
      <c r="H7" s="16">
        <v>0</v>
      </c>
      <c r="I7" s="14" t="s">
        <v>139</v>
      </c>
      <c r="J7" s="16" t="s">
        <v>139</v>
      </c>
      <c r="K7" s="14">
        <v>0</v>
      </c>
      <c r="L7" s="16">
        <v>0</v>
      </c>
      <c r="M7" s="14">
        <v>100</v>
      </c>
      <c r="N7" s="16">
        <v>0</v>
      </c>
      <c r="O7" s="14">
        <v>0</v>
      </c>
      <c r="P7" s="16">
        <v>0</v>
      </c>
      <c r="Q7" s="14">
        <v>0</v>
      </c>
      <c r="R7" s="16">
        <v>0</v>
      </c>
    </row>
    <row r="8" spans="1:18" x14ac:dyDescent="0.25">
      <c r="A8" s="11" t="s">
        <v>140</v>
      </c>
      <c r="B8" s="13">
        <v>7007</v>
      </c>
      <c r="C8" s="14">
        <f>(5812/B8*100)</f>
        <v>82.94562580276866</v>
      </c>
      <c r="D8" s="15">
        <v>1195</v>
      </c>
      <c r="E8" s="14">
        <v>0</v>
      </c>
      <c r="F8" s="16">
        <v>0</v>
      </c>
      <c r="G8" s="14">
        <v>0</v>
      </c>
      <c r="H8" s="16">
        <v>0</v>
      </c>
      <c r="I8" s="14" t="s">
        <v>139</v>
      </c>
      <c r="J8" s="16" t="s">
        <v>139</v>
      </c>
      <c r="K8" s="14">
        <v>0</v>
      </c>
      <c r="L8" s="16">
        <v>0</v>
      </c>
      <c r="M8" s="14">
        <v>100</v>
      </c>
      <c r="N8" s="16">
        <v>0</v>
      </c>
      <c r="O8" s="14">
        <v>0</v>
      </c>
      <c r="P8" s="16">
        <v>0</v>
      </c>
      <c r="Q8" s="14">
        <v>0</v>
      </c>
      <c r="R8" s="16">
        <v>0</v>
      </c>
    </row>
    <row r="9" spans="1:18" x14ac:dyDescent="0.25">
      <c r="A9" s="11" t="s">
        <v>141</v>
      </c>
      <c r="B9" s="13">
        <v>9651</v>
      </c>
      <c r="C9" s="14">
        <f>(8044/B9*100)</f>
        <v>83.34887576416952</v>
      </c>
      <c r="D9" s="15">
        <v>1607</v>
      </c>
      <c r="E9" s="14">
        <v>0</v>
      </c>
      <c r="F9" s="16">
        <v>0</v>
      </c>
      <c r="G9" s="14">
        <v>0</v>
      </c>
      <c r="H9" s="16">
        <v>0</v>
      </c>
      <c r="I9" s="14" t="s">
        <v>139</v>
      </c>
      <c r="J9" s="16" t="s">
        <v>139</v>
      </c>
      <c r="K9" s="14">
        <v>0</v>
      </c>
      <c r="L9" s="16">
        <v>0</v>
      </c>
      <c r="M9" s="14">
        <v>100</v>
      </c>
      <c r="N9" s="16">
        <v>0</v>
      </c>
      <c r="O9" s="14">
        <v>0</v>
      </c>
      <c r="P9" s="16">
        <v>0</v>
      </c>
      <c r="Q9" s="14">
        <v>0</v>
      </c>
      <c r="R9" s="16">
        <v>0</v>
      </c>
    </row>
    <row r="10" spans="1:18" x14ac:dyDescent="0.25">
      <c r="A10" s="11" t="s">
        <v>142</v>
      </c>
      <c r="B10" s="13">
        <v>20058</v>
      </c>
      <c r="C10" s="14">
        <f>(16638/B10*100)</f>
        <v>82.949446604845946</v>
      </c>
      <c r="D10" s="15">
        <v>3420</v>
      </c>
      <c r="E10" s="14">
        <v>0</v>
      </c>
      <c r="F10" s="16">
        <v>0</v>
      </c>
      <c r="G10" s="14">
        <v>0</v>
      </c>
      <c r="H10" s="16">
        <v>0</v>
      </c>
      <c r="I10" s="14" t="s">
        <v>139</v>
      </c>
      <c r="J10" s="16" t="s">
        <v>139</v>
      </c>
      <c r="K10" s="14">
        <v>0</v>
      </c>
      <c r="L10" s="16">
        <v>0</v>
      </c>
      <c r="M10" s="14">
        <v>100</v>
      </c>
      <c r="N10" s="16">
        <v>0</v>
      </c>
      <c r="O10" s="14">
        <v>0</v>
      </c>
      <c r="P10" s="16">
        <v>0</v>
      </c>
      <c r="Q10" s="14">
        <v>0</v>
      </c>
      <c r="R10" s="16">
        <v>0</v>
      </c>
    </row>
    <row r="11" spans="1:18" x14ac:dyDescent="0.25">
      <c r="A11" s="11" t="s">
        <v>143</v>
      </c>
      <c r="B11" s="13">
        <v>7053</v>
      </c>
      <c r="C11" s="14">
        <f>(5851/B11*100)</f>
        <v>82.957606692187724</v>
      </c>
      <c r="D11" s="15">
        <v>1202</v>
      </c>
      <c r="E11" s="14">
        <v>0</v>
      </c>
      <c r="F11" s="16">
        <v>0</v>
      </c>
      <c r="G11" s="14">
        <v>0</v>
      </c>
      <c r="H11" s="16">
        <v>0</v>
      </c>
      <c r="I11" s="14" t="s">
        <v>139</v>
      </c>
      <c r="J11" s="16" t="s">
        <v>139</v>
      </c>
      <c r="K11" s="14">
        <v>0</v>
      </c>
      <c r="L11" s="16">
        <v>0</v>
      </c>
      <c r="M11" s="14">
        <v>100</v>
      </c>
      <c r="N11" s="16">
        <v>0</v>
      </c>
      <c r="O11" s="14">
        <v>0</v>
      </c>
      <c r="P11" s="16">
        <v>0</v>
      </c>
      <c r="Q11" s="14">
        <v>0</v>
      </c>
      <c r="R11" s="16">
        <v>0</v>
      </c>
    </row>
    <row r="12" spans="1:18" x14ac:dyDescent="0.25">
      <c r="A12" s="11" t="s">
        <v>144</v>
      </c>
      <c r="B12" s="13">
        <v>6894</v>
      </c>
      <c r="C12" s="14">
        <f>(5720/B12*100)</f>
        <v>82.970699158688717</v>
      </c>
      <c r="D12" s="15">
        <v>1174</v>
      </c>
      <c r="E12" s="14">
        <v>0</v>
      </c>
      <c r="F12" s="16">
        <v>0</v>
      </c>
      <c r="G12" s="14">
        <v>0</v>
      </c>
      <c r="H12" s="16">
        <v>0</v>
      </c>
      <c r="I12" s="14" t="s">
        <v>139</v>
      </c>
      <c r="J12" s="16" t="s">
        <v>139</v>
      </c>
      <c r="K12" s="14">
        <v>0</v>
      </c>
      <c r="L12" s="16">
        <v>0</v>
      </c>
      <c r="M12" s="14">
        <v>100</v>
      </c>
      <c r="N12" s="16">
        <v>0</v>
      </c>
      <c r="O12" s="14">
        <v>0</v>
      </c>
      <c r="P12" s="16">
        <v>0</v>
      </c>
      <c r="Q12" s="14">
        <v>0</v>
      </c>
      <c r="R12" s="16">
        <v>0</v>
      </c>
    </row>
    <row r="13" spans="1:18" x14ac:dyDescent="0.25">
      <c r="A13" s="11" t="s">
        <v>145</v>
      </c>
      <c r="B13" s="13">
        <v>7161</v>
      </c>
      <c r="C13" s="14">
        <f>(6008/B13*100)</f>
        <v>83.898896802122607</v>
      </c>
      <c r="D13" s="15">
        <v>1153</v>
      </c>
      <c r="E13" s="14">
        <v>0</v>
      </c>
      <c r="F13" s="16">
        <v>0</v>
      </c>
      <c r="G13" s="14">
        <v>0</v>
      </c>
      <c r="H13" s="16">
        <v>0</v>
      </c>
      <c r="I13" s="14" t="s">
        <v>139</v>
      </c>
      <c r="J13" s="16" t="s">
        <v>139</v>
      </c>
      <c r="K13" s="14">
        <v>0</v>
      </c>
      <c r="L13" s="16">
        <v>0</v>
      </c>
      <c r="M13" s="14">
        <v>100</v>
      </c>
      <c r="N13" s="16">
        <v>0</v>
      </c>
      <c r="O13" s="14">
        <v>0</v>
      </c>
      <c r="P13" s="16">
        <v>0</v>
      </c>
      <c r="Q13" s="14">
        <v>0</v>
      </c>
      <c r="R13" s="16">
        <v>0</v>
      </c>
    </row>
    <row r="14" spans="1:18" x14ac:dyDescent="0.25">
      <c r="A14" s="11" t="s">
        <v>146</v>
      </c>
      <c r="B14" s="13">
        <v>5587</v>
      </c>
      <c r="C14" s="14">
        <f>(4631/B14*100)</f>
        <v>82.888849114014675</v>
      </c>
      <c r="D14" s="15">
        <v>956</v>
      </c>
      <c r="E14" s="14">
        <v>0</v>
      </c>
      <c r="F14" s="16">
        <v>0</v>
      </c>
      <c r="G14" s="14">
        <v>0</v>
      </c>
      <c r="H14" s="16">
        <v>0</v>
      </c>
      <c r="I14" s="14" t="s">
        <v>139</v>
      </c>
      <c r="J14" s="16" t="s">
        <v>139</v>
      </c>
      <c r="K14" s="14">
        <v>0</v>
      </c>
      <c r="L14" s="16">
        <v>0</v>
      </c>
      <c r="M14" s="14">
        <v>100</v>
      </c>
      <c r="N14" s="16">
        <v>0</v>
      </c>
      <c r="O14" s="14">
        <v>0</v>
      </c>
      <c r="P14" s="16">
        <v>0</v>
      </c>
      <c r="Q14" s="14">
        <v>0</v>
      </c>
      <c r="R14" s="16">
        <v>0</v>
      </c>
    </row>
    <row r="15" spans="1:18" x14ac:dyDescent="0.25">
      <c r="A15" s="11" t="s">
        <v>147</v>
      </c>
      <c r="B15" s="13">
        <v>5882</v>
      </c>
      <c r="C15" s="14">
        <f>(4867/B15*100)</f>
        <v>82.743964637878278</v>
      </c>
      <c r="D15" s="15">
        <v>1015</v>
      </c>
      <c r="E15" s="14">
        <v>0</v>
      </c>
      <c r="F15" s="16">
        <v>0</v>
      </c>
      <c r="G15" s="14">
        <v>0</v>
      </c>
      <c r="H15" s="16">
        <v>0</v>
      </c>
      <c r="I15" s="14" t="s">
        <v>139</v>
      </c>
      <c r="J15" s="16" t="s">
        <v>139</v>
      </c>
      <c r="K15" s="14">
        <v>0</v>
      </c>
      <c r="L15" s="16">
        <v>0</v>
      </c>
      <c r="M15" s="14">
        <v>100</v>
      </c>
      <c r="N15" s="16">
        <v>0</v>
      </c>
      <c r="O15" s="14">
        <v>0</v>
      </c>
      <c r="P15" s="16">
        <v>0</v>
      </c>
      <c r="Q15" s="14">
        <v>0</v>
      </c>
      <c r="R15" s="16">
        <v>0</v>
      </c>
    </row>
    <row r="16" spans="1:18" x14ac:dyDescent="0.25">
      <c r="A16" s="11" t="s">
        <v>148</v>
      </c>
      <c r="B16" s="13">
        <v>6108</v>
      </c>
      <c r="C16" s="14">
        <f>(5047/B16*100)</f>
        <v>82.629338572364105</v>
      </c>
      <c r="D16" s="15">
        <v>1061</v>
      </c>
      <c r="E16" s="14">
        <v>0</v>
      </c>
      <c r="F16" s="16">
        <v>0</v>
      </c>
      <c r="G16" s="14">
        <v>0</v>
      </c>
      <c r="H16" s="16">
        <v>0</v>
      </c>
      <c r="I16" s="14" t="s">
        <v>139</v>
      </c>
      <c r="J16" s="16" t="s">
        <v>139</v>
      </c>
      <c r="K16" s="14">
        <v>0</v>
      </c>
      <c r="L16" s="16">
        <v>0</v>
      </c>
      <c r="M16" s="14">
        <v>100</v>
      </c>
      <c r="N16" s="16">
        <v>0</v>
      </c>
      <c r="O16" s="14">
        <v>0</v>
      </c>
      <c r="P16" s="16">
        <v>0</v>
      </c>
      <c r="Q16" s="14">
        <v>0</v>
      </c>
      <c r="R16" s="16">
        <v>0</v>
      </c>
    </row>
    <row r="17" spans="1:18" x14ac:dyDescent="0.25">
      <c r="A17" s="11" t="s">
        <v>149</v>
      </c>
      <c r="B17" s="13">
        <v>6504</v>
      </c>
      <c r="C17" s="14">
        <f>(5401/B17*100)</f>
        <v>83.041205412054126</v>
      </c>
      <c r="D17" s="15">
        <v>1103</v>
      </c>
      <c r="E17" s="14">
        <v>0</v>
      </c>
      <c r="F17" s="16">
        <v>0</v>
      </c>
      <c r="G17" s="14">
        <v>0</v>
      </c>
      <c r="H17" s="16">
        <v>0</v>
      </c>
      <c r="I17" s="14" t="s">
        <v>139</v>
      </c>
      <c r="J17" s="16" t="s">
        <v>139</v>
      </c>
      <c r="K17" s="14">
        <v>0</v>
      </c>
      <c r="L17" s="16">
        <v>0</v>
      </c>
      <c r="M17" s="14">
        <v>100</v>
      </c>
      <c r="N17" s="16">
        <v>0</v>
      </c>
      <c r="O17" s="14">
        <v>0</v>
      </c>
      <c r="P17" s="16">
        <v>0</v>
      </c>
      <c r="Q17" s="14">
        <v>0</v>
      </c>
      <c r="R17" s="16">
        <v>0</v>
      </c>
    </row>
    <row r="18" spans="1:18" x14ac:dyDescent="0.25">
      <c r="A18" s="11" t="s">
        <v>150</v>
      </c>
      <c r="B18" s="13">
        <v>5532</v>
      </c>
      <c r="C18" s="14">
        <f>(4618/B18*100)</f>
        <v>83.477946493130872</v>
      </c>
      <c r="D18" s="15">
        <v>914</v>
      </c>
      <c r="E18" s="14">
        <v>0</v>
      </c>
      <c r="F18" s="16">
        <v>0</v>
      </c>
      <c r="G18" s="14">
        <v>0</v>
      </c>
      <c r="H18" s="16">
        <v>0</v>
      </c>
      <c r="I18" s="14" t="s">
        <v>139</v>
      </c>
      <c r="J18" s="16" t="s">
        <v>139</v>
      </c>
      <c r="K18" s="14">
        <v>0</v>
      </c>
      <c r="L18" s="16">
        <v>0</v>
      </c>
      <c r="M18" s="14">
        <v>100</v>
      </c>
      <c r="N18" s="16">
        <v>0</v>
      </c>
      <c r="O18" s="14">
        <v>0</v>
      </c>
      <c r="P18" s="16">
        <v>0</v>
      </c>
      <c r="Q18" s="14">
        <v>0</v>
      </c>
      <c r="R18" s="16">
        <v>0</v>
      </c>
    </row>
    <row r="19" spans="1:18" x14ac:dyDescent="0.25">
      <c r="A19" s="11" t="s">
        <v>151</v>
      </c>
      <c r="B19" s="13">
        <v>5658</v>
      </c>
      <c r="C19" s="14">
        <f>(4693/B19*100)</f>
        <v>82.944503358077057</v>
      </c>
      <c r="D19" s="15">
        <v>965</v>
      </c>
      <c r="E19" s="14">
        <v>0</v>
      </c>
      <c r="F19" s="16">
        <v>0</v>
      </c>
      <c r="G19" s="14">
        <v>0</v>
      </c>
      <c r="H19" s="16">
        <v>0</v>
      </c>
      <c r="I19" s="14" t="s">
        <v>139</v>
      </c>
      <c r="J19" s="16" t="s">
        <v>139</v>
      </c>
      <c r="K19" s="14">
        <v>0</v>
      </c>
      <c r="L19" s="16">
        <v>0</v>
      </c>
      <c r="M19" s="14">
        <v>100</v>
      </c>
      <c r="N19" s="16">
        <v>0</v>
      </c>
      <c r="O19" s="14">
        <v>0</v>
      </c>
      <c r="P19" s="16">
        <v>0</v>
      </c>
      <c r="Q19" s="14">
        <v>0</v>
      </c>
      <c r="R19" s="16">
        <v>0</v>
      </c>
    </row>
    <row r="20" spans="1:18" x14ac:dyDescent="0.25">
      <c r="A20" s="11" t="s">
        <v>152</v>
      </c>
      <c r="B20" s="13">
        <v>3371</v>
      </c>
      <c r="C20" s="14">
        <f>(2807/B20*100)</f>
        <v>83.26905962622368</v>
      </c>
      <c r="D20" s="15">
        <v>564</v>
      </c>
      <c r="E20" s="14">
        <v>0</v>
      </c>
      <c r="F20" s="16">
        <v>0</v>
      </c>
      <c r="G20" s="14">
        <v>0</v>
      </c>
      <c r="H20" s="16">
        <v>0</v>
      </c>
      <c r="I20" s="14" t="s">
        <v>139</v>
      </c>
      <c r="J20" s="16" t="s">
        <v>139</v>
      </c>
      <c r="K20" s="14">
        <v>0</v>
      </c>
      <c r="L20" s="16">
        <v>0</v>
      </c>
      <c r="M20" s="14">
        <v>100</v>
      </c>
      <c r="N20" s="16">
        <v>0</v>
      </c>
      <c r="O20" s="14">
        <v>0</v>
      </c>
      <c r="P20" s="16">
        <v>0</v>
      </c>
      <c r="Q20" s="14">
        <v>0</v>
      </c>
      <c r="R20" s="16">
        <v>0</v>
      </c>
    </row>
    <row r="21" spans="1:18" x14ac:dyDescent="0.25">
      <c r="A21" s="11" t="s">
        <v>153</v>
      </c>
      <c r="B21" s="17" t="s">
        <v>154</v>
      </c>
      <c r="C21" s="17" t="s">
        <v>154</v>
      </c>
      <c r="D21" s="18" t="s">
        <v>154</v>
      </c>
      <c r="E21" s="17" t="s">
        <v>154</v>
      </c>
      <c r="F21" s="18" t="s">
        <v>154</v>
      </c>
      <c r="G21" s="17" t="s">
        <v>154</v>
      </c>
      <c r="H21" s="18" t="s">
        <v>154</v>
      </c>
      <c r="I21" s="17" t="s">
        <v>154</v>
      </c>
      <c r="J21" s="18" t="s">
        <v>154</v>
      </c>
      <c r="K21" s="17" t="s">
        <v>154</v>
      </c>
      <c r="L21" s="18" t="s">
        <v>154</v>
      </c>
      <c r="M21" s="17" t="s">
        <v>154</v>
      </c>
      <c r="N21" s="18" t="s">
        <v>154</v>
      </c>
      <c r="O21" s="17" t="s">
        <v>154</v>
      </c>
      <c r="P21" s="18" t="s">
        <v>154</v>
      </c>
      <c r="Q21" s="17" t="s">
        <v>154</v>
      </c>
      <c r="R21" s="18" t="s">
        <v>154</v>
      </c>
    </row>
    <row r="22" spans="1:18" x14ac:dyDescent="0.25">
      <c r="A22" s="11" t="s">
        <v>155</v>
      </c>
      <c r="B22" s="13">
        <v>6598</v>
      </c>
      <c r="C22" s="14">
        <f>(5567/B22*100)</f>
        <v>84.374052743255533</v>
      </c>
      <c r="D22" s="15">
        <v>1031</v>
      </c>
      <c r="E22" s="14">
        <v>0</v>
      </c>
      <c r="F22" s="16">
        <v>0</v>
      </c>
      <c r="G22" s="14">
        <v>0</v>
      </c>
      <c r="H22" s="16">
        <v>0</v>
      </c>
      <c r="I22" s="14" t="s">
        <v>139</v>
      </c>
      <c r="J22" s="16" t="s">
        <v>139</v>
      </c>
      <c r="K22" s="14">
        <v>0</v>
      </c>
      <c r="L22" s="16">
        <v>0</v>
      </c>
      <c r="M22" s="14">
        <v>100</v>
      </c>
      <c r="N22" s="16">
        <v>0</v>
      </c>
      <c r="O22" s="14">
        <v>0</v>
      </c>
      <c r="P22" s="16">
        <v>0</v>
      </c>
      <c r="Q22" s="14">
        <v>0</v>
      </c>
      <c r="R22" s="16">
        <v>0</v>
      </c>
    </row>
    <row r="23" spans="1:18" x14ac:dyDescent="0.25">
      <c r="A23" s="11" t="s">
        <v>156</v>
      </c>
      <c r="B23" s="13">
        <v>11583</v>
      </c>
      <c r="C23" s="14">
        <f>(9592/B23*100)</f>
        <v>82.81101614434948</v>
      </c>
      <c r="D23" s="15">
        <v>1991</v>
      </c>
      <c r="E23" s="14">
        <v>0</v>
      </c>
      <c r="F23" s="16">
        <v>0</v>
      </c>
      <c r="G23" s="14">
        <v>0</v>
      </c>
      <c r="H23" s="16">
        <v>0</v>
      </c>
      <c r="I23" s="14" t="s">
        <v>139</v>
      </c>
      <c r="J23" s="16" t="s">
        <v>139</v>
      </c>
      <c r="K23" s="14">
        <v>0</v>
      </c>
      <c r="L23" s="16">
        <v>0</v>
      </c>
      <c r="M23" s="14">
        <v>100</v>
      </c>
      <c r="N23" s="16">
        <v>0</v>
      </c>
      <c r="O23" s="14">
        <v>0</v>
      </c>
      <c r="P23" s="16">
        <v>0</v>
      </c>
      <c r="Q23" s="14">
        <v>0</v>
      </c>
      <c r="R23" s="16">
        <v>0</v>
      </c>
    </row>
    <row r="24" spans="1:18" x14ac:dyDescent="0.25">
      <c r="A24" s="11" t="s">
        <v>157</v>
      </c>
      <c r="B24" s="13">
        <v>6647</v>
      </c>
      <c r="C24" s="14">
        <f>(5467/B24*100)</f>
        <v>82.247630510004512</v>
      </c>
      <c r="D24" s="15">
        <v>1180</v>
      </c>
      <c r="E24" s="14">
        <v>0</v>
      </c>
      <c r="F24" s="16">
        <v>0</v>
      </c>
      <c r="G24" s="14">
        <v>0</v>
      </c>
      <c r="H24" s="16">
        <v>0</v>
      </c>
      <c r="I24" s="14" t="s">
        <v>139</v>
      </c>
      <c r="J24" s="16" t="s">
        <v>139</v>
      </c>
      <c r="K24" s="14">
        <v>0</v>
      </c>
      <c r="L24" s="16">
        <v>0</v>
      </c>
      <c r="M24" s="14">
        <v>100</v>
      </c>
      <c r="N24" s="16">
        <v>0</v>
      </c>
      <c r="O24" s="14">
        <v>0</v>
      </c>
      <c r="P24" s="16">
        <v>0</v>
      </c>
      <c r="Q24" s="14">
        <v>0</v>
      </c>
      <c r="R24" s="16">
        <v>0</v>
      </c>
    </row>
    <row r="25" spans="1:18" x14ac:dyDescent="0.25">
      <c r="A25" s="11" t="s">
        <v>158</v>
      </c>
      <c r="B25" s="13">
        <v>5581</v>
      </c>
      <c r="C25" s="14">
        <f>(4597/B25*100)</f>
        <v>82.368751119870993</v>
      </c>
      <c r="D25" s="15">
        <v>984</v>
      </c>
      <c r="E25" s="14">
        <v>0</v>
      </c>
      <c r="F25" s="16">
        <v>0</v>
      </c>
      <c r="G25" s="14">
        <v>0</v>
      </c>
      <c r="H25" s="16">
        <v>0</v>
      </c>
      <c r="I25" s="14" t="s">
        <v>139</v>
      </c>
      <c r="J25" s="16" t="s">
        <v>139</v>
      </c>
      <c r="K25" s="14">
        <v>0</v>
      </c>
      <c r="L25" s="16">
        <v>0</v>
      </c>
      <c r="M25" s="14">
        <v>100</v>
      </c>
      <c r="N25" s="16">
        <v>0</v>
      </c>
      <c r="O25" s="14">
        <v>0</v>
      </c>
      <c r="P25" s="16">
        <v>0</v>
      </c>
      <c r="Q25" s="14">
        <v>0</v>
      </c>
      <c r="R25" s="16">
        <v>0</v>
      </c>
    </row>
    <row r="26" spans="1:18" x14ac:dyDescent="0.25">
      <c r="A26" s="11" t="s">
        <v>159</v>
      </c>
      <c r="B26" s="13">
        <v>4869</v>
      </c>
      <c r="C26" s="14">
        <f>(4032/B26*100)</f>
        <v>82.809611829944558</v>
      </c>
      <c r="D26" s="15">
        <v>837</v>
      </c>
      <c r="E26" s="14">
        <v>0</v>
      </c>
      <c r="F26" s="16">
        <v>0</v>
      </c>
      <c r="G26" s="14">
        <v>0</v>
      </c>
      <c r="H26" s="16">
        <v>0</v>
      </c>
      <c r="I26" s="14" t="s">
        <v>139</v>
      </c>
      <c r="J26" s="16" t="s">
        <v>139</v>
      </c>
      <c r="K26" s="14">
        <v>0</v>
      </c>
      <c r="L26" s="16">
        <v>0</v>
      </c>
      <c r="M26" s="14">
        <v>100</v>
      </c>
      <c r="N26" s="16">
        <v>0</v>
      </c>
      <c r="O26" s="14">
        <v>0</v>
      </c>
      <c r="P26" s="16">
        <v>0</v>
      </c>
      <c r="Q26" s="14">
        <v>0</v>
      </c>
      <c r="R26" s="16">
        <v>0</v>
      </c>
    </row>
    <row r="27" spans="1:18" x14ac:dyDescent="0.25">
      <c r="A27" s="11" t="s">
        <v>160</v>
      </c>
      <c r="B27" s="13">
        <v>5299</v>
      </c>
      <c r="C27" s="14">
        <f>(4397/B27*100)</f>
        <v>82.977920362332512</v>
      </c>
      <c r="D27" s="15">
        <v>902</v>
      </c>
      <c r="E27" s="14">
        <v>0</v>
      </c>
      <c r="F27" s="16">
        <v>0</v>
      </c>
      <c r="G27" s="14">
        <v>0</v>
      </c>
      <c r="H27" s="16">
        <v>0</v>
      </c>
      <c r="I27" s="14" t="s">
        <v>139</v>
      </c>
      <c r="J27" s="16" t="s">
        <v>139</v>
      </c>
      <c r="K27" s="14">
        <v>0</v>
      </c>
      <c r="L27" s="16">
        <v>0</v>
      </c>
      <c r="M27" s="14">
        <v>100</v>
      </c>
      <c r="N27" s="16">
        <v>0</v>
      </c>
      <c r="O27" s="14">
        <v>0</v>
      </c>
      <c r="P27" s="16">
        <v>0</v>
      </c>
      <c r="Q27" s="14">
        <v>0</v>
      </c>
      <c r="R27" s="16">
        <v>0</v>
      </c>
    </row>
    <row r="28" spans="1:18" x14ac:dyDescent="0.25">
      <c r="A28" s="11" t="s">
        <v>161</v>
      </c>
      <c r="B28" s="13">
        <v>7568</v>
      </c>
      <c r="C28" s="14">
        <f>(6322/B28*100)</f>
        <v>83.535940803382672</v>
      </c>
      <c r="D28" s="15">
        <v>1246</v>
      </c>
      <c r="E28" s="14">
        <v>0</v>
      </c>
      <c r="F28" s="16">
        <v>0</v>
      </c>
      <c r="G28" s="14">
        <v>0</v>
      </c>
      <c r="H28" s="16">
        <v>0</v>
      </c>
      <c r="I28" s="14" t="s">
        <v>139</v>
      </c>
      <c r="J28" s="16" t="s">
        <v>139</v>
      </c>
      <c r="K28" s="14">
        <v>0</v>
      </c>
      <c r="L28" s="16">
        <v>0</v>
      </c>
      <c r="M28" s="14">
        <v>100</v>
      </c>
      <c r="N28" s="16">
        <v>0</v>
      </c>
      <c r="O28" s="14">
        <v>0</v>
      </c>
      <c r="P28" s="16">
        <v>0</v>
      </c>
      <c r="Q28" s="14">
        <v>0</v>
      </c>
      <c r="R28" s="16">
        <v>0</v>
      </c>
    </row>
    <row r="29" spans="1:18" x14ac:dyDescent="0.25">
      <c r="A29" s="11" t="s">
        <v>162</v>
      </c>
      <c r="B29" s="13">
        <v>5385</v>
      </c>
      <c r="C29" s="14">
        <f>(4466/B29*100)</f>
        <v>82.934076137418757</v>
      </c>
      <c r="D29" s="15">
        <v>919</v>
      </c>
      <c r="E29" s="14">
        <v>0</v>
      </c>
      <c r="F29" s="16">
        <v>0</v>
      </c>
      <c r="G29" s="14">
        <v>0</v>
      </c>
      <c r="H29" s="16">
        <v>0</v>
      </c>
      <c r="I29" s="14" t="s">
        <v>139</v>
      </c>
      <c r="J29" s="16" t="s">
        <v>139</v>
      </c>
      <c r="K29" s="14">
        <v>0</v>
      </c>
      <c r="L29" s="16">
        <v>0</v>
      </c>
      <c r="M29" s="14">
        <v>100</v>
      </c>
      <c r="N29" s="16">
        <v>0</v>
      </c>
      <c r="O29" s="14">
        <v>0</v>
      </c>
      <c r="P29" s="16">
        <v>0</v>
      </c>
      <c r="Q29" s="14">
        <v>0</v>
      </c>
      <c r="R29" s="16">
        <v>0</v>
      </c>
    </row>
    <row r="30" spans="1:18" x14ac:dyDescent="0.25">
      <c r="A30" s="11" t="s">
        <v>163</v>
      </c>
      <c r="B30" s="13">
        <v>4520</v>
      </c>
      <c r="C30" s="14">
        <f>(3753/B30*100)</f>
        <v>83.030973451327441</v>
      </c>
      <c r="D30" s="15">
        <v>767</v>
      </c>
      <c r="E30" s="14">
        <v>0</v>
      </c>
      <c r="F30" s="16">
        <v>0</v>
      </c>
      <c r="G30" s="14">
        <v>0</v>
      </c>
      <c r="H30" s="16">
        <v>0</v>
      </c>
      <c r="I30" s="14" t="s">
        <v>139</v>
      </c>
      <c r="J30" s="16" t="s">
        <v>139</v>
      </c>
      <c r="K30" s="14">
        <v>0</v>
      </c>
      <c r="L30" s="16">
        <v>0</v>
      </c>
      <c r="M30" s="14">
        <v>100</v>
      </c>
      <c r="N30" s="16">
        <v>0</v>
      </c>
      <c r="O30" s="14">
        <v>0</v>
      </c>
      <c r="P30" s="16">
        <v>0</v>
      </c>
      <c r="Q30" s="14">
        <v>0</v>
      </c>
      <c r="R30" s="16">
        <v>0</v>
      </c>
    </row>
    <row r="31" spans="1:18" x14ac:dyDescent="0.25">
      <c r="A31" s="11" t="s">
        <v>164</v>
      </c>
      <c r="B31" s="13">
        <v>5456</v>
      </c>
      <c r="C31" s="14">
        <f>(4490/B31*100)</f>
        <v>82.294721407624635</v>
      </c>
      <c r="D31" s="15">
        <v>966</v>
      </c>
      <c r="E31" s="14">
        <v>0</v>
      </c>
      <c r="F31" s="16">
        <v>0</v>
      </c>
      <c r="G31" s="14">
        <v>0</v>
      </c>
      <c r="H31" s="16">
        <v>0</v>
      </c>
      <c r="I31" s="14" t="s">
        <v>139</v>
      </c>
      <c r="J31" s="16" t="s">
        <v>139</v>
      </c>
      <c r="K31" s="14">
        <v>0</v>
      </c>
      <c r="L31" s="16">
        <v>0</v>
      </c>
      <c r="M31" s="14">
        <v>100</v>
      </c>
      <c r="N31" s="16">
        <v>0</v>
      </c>
      <c r="O31" s="14">
        <v>0</v>
      </c>
      <c r="P31" s="16">
        <v>0</v>
      </c>
      <c r="Q31" s="14">
        <v>0</v>
      </c>
      <c r="R31" s="16">
        <v>0</v>
      </c>
    </row>
    <row r="32" spans="1:18" x14ac:dyDescent="0.25">
      <c r="A32" s="11" t="s">
        <v>165</v>
      </c>
      <c r="B32" s="17" t="s">
        <v>154</v>
      </c>
      <c r="C32" s="17" t="s">
        <v>154</v>
      </c>
      <c r="D32" s="18" t="s">
        <v>154</v>
      </c>
      <c r="E32" s="17" t="s">
        <v>154</v>
      </c>
      <c r="F32" s="18" t="s">
        <v>154</v>
      </c>
      <c r="G32" s="17" t="s">
        <v>154</v>
      </c>
      <c r="H32" s="18" t="s">
        <v>154</v>
      </c>
      <c r="I32" s="17" t="s">
        <v>154</v>
      </c>
      <c r="J32" s="18" t="s">
        <v>154</v>
      </c>
      <c r="K32" s="17" t="s">
        <v>154</v>
      </c>
      <c r="L32" s="18" t="s">
        <v>154</v>
      </c>
      <c r="M32" s="17" t="s">
        <v>154</v>
      </c>
      <c r="N32" s="18" t="s">
        <v>154</v>
      </c>
      <c r="O32" s="17" t="s">
        <v>154</v>
      </c>
      <c r="P32" s="18" t="s">
        <v>154</v>
      </c>
      <c r="Q32" s="17" t="s">
        <v>154</v>
      </c>
      <c r="R32" s="18" t="s">
        <v>154</v>
      </c>
    </row>
    <row r="33" spans="1:18" x14ac:dyDescent="0.25">
      <c r="A33" s="11" t="s">
        <v>166</v>
      </c>
      <c r="B33" s="13">
        <v>7325</v>
      </c>
      <c r="C33" s="14">
        <f>(6062/B33*100)</f>
        <v>82.757679180887365</v>
      </c>
      <c r="D33" s="15">
        <v>1263</v>
      </c>
      <c r="E33" s="14">
        <v>0</v>
      </c>
      <c r="F33" s="16">
        <v>0</v>
      </c>
      <c r="G33" s="14">
        <v>0</v>
      </c>
      <c r="H33" s="16">
        <v>0</v>
      </c>
      <c r="I33" s="14" t="s">
        <v>139</v>
      </c>
      <c r="J33" s="16" t="s">
        <v>139</v>
      </c>
      <c r="K33" s="14">
        <v>0</v>
      </c>
      <c r="L33" s="16">
        <v>0</v>
      </c>
      <c r="M33" s="14">
        <v>100</v>
      </c>
      <c r="N33" s="16">
        <v>0</v>
      </c>
      <c r="O33" s="14">
        <v>0</v>
      </c>
      <c r="P33" s="16">
        <v>0</v>
      </c>
      <c r="Q33" s="14">
        <v>0</v>
      </c>
      <c r="R33" s="16">
        <v>0</v>
      </c>
    </row>
    <row r="34" spans="1:18" x14ac:dyDescent="0.25">
      <c r="A34" s="11" t="s">
        <v>167</v>
      </c>
      <c r="B34" s="13">
        <v>6350</v>
      </c>
      <c r="C34" s="14">
        <f>(5302/B34*100)</f>
        <v>83.496062992125985</v>
      </c>
      <c r="D34" s="15">
        <v>1048</v>
      </c>
      <c r="E34" s="14">
        <v>0</v>
      </c>
      <c r="F34" s="16">
        <v>0</v>
      </c>
      <c r="G34" s="14">
        <v>0</v>
      </c>
      <c r="H34" s="16">
        <v>0</v>
      </c>
      <c r="I34" s="14" t="s">
        <v>139</v>
      </c>
      <c r="J34" s="16" t="s">
        <v>139</v>
      </c>
      <c r="K34" s="14">
        <v>0</v>
      </c>
      <c r="L34" s="16">
        <v>0</v>
      </c>
      <c r="M34" s="14">
        <v>100</v>
      </c>
      <c r="N34" s="16">
        <v>0</v>
      </c>
      <c r="O34" s="14">
        <v>0</v>
      </c>
      <c r="P34" s="16">
        <v>0</v>
      </c>
      <c r="Q34" s="14">
        <v>0</v>
      </c>
      <c r="R34" s="16">
        <v>0</v>
      </c>
    </row>
    <row r="35" spans="1:18" x14ac:dyDescent="0.25">
      <c r="A35" s="11" t="s">
        <v>168</v>
      </c>
      <c r="B35" s="13">
        <v>6406</v>
      </c>
      <c r="C35" s="14">
        <f>(5326/B35*100)</f>
        <v>83.140805494848578</v>
      </c>
      <c r="D35" s="15">
        <v>1080</v>
      </c>
      <c r="E35" s="14">
        <v>0</v>
      </c>
      <c r="F35" s="16">
        <v>0</v>
      </c>
      <c r="G35" s="14">
        <v>0</v>
      </c>
      <c r="H35" s="16">
        <v>0</v>
      </c>
      <c r="I35" s="14" t="s">
        <v>139</v>
      </c>
      <c r="J35" s="16" t="s">
        <v>139</v>
      </c>
      <c r="K35" s="14">
        <v>0</v>
      </c>
      <c r="L35" s="16">
        <v>0</v>
      </c>
      <c r="M35" s="14">
        <v>100</v>
      </c>
      <c r="N35" s="16">
        <v>0</v>
      </c>
      <c r="O35" s="14">
        <v>0</v>
      </c>
      <c r="P35" s="16">
        <v>0</v>
      </c>
      <c r="Q35" s="14">
        <v>0</v>
      </c>
      <c r="R35" s="16">
        <v>0</v>
      </c>
    </row>
    <row r="36" spans="1:18" x14ac:dyDescent="0.25">
      <c r="A36" s="11" t="s">
        <v>169</v>
      </c>
      <c r="B36" s="13">
        <v>6736</v>
      </c>
      <c r="C36" s="14">
        <f>(5591/B36*100)</f>
        <v>83.001781472684087</v>
      </c>
      <c r="D36" s="15">
        <v>1145</v>
      </c>
      <c r="E36" s="14">
        <v>0</v>
      </c>
      <c r="F36" s="16">
        <v>0</v>
      </c>
      <c r="G36" s="14">
        <v>0</v>
      </c>
      <c r="H36" s="16">
        <v>0</v>
      </c>
      <c r="I36" s="14" t="s">
        <v>139</v>
      </c>
      <c r="J36" s="16" t="s">
        <v>139</v>
      </c>
      <c r="K36" s="14">
        <v>0</v>
      </c>
      <c r="L36" s="16">
        <v>0</v>
      </c>
      <c r="M36" s="14">
        <v>100</v>
      </c>
      <c r="N36" s="16">
        <v>0</v>
      </c>
      <c r="O36" s="14">
        <v>0</v>
      </c>
      <c r="P36" s="16">
        <v>0</v>
      </c>
      <c r="Q36" s="14">
        <v>0</v>
      </c>
      <c r="R36" s="16">
        <v>0</v>
      </c>
    </row>
    <row r="37" spans="1:18" x14ac:dyDescent="0.25">
      <c r="A37" s="11" t="s">
        <v>170</v>
      </c>
      <c r="B37" s="13">
        <v>5458</v>
      </c>
      <c r="C37" s="14">
        <f>(4522/B37*100)</f>
        <v>82.850861121289853</v>
      </c>
      <c r="D37" s="15">
        <v>936</v>
      </c>
      <c r="E37" s="14">
        <v>0</v>
      </c>
      <c r="F37" s="16">
        <v>0</v>
      </c>
      <c r="G37" s="14">
        <v>0</v>
      </c>
      <c r="H37" s="16">
        <v>0</v>
      </c>
      <c r="I37" s="14" t="s">
        <v>139</v>
      </c>
      <c r="J37" s="16" t="s">
        <v>139</v>
      </c>
      <c r="K37" s="14">
        <v>0</v>
      </c>
      <c r="L37" s="16">
        <v>0</v>
      </c>
      <c r="M37" s="14">
        <v>100</v>
      </c>
      <c r="N37" s="16">
        <v>0</v>
      </c>
      <c r="O37" s="14">
        <v>0</v>
      </c>
      <c r="P37" s="16">
        <v>0</v>
      </c>
      <c r="Q37" s="14">
        <v>0</v>
      </c>
      <c r="R37" s="16">
        <v>0</v>
      </c>
    </row>
    <row r="38" spans="1:18" x14ac:dyDescent="0.25">
      <c r="A38" s="11" t="s">
        <v>171</v>
      </c>
      <c r="B38" s="17" t="s">
        <v>154</v>
      </c>
      <c r="C38" s="17" t="s">
        <v>154</v>
      </c>
      <c r="D38" s="18" t="s">
        <v>154</v>
      </c>
      <c r="E38" s="17" t="s">
        <v>154</v>
      </c>
      <c r="F38" s="18" t="s">
        <v>154</v>
      </c>
      <c r="G38" s="17" t="s">
        <v>154</v>
      </c>
      <c r="H38" s="18" t="s">
        <v>154</v>
      </c>
      <c r="I38" s="17" t="s">
        <v>154</v>
      </c>
      <c r="J38" s="18" t="s">
        <v>154</v>
      </c>
      <c r="K38" s="17" t="s">
        <v>154</v>
      </c>
      <c r="L38" s="18" t="s">
        <v>154</v>
      </c>
      <c r="M38" s="17" t="s">
        <v>154</v>
      </c>
      <c r="N38" s="18" t="s">
        <v>154</v>
      </c>
      <c r="O38" s="17" t="s">
        <v>154</v>
      </c>
      <c r="P38" s="18" t="s">
        <v>154</v>
      </c>
      <c r="Q38" s="17" t="s">
        <v>154</v>
      </c>
      <c r="R38" s="18" t="s">
        <v>154</v>
      </c>
    </row>
    <row r="39" spans="1:18" x14ac:dyDescent="0.25">
      <c r="A39" s="11" t="s">
        <v>172</v>
      </c>
      <c r="B39" s="13">
        <v>5895</v>
      </c>
      <c r="C39" s="14">
        <f>(4865/B39*100)</f>
        <v>82.527565733672603</v>
      </c>
      <c r="D39" s="15">
        <v>1030</v>
      </c>
      <c r="E39" s="14">
        <v>0</v>
      </c>
      <c r="F39" s="16">
        <v>0</v>
      </c>
      <c r="G39" s="14">
        <v>0</v>
      </c>
      <c r="H39" s="16">
        <v>0</v>
      </c>
      <c r="I39" s="14" t="s">
        <v>139</v>
      </c>
      <c r="J39" s="16" t="s">
        <v>139</v>
      </c>
      <c r="K39" s="14">
        <v>0</v>
      </c>
      <c r="L39" s="16">
        <v>0</v>
      </c>
      <c r="M39" s="14">
        <v>100</v>
      </c>
      <c r="N39" s="16">
        <v>0</v>
      </c>
      <c r="O39" s="14">
        <v>0</v>
      </c>
      <c r="P39" s="16">
        <v>0</v>
      </c>
      <c r="Q39" s="14">
        <v>0</v>
      </c>
      <c r="R39" s="16">
        <v>0</v>
      </c>
    </row>
    <row r="40" spans="1:18" x14ac:dyDescent="0.25">
      <c r="A40" s="11" t="s">
        <v>173</v>
      </c>
      <c r="B40" s="13">
        <v>14157</v>
      </c>
      <c r="C40" s="14">
        <f>(11676/B40*100)</f>
        <v>82.475100656918841</v>
      </c>
      <c r="D40" s="15">
        <v>2481</v>
      </c>
      <c r="E40" s="14">
        <v>0</v>
      </c>
      <c r="F40" s="16">
        <v>0</v>
      </c>
      <c r="G40" s="14">
        <v>0</v>
      </c>
      <c r="H40" s="16">
        <v>0</v>
      </c>
      <c r="I40" s="14" t="s">
        <v>139</v>
      </c>
      <c r="J40" s="16" t="s">
        <v>139</v>
      </c>
      <c r="K40" s="14">
        <v>0</v>
      </c>
      <c r="L40" s="16">
        <v>0</v>
      </c>
      <c r="M40" s="14">
        <v>100</v>
      </c>
      <c r="N40" s="16">
        <v>0</v>
      </c>
      <c r="O40" s="14">
        <v>0</v>
      </c>
      <c r="P40" s="16">
        <v>0</v>
      </c>
      <c r="Q40" s="14">
        <v>0</v>
      </c>
      <c r="R40" s="16">
        <v>0</v>
      </c>
    </row>
    <row r="41" spans="1:18" x14ac:dyDescent="0.25">
      <c r="A41" s="11" t="s">
        <v>174</v>
      </c>
      <c r="B41" s="13">
        <v>5712</v>
      </c>
      <c r="C41" s="14">
        <f>(4753/B41*100)</f>
        <v>83.210784313725497</v>
      </c>
      <c r="D41" s="15">
        <v>959</v>
      </c>
      <c r="E41" s="14">
        <v>0</v>
      </c>
      <c r="F41" s="16">
        <v>0</v>
      </c>
      <c r="G41" s="14">
        <v>0</v>
      </c>
      <c r="H41" s="16">
        <v>0</v>
      </c>
      <c r="I41" s="14" t="s">
        <v>139</v>
      </c>
      <c r="J41" s="16" t="s">
        <v>139</v>
      </c>
      <c r="K41" s="14">
        <v>0</v>
      </c>
      <c r="L41" s="16">
        <v>0</v>
      </c>
      <c r="M41" s="14">
        <v>100</v>
      </c>
      <c r="N41" s="16">
        <v>0</v>
      </c>
      <c r="O41" s="14">
        <v>0</v>
      </c>
      <c r="P41" s="16">
        <v>0</v>
      </c>
      <c r="Q41" s="14">
        <v>0</v>
      </c>
      <c r="R41" s="16">
        <v>0</v>
      </c>
    </row>
    <row r="42" spans="1:18" x14ac:dyDescent="0.25">
      <c r="A42" s="11" t="s">
        <v>175</v>
      </c>
      <c r="B42" s="13">
        <f>IF(COUNT(B7:B41) &gt; 0, AVERAGE(B7:B41), "\u2014")</f>
        <v>7266.90625</v>
      </c>
      <c r="C42" s="14">
        <f>IF(COUNT(C7:C41) &gt; 0, AVERAGE(C7:C41), "—")</f>
        <v>83.006499411908919</v>
      </c>
      <c r="D42" s="15">
        <f>IF(COUNT(D7:D41) &gt; 0, AVERAGE(D7:D41), "—")</f>
        <v>1235.03125</v>
      </c>
      <c r="E42" s="14">
        <f>IF(COUNT(E7:E41) &gt; 0, AVERAGE(E7:E41), "—")</f>
        <v>0</v>
      </c>
      <c r="F42" s="16">
        <f>IF(COUNT(F7:F41) &gt; 0, SQRT(SUMSQ(F7:F41)/(COUNT(F7:F41)*COUNT(F7:F41)) ), "—")</f>
        <v>0</v>
      </c>
      <c r="G42" s="14">
        <f>IF(COUNT(G7:G41) &gt; 0, AVERAGE(G7:G41), "—")</f>
        <v>0</v>
      </c>
      <c r="H42" s="16">
        <f>IF(COUNT(H7:H41) &gt; 0, SQRT(SUMSQ(H7:H41)/(COUNT(H7:H41)*COUNT(H7:H41)) ), "—")</f>
        <v>0</v>
      </c>
      <c r="I42" s="14" t="str">
        <f>IF(COUNT(I7:I41) &gt; 0, AVERAGE(I7:I41), "—")</f>
        <v>—</v>
      </c>
      <c r="J42" s="16" t="str">
        <f>IF(COUNT(J7:J41) &gt; 0, SQRT(SUMSQ(J7:J41)/(COUNT(J7:J41)*COUNT(J7:J41)) ), "—")</f>
        <v>—</v>
      </c>
      <c r="K42" s="14">
        <f>IF(COUNT(K7:K41) &gt; 0, AVERAGE(K7:K41), "—")</f>
        <v>0</v>
      </c>
      <c r="L42" s="16">
        <f>IF(COUNT(L7:L41) &gt; 0, SQRT(SUMSQ(L7:L41)/(COUNT(L7:L41)*COUNT(L7:L41)) ), "—")</f>
        <v>0</v>
      </c>
      <c r="M42" s="14">
        <f>IF(COUNT(M7:M41) &gt; 0, AVERAGE(M7:M41), "—")</f>
        <v>100</v>
      </c>
      <c r="N42" s="16">
        <f>IF(COUNT(N7:N41) &gt; 0, SQRT(SUMSQ(N7:N41)/(COUNT(N7:N41)*COUNT(N7:N41)) ), "—")</f>
        <v>0</v>
      </c>
      <c r="O42" s="14">
        <f>IF(COUNT(O7:O41) &gt; 0, AVERAGE(O7:O41), "—")</f>
        <v>0</v>
      </c>
      <c r="P42" s="16">
        <f>IF(COUNT(P7:P41) &gt; 0, SQRT(SUMSQ(P7:P41)/(COUNT(P7:P41)*COUNT(P7:P41)) ), "—")</f>
        <v>0</v>
      </c>
      <c r="Q42" s="14">
        <f>IF(COUNT(Q7:Q41) &gt; 0, AVERAGE(Q7:Q41), "—")</f>
        <v>0</v>
      </c>
      <c r="R42" s="16">
        <f>IF(COUNT(R7:R41) &gt; 0, SQRT(SUMSQ(R7:R41)/(COUNT(R7:R41)*COUNT(R7:R41)) ), "—")</f>
        <v>0</v>
      </c>
    </row>
    <row r="43" spans="1:18" x14ac:dyDescent="0.25">
      <c r="A43" s="9" t="s">
        <v>176</v>
      </c>
      <c r="B43" s="10"/>
      <c r="C43" s="10"/>
      <c r="D43" s="11"/>
      <c r="E43" s="10"/>
      <c r="F43" s="11"/>
      <c r="G43" s="10"/>
      <c r="H43" s="11"/>
      <c r="I43" s="10"/>
      <c r="J43" s="11"/>
      <c r="K43" s="10"/>
      <c r="L43" s="11"/>
      <c r="M43" s="10"/>
      <c r="N43" s="11"/>
      <c r="O43" s="10"/>
      <c r="P43" s="11"/>
      <c r="Q43" s="10"/>
      <c r="R43" s="12"/>
    </row>
    <row r="44" spans="1:18" x14ac:dyDescent="0.25">
      <c r="A44" s="11" t="s">
        <v>177</v>
      </c>
      <c r="B44" s="17" t="s">
        <v>154</v>
      </c>
      <c r="C44" s="17" t="s">
        <v>154</v>
      </c>
      <c r="D44" s="18" t="s">
        <v>154</v>
      </c>
      <c r="E44" s="17" t="s">
        <v>154</v>
      </c>
      <c r="F44" s="18" t="s">
        <v>154</v>
      </c>
      <c r="G44" s="17" t="s">
        <v>154</v>
      </c>
      <c r="H44" s="18" t="s">
        <v>154</v>
      </c>
      <c r="I44" s="17" t="s">
        <v>154</v>
      </c>
      <c r="J44" s="18" t="s">
        <v>154</v>
      </c>
      <c r="K44" s="17" t="s">
        <v>154</v>
      </c>
      <c r="L44" s="18" t="s">
        <v>154</v>
      </c>
      <c r="M44" s="17" t="s">
        <v>154</v>
      </c>
      <c r="N44" s="18" t="s">
        <v>154</v>
      </c>
      <c r="O44" s="17" t="s">
        <v>154</v>
      </c>
      <c r="P44" s="18" t="s">
        <v>154</v>
      </c>
      <c r="Q44" s="17" t="s">
        <v>154</v>
      </c>
      <c r="R44" s="18" t="s">
        <v>154</v>
      </c>
    </row>
    <row r="45" spans="1:18" x14ac:dyDescent="0.25">
      <c r="A45" s="11" t="s">
        <v>178</v>
      </c>
      <c r="B45" s="17" t="s">
        <v>154</v>
      </c>
      <c r="C45" s="17" t="s">
        <v>154</v>
      </c>
      <c r="D45" s="18" t="s">
        <v>154</v>
      </c>
      <c r="E45" s="17" t="s">
        <v>154</v>
      </c>
      <c r="F45" s="18" t="s">
        <v>154</v>
      </c>
      <c r="G45" s="17" t="s">
        <v>154</v>
      </c>
      <c r="H45" s="18" t="s">
        <v>154</v>
      </c>
      <c r="I45" s="17" t="s">
        <v>154</v>
      </c>
      <c r="J45" s="18" t="s">
        <v>154</v>
      </c>
      <c r="K45" s="17" t="s">
        <v>154</v>
      </c>
      <c r="L45" s="18" t="s">
        <v>154</v>
      </c>
      <c r="M45" s="17" t="s">
        <v>154</v>
      </c>
      <c r="N45" s="18" t="s">
        <v>154</v>
      </c>
      <c r="O45" s="17" t="s">
        <v>154</v>
      </c>
      <c r="P45" s="18" t="s">
        <v>154</v>
      </c>
      <c r="Q45" s="17" t="s">
        <v>154</v>
      </c>
      <c r="R45" s="18" t="s">
        <v>154</v>
      </c>
    </row>
    <row r="46" spans="1:18" x14ac:dyDescent="0.25">
      <c r="A46" s="11" t="s">
        <v>179</v>
      </c>
      <c r="B46" s="13">
        <v>23141</v>
      </c>
      <c r="C46" s="14">
        <f>(19783/B46*100)</f>
        <v>85.488958990536275</v>
      </c>
      <c r="D46" s="15">
        <v>3358</v>
      </c>
      <c r="E46" s="14">
        <v>0</v>
      </c>
      <c r="F46" s="16">
        <v>0</v>
      </c>
      <c r="G46" s="14">
        <v>0</v>
      </c>
      <c r="H46" s="16">
        <v>0</v>
      </c>
      <c r="I46" s="14" t="s">
        <v>139</v>
      </c>
      <c r="J46" s="16" t="s">
        <v>139</v>
      </c>
      <c r="K46" s="14">
        <v>0</v>
      </c>
      <c r="L46" s="16">
        <v>0</v>
      </c>
      <c r="M46" s="14">
        <v>100</v>
      </c>
      <c r="N46" s="16">
        <v>0</v>
      </c>
      <c r="O46" s="14">
        <v>0</v>
      </c>
      <c r="P46" s="16">
        <v>0</v>
      </c>
      <c r="Q46" s="14">
        <v>0</v>
      </c>
      <c r="R46" s="16">
        <v>0</v>
      </c>
    </row>
    <row r="47" spans="1:18" x14ac:dyDescent="0.25">
      <c r="A47" s="11" t="s">
        <v>180</v>
      </c>
      <c r="B47" s="13">
        <v>5928</v>
      </c>
      <c r="C47" s="14">
        <f>(4923/B47*100)</f>
        <v>83.046558704453446</v>
      </c>
      <c r="D47" s="15">
        <v>1005</v>
      </c>
      <c r="E47" s="14">
        <v>0</v>
      </c>
      <c r="F47" s="16">
        <v>0</v>
      </c>
      <c r="G47" s="14">
        <v>0</v>
      </c>
      <c r="H47" s="16">
        <v>0</v>
      </c>
      <c r="I47" s="14" t="s">
        <v>139</v>
      </c>
      <c r="J47" s="16" t="s">
        <v>139</v>
      </c>
      <c r="K47" s="14">
        <v>0</v>
      </c>
      <c r="L47" s="16">
        <v>0</v>
      </c>
      <c r="M47" s="14">
        <v>100</v>
      </c>
      <c r="N47" s="16">
        <v>0</v>
      </c>
      <c r="O47" s="14">
        <v>0</v>
      </c>
      <c r="P47" s="16">
        <v>0</v>
      </c>
      <c r="Q47" s="14">
        <v>0</v>
      </c>
      <c r="R47" s="16">
        <v>0</v>
      </c>
    </row>
    <row r="48" spans="1:18" x14ac:dyDescent="0.25">
      <c r="A48" s="11" t="s">
        <v>181</v>
      </c>
      <c r="B48" s="13">
        <v>9841</v>
      </c>
      <c r="C48" s="14">
        <f>(8132/B48*100)</f>
        <v>82.633878670866778</v>
      </c>
      <c r="D48" s="15">
        <v>1709</v>
      </c>
      <c r="E48" s="14">
        <v>0</v>
      </c>
      <c r="F48" s="16">
        <v>0</v>
      </c>
      <c r="G48" s="14">
        <v>0</v>
      </c>
      <c r="H48" s="16">
        <v>0</v>
      </c>
      <c r="I48" s="14" t="s">
        <v>139</v>
      </c>
      <c r="J48" s="16" t="s">
        <v>139</v>
      </c>
      <c r="K48" s="14">
        <v>0</v>
      </c>
      <c r="L48" s="16">
        <v>0</v>
      </c>
      <c r="M48" s="14">
        <v>100</v>
      </c>
      <c r="N48" s="16">
        <v>0</v>
      </c>
      <c r="O48" s="14">
        <v>0</v>
      </c>
      <c r="P48" s="16">
        <v>0</v>
      </c>
      <c r="Q48" s="14">
        <v>0</v>
      </c>
      <c r="R48" s="16">
        <v>0</v>
      </c>
    </row>
    <row r="49" spans="1:18" x14ac:dyDescent="0.25">
      <c r="A49" s="11" t="s">
        <v>182</v>
      </c>
      <c r="B49" s="17" t="s">
        <v>154</v>
      </c>
      <c r="C49" s="17" t="s">
        <v>154</v>
      </c>
      <c r="D49" s="18" t="s">
        <v>154</v>
      </c>
      <c r="E49" s="17" t="s">
        <v>154</v>
      </c>
      <c r="F49" s="18" t="s">
        <v>154</v>
      </c>
      <c r="G49" s="17" t="s">
        <v>154</v>
      </c>
      <c r="H49" s="18" t="s">
        <v>154</v>
      </c>
      <c r="I49" s="17" t="s">
        <v>154</v>
      </c>
      <c r="J49" s="18" t="s">
        <v>154</v>
      </c>
      <c r="K49" s="17" t="s">
        <v>154</v>
      </c>
      <c r="L49" s="18" t="s">
        <v>154</v>
      </c>
      <c r="M49" s="17" t="s">
        <v>154</v>
      </c>
      <c r="N49" s="18" t="s">
        <v>154</v>
      </c>
      <c r="O49" s="17" t="s">
        <v>154</v>
      </c>
      <c r="P49" s="18" t="s">
        <v>154</v>
      </c>
      <c r="Q49" s="17" t="s">
        <v>154</v>
      </c>
      <c r="R49" s="18" t="s">
        <v>154</v>
      </c>
    </row>
    <row r="50" spans="1:18" x14ac:dyDescent="0.25">
      <c r="A50" s="11" t="s">
        <v>183</v>
      </c>
      <c r="B50" s="13">
        <v>11795</v>
      </c>
      <c r="C50" s="14">
        <f>(9826/B50*100)</f>
        <v>83.306485799067403</v>
      </c>
      <c r="D50" s="15">
        <v>1969</v>
      </c>
      <c r="E50" s="14">
        <v>0</v>
      </c>
      <c r="F50" s="16">
        <v>0</v>
      </c>
      <c r="G50" s="14">
        <v>0</v>
      </c>
      <c r="H50" s="16">
        <v>0</v>
      </c>
      <c r="I50" s="14" t="s">
        <v>139</v>
      </c>
      <c r="J50" s="16" t="s">
        <v>139</v>
      </c>
      <c r="K50" s="14">
        <v>0</v>
      </c>
      <c r="L50" s="16">
        <v>0</v>
      </c>
      <c r="M50" s="14">
        <v>100</v>
      </c>
      <c r="N50" s="16">
        <v>0</v>
      </c>
      <c r="O50" s="14">
        <v>0</v>
      </c>
      <c r="P50" s="16">
        <v>0</v>
      </c>
      <c r="Q50" s="14">
        <v>0</v>
      </c>
      <c r="R50" s="16">
        <v>0</v>
      </c>
    </row>
    <row r="51" spans="1:18" x14ac:dyDescent="0.25">
      <c r="A51" s="11" t="s">
        <v>184</v>
      </c>
      <c r="B51" s="13">
        <v>6866</v>
      </c>
      <c r="C51" s="14">
        <f>(5835/B51*100)</f>
        <v>84.983979027090001</v>
      </c>
      <c r="D51" s="15">
        <v>1031</v>
      </c>
      <c r="E51" s="14">
        <v>0</v>
      </c>
      <c r="F51" s="16">
        <v>0</v>
      </c>
      <c r="G51" s="14">
        <v>0</v>
      </c>
      <c r="H51" s="16">
        <v>0</v>
      </c>
      <c r="I51" s="14" t="s">
        <v>139</v>
      </c>
      <c r="J51" s="16" t="s">
        <v>139</v>
      </c>
      <c r="K51" s="14">
        <v>0</v>
      </c>
      <c r="L51" s="16">
        <v>0</v>
      </c>
      <c r="M51" s="14">
        <v>100</v>
      </c>
      <c r="N51" s="16">
        <v>0</v>
      </c>
      <c r="O51" s="14">
        <v>0</v>
      </c>
      <c r="P51" s="16">
        <v>0</v>
      </c>
      <c r="Q51" s="14">
        <v>0</v>
      </c>
      <c r="R51" s="16">
        <v>0</v>
      </c>
    </row>
    <row r="52" spans="1:18" x14ac:dyDescent="0.25">
      <c r="A52" s="11" t="s">
        <v>185</v>
      </c>
      <c r="B52" s="13">
        <v>5809</v>
      </c>
      <c r="C52" s="14">
        <f>(4824/B52*100)</f>
        <v>83.043553107247376</v>
      </c>
      <c r="D52" s="15">
        <v>985</v>
      </c>
      <c r="E52" s="14">
        <v>0</v>
      </c>
      <c r="F52" s="16">
        <v>0</v>
      </c>
      <c r="G52" s="14">
        <v>0</v>
      </c>
      <c r="H52" s="16">
        <v>0</v>
      </c>
      <c r="I52" s="14" t="s">
        <v>139</v>
      </c>
      <c r="J52" s="16" t="s">
        <v>139</v>
      </c>
      <c r="K52" s="14">
        <v>0</v>
      </c>
      <c r="L52" s="16">
        <v>0</v>
      </c>
      <c r="M52" s="14">
        <v>100</v>
      </c>
      <c r="N52" s="16">
        <v>0</v>
      </c>
      <c r="O52" s="14">
        <v>0</v>
      </c>
      <c r="P52" s="16">
        <v>0</v>
      </c>
      <c r="Q52" s="14">
        <v>0</v>
      </c>
      <c r="R52" s="16">
        <v>0</v>
      </c>
    </row>
    <row r="53" spans="1:18" x14ac:dyDescent="0.25">
      <c r="A53" s="11" t="s">
        <v>186</v>
      </c>
      <c r="B53" s="13">
        <v>5571</v>
      </c>
      <c r="C53" s="14">
        <f>(4602/B53*100)</f>
        <v>82.606354334948833</v>
      </c>
      <c r="D53" s="15">
        <v>969</v>
      </c>
      <c r="E53" s="14">
        <v>0</v>
      </c>
      <c r="F53" s="16">
        <v>0</v>
      </c>
      <c r="G53" s="14">
        <v>0</v>
      </c>
      <c r="H53" s="16">
        <v>0</v>
      </c>
      <c r="I53" s="14" t="s">
        <v>139</v>
      </c>
      <c r="J53" s="16" t="s">
        <v>139</v>
      </c>
      <c r="K53" s="14">
        <v>0</v>
      </c>
      <c r="L53" s="16">
        <v>0</v>
      </c>
      <c r="M53" s="14">
        <v>100</v>
      </c>
      <c r="N53" s="16">
        <v>0</v>
      </c>
      <c r="O53" s="14">
        <v>0</v>
      </c>
      <c r="P53" s="16">
        <v>0</v>
      </c>
      <c r="Q53" s="14">
        <v>0</v>
      </c>
      <c r="R53" s="16">
        <v>0</v>
      </c>
    </row>
    <row r="54" spans="1:18" x14ac:dyDescent="0.25">
      <c r="A54" s="11" t="s">
        <v>187</v>
      </c>
      <c r="B54" s="17" t="s">
        <v>154</v>
      </c>
      <c r="C54" s="17" t="s">
        <v>154</v>
      </c>
      <c r="D54" s="18" t="s">
        <v>154</v>
      </c>
      <c r="E54" s="17" t="s">
        <v>154</v>
      </c>
      <c r="F54" s="18" t="s">
        <v>154</v>
      </c>
      <c r="G54" s="17" t="s">
        <v>154</v>
      </c>
      <c r="H54" s="18" t="s">
        <v>154</v>
      </c>
      <c r="I54" s="17" t="s">
        <v>154</v>
      </c>
      <c r="J54" s="18" t="s">
        <v>154</v>
      </c>
      <c r="K54" s="17" t="s">
        <v>154</v>
      </c>
      <c r="L54" s="18" t="s">
        <v>154</v>
      </c>
      <c r="M54" s="17" t="s">
        <v>154</v>
      </c>
      <c r="N54" s="18" t="s">
        <v>154</v>
      </c>
      <c r="O54" s="17" t="s">
        <v>154</v>
      </c>
      <c r="P54" s="18" t="s">
        <v>154</v>
      </c>
      <c r="Q54" s="17" t="s">
        <v>154</v>
      </c>
      <c r="R54" s="18" t="s">
        <v>154</v>
      </c>
    </row>
    <row r="55" spans="1:18" x14ac:dyDescent="0.25">
      <c r="A55" s="11" t="s">
        <v>188</v>
      </c>
      <c r="B55" s="17" t="s">
        <v>154</v>
      </c>
      <c r="C55" s="17" t="s">
        <v>154</v>
      </c>
      <c r="D55" s="18" t="s">
        <v>154</v>
      </c>
      <c r="E55" s="17" t="s">
        <v>154</v>
      </c>
      <c r="F55" s="18" t="s">
        <v>154</v>
      </c>
      <c r="G55" s="17" t="s">
        <v>154</v>
      </c>
      <c r="H55" s="18" t="s">
        <v>154</v>
      </c>
      <c r="I55" s="17" t="s">
        <v>154</v>
      </c>
      <c r="J55" s="18" t="s">
        <v>154</v>
      </c>
      <c r="K55" s="17" t="s">
        <v>154</v>
      </c>
      <c r="L55" s="18" t="s">
        <v>154</v>
      </c>
      <c r="M55" s="17" t="s">
        <v>154</v>
      </c>
      <c r="N55" s="18" t="s">
        <v>154</v>
      </c>
      <c r="O55" s="17" t="s">
        <v>154</v>
      </c>
      <c r="P55" s="18" t="s">
        <v>154</v>
      </c>
      <c r="Q55" s="17" t="s">
        <v>154</v>
      </c>
      <c r="R55" s="18" t="s">
        <v>154</v>
      </c>
    </row>
    <row r="56" spans="1:18" x14ac:dyDescent="0.25">
      <c r="A56" s="11" t="s">
        <v>189</v>
      </c>
      <c r="B56" s="13">
        <v>5359</v>
      </c>
      <c r="C56" s="14">
        <f>(4424/B56*100)</f>
        <v>82.552715058779626</v>
      </c>
      <c r="D56" s="15">
        <v>935</v>
      </c>
      <c r="E56" s="14">
        <v>0</v>
      </c>
      <c r="F56" s="16">
        <v>0</v>
      </c>
      <c r="G56" s="14">
        <v>0</v>
      </c>
      <c r="H56" s="16">
        <v>0</v>
      </c>
      <c r="I56" s="14" t="s">
        <v>139</v>
      </c>
      <c r="J56" s="16" t="s">
        <v>139</v>
      </c>
      <c r="K56" s="14">
        <v>0</v>
      </c>
      <c r="L56" s="16">
        <v>0</v>
      </c>
      <c r="M56" s="14">
        <v>100</v>
      </c>
      <c r="N56" s="16">
        <v>0</v>
      </c>
      <c r="O56" s="14">
        <v>0</v>
      </c>
      <c r="P56" s="16">
        <v>0</v>
      </c>
      <c r="Q56" s="14">
        <v>0</v>
      </c>
      <c r="R56" s="16">
        <v>0</v>
      </c>
    </row>
    <row r="57" spans="1:18" x14ac:dyDescent="0.25">
      <c r="A57" s="11" t="s">
        <v>190</v>
      </c>
      <c r="B57" s="17" t="s">
        <v>154</v>
      </c>
      <c r="C57" s="17" t="s">
        <v>154</v>
      </c>
      <c r="D57" s="18" t="s">
        <v>154</v>
      </c>
      <c r="E57" s="17" t="s">
        <v>154</v>
      </c>
      <c r="F57" s="18" t="s">
        <v>154</v>
      </c>
      <c r="G57" s="17" t="s">
        <v>154</v>
      </c>
      <c r="H57" s="18" t="s">
        <v>154</v>
      </c>
      <c r="I57" s="17" t="s">
        <v>154</v>
      </c>
      <c r="J57" s="18" t="s">
        <v>154</v>
      </c>
      <c r="K57" s="17" t="s">
        <v>154</v>
      </c>
      <c r="L57" s="18" t="s">
        <v>154</v>
      </c>
      <c r="M57" s="17" t="s">
        <v>154</v>
      </c>
      <c r="N57" s="18" t="s">
        <v>154</v>
      </c>
      <c r="O57" s="17" t="s">
        <v>154</v>
      </c>
      <c r="P57" s="18" t="s">
        <v>154</v>
      </c>
      <c r="Q57" s="17" t="s">
        <v>154</v>
      </c>
      <c r="R57" s="18" t="s">
        <v>154</v>
      </c>
    </row>
    <row r="58" spans="1:18" x14ac:dyDescent="0.25">
      <c r="A58" s="11" t="s">
        <v>191</v>
      </c>
      <c r="B58" s="17" t="s">
        <v>154</v>
      </c>
      <c r="C58" s="17" t="s">
        <v>154</v>
      </c>
      <c r="D58" s="18" t="s">
        <v>154</v>
      </c>
      <c r="E58" s="17" t="s">
        <v>154</v>
      </c>
      <c r="F58" s="18" t="s">
        <v>154</v>
      </c>
      <c r="G58" s="17" t="s">
        <v>154</v>
      </c>
      <c r="H58" s="18" t="s">
        <v>154</v>
      </c>
      <c r="I58" s="17" t="s">
        <v>154</v>
      </c>
      <c r="J58" s="18" t="s">
        <v>154</v>
      </c>
      <c r="K58" s="17" t="s">
        <v>154</v>
      </c>
      <c r="L58" s="18" t="s">
        <v>154</v>
      </c>
      <c r="M58" s="17" t="s">
        <v>154</v>
      </c>
      <c r="N58" s="18" t="s">
        <v>154</v>
      </c>
      <c r="O58" s="17" t="s">
        <v>154</v>
      </c>
      <c r="P58" s="18" t="s">
        <v>154</v>
      </c>
      <c r="Q58" s="17" t="s">
        <v>154</v>
      </c>
      <c r="R58" s="18" t="s">
        <v>154</v>
      </c>
    </row>
    <row r="59" spans="1:18" x14ac:dyDescent="0.25">
      <c r="A59" s="11" t="s">
        <v>192</v>
      </c>
      <c r="B59" s="17" t="s">
        <v>154</v>
      </c>
      <c r="C59" s="17" t="s">
        <v>154</v>
      </c>
      <c r="D59" s="18" t="s">
        <v>154</v>
      </c>
      <c r="E59" s="17" t="s">
        <v>154</v>
      </c>
      <c r="F59" s="18" t="s">
        <v>154</v>
      </c>
      <c r="G59" s="17" t="s">
        <v>154</v>
      </c>
      <c r="H59" s="18" t="s">
        <v>154</v>
      </c>
      <c r="I59" s="17" t="s">
        <v>154</v>
      </c>
      <c r="J59" s="18" t="s">
        <v>154</v>
      </c>
      <c r="K59" s="17" t="s">
        <v>154</v>
      </c>
      <c r="L59" s="18" t="s">
        <v>154</v>
      </c>
      <c r="M59" s="17" t="s">
        <v>154</v>
      </c>
      <c r="N59" s="18" t="s">
        <v>154</v>
      </c>
      <c r="O59" s="17" t="s">
        <v>154</v>
      </c>
      <c r="P59" s="18" t="s">
        <v>154</v>
      </c>
      <c r="Q59" s="17" t="s">
        <v>154</v>
      </c>
      <c r="R59" s="18" t="s">
        <v>154</v>
      </c>
    </row>
    <row r="60" spans="1:18" x14ac:dyDescent="0.25">
      <c r="A60" s="11" t="s">
        <v>193</v>
      </c>
      <c r="B60" s="17" t="s">
        <v>154</v>
      </c>
      <c r="C60" s="17" t="s">
        <v>154</v>
      </c>
      <c r="D60" s="18" t="s">
        <v>154</v>
      </c>
      <c r="E60" s="17" t="s">
        <v>154</v>
      </c>
      <c r="F60" s="18" t="s">
        <v>154</v>
      </c>
      <c r="G60" s="17" t="s">
        <v>154</v>
      </c>
      <c r="H60" s="18" t="s">
        <v>154</v>
      </c>
      <c r="I60" s="17" t="s">
        <v>154</v>
      </c>
      <c r="J60" s="18" t="s">
        <v>154</v>
      </c>
      <c r="K60" s="17" t="s">
        <v>154</v>
      </c>
      <c r="L60" s="18" t="s">
        <v>154</v>
      </c>
      <c r="M60" s="17" t="s">
        <v>154</v>
      </c>
      <c r="N60" s="18" t="s">
        <v>154</v>
      </c>
      <c r="O60" s="17" t="s">
        <v>154</v>
      </c>
      <c r="P60" s="18" t="s">
        <v>154</v>
      </c>
      <c r="Q60" s="17" t="s">
        <v>154</v>
      </c>
      <c r="R60" s="18" t="s">
        <v>154</v>
      </c>
    </row>
    <row r="61" spans="1:18" x14ac:dyDescent="0.25">
      <c r="A61" s="11" t="s">
        <v>194</v>
      </c>
      <c r="B61" s="13">
        <v>6525</v>
      </c>
      <c r="C61" s="14">
        <f>(5415/B61*100)</f>
        <v>82.988505747126439</v>
      </c>
      <c r="D61" s="15">
        <v>1110</v>
      </c>
      <c r="E61" s="14">
        <v>0</v>
      </c>
      <c r="F61" s="16">
        <v>0</v>
      </c>
      <c r="G61" s="14">
        <v>0</v>
      </c>
      <c r="H61" s="16">
        <v>0</v>
      </c>
      <c r="I61" s="14" t="s">
        <v>139</v>
      </c>
      <c r="J61" s="16" t="s">
        <v>139</v>
      </c>
      <c r="K61" s="14">
        <v>0</v>
      </c>
      <c r="L61" s="16">
        <v>0</v>
      </c>
      <c r="M61" s="14">
        <v>100</v>
      </c>
      <c r="N61" s="16">
        <v>0</v>
      </c>
      <c r="O61" s="14">
        <v>0</v>
      </c>
      <c r="P61" s="16">
        <v>0</v>
      </c>
      <c r="Q61" s="14">
        <v>0</v>
      </c>
      <c r="R61" s="16">
        <v>0</v>
      </c>
    </row>
    <row r="62" spans="1:18" x14ac:dyDescent="0.25">
      <c r="A62" s="11" t="s">
        <v>195</v>
      </c>
      <c r="B62" s="13">
        <v>4476</v>
      </c>
      <c r="C62" s="14">
        <f>(3712/B62*100)</f>
        <v>82.931188561215379</v>
      </c>
      <c r="D62" s="15">
        <v>764</v>
      </c>
      <c r="E62" s="14">
        <v>0</v>
      </c>
      <c r="F62" s="16">
        <v>0</v>
      </c>
      <c r="G62" s="14">
        <v>0</v>
      </c>
      <c r="H62" s="16">
        <v>0</v>
      </c>
      <c r="I62" s="14" t="s">
        <v>139</v>
      </c>
      <c r="J62" s="16" t="s">
        <v>139</v>
      </c>
      <c r="K62" s="14">
        <v>0</v>
      </c>
      <c r="L62" s="16">
        <v>0</v>
      </c>
      <c r="M62" s="14">
        <v>100</v>
      </c>
      <c r="N62" s="16">
        <v>0</v>
      </c>
      <c r="O62" s="14">
        <v>0</v>
      </c>
      <c r="P62" s="16">
        <v>0</v>
      </c>
      <c r="Q62" s="14">
        <v>0</v>
      </c>
      <c r="R62" s="16">
        <v>0</v>
      </c>
    </row>
    <row r="63" spans="1:18" x14ac:dyDescent="0.25">
      <c r="A63" s="11" t="s">
        <v>196</v>
      </c>
      <c r="B63" s="17" t="s">
        <v>154</v>
      </c>
      <c r="C63" s="17" t="s">
        <v>154</v>
      </c>
      <c r="D63" s="18" t="s">
        <v>154</v>
      </c>
      <c r="E63" s="17" t="s">
        <v>154</v>
      </c>
      <c r="F63" s="18" t="s">
        <v>154</v>
      </c>
      <c r="G63" s="17" t="s">
        <v>154</v>
      </c>
      <c r="H63" s="18" t="s">
        <v>154</v>
      </c>
      <c r="I63" s="17" t="s">
        <v>154</v>
      </c>
      <c r="J63" s="18" t="s">
        <v>154</v>
      </c>
      <c r="K63" s="17" t="s">
        <v>154</v>
      </c>
      <c r="L63" s="18" t="s">
        <v>154</v>
      </c>
      <c r="M63" s="17" t="s">
        <v>154</v>
      </c>
      <c r="N63" s="18" t="s">
        <v>154</v>
      </c>
      <c r="O63" s="17" t="s">
        <v>154</v>
      </c>
      <c r="P63" s="18" t="s">
        <v>154</v>
      </c>
      <c r="Q63" s="17" t="s">
        <v>154</v>
      </c>
      <c r="R63" s="18" t="s">
        <v>154</v>
      </c>
    </row>
    <row r="64" spans="1:18" x14ac:dyDescent="0.25">
      <c r="A64" s="11" t="s">
        <v>197</v>
      </c>
      <c r="B64" s="17" t="s">
        <v>154</v>
      </c>
      <c r="C64" s="17" t="s">
        <v>154</v>
      </c>
      <c r="D64" s="18" t="s">
        <v>154</v>
      </c>
      <c r="E64" s="17" t="s">
        <v>154</v>
      </c>
      <c r="F64" s="18" t="s">
        <v>154</v>
      </c>
      <c r="G64" s="17" t="s">
        <v>154</v>
      </c>
      <c r="H64" s="18" t="s">
        <v>154</v>
      </c>
      <c r="I64" s="17" t="s">
        <v>154</v>
      </c>
      <c r="J64" s="18" t="s">
        <v>154</v>
      </c>
      <c r="K64" s="17" t="s">
        <v>154</v>
      </c>
      <c r="L64" s="18" t="s">
        <v>154</v>
      </c>
      <c r="M64" s="17" t="s">
        <v>154</v>
      </c>
      <c r="N64" s="18" t="s">
        <v>154</v>
      </c>
      <c r="O64" s="17" t="s">
        <v>154</v>
      </c>
      <c r="P64" s="18" t="s">
        <v>154</v>
      </c>
      <c r="Q64" s="17" t="s">
        <v>154</v>
      </c>
      <c r="R64" s="18" t="s">
        <v>154</v>
      </c>
    </row>
    <row r="65" spans="1:18" x14ac:dyDescent="0.25">
      <c r="A65" s="11" t="s">
        <v>198</v>
      </c>
      <c r="B65" s="17" t="s">
        <v>154</v>
      </c>
      <c r="C65" s="17" t="s">
        <v>154</v>
      </c>
      <c r="D65" s="18" t="s">
        <v>154</v>
      </c>
      <c r="E65" s="17" t="s">
        <v>154</v>
      </c>
      <c r="F65" s="18" t="s">
        <v>154</v>
      </c>
      <c r="G65" s="17" t="s">
        <v>154</v>
      </c>
      <c r="H65" s="18" t="s">
        <v>154</v>
      </c>
      <c r="I65" s="17" t="s">
        <v>154</v>
      </c>
      <c r="J65" s="18" t="s">
        <v>154</v>
      </c>
      <c r="K65" s="17" t="s">
        <v>154</v>
      </c>
      <c r="L65" s="18" t="s">
        <v>154</v>
      </c>
      <c r="M65" s="17" t="s">
        <v>154</v>
      </c>
      <c r="N65" s="18" t="s">
        <v>154</v>
      </c>
      <c r="O65" s="17" t="s">
        <v>154</v>
      </c>
      <c r="P65" s="18" t="s">
        <v>154</v>
      </c>
      <c r="Q65" s="17" t="s">
        <v>154</v>
      </c>
      <c r="R65" s="18" t="s">
        <v>154</v>
      </c>
    </row>
    <row r="66" spans="1:18" x14ac:dyDescent="0.25">
      <c r="A66" s="11" t="s">
        <v>199</v>
      </c>
      <c r="B66" s="13">
        <v>5665</v>
      </c>
      <c r="C66" s="14">
        <f>(4711/B66*100)</f>
        <v>83.159752868490727</v>
      </c>
      <c r="D66" s="15">
        <v>954</v>
      </c>
      <c r="E66" s="14">
        <v>0</v>
      </c>
      <c r="F66" s="16">
        <v>0</v>
      </c>
      <c r="G66" s="14">
        <v>0</v>
      </c>
      <c r="H66" s="16">
        <v>0</v>
      </c>
      <c r="I66" s="14" t="s">
        <v>139</v>
      </c>
      <c r="J66" s="16" t="s">
        <v>139</v>
      </c>
      <c r="K66" s="14">
        <v>0</v>
      </c>
      <c r="L66" s="16">
        <v>0</v>
      </c>
      <c r="M66" s="14">
        <v>100</v>
      </c>
      <c r="N66" s="16">
        <v>0</v>
      </c>
      <c r="O66" s="14">
        <v>0</v>
      </c>
      <c r="P66" s="16">
        <v>0</v>
      </c>
      <c r="Q66" s="14">
        <v>0</v>
      </c>
      <c r="R66" s="16">
        <v>0</v>
      </c>
    </row>
    <row r="67" spans="1:18" x14ac:dyDescent="0.25">
      <c r="A67" s="11" t="s">
        <v>200</v>
      </c>
      <c r="B67" s="13">
        <v>6971</v>
      </c>
      <c r="C67" s="14">
        <f>(5876/B67*100)</f>
        <v>84.292067135274706</v>
      </c>
      <c r="D67" s="15">
        <v>1095</v>
      </c>
      <c r="E67" s="14">
        <v>0</v>
      </c>
      <c r="F67" s="16">
        <v>0</v>
      </c>
      <c r="G67" s="14">
        <v>0</v>
      </c>
      <c r="H67" s="16">
        <v>0</v>
      </c>
      <c r="I67" s="14" t="s">
        <v>139</v>
      </c>
      <c r="J67" s="16" t="s">
        <v>139</v>
      </c>
      <c r="K67" s="14">
        <v>0</v>
      </c>
      <c r="L67" s="16">
        <v>0</v>
      </c>
      <c r="M67" s="14">
        <v>100</v>
      </c>
      <c r="N67" s="16">
        <v>0</v>
      </c>
      <c r="O67" s="14">
        <v>0</v>
      </c>
      <c r="P67" s="16">
        <v>0</v>
      </c>
      <c r="Q67" s="14">
        <v>0</v>
      </c>
      <c r="R67" s="16">
        <v>0</v>
      </c>
    </row>
    <row r="68" spans="1:18" x14ac:dyDescent="0.25">
      <c r="A68" s="11" t="s">
        <v>201</v>
      </c>
      <c r="B68" s="17" t="s">
        <v>154</v>
      </c>
      <c r="C68" s="17" t="s">
        <v>154</v>
      </c>
      <c r="D68" s="18" t="s">
        <v>154</v>
      </c>
      <c r="E68" s="17" t="s">
        <v>154</v>
      </c>
      <c r="F68" s="18" t="s">
        <v>154</v>
      </c>
      <c r="G68" s="17" t="s">
        <v>154</v>
      </c>
      <c r="H68" s="18" t="s">
        <v>154</v>
      </c>
      <c r="I68" s="17" t="s">
        <v>154</v>
      </c>
      <c r="J68" s="18" t="s">
        <v>154</v>
      </c>
      <c r="K68" s="17" t="s">
        <v>154</v>
      </c>
      <c r="L68" s="18" t="s">
        <v>154</v>
      </c>
      <c r="M68" s="17" t="s">
        <v>154</v>
      </c>
      <c r="N68" s="18" t="s">
        <v>154</v>
      </c>
      <c r="O68" s="17" t="s">
        <v>154</v>
      </c>
      <c r="P68" s="18" t="s">
        <v>154</v>
      </c>
      <c r="Q68" s="17" t="s">
        <v>154</v>
      </c>
      <c r="R68" s="18" t="s">
        <v>154</v>
      </c>
    </row>
    <row r="69" spans="1:18" x14ac:dyDescent="0.25">
      <c r="A69" s="11" t="s">
        <v>202</v>
      </c>
      <c r="B69" s="17" t="s">
        <v>154</v>
      </c>
      <c r="C69" s="17" t="s">
        <v>154</v>
      </c>
      <c r="D69" s="18" t="s">
        <v>154</v>
      </c>
      <c r="E69" s="17" t="s">
        <v>154</v>
      </c>
      <c r="F69" s="18" t="s">
        <v>154</v>
      </c>
      <c r="G69" s="17" t="s">
        <v>154</v>
      </c>
      <c r="H69" s="18" t="s">
        <v>154</v>
      </c>
      <c r="I69" s="17" t="s">
        <v>154</v>
      </c>
      <c r="J69" s="18" t="s">
        <v>154</v>
      </c>
      <c r="K69" s="17" t="s">
        <v>154</v>
      </c>
      <c r="L69" s="18" t="s">
        <v>154</v>
      </c>
      <c r="M69" s="17" t="s">
        <v>154</v>
      </c>
      <c r="N69" s="18" t="s">
        <v>154</v>
      </c>
      <c r="O69" s="17" t="s">
        <v>154</v>
      </c>
      <c r="P69" s="18" t="s">
        <v>154</v>
      </c>
      <c r="Q69" s="17" t="s">
        <v>154</v>
      </c>
      <c r="R69" s="18" t="s">
        <v>154</v>
      </c>
    </row>
    <row r="70" spans="1:18" x14ac:dyDescent="0.25">
      <c r="A70" s="11" t="s">
        <v>203</v>
      </c>
      <c r="B70" s="13">
        <v>6036</v>
      </c>
      <c r="C70" s="14">
        <f>(5007/B70*100)</f>
        <v>82.952286282306162</v>
      </c>
      <c r="D70" s="15">
        <v>1029</v>
      </c>
      <c r="E70" s="14">
        <v>0</v>
      </c>
      <c r="F70" s="16">
        <v>0</v>
      </c>
      <c r="G70" s="14">
        <v>0</v>
      </c>
      <c r="H70" s="16">
        <v>0</v>
      </c>
      <c r="I70" s="14" t="s">
        <v>139</v>
      </c>
      <c r="J70" s="16" t="s">
        <v>139</v>
      </c>
      <c r="K70" s="14">
        <v>0</v>
      </c>
      <c r="L70" s="16">
        <v>0</v>
      </c>
      <c r="M70" s="14">
        <v>100</v>
      </c>
      <c r="N70" s="16">
        <v>0</v>
      </c>
      <c r="O70" s="14">
        <v>0</v>
      </c>
      <c r="P70" s="16">
        <v>0</v>
      </c>
      <c r="Q70" s="14">
        <v>0</v>
      </c>
      <c r="R70" s="16">
        <v>0</v>
      </c>
    </row>
    <row r="71" spans="1:18" x14ac:dyDescent="0.25">
      <c r="A71" s="11" t="s">
        <v>204</v>
      </c>
      <c r="B71" s="17" t="s">
        <v>154</v>
      </c>
      <c r="C71" s="17" t="s">
        <v>154</v>
      </c>
      <c r="D71" s="18" t="s">
        <v>154</v>
      </c>
      <c r="E71" s="17" t="s">
        <v>154</v>
      </c>
      <c r="F71" s="18" t="s">
        <v>154</v>
      </c>
      <c r="G71" s="17" t="s">
        <v>154</v>
      </c>
      <c r="H71" s="18" t="s">
        <v>154</v>
      </c>
      <c r="I71" s="17" t="s">
        <v>154</v>
      </c>
      <c r="J71" s="18" t="s">
        <v>154</v>
      </c>
      <c r="K71" s="17" t="s">
        <v>154</v>
      </c>
      <c r="L71" s="18" t="s">
        <v>154</v>
      </c>
      <c r="M71" s="17" t="s">
        <v>154</v>
      </c>
      <c r="N71" s="18" t="s">
        <v>154</v>
      </c>
      <c r="O71" s="17" t="s">
        <v>154</v>
      </c>
      <c r="P71" s="18" t="s">
        <v>154</v>
      </c>
      <c r="Q71" s="17" t="s">
        <v>154</v>
      </c>
      <c r="R71" s="18" t="s">
        <v>154</v>
      </c>
    </row>
    <row r="72" spans="1:18" x14ac:dyDescent="0.25">
      <c r="A72" s="11" t="s">
        <v>205</v>
      </c>
      <c r="B72" s="13">
        <v>7708</v>
      </c>
      <c r="C72" s="14">
        <f>(6394/B72*100)</f>
        <v>82.952776336273999</v>
      </c>
      <c r="D72" s="15">
        <v>1314</v>
      </c>
      <c r="E72" s="14">
        <v>0</v>
      </c>
      <c r="F72" s="16">
        <v>0</v>
      </c>
      <c r="G72" s="14">
        <v>0</v>
      </c>
      <c r="H72" s="16">
        <v>0</v>
      </c>
      <c r="I72" s="14" t="s">
        <v>139</v>
      </c>
      <c r="J72" s="16" t="s">
        <v>139</v>
      </c>
      <c r="K72" s="14">
        <v>0</v>
      </c>
      <c r="L72" s="16">
        <v>0</v>
      </c>
      <c r="M72" s="14">
        <v>100</v>
      </c>
      <c r="N72" s="16">
        <v>0</v>
      </c>
      <c r="O72" s="14">
        <v>0</v>
      </c>
      <c r="P72" s="16">
        <v>0</v>
      </c>
      <c r="Q72" s="14">
        <v>0</v>
      </c>
      <c r="R72" s="16">
        <v>0</v>
      </c>
    </row>
    <row r="73" spans="1:18" x14ac:dyDescent="0.25">
      <c r="A73" s="11" t="s">
        <v>206</v>
      </c>
      <c r="B73" s="13">
        <v>8249</v>
      </c>
      <c r="C73" s="14">
        <f>(6882/B73*100)</f>
        <v>83.428294338707715</v>
      </c>
      <c r="D73" s="15">
        <v>1367</v>
      </c>
      <c r="E73" s="14">
        <v>0</v>
      </c>
      <c r="F73" s="16">
        <v>0</v>
      </c>
      <c r="G73" s="14">
        <v>0</v>
      </c>
      <c r="H73" s="16">
        <v>0</v>
      </c>
      <c r="I73" s="14" t="s">
        <v>139</v>
      </c>
      <c r="J73" s="16" t="s">
        <v>139</v>
      </c>
      <c r="K73" s="14">
        <v>0</v>
      </c>
      <c r="L73" s="16">
        <v>0</v>
      </c>
      <c r="M73" s="14">
        <v>100</v>
      </c>
      <c r="N73" s="16">
        <v>0</v>
      </c>
      <c r="O73" s="14">
        <v>0</v>
      </c>
      <c r="P73" s="16">
        <v>0</v>
      </c>
      <c r="Q73" s="14">
        <v>0</v>
      </c>
      <c r="R73" s="16">
        <v>0</v>
      </c>
    </row>
    <row r="74" spans="1:18" x14ac:dyDescent="0.25">
      <c r="A74" s="11" t="s">
        <v>207</v>
      </c>
      <c r="B74" s="17" t="s">
        <v>154</v>
      </c>
      <c r="C74" s="17" t="s">
        <v>154</v>
      </c>
      <c r="D74" s="18" t="s">
        <v>154</v>
      </c>
      <c r="E74" s="17" t="s">
        <v>154</v>
      </c>
      <c r="F74" s="18" t="s">
        <v>154</v>
      </c>
      <c r="G74" s="17" t="s">
        <v>154</v>
      </c>
      <c r="H74" s="18" t="s">
        <v>154</v>
      </c>
      <c r="I74" s="17" t="s">
        <v>154</v>
      </c>
      <c r="J74" s="18" t="s">
        <v>154</v>
      </c>
      <c r="K74" s="17" t="s">
        <v>154</v>
      </c>
      <c r="L74" s="18" t="s">
        <v>154</v>
      </c>
      <c r="M74" s="17" t="s">
        <v>154</v>
      </c>
      <c r="N74" s="18" t="s">
        <v>154</v>
      </c>
      <c r="O74" s="17" t="s">
        <v>154</v>
      </c>
      <c r="P74" s="18" t="s">
        <v>154</v>
      </c>
      <c r="Q74" s="17" t="s">
        <v>154</v>
      </c>
      <c r="R74" s="18" t="s">
        <v>154</v>
      </c>
    </row>
    <row r="75" spans="1:18" x14ac:dyDescent="0.25">
      <c r="A75" s="11" t="s">
        <v>208</v>
      </c>
      <c r="B75" s="13">
        <v>5375</v>
      </c>
      <c r="C75" s="14">
        <f>(4557/B75*100)</f>
        <v>84.781395348837208</v>
      </c>
      <c r="D75" s="15">
        <v>818</v>
      </c>
      <c r="E75" s="14">
        <v>0</v>
      </c>
      <c r="F75" s="16">
        <v>0</v>
      </c>
      <c r="G75" s="14">
        <v>0</v>
      </c>
      <c r="H75" s="16">
        <v>0</v>
      </c>
      <c r="I75" s="14" t="s">
        <v>139</v>
      </c>
      <c r="J75" s="16" t="s">
        <v>139</v>
      </c>
      <c r="K75" s="14">
        <v>0</v>
      </c>
      <c r="L75" s="16">
        <v>0</v>
      </c>
      <c r="M75" s="14">
        <v>100</v>
      </c>
      <c r="N75" s="16">
        <v>0</v>
      </c>
      <c r="O75" s="14">
        <v>0</v>
      </c>
      <c r="P75" s="16">
        <v>0</v>
      </c>
      <c r="Q75" s="14">
        <v>0</v>
      </c>
      <c r="R75" s="16">
        <v>0</v>
      </c>
    </row>
    <row r="76" spans="1:18" x14ac:dyDescent="0.25">
      <c r="A76" s="11" t="s">
        <v>209</v>
      </c>
      <c r="B76" s="13">
        <v>14167</v>
      </c>
      <c r="C76" s="14">
        <f>(11728/B76*100)</f>
        <v>82.783934495658926</v>
      </c>
      <c r="D76" s="15">
        <v>2439</v>
      </c>
      <c r="E76" s="14">
        <v>0</v>
      </c>
      <c r="F76" s="16">
        <v>0</v>
      </c>
      <c r="G76" s="14">
        <v>0</v>
      </c>
      <c r="H76" s="16">
        <v>0</v>
      </c>
      <c r="I76" s="14" t="s">
        <v>139</v>
      </c>
      <c r="J76" s="16" t="s">
        <v>139</v>
      </c>
      <c r="K76" s="14">
        <v>0</v>
      </c>
      <c r="L76" s="16">
        <v>0</v>
      </c>
      <c r="M76" s="14">
        <v>100</v>
      </c>
      <c r="N76" s="16">
        <v>0</v>
      </c>
      <c r="O76" s="14">
        <v>0</v>
      </c>
      <c r="P76" s="16">
        <v>0</v>
      </c>
      <c r="Q76" s="14">
        <v>0</v>
      </c>
      <c r="R76" s="16">
        <v>0</v>
      </c>
    </row>
    <row r="77" spans="1:18" x14ac:dyDescent="0.25">
      <c r="A77" s="11" t="s">
        <v>210</v>
      </c>
      <c r="B77" s="13">
        <v>6062</v>
      </c>
      <c r="C77" s="14">
        <f>(5018/B77*100)</f>
        <v>82.777961068954141</v>
      </c>
      <c r="D77" s="15">
        <v>1044</v>
      </c>
      <c r="E77" s="14">
        <v>0</v>
      </c>
      <c r="F77" s="16">
        <v>0</v>
      </c>
      <c r="G77" s="14">
        <v>0</v>
      </c>
      <c r="H77" s="16">
        <v>0</v>
      </c>
      <c r="I77" s="14" t="s">
        <v>139</v>
      </c>
      <c r="J77" s="16" t="s">
        <v>139</v>
      </c>
      <c r="K77" s="14">
        <v>0</v>
      </c>
      <c r="L77" s="16">
        <v>0</v>
      </c>
      <c r="M77" s="14">
        <v>100</v>
      </c>
      <c r="N77" s="16">
        <v>0</v>
      </c>
      <c r="O77" s="14">
        <v>0</v>
      </c>
      <c r="P77" s="16">
        <v>0</v>
      </c>
      <c r="Q77" s="14">
        <v>0</v>
      </c>
      <c r="R77" s="16">
        <v>0</v>
      </c>
    </row>
    <row r="78" spans="1:18" x14ac:dyDescent="0.25">
      <c r="A78" s="11" t="s">
        <v>211</v>
      </c>
      <c r="B78" s="17" t="s">
        <v>154</v>
      </c>
      <c r="C78" s="17" t="s">
        <v>154</v>
      </c>
      <c r="D78" s="18" t="s">
        <v>154</v>
      </c>
      <c r="E78" s="17" t="s">
        <v>154</v>
      </c>
      <c r="F78" s="18" t="s">
        <v>154</v>
      </c>
      <c r="G78" s="17" t="s">
        <v>154</v>
      </c>
      <c r="H78" s="18" t="s">
        <v>154</v>
      </c>
      <c r="I78" s="17" t="s">
        <v>154</v>
      </c>
      <c r="J78" s="18" t="s">
        <v>154</v>
      </c>
      <c r="K78" s="17" t="s">
        <v>154</v>
      </c>
      <c r="L78" s="18" t="s">
        <v>154</v>
      </c>
      <c r="M78" s="17" t="s">
        <v>154</v>
      </c>
      <c r="N78" s="18" t="s">
        <v>154</v>
      </c>
      <c r="O78" s="17" t="s">
        <v>154</v>
      </c>
      <c r="P78" s="18" t="s">
        <v>154</v>
      </c>
      <c r="Q78" s="17" t="s">
        <v>154</v>
      </c>
      <c r="R78" s="18" t="s">
        <v>154</v>
      </c>
    </row>
    <row r="79" spans="1:18" ht="24.95" customHeight="1" x14ac:dyDescent="0.25">
      <c r="A79" s="11" t="s">
        <v>212</v>
      </c>
      <c r="B79" s="17" t="s">
        <v>154</v>
      </c>
      <c r="C79" s="17" t="s">
        <v>154</v>
      </c>
      <c r="D79" s="18" t="s">
        <v>154</v>
      </c>
      <c r="E79" s="17" t="s">
        <v>154</v>
      </c>
      <c r="F79" s="18" t="s">
        <v>154</v>
      </c>
      <c r="G79" s="17" t="s">
        <v>154</v>
      </c>
      <c r="H79" s="18" t="s">
        <v>154</v>
      </c>
      <c r="I79" s="17" t="s">
        <v>154</v>
      </c>
      <c r="J79" s="18" t="s">
        <v>154</v>
      </c>
      <c r="K79" s="17" t="s">
        <v>154</v>
      </c>
      <c r="L79" s="18" t="s">
        <v>154</v>
      </c>
      <c r="M79" s="17" t="s">
        <v>154</v>
      </c>
      <c r="N79" s="18" t="s">
        <v>154</v>
      </c>
      <c r="O79" s="17" t="s">
        <v>154</v>
      </c>
      <c r="P79" s="18" t="s">
        <v>154</v>
      </c>
      <c r="Q79" s="17" t="s">
        <v>154</v>
      </c>
      <c r="R79" s="18" t="s">
        <v>154</v>
      </c>
    </row>
    <row r="80" spans="1:18" x14ac:dyDescent="0.25">
      <c r="A80" s="11" t="s">
        <v>213</v>
      </c>
      <c r="B80" s="17" t="s">
        <v>154</v>
      </c>
      <c r="C80" s="17" t="s">
        <v>154</v>
      </c>
      <c r="D80" s="18" t="s">
        <v>154</v>
      </c>
      <c r="E80" s="17" t="s">
        <v>154</v>
      </c>
      <c r="F80" s="18" t="s">
        <v>154</v>
      </c>
      <c r="G80" s="17" t="s">
        <v>154</v>
      </c>
      <c r="H80" s="18" t="s">
        <v>154</v>
      </c>
      <c r="I80" s="17" t="s">
        <v>154</v>
      </c>
      <c r="J80" s="18" t="s">
        <v>154</v>
      </c>
      <c r="K80" s="17" t="s">
        <v>154</v>
      </c>
      <c r="L80" s="18" t="s">
        <v>154</v>
      </c>
      <c r="M80" s="17" t="s">
        <v>154</v>
      </c>
      <c r="N80" s="18" t="s">
        <v>154</v>
      </c>
      <c r="O80" s="17" t="s">
        <v>154</v>
      </c>
      <c r="P80" s="18" t="s">
        <v>154</v>
      </c>
      <c r="Q80" s="17" t="s">
        <v>154</v>
      </c>
      <c r="R80" s="18" t="s">
        <v>154</v>
      </c>
    </row>
    <row r="81" spans="1:18" x14ac:dyDescent="0.25">
      <c r="A81" s="19" t="s">
        <v>214</v>
      </c>
      <c r="B81" s="13">
        <v>8861</v>
      </c>
      <c r="C81" s="14">
        <f>(7369/B81*100)</f>
        <v>83.162171312492944</v>
      </c>
      <c r="D81" s="15">
        <v>1492</v>
      </c>
      <c r="E81" s="14">
        <v>0</v>
      </c>
      <c r="F81" s="16">
        <v>0</v>
      </c>
      <c r="G81" s="14">
        <v>0</v>
      </c>
      <c r="H81" s="16">
        <v>0</v>
      </c>
      <c r="I81" s="14" t="s">
        <v>139</v>
      </c>
      <c r="J81" s="16" t="s">
        <v>139</v>
      </c>
      <c r="K81" s="14">
        <v>0</v>
      </c>
      <c r="L81" s="16">
        <v>0</v>
      </c>
      <c r="M81" s="14">
        <v>100</v>
      </c>
      <c r="N81" s="16">
        <v>0</v>
      </c>
      <c r="O81" s="14">
        <v>0</v>
      </c>
      <c r="P81" s="16">
        <v>0</v>
      </c>
      <c r="Q81" s="14">
        <v>0</v>
      </c>
      <c r="R81" s="16">
        <v>0</v>
      </c>
    </row>
    <row r="82" spans="1:18" x14ac:dyDescent="0.25">
      <c r="A82" s="20"/>
      <c r="B82" s="20" t="s">
        <v>215</v>
      </c>
      <c r="C82" s="20" t="s">
        <v>215</v>
      </c>
      <c r="D82" s="20" t="s">
        <v>215</v>
      </c>
      <c r="E82" s="20" t="s">
        <v>215</v>
      </c>
      <c r="F82" s="20" t="s">
        <v>215</v>
      </c>
      <c r="G82" s="20" t="s">
        <v>215</v>
      </c>
      <c r="H82" s="20" t="s">
        <v>215</v>
      </c>
      <c r="I82" s="20" t="s">
        <v>215</v>
      </c>
      <c r="J82" s="20" t="s">
        <v>215</v>
      </c>
      <c r="K82" s="20" t="s">
        <v>215</v>
      </c>
      <c r="L82" s="20" t="s">
        <v>215</v>
      </c>
      <c r="M82" s="20" t="s">
        <v>215</v>
      </c>
      <c r="N82" s="20" t="s">
        <v>215</v>
      </c>
      <c r="O82" s="20" t="s">
        <v>215</v>
      </c>
      <c r="P82" s="20" t="s">
        <v>215</v>
      </c>
      <c r="Q82" s="20" t="s">
        <v>215</v>
      </c>
      <c r="R82" s="20" t="s">
        <v>215</v>
      </c>
    </row>
    <row r="83" spans="1:18" x14ac:dyDescent="0.25">
      <c r="A83" s="3" t="s">
        <v>216</v>
      </c>
    </row>
    <row r="84" spans="1:18" x14ac:dyDescent="0.25">
      <c r="A84" s="22" t="s">
        <v>217</v>
      </c>
      <c r="B84" s="23"/>
      <c r="C84" s="23"/>
      <c r="D84" s="23"/>
      <c r="E84" s="23"/>
      <c r="F84" s="23"/>
      <c r="G84" s="23"/>
      <c r="H84" s="23"/>
      <c r="I84" s="23"/>
      <c r="J84" s="23"/>
      <c r="K84" s="23"/>
      <c r="L84" s="23"/>
      <c r="M84" s="23"/>
      <c r="N84" s="23"/>
      <c r="O84" s="23"/>
      <c r="P84" s="23"/>
      <c r="Q84" s="23"/>
      <c r="R84" s="23"/>
    </row>
    <row r="85" spans="1:18" x14ac:dyDescent="0.25">
      <c r="A85" s="22" t="s">
        <v>218</v>
      </c>
      <c r="B85" s="23"/>
      <c r="C85" s="23"/>
      <c r="D85" s="23"/>
      <c r="E85" s="23"/>
      <c r="F85" s="23"/>
      <c r="G85" s="23"/>
      <c r="H85" s="23"/>
      <c r="I85" s="23"/>
      <c r="J85" s="23"/>
      <c r="K85" s="23"/>
      <c r="L85" s="23"/>
      <c r="M85" s="23"/>
      <c r="N85" s="23"/>
      <c r="O85" s="23"/>
      <c r="P85" s="23"/>
      <c r="Q85" s="23"/>
      <c r="R85" s="23"/>
    </row>
    <row r="86" spans="1:18" ht="30" customHeight="1" x14ac:dyDescent="0.25">
      <c r="A86" s="22" t="s">
        <v>219</v>
      </c>
      <c r="B86" s="23"/>
      <c r="C86" s="23"/>
      <c r="D86" s="23"/>
      <c r="E86" s="23"/>
      <c r="F86" s="23"/>
      <c r="G86" s="23"/>
      <c r="H86" s="23"/>
      <c r="I86" s="23"/>
      <c r="J86" s="23"/>
      <c r="K86" s="23"/>
      <c r="L86" s="23"/>
      <c r="M86" s="23"/>
      <c r="N86" s="23"/>
      <c r="O86" s="23"/>
      <c r="P86" s="23"/>
      <c r="Q86" s="23"/>
      <c r="R86" s="23"/>
    </row>
    <row r="87" spans="1:18" ht="30" customHeight="1" x14ac:dyDescent="0.25">
      <c r="A87" s="22" t="s">
        <v>215</v>
      </c>
      <c r="B87" s="23"/>
      <c r="C87" s="23"/>
      <c r="D87" s="23"/>
      <c r="E87" s="23"/>
      <c r="F87" s="23"/>
      <c r="G87" s="23"/>
      <c r="H87" s="23"/>
      <c r="I87" s="23"/>
      <c r="J87" s="23"/>
      <c r="K87" s="23"/>
      <c r="L87" s="23"/>
      <c r="M87" s="23"/>
      <c r="N87" s="23"/>
      <c r="O87" s="23"/>
      <c r="P87" s="23"/>
      <c r="Q87" s="23"/>
      <c r="R87" s="23"/>
    </row>
    <row r="88" spans="1:18" ht="30" customHeight="1" x14ac:dyDescent="0.25">
      <c r="A88" s="22" t="s">
        <v>220</v>
      </c>
      <c r="B88" s="23"/>
      <c r="C88" s="23"/>
      <c r="D88" s="23"/>
      <c r="E88" s="23"/>
      <c r="F88" s="23"/>
      <c r="G88" s="23"/>
      <c r="H88" s="23"/>
      <c r="I88" s="23"/>
      <c r="J88" s="23"/>
      <c r="K88" s="23"/>
      <c r="L88" s="23"/>
      <c r="M88" s="23"/>
      <c r="N88" s="23"/>
      <c r="O88" s="23"/>
      <c r="P88" s="23"/>
      <c r="Q88" s="23"/>
      <c r="R88" s="23"/>
    </row>
    <row r="89" spans="1:18" ht="30" customHeight="1" x14ac:dyDescent="0.25">
      <c r="A89" s="22" t="s">
        <v>221</v>
      </c>
      <c r="B89" s="23"/>
      <c r="C89" s="23"/>
      <c r="D89" s="23"/>
      <c r="E89" s="23"/>
      <c r="F89" s="23"/>
      <c r="G89" s="23"/>
      <c r="H89" s="23"/>
      <c r="I89" s="23"/>
      <c r="J89" s="23"/>
      <c r="K89" s="23"/>
      <c r="L89" s="23"/>
      <c r="M89" s="23"/>
      <c r="N89" s="23"/>
      <c r="O89" s="23"/>
      <c r="P89" s="23"/>
      <c r="Q89" s="23"/>
      <c r="R89" s="23"/>
    </row>
    <row r="90" spans="1:18" ht="30" customHeight="1" x14ac:dyDescent="0.25">
      <c r="A90" s="22" t="s">
        <v>222</v>
      </c>
      <c r="B90" s="23"/>
      <c r="C90" s="23"/>
      <c r="D90" s="23"/>
      <c r="E90" s="23"/>
      <c r="F90" s="23"/>
      <c r="G90" s="23"/>
      <c r="H90" s="23"/>
      <c r="I90" s="23"/>
      <c r="J90" s="23"/>
      <c r="K90" s="23"/>
      <c r="L90" s="23"/>
      <c r="M90" s="23"/>
      <c r="N90" s="23"/>
      <c r="O90" s="23"/>
      <c r="P90" s="23"/>
      <c r="Q90" s="23"/>
      <c r="R90" s="23"/>
    </row>
    <row r="91" spans="1:18" ht="30" customHeight="1" x14ac:dyDescent="0.25">
      <c r="A91" s="22" t="s">
        <v>223</v>
      </c>
      <c r="B91" s="23"/>
      <c r="C91" s="23"/>
      <c r="D91" s="23"/>
      <c r="E91" s="23"/>
      <c r="F91" s="23"/>
      <c r="G91" s="23"/>
      <c r="H91" s="23"/>
      <c r="I91" s="23"/>
      <c r="J91" s="23"/>
      <c r="K91" s="23"/>
      <c r="L91" s="23"/>
      <c r="M91" s="23"/>
      <c r="N91" s="23"/>
      <c r="O91" s="23"/>
      <c r="P91" s="23"/>
      <c r="Q91" s="23"/>
      <c r="R91" s="23"/>
    </row>
    <row r="92" spans="1:18" ht="30" customHeight="1" x14ac:dyDescent="0.25">
      <c r="A92" s="22" t="s">
        <v>224</v>
      </c>
      <c r="B92" s="23"/>
      <c r="C92" s="23"/>
      <c r="D92" s="23"/>
      <c r="E92" s="23"/>
      <c r="F92" s="23"/>
      <c r="G92" s="23"/>
      <c r="H92" s="23"/>
      <c r="I92" s="23"/>
      <c r="J92" s="23"/>
      <c r="K92" s="23"/>
      <c r="L92" s="23"/>
      <c r="M92" s="23"/>
      <c r="N92" s="23"/>
      <c r="O92" s="23"/>
      <c r="P92" s="23"/>
      <c r="Q92" s="23"/>
      <c r="R92" s="23"/>
    </row>
    <row r="93" spans="1:18" ht="30" customHeight="1" x14ac:dyDescent="0.25">
      <c r="A93" s="22" t="s">
        <v>225</v>
      </c>
      <c r="B93" s="23"/>
      <c r="C93" s="23"/>
      <c r="D93" s="23"/>
      <c r="E93" s="23"/>
      <c r="F93" s="23"/>
      <c r="G93" s="23"/>
      <c r="H93" s="23"/>
      <c r="I93" s="23"/>
      <c r="J93" s="23"/>
      <c r="K93" s="23"/>
      <c r="L93" s="23"/>
      <c r="M93" s="23"/>
      <c r="N93" s="23"/>
      <c r="O93" s="23"/>
      <c r="P93" s="23"/>
      <c r="Q93" s="23"/>
      <c r="R93" s="23"/>
    </row>
    <row r="94" spans="1:18" ht="30" customHeight="1" x14ac:dyDescent="0.25">
      <c r="A94" s="22" t="s">
        <v>226</v>
      </c>
      <c r="B94" s="23"/>
      <c r="C94" s="23"/>
      <c r="D94" s="23"/>
      <c r="E94" s="23"/>
      <c r="F94" s="23"/>
      <c r="G94" s="23"/>
      <c r="H94" s="23"/>
      <c r="I94" s="23"/>
      <c r="J94" s="23"/>
      <c r="K94" s="23"/>
      <c r="L94" s="23"/>
      <c r="M94" s="23"/>
      <c r="N94" s="23"/>
      <c r="O94" s="23"/>
      <c r="P94" s="23"/>
      <c r="Q94" s="23"/>
      <c r="R94" s="23"/>
    </row>
    <row r="95" spans="1:18" ht="30" customHeight="1" x14ac:dyDescent="0.25">
      <c r="A95" s="22" t="s">
        <v>227</v>
      </c>
      <c r="B95" s="23"/>
      <c r="C95" s="23"/>
      <c r="D95" s="23"/>
      <c r="E95" s="23"/>
      <c r="F95" s="23"/>
      <c r="G95" s="23"/>
      <c r="H95" s="23"/>
      <c r="I95" s="23"/>
      <c r="J95" s="23"/>
      <c r="K95" s="23"/>
      <c r="L95" s="23"/>
      <c r="M95" s="23"/>
      <c r="N95" s="23"/>
      <c r="O95" s="23"/>
      <c r="P95" s="23"/>
      <c r="Q95" s="23"/>
      <c r="R95" s="23"/>
    </row>
    <row r="96" spans="1:18" ht="30" customHeight="1" x14ac:dyDescent="0.25">
      <c r="A96" s="22" t="s">
        <v>228</v>
      </c>
      <c r="B96" s="23"/>
      <c r="C96" s="23"/>
      <c r="D96" s="23"/>
      <c r="E96" s="23"/>
      <c r="F96" s="23"/>
      <c r="G96" s="23"/>
      <c r="H96" s="23"/>
      <c r="I96" s="23"/>
      <c r="J96" s="23"/>
      <c r="K96" s="23"/>
      <c r="L96" s="23"/>
      <c r="M96" s="23"/>
      <c r="N96" s="23"/>
      <c r="O96" s="23"/>
      <c r="P96" s="23"/>
      <c r="Q96" s="23"/>
      <c r="R96" s="23"/>
    </row>
  </sheetData>
  <mergeCells count="22">
    <mergeCell ref="O4:P4"/>
    <mergeCell ref="Q4:R4"/>
    <mergeCell ref="A1:R1"/>
    <mergeCell ref="A2:R2"/>
    <mergeCell ref="A84:R84"/>
    <mergeCell ref="E4:F4"/>
    <mergeCell ref="G4:H4"/>
    <mergeCell ref="I4:J4"/>
    <mergeCell ref="K4:L4"/>
    <mergeCell ref="M4:N4"/>
    <mergeCell ref="A85:R85"/>
    <mergeCell ref="A86:R86"/>
    <mergeCell ref="A87:R87"/>
    <mergeCell ref="A88:R88"/>
    <mergeCell ref="A89:R89"/>
    <mergeCell ref="A95:R95"/>
    <mergeCell ref="A96:R96"/>
    <mergeCell ref="A90:R90"/>
    <mergeCell ref="A91:R91"/>
    <mergeCell ref="A92:R92"/>
    <mergeCell ref="A93:R93"/>
    <mergeCell ref="A94:R94"/>
  </mergeCells>
  <pageMargins left="0.75" right="0.75" top="1" bottom="1" header="0.5" footer="0.5"/>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2"/>
  <dimension ref="A1:V96"/>
  <sheetViews>
    <sheetView zoomScale="80" workbookViewId="0">
      <pane xSplit="4" topLeftCell="E1" activePane="topRight" state="frozen"/>
      <selection sqref="A1:R1"/>
      <selection pane="topRight" sqref="A1:V1"/>
    </sheetView>
  </sheetViews>
  <sheetFormatPr defaultColWidth="11.42578125" defaultRowHeight="15" x14ac:dyDescent="0.25"/>
  <cols>
    <col min="1" max="1" width="50" customWidth="1"/>
  </cols>
  <sheetData>
    <row r="1" spans="1:22" x14ac:dyDescent="0.25">
      <c r="A1" s="26" t="s">
        <v>122</v>
      </c>
      <c r="B1" s="23"/>
      <c r="C1" s="23"/>
      <c r="D1" s="23"/>
      <c r="E1" s="23"/>
      <c r="F1" s="23"/>
      <c r="G1" s="23"/>
      <c r="H1" s="23"/>
      <c r="I1" s="23"/>
      <c r="J1" s="23"/>
      <c r="K1" s="23"/>
      <c r="L1" s="23"/>
      <c r="M1" s="23"/>
      <c r="N1" s="23"/>
      <c r="O1" s="23"/>
      <c r="P1" s="23"/>
      <c r="Q1" s="23"/>
      <c r="R1" s="23"/>
      <c r="S1" s="23"/>
      <c r="T1" s="23"/>
      <c r="U1" s="23"/>
      <c r="V1" s="23"/>
    </row>
    <row r="2" spans="1:22" x14ac:dyDescent="0.25">
      <c r="A2" s="27" t="s">
        <v>288</v>
      </c>
      <c r="B2" s="23"/>
      <c r="C2" s="23"/>
      <c r="D2" s="23"/>
      <c r="E2" s="23"/>
      <c r="F2" s="23"/>
      <c r="G2" s="23"/>
      <c r="H2" s="23"/>
      <c r="I2" s="23"/>
      <c r="J2" s="23"/>
      <c r="K2" s="23"/>
      <c r="L2" s="23"/>
      <c r="M2" s="23"/>
      <c r="N2" s="23"/>
      <c r="O2" s="23"/>
      <c r="P2" s="23"/>
      <c r="Q2" s="23"/>
      <c r="R2" s="23"/>
      <c r="S2" s="23"/>
      <c r="T2" s="23"/>
      <c r="U2" s="23"/>
      <c r="V2" s="23"/>
    </row>
    <row r="4" spans="1:22" ht="30" customHeight="1" x14ac:dyDescent="0.25">
      <c r="A4" s="4"/>
      <c r="B4" s="5" t="s">
        <v>123</v>
      </c>
      <c r="C4" s="5" t="s">
        <v>124</v>
      </c>
      <c r="D4" s="6" t="s">
        <v>123</v>
      </c>
      <c r="E4" s="24" t="s">
        <v>229</v>
      </c>
      <c r="F4" s="25"/>
      <c r="G4" s="24" t="s">
        <v>230</v>
      </c>
      <c r="H4" s="25"/>
      <c r="I4" s="24" t="s">
        <v>231</v>
      </c>
      <c r="J4" s="25"/>
      <c r="K4" s="24" t="s">
        <v>232</v>
      </c>
      <c r="L4" s="25"/>
      <c r="M4" s="24" t="s">
        <v>127</v>
      </c>
      <c r="N4" s="25"/>
      <c r="O4" s="24" t="s">
        <v>128</v>
      </c>
      <c r="P4" s="25"/>
      <c r="Q4" s="24" t="s">
        <v>129</v>
      </c>
      <c r="R4" s="25"/>
      <c r="S4" s="24" t="s">
        <v>130</v>
      </c>
      <c r="T4" s="25"/>
      <c r="U4" s="24" t="s">
        <v>131</v>
      </c>
      <c r="V4" s="25"/>
    </row>
    <row r="5" spans="1:22" x14ac:dyDescent="0.25">
      <c r="A5" s="7"/>
      <c r="B5" s="8" t="s">
        <v>132</v>
      </c>
      <c r="C5" s="8" t="s">
        <v>133</v>
      </c>
      <c r="D5" s="7" t="s">
        <v>134</v>
      </c>
      <c r="E5" s="8" t="s">
        <v>135</v>
      </c>
      <c r="F5" s="7" t="s">
        <v>136</v>
      </c>
      <c r="G5" s="8" t="s">
        <v>135</v>
      </c>
      <c r="H5" s="7" t="s">
        <v>136</v>
      </c>
      <c r="I5" s="8" t="s">
        <v>135</v>
      </c>
      <c r="J5" s="7" t="s">
        <v>136</v>
      </c>
      <c r="K5" s="8" t="s">
        <v>135</v>
      </c>
      <c r="L5" s="7" t="s">
        <v>136</v>
      </c>
      <c r="M5" s="8" t="s">
        <v>135</v>
      </c>
      <c r="N5" s="7" t="s">
        <v>136</v>
      </c>
      <c r="O5" s="8" t="s">
        <v>135</v>
      </c>
      <c r="P5" s="7" t="s">
        <v>136</v>
      </c>
      <c r="Q5" s="8" t="s">
        <v>135</v>
      </c>
      <c r="R5" s="7" t="s">
        <v>136</v>
      </c>
      <c r="S5" s="8" t="s">
        <v>135</v>
      </c>
      <c r="T5" s="7" t="s">
        <v>136</v>
      </c>
      <c r="U5" s="8" t="s">
        <v>135</v>
      </c>
      <c r="V5" s="7" t="s">
        <v>136</v>
      </c>
    </row>
    <row r="6" spans="1:22" x14ac:dyDescent="0.25">
      <c r="A6" s="9" t="s">
        <v>137</v>
      </c>
      <c r="B6" s="10"/>
      <c r="C6" s="10"/>
      <c r="D6" s="11"/>
      <c r="E6" s="10"/>
      <c r="F6" s="11"/>
      <c r="G6" s="10"/>
      <c r="H6" s="11"/>
      <c r="I6" s="10"/>
      <c r="J6" s="11"/>
      <c r="K6" s="10"/>
      <c r="L6" s="11"/>
      <c r="M6" s="10"/>
      <c r="N6" s="11"/>
      <c r="O6" s="10"/>
      <c r="P6" s="11"/>
      <c r="Q6" s="10"/>
      <c r="R6" s="11"/>
      <c r="S6" s="10"/>
      <c r="T6" s="11"/>
      <c r="U6" s="10"/>
      <c r="V6" s="12"/>
    </row>
    <row r="7" spans="1:22" x14ac:dyDescent="0.25">
      <c r="A7" s="11" t="s">
        <v>138</v>
      </c>
      <c r="B7" s="13">
        <v>14530</v>
      </c>
      <c r="C7" s="14">
        <f>(12103/B7*100)</f>
        <v>83.296627666896072</v>
      </c>
      <c r="D7" s="15">
        <v>2427</v>
      </c>
      <c r="E7" s="14">
        <v>25.231594000000001</v>
      </c>
      <c r="F7" s="16">
        <v>1.0357653899999999</v>
      </c>
      <c r="G7" s="14">
        <v>10.025596569999999</v>
      </c>
      <c r="H7" s="16">
        <v>0.70258052999999998</v>
      </c>
      <c r="I7" s="14">
        <v>13.56918761</v>
      </c>
      <c r="J7" s="16">
        <v>0.78776623999999995</v>
      </c>
      <c r="K7" s="14">
        <v>51.173621820000001</v>
      </c>
      <c r="L7" s="16">
        <v>1.1903880200000001</v>
      </c>
      <c r="M7" s="14" t="s">
        <v>139</v>
      </c>
      <c r="N7" s="16" t="s">
        <v>139</v>
      </c>
      <c r="O7" s="14">
        <v>0</v>
      </c>
      <c r="P7" s="16">
        <v>0</v>
      </c>
      <c r="Q7" s="14">
        <v>0</v>
      </c>
      <c r="R7" s="16">
        <v>0</v>
      </c>
      <c r="S7" s="14">
        <v>0</v>
      </c>
      <c r="T7" s="16">
        <v>0</v>
      </c>
      <c r="U7" s="14">
        <v>0</v>
      </c>
      <c r="V7" s="16">
        <v>0</v>
      </c>
    </row>
    <row r="8" spans="1:22" x14ac:dyDescent="0.25">
      <c r="A8" s="11" t="s">
        <v>140</v>
      </c>
      <c r="B8" s="13">
        <v>7007</v>
      </c>
      <c r="C8" s="14">
        <f>(5812/B8*100)</f>
        <v>82.94562580276866</v>
      </c>
      <c r="D8" s="15">
        <v>1195</v>
      </c>
      <c r="E8" s="14">
        <v>25.329365620000001</v>
      </c>
      <c r="F8" s="16">
        <v>1.40651967</v>
      </c>
      <c r="G8" s="14">
        <v>11.687036989999999</v>
      </c>
      <c r="H8" s="16">
        <v>1.16919153</v>
      </c>
      <c r="I8" s="14">
        <v>13.018487199999999</v>
      </c>
      <c r="J8" s="16">
        <v>1.0983731999999999</v>
      </c>
      <c r="K8" s="14">
        <v>49.965110189999997</v>
      </c>
      <c r="L8" s="16">
        <v>1.74260963</v>
      </c>
      <c r="M8" s="14" t="s">
        <v>139</v>
      </c>
      <c r="N8" s="16" t="s">
        <v>139</v>
      </c>
      <c r="O8" s="14">
        <v>0</v>
      </c>
      <c r="P8" s="16">
        <v>0</v>
      </c>
      <c r="Q8" s="14">
        <v>0</v>
      </c>
      <c r="R8" s="16">
        <v>0</v>
      </c>
      <c r="S8" s="14">
        <v>0</v>
      </c>
      <c r="T8" s="16">
        <v>0</v>
      </c>
      <c r="U8" s="14">
        <v>0</v>
      </c>
      <c r="V8" s="16">
        <v>0</v>
      </c>
    </row>
    <row r="9" spans="1:22" x14ac:dyDescent="0.25">
      <c r="A9" s="11" t="s">
        <v>141</v>
      </c>
      <c r="B9" s="13">
        <v>9651</v>
      </c>
      <c r="C9" s="14">
        <f>(8044/B9*100)</f>
        <v>83.34887576416952</v>
      </c>
      <c r="D9" s="15">
        <v>1607</v>
      </c>
      <c r="E9" s="14">
        <v>29.080219840000002</v>
      </c>
      <c r="F9" s="16">
        <v>1.1861113299999999</v>
      </c>
      <c r="G9" s="14">
        <v>8.6682655099999995</v>
      </c>
      <c r="H9" s="16">
        <v>0.68437499000000002</v>
      </c>
      <c r="I9" s="14">
        <v>17.759729620000002</v>
      </c>
      <c r="J9" s="16">
        <v>0.92811679999999996</v>
      </c>
      <c r="K9" s="14">
        <v>44.491785030000003</v>
      </c>
      <c r="L9" s="16">
        <v>1.13113671</v>
      </c>
      <c r="M9" s="14" t="s">
        <v>139</v>
      </c>
      <c r="N9" s="16" t="s">
        <v>139</v>
      </c>
      <c r="O9" s="14">
        <v>0</v>
      </c>
      <c r="P9" s="16">
        <v>0</v>
      </c>
      <c r="Q9" s="14">
        <v>0</v>
      </c>
      <c r="R9" s="16">
        <v>0</v>
      </c>
      <c r="S9" s="14">
        <v>0</v>
      </c>
      <c r="T9" s="16">
        <v>0</v>
      </c>
      <c r="U9" s="14">
        <v>0</v>
      </c>
      <c r="V9" s="16">
        <v>0</v>
      </c>
    </row>
    <row r="10" spans="1:22" x14ac:dyDescent="0.25">
      <c r="A10" s="11" t="s">
        <v>142</v>
      </c>
      <c r="B10" s="13">
        <v>20058</v>
      </c>
      <c r="C10" s="14">
        <f>(16638/B10*100)</f>
        <v>82.949446604845946</v>
      </c>
      <c r="D10" s="15">
        <v>3420</v>
      </c>
      <c r="E10" s="14">
        <v>24.02317068</v>
      </c>
      <c r="F10" s="16">
        <v>1.1860347600000001</v>
      </c>
      <c r="G10" s="14">
        <v>8.7633150499999992</v>
      </c>
      <c r="H10" s="16">
        <v>0.75092707999999997</v>
      </c>
      <c r="I10" s="14">
        <v>14.619735179999999</v>
      </c>
      <c r="J10" s="16">
        <v>0.91988110000000001</v>
      </c>
      <c r="K10" s="14">
        <v>52.593779089999998</v>
      </c>
      <c r="L10" s="16">
        <v>1.3285187199999999</v>
      </c>
      <c r="M10" s="14" t="s">
        <v>139</v>
      </c>
      <c r="N10" s="16" t="s">
        <v>139</v>
      </c>
      <c r="O10" s="14">
        <v>0</v>
      </c>
      <c r="P10" s="16">
        <v>0</v>
      </c>
      <c r="Q10" s="14">
        <v>0</v>
      </c>
      <c r="R10" s="16">
        <v>0</v>
      </c>
      <c r="S10" s="14">
        <v>0</v>
      </c>
      <c r="T10" s="16">
        <v>0</v>
      </c>
      <c r="U10" s="14">
        <v>0</v>
      </c>
      <c r="V10" s="16">
        <v>0</v>
      </c>
    </row>
    <row r="11" spans="1:22" x14ac:dyDescent="0.25">
      <c r="A11" s="11" t="s">
        <v>143</v>
      </c>
      <c r="B11" s="13">
        <v>7053</v>
      </c>
      <c r="C11" s="14">
        <f>(5851/B11*100)</f>
        <v>82.957606692187724</v>
      </c>
      <c r="D11" s="15">
        <v>1202</v>
      </c>
      <c r="E11" s="14">
        <v>45.699515669999997</v>
      </c>
      <c r="F11" s="16">
        <v>1.7806339799999999</v>
      </c>
      <c r="G11" s="14">
        <v>9.4976357100000008</v>
      </c>
      <c r="H11" s="16">
        <v>1.0593604299999999</v>
      </c>
      <c r="I11" s="14">
        <v>14.747217470000001</v>
      </c>
      <c r="J11" s="16">
        <v>1.2362905099999999</v>
      </c>
      <c r="K11" s="14">
        <v>30.05563115</v>
      </c>
      <c r="L11" s="16">
        <v>1.6179589400000001</v>
      </c>
      <c r="M11" s="14" t="s">
        <v>139</v>
      </c>
      <c r="N11" s="16" t="s">
        <v>139</v>
      </c>
      <c r="O11" s="14">
        <v>0</v>
      </c>
      <c r="P11" s="16">
        <v>0</v>
      </c>
      <c r="Q11" s="14">
        <v>0</v>
      </c>
      <c r="R11" s="16">
        <v>0</v>
      </c>
      <c r="S11" s="14">
        <v>0</v>
      </c>
      <c r="T11" s="16">
        <v>0</v>
      </c>
      <c r="U11" s="14">
        <v>0</v>
      </c>
      <c r="V11" s="16">
        <v>0</v>
      </c>
    </row>
    <row r="12" spans="1:22" x14ac:dyDescent="0.25">
      <c r="A12" s="11" t="s">
        <v>144</v>
      </c>
      <c r="B12" s="13">
        <v>6894</v>
      </c>
      <c r="C12" s="14">
        <f>(5720/B12*100)</f>
        <v>82.970699158688717</v>
      </c>
      <c r="D12" s="15">
        <v>1174</v>
      </c>
      <c r="E12" s="14">
        <v>22.536515380000001</v>
      </c>
      <c r="F12" s="16">
        <v>1.4644997</v>
      </c>
      <c r="G12" s="14">
        <v>10.940465509999999</v>
      </c>
      <c r="H12" s="16">
        <v>1.0818681400000001</v>
      </c>
      <c r="I12" s="14">
        <v>12.819719299999999</v>
      </c>
      <c r="J12" s="16">
        <v>1.0564432500000001</v>
      </c>
      <c r="K12" s="14">
        <v>53.703299809999997</v>
      </c>
      <c r="L12" s="16">
        <v>1.5381858900000001</v>
      </c>
      <c r="M12" s="14" t="s">
        <v>139</v>
      </c>
      <c r="N12" s="16" t="s">
        <v>139</v>
      </c>
      <c r="O12" s="14">
        <v>0</v>
      </c>
      <c r="P12" s="16">
        <v>0</v>
      </c>
      <c r="Q12" s="14">
        <v>0</v>
      </c>
      <c r="R12" s="16">
        <v>0</v>
      </c>
      <c r="S12" s="14">
        <v>0</v>
      </c>
      <c r="T12" s="16">
        <v>0</v>
      </c>
      <c r="U12" s="14">
        <v>0</v>
      </c>
      <c r="V12" s="16">
        <v>0</v>
      </c>
    </row>
    <row r="13" spans="1:22" x14ac:dyDescent="0.25">
      <c r="A13" s="11" t="s">
        <v>145</v>
      </c>
      <c r="B13" s="13">
        <v>7161</v>
      </c>
      <c r="C13" s="14">
        <f>(6008/B13*100)</f>
        <v>83.898896802122607</v>
      </c>
      <c r="D13" s="15">
        <v>1153</v>
      </c>
      <c r="E13" s="14">
        <v>23.09299957</v>
      </c>
      <c r="F13" s="16">
        <v>1.45355192</v>
      </c>
      <c r="G13" s="14">
        <v>8.2841988600000001</v>
      </c>
      <c r="H13" s="16">
        <v>0.99265979000000004</v>
      </c>
      <c r="I13" s="14">
        <v>13.796789479999999</v>
      </c>
      <c r="J13" s="16">
        <v>1.1974475600000001</v>
      </c>
      <c r="K13" s="14">
        <v>54.826012089999999</v>
      </c>
      <c r="L13" s="16">
        <v>1.8650125799999999</v>
      </c>
      <c r="M13" s="14" t="s">
        <v>139</v>
      </c>
      <c r="N13" s="16" t="s">
        <v>139</v>
      </c>
      <c r="O13" s="14">
        <v>0</v>
      </c>
      <c r="P13" s="16">
        <v>0</v>
      </c>
      <c r="Q13" s="14">
        <v>0</v>
      </c>
      <c r="R13" s="16">
        <v>0</v>
      </c>
      <c r="S13" s="14">
        <v>0</v>
      </c>
      <c r="T13" s="16">
        <v>0</v>
      </c>
      <c r="U13" s="14">
        <v>0</v>
      </c>
      <c r="V13" s="16">
        <v>0</v>
      </c>
    </row>
    <row r="14" spans="1:22" x14ac:dyDescent="0.25">
      <c r="A14" s="11" t="s">
        <v>146</v>
      </c>
      <c r="B14" s="13">
        <v>5587</v>
      </c>
      <c r="C14" s="14">
        <f>(4631/B14*100)</f>
        <v>82.888849114014675</v>
      </c>
      <c r="D14" s="15">
        <v>956</v>
      </c>
      <c r="E14" s="14">
        <v>20.768500029999998</v>
      </c>
      <c r="F14" s="16">
        <v>1.44206689</v>
      </c>
      <c r="G14" s="14">
        <v>8.5931377399999995</v>
      </c>
      <c r="H14" s="16">
        <v>0.89906648</v>
      </c>
      <c r="I14" s="14">
        <v>11.872886449999999</v>
      </c>
      <c r="J14" s="16">
        <v>1.2166373800000001</v>
      </c>
      <c r="K14" s="14">
        <v>58.765475790000004</v>
      </c>
      <c r="L14" s="16">
        <v>1.7061548900000001</v>
      </c>
      <c r="M14" s="14" t="s">
        <v>139</v>
      </c>
      <c r="N14" s="16" t="s">
        <v>139</v>
      </c>
      <c r="O14" s="14">
        <v>0</v>
      </c>
      <c r="P14" s="16">
        <v>0</v>
      </c>
      <c r="Q14" s="14">
        <v>0</v>
      </c>
      <c r="R14" s="16">
        <v>0</v>
      </c>
      <c r="S14" s="14">
        <v>0</v>
      </c>
      <c r="T14" s="16">
        <v>0</v>
      </c>
      <c r="U14" s="14">
        <v>0</v>
      </c>
      <c r="V14" s="16">
        <v>0</v>
      </c>
    </row>
    <row r="15" spans="1:22" x14ac:dyDescent="0.25">
      <c r="A15" s="11" t="s">
        <v>147</v>
      </c>
      <c r="B15" s="13">
        <v>5882</v>
      </c>
      <c r="C15" s="14">
        <f>(4867/B15*100)</f>
        <v>82.743964637878278</v>
      </c>
      <c r="D15" s="15">
        <v>1015</v>
      </c>
      <c r="E15" s="14">
        <v>25.323541680000002</v>
      </c>
      <c r="F15" s="16">
        <v>1.55937298</v>
      </c>
      <c r="G15" s="14">
        <v>6.5106088199999999</v>
      </c>
      <c r="H15" s="16">
        <v>0.86403293000000003</v>
      </c>
      <c r="I15" s="14">
        <v>15.664036279999999</v>
      </c>
      <c r="J15" s="16">
        <v>1.13378797</v>
      </c>
      <c r="K15" s="14">
        <v>52.501813220000003</v>
      </c>
      <c r="L15" s="16">
        <v>1.7481906700000001</v>
      </c>
      <c r="M15" s="14" t="s">
        <v>139</v>
      </c>
      <c r="N15" s="16" t="s">
        <v>139</v>
      </c>
      <c r="O15" s="14">
        <v>0</v>
      </c>
      <c r="P15" s="16">
        <v>0</v>
      </c>
      <c r="Q15" s="14">
        <v>0</v>
      </c>
      <c r="R15" s="16">
        <v>0</v>
      </c>
      <c r="S15" s="14">
        <v>0</v>
      </c>
      <c r="T15" s="16">
        <v>0</v>
      </c>
      <c r="U15" s="14">
        <v>0</v>
      </c>
      <c r="V15" s="16">
        <v>0</v>
      </c>
    </row>
    <row r="16" spans="1:22" x14ac:dyDescent="0.25">
      <c r="A16" s="11" t="s">
        <v>148</v>
      </c>
      <c r="B16" s="13">
        <v>6108</v>
      </c>
      <c r="C16" s="14">
        <f>(5047/B16*100)</f>
        <v>82.629338572364105</v>
      </c>
      <c r="D16" s="15">
        <v>1061</v>
      </c>
      <c r="E16" s="14">
        <v>32.971159659999998</v>
      </c>
      <c r="F16" s="16">
        <v>1.6307197</v>
      </c>
      <c r="G16" s="14">
        <v>8.5323973399999993</v>
      </c>
      <c r="H16" s="16">
        <v>0.91635677000000004</v>
      </c>
      <c r="I16" s="14">
        <v>17.384906310000002</v>
      </c>
      <c r="J16" s="16">
        <v>1.2684100700000001</v>
      </c>
      <c r="K16" s="14">
        <v>41.111536690000001</v>
      </c>
      <c r="L16" s="16">
        <v>1.5837964600000001</v>
      </c>
      <c r="M16" s="14" t="s">
        <v>139</v>
      </c>
      <c r="N16" s="16" t="s">
        <v>139</v>
      </c>
      <c r="O16" s="14">
        <v>0</v>
      </c>
      <c r="P16" s="16">
        <v>0</v>
      </c>
      <c r="Q16" s="14">
        <v>0</v>
      </c>
      <c r="R16" s="16">
        <v>0</v>
      </c>
      <c r="S16" s="14">
        <v>0</v>
      </c>
      <c r="T16" s="16">
        <v>0</v>
      </c>
      <c r="U16" s="14">
        <v>0</v>
      </c>
      <c r="V16" s="16">
        <v>0</v>
      </c>
    </row>
    <row r="17" spans="1:22" x14ac:dyDescent="0.25">
      <c r="A17" s="11" t="s">
        <v>149</v>
      </c>
      <c r="B17" s="13">
        <v>6504</v>
      </c>
      <c r="C17" s="14">
        <f>(5401/B17*100)</f>
        <v>83.041205412054126</v>
      </c>
      <c r="D17" s="15">
        <v>1103</v>
      </c>
      <c r="E17" s="14">
        <v>25.728334690000001</v>
      </c>
      <c r="F17" s="16">
        <v>1.3406442599999999</v>
      </c>
      <c r="G17" s="14">
        <v>8.6680446</v>
      </c>
      <c r="H17" s="16">
        <v>0.73573188</v>
      </c>
      <c r="I17" s="14">
        <v>12.812767109999999</v>
      </c>
      <c r="J17" s="16">
        <v>0.92679036000000004</v>
      </c>
      <c r="K17" s="14">
        <v>52.790853609999999</v>
      </c>
      <c r="L17" s="16">
        <v>1.55457603</v>
      </c>
      <c r="M17" s="14" t="s">
        <v>139</v>
      </c>
      <c r="N17" s="16" t="s">
        <v>139</v>
      </c>
      <c r="O17" s="14">
        <v>0</v>
      </c>
      <c r="P17" s="16">
        <v>0</v>
      </c>
      <c r="Q17" s="14">
        <v>0</v>
      </c>
      <c r="R17" s="16">
        <v>0</v>
      </c>
      <c r="S17" s="14">
        <v>0</v>
      </c>
      <c r="T17" s="16">
        <v>0</v>
      </c>
      <c r="U17" s="14">
        <v>0</v>
      </c>
      <c r="V17" s="16">
        <v>0</v>
      </c>
    </row>
    <row r="18" spans="1:22" x14ac:dyDescent="0.25">
      <c r="A18" s="11" t="s">
        <v>150</v>
      </c>
      <c r="B18" s="13">
        <v>5532</v>
      </c>
      <c r="C18" s="14">
        <f>(4618/B18*100)</f>
        <v>83.477946493130872</v>
      </c>
      <c r="D18" s="15">
        <v>914</v>
      </c>
      <c r="E18" s="14">
        <v>45.374005490000002</v>
      </c>
      <c r="F18" s="16">
        <v>1.97174081</v>
      </c>
      <c r="G18" s="14">
        <v>10.31734992</v>
      </c>
      <c r="H18" s="16">
        <v>1.26190088</v>
      </c>
      <c r="I18" s="14">
        <v>13.876513920000001</v>
      </c>
      <c r="J18" s="16">
        <v>1.19209378</v>
      </c>
      <c r="K18" s="14">
        <v>30.432130669999999</v>
      </c>
      <c r="L18" s="16">
        <v>1.85835789</v>
      </c>
      <c r="M18" s="14" t="s">
        <v>139</v>
      </c>
      <c r="N18" s="16" t="s">
        <v>139</v>
      </c>
      <c r="O18" s="14">
        <v>0</v>
      </c>
      <c r="P18" s="16">
        <v>0</v>
      </c>
      <c r="Q18" s="14">
        <v>0</v>
      </c>
      <c r="R18" s="16">
        <v>0</v>
      </c>
      <c r="S18" s="14">
        <v>0</v>
      </c>
      <c r="T18" s="16">
        <v>0</v>
      </c>
      <c r="U18" s="14">
        <v>0</v>
      </c>
      <c r="V18" s="16">
        <v>0</v>
      </c>
    </row>
    <row r="19" spans="1:22" x14ac:dyDescent="0.25">
      <c r="A19" s="11" t="s">
        <v>151</v>
      </c>
      <c r="B19" s="13">
        <v>5658</v>
      </c>
      <c r="C19" s="14">
        <f>(4693/B19*100)</f>
        <v>82.944503358077057</v>
      </c>
      <c r="D19" s="15">
        <v>965</v>
      </c>
      <c r="E19" s="14">
        <v>41.941071530000002</v>
      </c>
      <c r="F19" s="16">
        <v>1.7210095999999999</v>
      </c>
      <c r="G19" s="14">
        <v>9.1654011200000003</v>
      </c>
      <c r="H19" s="16">
        <v>1.1437643200000001</v>
      </c>
      <c r="I19" s="14">
        <v>16.137993210000001</v>
      </c>
      <c r="J19" s="16">
        <v>1.31971901</v>
      </c>
      <c r="K19" s="14">
        <v>32.755534140000002</v>
      </c>
      <c r="L19" s="16">
        <v>1.5126433800000001</v>
      </c>
      <c r="M19" s="14" t="s">
        <v>139</v>
      </c>
      <c r="N19" s="16" t="s">
        <v>139</v>
      </c>
      <c r="O19" s="14">
        <v>0</v>
      </c>
      <c r="P19" s="16">
        <v>0</v>
      </c>
      <c r="Q19" s="14">
        <v>0</v>
      </c>
      <c r="R19" s="16">
        <v>0</v>
      </c>
      <c r="S19" s="14">
        <v>0</v>
      </c>
      <c r="T19" s="16">
        <v>0</v>
      </c>
      <c r="U19" s="14">
        <v>0</v>
      </c>
      <c r="V19" s="16">
        <v>0</v>
      </c>
    </row>
    <row r="20" spans="1:22" x14ac:dyDescent="0.25">
      <c r="A20" s="11" t="s">
        <v>152</v>
      </c>
      <c r="B20" s="13">
        <v>3371</v>
      </c>
      <c r="C20" s="14">
        <f>(2807/B20*100)</f>
        <v>83.26905962622368</v>
      </c>
      <c r="D20" s="15">
        <v>564</v>
      </c>
      <c r="E20" s="14">
        <v>29.266475839999998</v>
      </c>
      <c r="F20" s="16">
        <v>1.9087296300000001</v>
      </c>
      <c r="G20" s="14">
        <v>10.00113962</v>
      </c>
      <c r="H20" s="16">
        <v>1.39247549</v>
      </c>
      <c r="I20" s="14">
        <v>14.023070150000001</v>
      </c>
      <c r="J20" s="16">
        <v>1.34523298</v>
      </c>
      <c r="K20" s="14">
        <v>46.709314380000002</v>
      </c>
      <c r="L20" s="16">
        <v>2.10244864</v>
      </c>
      <c r="M20" s="14" t="s">
        <v>139</v>
      </c>
      <c r="N20" s="16" t="s">
        <v>139</v>
      </c>
      <c r="O20" s="14">
        <v>0</v>
      </c>
      <c r="P20" s="16">
        <v>0</v>
      </c>
      <c r="Q20" s="14">
        <v>0</v>
      </c>
      <c r="R20" s="16">
        <v>0</v>
      </c>
      <c r="S20" s="14">
        <v>0</v>
      </c>
      <c r="T20" s="16">
        <v>0</v>
      </c>
      <c r="U20" s="14">
        <v>0</v>
      </c>
      <c r="V20" s="16">
        <v>0</v>
      </c>
    </row>
    <row r="21" spans="1:22" x14ac:dyDescent="0.25">
      <c r="A21" s="11" t="s">
        <v>153</v>
      </c>
      <c r="B21" s="17" t="s">
        <v>154</v>
      </c>
      <c r="C21" s="17" t="s">
        <v>154</v>
      </c>
      <c r="D21" s="18" t="s">
        <v>154</v>
      </c>
      <c r="E21" s="17" t="s">
        <v>154</v>
      </c>
      <c r="F21" s="18" t="s">
        <v>154</v>
      </c>
      <c r="G21" s="17" t="s">
        <v>154</v>
      </c>
      <c r="H21" s="18" t="s">
        <v>154</v>
      </c>
      <c r="I21" s="17" t="s">
        <v>154</v>
      </c>
      <c r="J21" s="18" t="s">
        <v>154</v>
      </c>
      <c r="K21" s="17" t="s">
        <v>154</v>
      </c>
      <c r="L21" s="18" t="s">
        <v>154</v>
      </c>
      <c r="M21" s="17" t="s">
        <v>154</v>
      </c>
      <c r="N21" s="18" t="s">
        <v>154</v>
      </c>
      <c r="O21" s="17" t="s">
        <v>154</v>
      </c>
      <c r="P21" s="18" t="s">
        <v>154</v>
      </c>
      <c r="Q21" s="17" t="s">
        <v>154</v>
      </c>
      <c r="R21" s="18" t="s">
        <v>154</v>
      </c>
      <c r="S21" s="17" t="s">
        <v>154</v>
      </c>
      <c r="T21" s="18" t="s">
        <v>154</v>
      </c>
      <c r="U21" s="17" t="s">
        <v>154</v>
      </c>
      <c r="V21" s="18" t="s">
        <v>154</v>
      </c>
    </row>
    <row r="22" spans="1:22" x14ac:dyDescent="0.25">
      <c r="A22" s="11" t="s">
        <v>155</v>
      </c>
      <c r="B22" s="13">
        <v>6598</v>
      </c>
      <c r="C22" s="14">
        <f>(5567/B22*100)</f>
        <v>84.374052743255533</v>
      </c>
      <c r="D22" s="15">
        <v>1031</v>
      </c>
      <c r="E22" s="14">
        <v>42.131190850000003</v>
      </c>
      <c r="F22" s="16">
        <v>1.63357698</v>
      </c>
      <c r="G22" s="14">
        <v>12.33205124</v>
      </c>
      <c r="H22" s="16">
        <v>0.95770506</v>
      </c>
      <c r="I22" s="14">
        <v>14.65086005</v>
      </c>
      <c r="J22" s="16">
        <v>1.30496645</v>
      </c>
      <c r="K22" s="14">
        <v>30.88589786</v>
      </c>
      <c r="L22" s="16">
        <v>1.7716916300000001</v>
      </c>
      <c r="M22" s="14" t="s">
        <v>139</v>
      </c>
      <c r="N22" s="16" t="s">
        <v>139</v>
      </c>
      <c r="O22" s="14">
        <v>0</v>
      </c>
      <c r="P22" s="16">
        <v>0</v>
      </c>
      <c r="Q22" s="14">
        <v>0</v>
      </c>
      <c r="R22" s="16">
        <v>0</v>
      </c>
      <c r="S22" s="14">
        <v>0</v>
      </c>
      <c r="T22" s="16">
        <v>0</v>
      </c>
      <c r="U22" s="14">
        <v>0</v>
      </c>
      <c r="V22" s="16">
        <v>0</v>
      </c>
    </row>
    <row r="23" spans="1:22" x14ac:dyDescent="0.25">
      <c r="A23" s="11" t="s">
        <v>156</v>
      </c>
      <c r="B23" s="13">
        <v>11583</v>
      </c>
      <c r="C23" s="14">
        <f>(9592/B23*100)</f>
        <v>82.81101614434948</v>
      </c>
      <c r="D23" s="15">
        <v>1991</v>
      </c>
      <c r="E23" s="14">
        <v>32.548468110000002</v>
      </c>
      <c r="F23" s="16">
        <v>1.4730314099999999</v>
      </c>
      <c r="G23" s="14">
        <v>7.0630175199999998</v>
      </c>
      <c r="H23" s="16">
        <v>0.82089984999999999</v>
      </c>
      <c r="I23" s="14">
        <v>15.778788690000001</v>
      </c>
      <c r="J23" s="16">
        <v>1.3495306199999999</v>
      </c>
      <c r="K23" s="14">
        <v>44.609725679999997</v>
      </c>
      <c r="L23" s="16">
        <v>1.2824823000000001</v>
      </c>
      <c r="M23" s="14" t="s">
        <v>139</v>
      </c>
      <c r="N23" s="16" t="s">
        <v>139</v>
      </c>
      <c r="O23" s="14">
        <v>0</v>
      </c>
      <c r="P23" s="16">
        <v>0</v>
      </c>
      <c r="Q23" s="14">
        <v>0</v>
      </c>
      <c r="R23" s="16">
        <v>0</v>
      </c>
      <c r="S23" s="14">
        <v>0</v>
      </c>
      <c r="T23" s="16">
        <v>0</v>
      </c>
      <c r="U23" s="14">
        <v>0</v>
      </c>
      <c r="V23" s="16">
        <v>0</v>
      </c>
    </row>
    <row r="24" spans="1:22" x14ac:dyDescent="0.25">
      <c r="A24" s="11" t="s">
        <v>157</v>
      </c>
      <c r="B24" s="13">
        <v>6647</v>
      </c>
      <c r="C24" s="14">
        <f>(5467/B24*100)</f>
        <v>82.247630510004512</v>
      </c>
      <c r="D24" s="15">
        <v>1180</v>
      </c>
      <c r="E24" s="14">
        <v>22.012685250000001</v>
      </c>
      <c r="F24" s="16">
        <v>1.2915918099999999</v>
      </c>
      <c r="G24" s="14">
        <v>8.83341581</v>
      </c>
      <c r="H24" s="16">
        <v>0.78200513999999999</v>
      </c>
      <c r="I24" s="14">
        <v>11.1755306</v>
      </c>
      <c r="J24" s="16">
        <v>0.98419314999999996</v>
      </c>
      <c r="K24" s="14">
        <v>57.978368330000002</v>
      </c>
      <c r="L24" s="16">
        <v>1.6357953199999999</v>
      </c>
      <c r="M24" s="14" t="s">
        <v>139</v>
      </c>
      <c r="N24" s="16" t="s">
        <v>139</v>
      </c>
      <c r="O24" s="14">
        <v>0</v>
      </c>
      <c r="P24" s="16">
        <v>0</v>
      </c>
      <c r="Q24" s="14">
        <v>0</v>
      </c>
      <c r="R24" s="16">
        <v>0</v>
      </c>
      <c r="S24" s="14">
        <v>0</v>
      </c>
      <c r="T24" s="16">
        <v>0</v>
      </c>
      <c r="U24" s="14">
        <v>0</v>
      </c>
      <c r="V24" s="16">
        <v>0</v>
      </c>
    </row>
    <row r="25" spans="1:22" x14ac:dyDescent="0.25">
      <c r="A25" s="11" t="s">
        <v>158</v>
      </c>
      <c r="B25" s="13">
        <v>5581</v>
      </c>
      <c r="C25" s="14">
        <f>(4597/B25*100)</f>
        <v>82.368751119870993</v>
      </c>
      <c r="D25" s="15">
        <v>984</v>
      </c>
      <c r="E25" s="14">
        <v>28.88649616</v>
      </c>
      <c r="F25" s="16">
        <v>1.7892481899999999</v>
      </c>
      <c r="G25" s="14">
        <v>12.360969150000001</v>
      </c>
      <c r="H25" s="16">
        <v>1.00517509</v>
      </c>
      <c r="I25" s="14">
        <v>16.736425310000001</v>
      </c>
      <c r="J25" s="16">
        <v>1.2280608200000001</v>
      </c>
      <c r="K25" s="14">
        <v>42.016109380000003</v>
      </c>
      <c r="L25" s="16">
        <v>1.53664333</v>
      </c>
      <c r="M25" s="14" t="s">
        <v>139</v>
      </c>
      <c r="N25" s="16" t="s">
        <v>139</v>
      </c>
      <c r="O25" s="14">
        <v>0</v>
      </c>
      <c r="P25" s="16">
        <v>0</v>
      </c>
      <c r="Q25" s="14">
        <v>0</v>
      </c>
      <c r="R25" s="16">
        <v>0</v>
      </c>
      <c r="S25" s="14">
        <v>0</v>
      </c>
      <c r="T25" s="16">
        <v>0</v>
      </c>
      <c r="U25" s="14">
        <v>0</v>
      </c>
      <c r="V25" s="16">
        <v>0</v>
      </c>
    </row>
    <row r="26" spans="1:22" x14ac:dyDescent="0.25">
      <c r="A26" s="11" t="s">
        <v>159</v>
      </c>
      <c r="B26" s="13">
        <v>4869</v>
      </c>
      <c r="C26" s="14">
        <f>(4032/B26*100)</f>
        <v>82.809611829944558</v>
      </c>
      <c r="D26" s="15">
        <v>837</v>
      </c>
      <c r="E26" s="14">
        <v>33.894261120000003</v>
      </c>
      <c r="F26" s="16">
        <v>1.80272557</v>
      </c>
      <c r="G26" s="14">
        <v>7.9190954299999996</v>
      </c>
      <c r="H26" s="16">
        <v>0.98694890000000002</v>
      </c>
      <c r="I26" s="14">
        <v>15.75736216</v>
      </c>
      <c r="J26" s="16">
        <v>1.3074358500000001</v>
      </c>
      <c r="K26" s="14">
        <v>42.429281289999999</v>
      </c>
      <c r="L26" s="16">
        <v>1.61260315</v>
      </c>
      <c r="M26" s="14" t="s">
        <v>139</v>
      </c>
      <c r="N26" s="16" t="s">
        <v>139</v>
      </c>
      <c r="O26" s="14">
        <v>0</v>
      </c>
      <c r="P26" s="16">
        <v>0</v>
      </c>
      <c r="Q26" s="14">
        <v>0</v>
      </c>
      <c r="R26" s="16">
        <v>0</v>
      </c>
      <c r="S26" s="14">
        <v>0</v>
      </c>
      <c r="T26" s="16">
        <v>0</v>
      </c>
      <c r="U26" s="14">
        <v>0</v>
      </c>
      <c r="V26" s="16">
        <v>0</v>
      </c>
    </row>
    <row r="27" spans="1:22" x14ac:dyDescent="0.25">
      <c r="A27" s="11" t="s">
        <v>160</v>
      </c>
      <c r="B27" s="13">
        <v>5299</v>
      </c>
      <c r="C27" s="14">
        <f>(4397/B27*100)</f>
        <v>82.977920362332512</v>
      </c>
      <c r="D27" s="15">
        <v>902</v>
      </c>
      <c r="E27" s="14">
        <v>27.908828580000002</v>
      </c>
      <c r="F27" s="16">
        <v>1.6037870700000001</v>
      </c>
      <c r="G27" s="14">
        <v>10.880840879999999</v>
      </c>
      <c r="H27" s="16">
        <v>1.0554961199999999</v>
      </c>
      <c r="I27" s="14">
        <v>15.07992788</v>
      </c>
      <c r="J27" s="16">
        <v>1.3290653800000001</v>
      </c>
      <c r="K27" s="14">
        <v>46.130402670000002</v>
      </c>
      <c r="L27" s="16">
        <v>1.7085807</v>
      </c>
      <c r="M27" s="14" t="s">
        <v>139</v>
      </c>
      <c r="N27" s="16" t="s">
        <v>139</v>
      </c>
      <c r="O27" s="14">
        <v>0</v>
      </c>
      <c r="P27" s="16">
        <v>0</v>
      </c>
      <c r="Q27" s="14">
        <v>0</v>
      </c>
      <c r="R27" s="16">
        <v>0</v>
      </c>
      <c r="S27" s="14">
        <v>0</v>
      </c>
      <c r="T27" s="16">
        <v>0</v>
      </c>
      <c r="U27" s="14">
        <v>0</v>
      </c>
      <c r="V27" s="16">
        <v>0</v>
      </c>
    </row>
    <row r="28" spans="1:22" x14ac:dyDescent="0.25">
      <c r="A28" s="11" t="s">
        <v>161</v>
      </c>
      <c r="B28" s="13">
        <v>7568</v>
      </c>
      <c r="C28" s="14">
        <f>(6322/B28*100)</f>
        <v>83.535940803382672</v>
      </c>
      <c r="D28" s="15">
        <v>1246</v>
      </c>
      <c r="E28" s="14">
        <v>59.868438480000002</v>
      </c>
      <c r="F28" s="16">
        <v>1.7958992300000001</v>
      </c>
      <c r="G28" s="14">
        <v>13.333614450000001</v>
      </c>
      <c r="H28" s="16">
        <v>1.04816924</v>
      </c>
      <c r="I28" s="14">
        <v>11.55603054</v>
      </c>
      <c r="J28" s="16">
        <v>1.0110013900000001</v>
      </c>
      <c r="K28" s="14">
        <v>15.241916529999999</v>
      </c>
      <c r="L28" s="16">
        <v>1.3427533700000001</v>
      </c>
      <c r="M28" s="14" t="s">
        <v>139</v>
      </c>
      <c r="N28" s="16" t="s">
        <v>139</v>
      </c>
      <c r="O28" s="14">
        <v>0</v>
      </c>
      <c r="P28" s="16">
        <v>0</v>
      </c>
      <c r="Q28" s="14">
        <v>0</v>
      </c>
      <c r="R28" s="16">
        <v>0</v>
      </c>
      <c r="S28" s="14">
        <v>0</v>
      </c>
      <c r="T28" s="16">
        <v>0</v>
      </c>
      <c r="U28" s="14">
        <v>0</v>
      </c>
      <c r="V28" s="16">
        <v>0</v>
      </c>
    </row>
    <row r="29" spans="1:22" x14ac:dyDescent="0.25">
      <c r="A29" s="11" t="s">
        <v>162</v>
      </c>
      <c r="B29" s="13">
        <v>5385</v>
      </c>
      <c r="C29" s="14">
        <f>(4466/B29*100)</f>
        <v>82.934076137418757</v>
      </c>
      <c r="D29" s="15">
        <v>919</v>
      </c>
      <c r="E29" s="14">
        <v>24.548529139999999</v>
      </c>
      <c r="F29" s="16">
        <v>1.4090094</v>
      </c>
      <c r="G29" s="14">
        <v>10.94519365</v>
      </c>
      <c r="H29" s="16">
        <v>1.02125613</v>
      </c>
      <c r="I29" s="14">
        <v>20.972016069999999</v>
      </c>
      <c r="J29" s="16">
        <v>1.61554574</v>
      </c>
      <c r="K29" s="14">
        <v>43.534261139999998</v>
      </c>
      <c r="L29" s="16">
        <v>1.8870219399999999</v>
      </c>
      <c r="M29" s="14" t="s">
        <v>139</v>
      </c>
      <c r="N29" s="16" t="s">
        <v>139</v>
      </c>
      <c r="O29" s="14">
        <v>0</v>
      </c>
      <c r="P29" s="16">
        <v>0</v>
      </c>
      <c r="Q29" s="14">
        <v>0</v>
      </c>
      <c r="R29" s="16">
        <v>0</v>
      </c>
      <c r="S29" s="14">
        <v>0</v>
      </c>
      <c r="T29" s="16">
        <v>0</v>
      </c>
      <c r="U29" s="14">
        <v>0</v>
      </c>
      <c r="V29" s="16">
        <v>0</v>
      </c>
    </row>
    <row r="30" spans="1:22" x14ac:dyDescent="0.25">
      <c r="A30" s="11" t="s">
        <v>163</v>
      </c>
      <c r="B30" s="13">
        <v>4520</v>
      </c>
      <c r="C30" s="14">
        <f>(3753/B30*100)</f>
        <v>83.030973451327441</v>
      </c>
      <c r="D30" s="15">
        <v>767</v>
      </c>
      <c r="E30" s="14">
        <v>25.087769170000001</v>
      </c>
      <c r="F30" s="16">
        <v>1.84826512</v>
      </c>
      <c r="G30" s="14">
        <v>9.4189049100000002</v>
      </c>
      <c r="H30" s="16">
        <v>1.1095069099999999</v>
      </c>
      <c r="I30" s="14">
        <v>16.023032650000001</v>
      </c>
      <c r="J30" s="16">
        <v>1.51239031</v>
      </c>
      <c r="K30" s="14">
        <v>49.470293269999999</v>
      </c>
      <c r="L30" s="16">
        <v>2.1207599400000001</v>
      </c>
      <c r="M30" s="14" t="s">
        <v>139</v>
      </c>
      <c r="N30" s="16" t="s">
        <v>139</v>
      </c>
      <c r="O30" s="14">
        <v>0</v>
      </c>
      <c r="P30" s="16">
        <v>0</v>
      </c>
      <c r="Q30" s="14">
        <v>0</v>
      </c>
      <c r="R30" s="16">
        <v>0</v>
      </c>
      <c r="S30" s="14">
        <v>0</v>
      </c>
      <c r="T30" s="16">
        <v>0</v>
      </c>
      <c r="U30" s="14">
        <v>0</v>
      </c>
      <c r="V30" s="16">
        <v>0</v>
      </c>
    </row>
    <row r="31" spans="1:22" x14ac:dyDescent="0.25">
      <c r="A31" s="11" t="s">
        <v>164</v>
      </c>
      <c r="B31" s="13">
        <v>5456</v>
      </c>
      <c r="C31" s="14">
        <f>(4490/B31*100)</f>
        <v>82.294721407624635</v>
      </c>
      <c r="D31" s="15">
        <v>966</v>
      </c>
      <c r="E31" s="14">
        <v>28.575636230000001</v>
      </c>
      <c r="F31" s="16">
        <v>1.4172163499999999</v>
      </c>
      <c r="G31" s="14">
        <v>10.95963735</v>
      </c>
      <c r="H31" s="16">
        <v>0.98498969999999997</v>
      </c>
      <c r="I31" s="14">
        <v>17.400766369999999</v>
      </c>
      <c r="J31" s="16">
        <v>1.5594210500000001</v>
      </c>
      <c r="K31" s="14">
        <v>43.063960049999999</v>
      </c>
      <c r="L31" s="16">
        <v>1.4265833299999999</v>
      </c>
      <c r="M31" s="14" t="s">
        <v>139</v>
      </c>
      <c r="N31" s="16" t="s">
        <v>139</v>
      </c>
      <c r="O31" s="14">
        <v>0</v>
      </c>
      <c r="P31" s="16">
        <v>0</v>
      </c>
      <c r="Q31" s="14">
        <v>0</v>
      </c>
      <c r="R31" s="16">
        <v>0</v>
      </c>
      <c r="S31" s="14">
        <v>0</v>
      </c>
      <c r="T31" s="16">
        <v>0</v>
      </c>
      <c r="U31" s="14">
        <v>0</v>
      </c>
      <c r="V31" s="16">
        <v>0</v>
      </c>
    </row>
    <row r="32" spans="1:22" x14ac:dyDescent="0.25">
      <c r="A32" s="11" t="s">
        <v>165</v>
      </c>
      <c r="B32" s="17" t="s">
        <v>154</v>
      </c>
      <c r="C32" s="17" t="s">
        <v>154</v>
      </c>
      <c r="D32" s="18" t="s">
        <v>154</v>
      </c>
      <c r="E32" s="17" t="s">
        <v>154</v>
      </c>
      <c r="F32" s="18" t="s">
        <v>154</v>
      </c>
      <c r="G32" s="17" t="s">
        <v>154</v>
      </c>
      <c r="H32" s="18" t="s">
        <v>154</v>
      </c>
      <c r="I32" s="17" t="s">
        <v>154</v>
      </c>
      <c r="J32" s="18" t="s">
        <v>154</v>
      </c>
      <c r="K32" s="17" t="s">
        <v>154</v>
      </c>
      <c r="L32" s="18" t="s">
        <v>154</v>
      </c>
      <c r="M32" s="17" t="s">
        <v>154</v>
      </c>
      <c r="N32" s="18" t="s">
        <v>154</v>
      </c>
      <c r="O32" s="17" t="s">
        <v>154</v>
      </c>
      <c r="P32" s="18" t="s">
        <v>154</v>
      </c>
      <c r="Q32" s="17" t="s">
        <v>154</v>
      </c>
      <c r="R32" s="18" t="s">
        <v>154</v>
      </c>
      <c r="S32" s="17" t="s">
        <v>154</v>
      </c>
      <c r="T32" s="18" t="s">
        <v>154</v>
      </c>
      <c r="U32" s="17" t="s">
        <v>154</v>
      </c>
      <c r="V32" s="18" t="s">
        <v>154</v>
      </c>
    </row>
    <row r="33" spans="1:22" x14ac:dyDescent="0.25">
      <c r="A33" s="11" t="s">
        <v>166</v>
      </c>
      <c r="B33" s="13">
        <v>7325</v>
      </c>
      <c r="C33" s="14">
        <f>(6062/B33*100)</f>
        <v>82.757679180887365</v>
      </c>
      <c r="D33" s="15">
        <v>1263</v>
      </c>
      <c r="E33" s="14">
        <v>30.427600529999999</v>
      </c>
      <c r="F33" s="16">
        <v>1.7027549500000001</v>
      </c>
      <c r="G33" s="14">
        <v>8.8278465599999993</v>
      </c>
      <c r="H33" s="16">
        <v>1.15018792</v>
      </c>
      <c r="I33" s="14">
        <v>14.25943333</v>
      </c>
      <c r="J33" s="16">
        <v>1.13482314</v>
      </c>
      <c r="K33" s="14">
        <v>46.485119580000003</v>
      </c>
      <c r="L33" s="16">
        <v>1.7942697299999999</v>
      </c>
      <c r="M33" s="14" t="s">
        <v>139</v>
      </c>
      <c r="N33" s="16" t="s">
        <v>139</v>
      </c>
      <c r="O33" s="14">
        <v>0</v>
      </c>
      <c r="P33" s="16">
        <v>0</v>
      </c>
      <c r="Q33" s="14">
        <v>0</v>
      </c>
      <c r="R33" s="16">
        <v>0</v>
      </c>
      <c r="S33" s="14">
        <v>0</v>
      </c>
      <c r="T33" s="16">
        <v>0</v>
      </c>
      <c r="U33" s="14">
        <v>0</v>
      </c>
      <c r="V33" s="16">
        <v>0</v>
      </c>
    </row>
    <row r="34" spans="1:22" x14ac:dyDescent="0.25">
      <c r="A34" s="11" t="s">
        <v>167</v>
      </c>
      <c r="B34" s="13">
        <v>6350</v>
      </c>
      <c r="C34" s="14">
        <f>(5302/B34*100)</f>
        <v>83.496062992125985</v>
      </c>
      <c r="D34" s="15">
        <v>1048</v>
      </c>
      <c r="E34" s="14">
        <v>33.943971259999998</v>
      </c>
      <c r="F34" s="16">
        <v>1.632749</v>
      </c>
      <c r="G34" s="14">
        <v>10.62204697</v>
      </c>
      <c r="H34" s="16">
        <v>0.99849392000000003</v>
      </c>
      <c r="I34" s="14">
        <v>17.358437500000001</v>
      </c>
      <c r="J34" s="16">
        <v>1.15547409</v>
      </c>
      <c r="K34" s="14">
        <v>38.075544270000002</v>
      </c>
      <c r="L34" s="16">
        <v>1.6328746599999999</v>
      </c>
      <c r="M34" s="14" t="s">
        <v>139</v>
      </c>
      <c r="N34" s="16" t="s">
        <v>139</v>
      </c>
      <c r="O34" s="14">
        <v>0</v>
      </c>
      <c r="P34" s="16">
        <v>0</v>
      </c>
      <c r="Q34" s="14">
        <v>0</v>
      </c>
      <c r="R34" s="16">
        <v>0</v>
      </c>
      <c r="S34" s="14">
        <v>0</v>
      </c>
      <c r="T34" s="16">
        <v>0</v>
      </c>
      <c r="U34" s="14">
        <v>0</v>
      </c>
      <c r="V34" s="16">
        <v>0</v>
      </c>
    </row>
    <row r="35" spans="1:22" x14ac:dyDescent="0.25">
      <c r="A35" s="11" t="s">
        <v>168</v>
      </c>
      <c r="B35" s="13">
        <v>6406</v>
      </c>
      <c r="C35" s="14">
        <f>(5326/B35*100)</f>
        <v>83.140805494848578</v>
      </c>
      <c r="D35" s="15">
        <v>1080</v>
      </c>
      <c r="E35" s="14">
        <v>30.704337930000001</v>
      </c>
      <c r="F35" s="16">
        <v>1.7598938099999999</v>
      </c>
      <c r="G35" s="14">
        <v>9.3560543900000006</v>
      </c>
      <c r="H35" s="16">
        <v>0.94128186000000003</v>
      </c>
      <c r="I35" s="14">
        <v>17.040831910000001</v>
      </c>
      <c r="J35" s="16">
        <v>1.6526139799999999</v>
      </c>
      <c r="K35" s="14">
        <v>42.898775759999999</v>
      </c>
      <c r="L35" s="16">
        <v>2.0343539100000001</v>
      </c>
      <c r="M35" s="14" t="s">
        <v>139</v>
      </c>
      <c r="N35" s="16" t="s">
        <v>139</v>
      </c>
      <c r="O35" s="14">
        <v>0</v>
      </c>
      <c r="P35" s="16">
        <v>0</v>
      </c>
      <c r="Q35" s="14">
        <v>0</v>
      </c>
      <c r="R35" s="16">
        <v>0</v>
      </c>
      <c r="S35" s="14">
        <v>0</v>
      </c>
      <c r="T35" s="16">
        <v>0</v>
      </c>
      <c r="U35" s="14">
        <v>0</v>
      </c>
      <c r="V35" s="16">
        <v>0</v>
      </c>
    </row>
    <row r="36" spans="1:22" x14ac:dyDescent="0.25">
      <c r="A36" s="11" t="s">
        <v>169</v>
      </c>
      <c r="B36" s="13">
        <v>6736</v>
      </c>
      <c r="C36" s="14">
        <f>(5591/B36*100)</f>
        <v>83.001781472684087</v>
      </c>
      <c r="D36" s="15">
        <v>1145</v>
      </c>
      <c r="E36" s="14">
        <v>34.172935680000002</v>
      </c>
      <c r="F36" s="16">
        <v>1.50871161</v>
      </c>
      <c r="G36" s="14">
        <v>5.8673923800000001</v>
      </c>
      <c r="H36" s="16">
        <v>0.71611747000000003</v>
      </c>
      <c r="I36" s="14">
        <v>13.76284646</v>
      </c>
      <c r="J36" s="16">
        <v>0.94362409999999997</v>
      </c>
      <c r="K36" s="14">
        <v>46.196825480000001</v>
      </c>
      <c r="L36" s="16">
        <v>1.3631976299999999</v>
      </c>
      <c r="M36" s="14" t="s">
        <v>139</v>
      </c>
      <c r="N36" s="16" t="s">
        <v>139</v>
      </c>
      <c r="O36" s="14">
        <v>0</v>
      </c>
      <c r="P36" s="16">
        <v>0</v>
      </c>
      <c r="Q36" s="14">
        <v>0</v>
      </c>
      <c r="R36" s="16">
        <v>0</v>
      </c>
      <c r="S36" s="14">
        <v>0</v>
      </c>
      <c r="T36" s="16">
        <v>0</v>
      </c>
      <c r="U36" s="14">
        <v>0</v>
      </c>
      <c r="V36" s="16">
        <v>0</v>
      </c>
    </row>
    <row r="37" spans="1:22" x14ac:dyDescent="0.25">
      <c r="A37" s="11" t="s">
        <v>170</v>
      </c>
      <c r="B37" s="13">
        <v>5458</v>
      </c>
      <c r="C37" s="14">
        <f>(4522/B37*100)</f>
        <v>82.850861121289853</v>
      </c>
      <c r="D37" s="15">
        <v>936</v>
      </c>
      <c r="E37" s="14">
        <v>26.145433390000001</v>
      </c>
      <c r="F37" s="16">
        <v>1.51629407</v>
      </c>
      <c r="G37" s="14">
        <v>9.1827820300000003</v>
      </c>
      <c r="H37" s="16">
        <v>0.89052180000000003</v>
      </c>
      <c r="I37" s="14">
        <v>14.446978039999999</v>
      </c>
      <c r="J37" s="16">
        <v>1.09690881</v>
      </c>
      <c r="K37" s="14">
        <v>50.224806530000002</v>
      </c>
      <c r="L37" s="16">
        <v>1.6685557499999999</v>
      </c>
      <c r="M37" s="14" t="s">
        <v>139</v>
      </c>
      <c r="N37" s="16" t="s">
        <v>139</v>
      </c>
      <c r="O37" s="14">
        <v>0</v>
      </c>
      <c r="P37" s="16">
        <v>0</v>
      </c>
      <c r="Q37" s="14">
        <v>0</v>
      </c>
      <c r="R37" s="16">
        <v>0</v>
      </c>
      <c r="S37" s="14">
        <v>0</v>
      </c>
      <c r="T37" s="16">
        <v>0</v>
      </c>
      <c r="U37" s="14">
        <v>0</v>
      </c>
      <c r="V37" s="16">
        <v>0</v>
      </c>
    </row>
    <row r="38" spans="1:22" x14ac:dyDescent="0.25">
      <c r="A38" s="11" t="s">
        <v>171</v>
      </c>
      <c r="B38" s="17" t="s">
        <v>154</v>
      </c>
      <c r="C38" s="17" t="s">
        <v>154</v>
      </c>
      <c r="D38" s="18" t="s">
        <v>154</v>
      </c>
      <c r="E38" s="17" t="s">
        <v>154</v>
      </c>
      <c r="F38" s="18" t="s">
        <v>154</v>
      </c>
      <c r="G38" s="17" t="s">
        <v>154</v>
      </c>
      <c r="H38" s="18" t="s">
        <v>154</v>
      </c>
      <c r="I38" s="17" t="s">
        <v>154</v>
      </c>
      <c r="J38" s="18" t="s">
        <v>154</v>
      </c>
      <c r="K38" s="17" t="s">
        <v>154</v>
      </c>
      <c r="L38" s="18" t="s">
        <v>154</v>
      </c>
      <c r="M38" s="17" t="s">
        <v>154</v>
      </c>
      <c r="N38" s="18" t="s">
        <v>154</v>
      </c>
      <c r="O38" s="17" t="s">
        <v>154</v>
      </c>
      <c r="P38" s="18" t="s">
        <v>154</v>
      </c>
      <c r="Q38" s="17" t="s">
        <v>154</v>
      </c>
      <c r="R38" s="18" t="s">
        <v>154</v>
      </c>
      <c r="S38" s="17" t="s">
        <v>154</v>
      </c>
      <c r="T38" s="18" t="s">
        <v>154</v>
      </c>
      <c r="U38" s="17" t="s">
        <v>154</v>
      </c>
      <c r="V38" s="18" t="s">
        <v>154</v>
      </c>
    </row>
    <row r="39" spans="1:22" x14ac:dyDescent="0.25">
      <c r="A39" s="11" t="s">
        <v>172</v>
      </c>
      <c r="B39" s="13">
        <v>5895</v>
      </c>
      <c r="C39" s="14">
        <f>(4865/B39*100)</f>
        <v>82.527565733672603</v>
      </c>
      <c r="D39" s="15">
        <v>1030</v>
      </c>
      <c r="E39" s="14">
        <v>57.057043540000002</v>
      </c>
      <c r="F39" s="16">
        <v>1.8575592299999999</v>
      </c>
      <c r="G39" s="14">
        <v>16.069028200000002</v>
      </c>
      <c r="H39" s="16">
        <v>1.2476764499999999</v>
      </c>
      <c r="I39" s="14">
        <v>8.3202234199999996</v>
      </c>
      <c r="J39" s="16">
        <v>0.98460214999999995</v>
      </c>
      <c r="K39" s="14">
        <v>18.553704840000002</v>
      </c>
      <c r="L39" s="16">
        <v>1.5274990399999999</v>
      </c>
      <c r="M39" s="14" t="s">
        <v>139</v>
      </c>
      <c r="N39" s="16" t="s">
        <v>139</v>
      </c>
      <c r="O39" s="14">
        <v>0</v>
      </c>
      <c r="P39" s="16">
        <v>0</v>
      </c>
      <c r="Q39" s="14">
        <v>0</v>
      </c>
      <c r="R39" s="16">
        <v>0</v>
      </c>
      <c r="S39" s="14">
        <v>0</v>
      </c>
      <c r="T39" s="16">
        <v>0</v>
      </c>
      <c r="U39" s="14">
        <v>0</v>
      </c>
      <c r="V39" s="16">
        <v>0</v>
      </c>
    </row>
    <row r="40" spans="1:22" x14ac:dyDescent="0.25">
      <c r="A40" s="11" t="s">
        <v>173</v>
      </c>
      <c r="B40" s="13">
        <v>14157</v>
      </c>
      <c r="C40" s="14">
        <f>(11676/B40*100)</f>
        <v>82.475100656918841</v>
      </c>
      <c r="D40" s="15">
        <v>2481</v>
      </c>
      <c r="E40" s="14">
        <v>27.811638800000001</v>
      </c>
      <c r="F40" s="16">
        <v>1.3321704999999999</v>
      </c>
      <c r="G40" s="14">
        <v>10.318439809999999</v>
      </c>
      <c r="H40" s="16">
        <v>1.03561999</v>
      </c>
      <c r="I40" s="14">
        <v>12.79978936</v>
      </c>
      <c r="J40" s="16">
        <v>0.89498670999999996</v>
      </c>
      <c r="K40" s="14">
        <v>49.070132020000003</v>
      </c>
      <c r="L40" s="16">
        <v>1.4289433</v>
      </c>
      <c r="M40" s="14" t="s">
        <v>139</v>
      </c>
      <c r="N40" s="16" t="s">
        <v>139</v>
      </c>
      <c r="O40" s="14">
        <v>0</v>
      </c>
      <c r="P40" s="16">
        <v>0</v>
      </c>
      <c r="Q40" s="14">
        <v>0</v>
      </c>
      <c r="R40" s="16">
        <v>0</v>
      </c>
      <c r="S40" s="14">
        <v>0</v>
      </c>
      <c r="T40" s="16">
        <v>0</v>
      </c>
      <c r="U40" s="14">
        <v>0</v>
      </c>
      <c r="V40" s="16">
        <v>0</v>
      </c>
    </row>
    <row r="41" spans="1:22" x14ac:dyDescent="0.25">
      <c r="A41" s="11" t="s">
        <v>174</v>
      </c>
      <c r="B41" s="13">
        <v>5712</v>
      </c>
      <c r="C41" s="14">
        <f>(4753/B41*100)</f>
        <v>83.210784313725497</v>
      </c>
      <c r="D41" s="15">
        <v>959</v>
      </c>
      <c r="E41" s="14">
        <v>32.008362509999998</v>
      </c>
      <c r="F41" s="16">
        <v>1.7736253900000001</v>
      </c>
      <c r="G41" s="14">
        <v>9.1519106200000007</v>
      </c>
      <c r="H41" s="16">
        <v>0.98145305000000005</v>
      </c>
      <c r="I41" s="14">
        <v>15.436951069999999</v>
      </c>
      <c r="J41" s="16">
        <v>1.21570471</v>
      </c>
      <c r="K41" s="14">
        <v>43.402775800000001</v>
      </c>
      <c r="L41" s="16">
        <v>1.7674998</v>
      </c>
      <c r="M41" s="14" t="s">
        <v>139</v>
      </c>
      <c r="N41" s="16" t="s">
        <v>139</v>
      </c>
      <c r="O41" s="14">
        <v>0</v>
      </c>
      <c r="P41" s="16">
        <v>0</v>
      </c>
      <c r="Q41" s="14">
        <v>0</v>
      </c>
      <c r="R41" s="16">
        <v>0</v>
      </c>
      <c r="S41" s="14">
        <v>0</v>
      </c>
      <c r="T41" s="16">
        <v>0</v>
      </c>
      <c r="U41" s="14">
        <v>0</v>
      </c>
      <c r="V41" s="16">
        <v>0</v>
      </c>
    </row>
    <row r="42" spans="1:22" x14ac:dyDescent="0.25">
      <c r="A42" s="11" t="s">
        <v>175</v>
      </c>
      <c r="B42" s="13">
        <f>IF(COUNT(B7:B41) &gt; 0, AVERAGE(B7:B41), "\u2014")</f>
        <v>7266.90625</v>
      </c>
      <c r="C42" s="14">
        <f>IF(COUNT(C7:C41) &gt; 0, AVERAGE(C7:C41), "—")</f>
        <v>83.006499411908919</v>
      </c>
      <c r="D42" s="15">
        <f>IF(COUNT(D7:D41) &gt; 0, AVERAGE(D7:D41), "—")</f>
        <v>1235.03125</v>
      </c>
      <c r="E42" s="14">
        <f>IF(COUNT(E7:E41) &gt; 0, AVERAGE(E7:E41), "—")</f>
        <v>31.690628012812493</v>
      </c>
      <c r="F42" s="16">
        <f>IF(COUNT(F7:F41) &gt; 0, SQRT(SUMSQ(F7:F41)/(COUNT(F7:F41)*COUNT(F7:F41)) ), "—")</f>
        <v>0.28042836451975917</v>
      </c>
      <c r="G42" s="14">
        <f>IF(COUNT(G7:G41) &gt; 0, AVERAGE(G7:G41), "—")</f>
        <v>9.7842760846874999</v>
      </c>
      <c r="H42" s="16">
        <f>IF(COUNT(H7:H41) &gt; 0, SQRT(SUMSQ(H7:H41)/(COUNT(H7:H41)*COUNT(H7:H41)) ), "—")</f>
        <v>0.17593114207613239</v>
      </c>
      <c r="I42" s="14">
        <f>IF(COUNT(I7:I41) &gt; 0, AVERAGE(I7:I41), "—")</f>
        <v>14.708102209374998</v>
      </c>
      <c r="J42" s="16">
        <f>IF(COUNT(J7:J41) &gt; 0, SQRT(SUMSQ(J7:J41)/(COUNT(J7:J41)*COUNT(J7:J41)) ), "—")</f>
        <v>0.21273630851081068</v>
      </c>
      <c r="K42" s="14">
        <f>IF(COUNT(K7:K41) &gt; 0, AVERAGE(K7:K41), "—")</f>
        <v>43.816993692499992</v>
      </c>
      <c r="L42" s="16">
        <f>IF(COUNT(L7:L41) &gt; 0, SQRT(SUMSQ(L7:L41)/(COUNT(L7:L41)*COUNT(L7:L41)) ), "—")</f>
        <v>0.29050281846868437</v>
      </c>
      <c r="M42" s="14" t="str">
        <f>IF(COUNT(M7:M41) &gt; 0, AVERAGE(M7:M41), "—")</f>
        <v>—</v>
      </c>
      <c r="N42" s="16" t="str">
        <f>IF(COUNT(N7:N41) &gt; 0, SQRT(SUMSQ(N7:N41)/(COUNT(N7:N41)*COUNT(N7:N41)) ), "—")</f>
        <v>—</v>
      </c>
      <c r="O42" s="14">
        <f>IF(COUNT(O7:O41) &gt; 0, AVERAGE(O7:O41), "—")</f>
        <v>0</v>
      </c>
      <c r="P42" s="16">
        <f>IF(COUNT(P7:P41) &gt; 0, SQRT(SUMSQ(P7:P41)/(COUNT(P7:P41)*COUNT(P7:P41)) ), "—")</f>
        <v>0</v>
      </c>
      <c r="Q42" s="14">
        <f>IF(COUNT(Q7:Q41) &gt; 0, AVERAGE(Q7:Q41), "—")</f>
        <v>0</v>
      </c>
      <c r="R42" s="16">
        <f>IF(COUNT(R7:R41) &gt; 0, SQRT(SUMSQ(R7:R41)/(COUNT(R7:R41)*COUNT(R7:R41)) ), "—")</f>
        <v>0</v>
      </c>
      <c r="S42" s="14">
        <f>IF(COUNT(S7:S41) &gt; 0, AVERAGE(S7:S41), "—")</f>
        <v>0</v>
      </c>
      <c r="T42" s="16">
        <f>IF(COUNT(T7:T41) &gt; 0, SQRT(SUMSQ(T7:T41)/(COUNT(T7:T41)*COUNT(T7:T41)) ), "—")</f>
        <v>0</v>
      </c>
      <c r="U42" s="14">
        <f>IF(COUNT(U7:U41) &gt; 0, AVERAGE(U7:U41), "—")</f>
        <v>0</v>
      </c>
      <c r="V42" s="16">
        <f>IF(COUNT(V7:V41) &gt; 0, SQRT(SUMSQ(V7:V41)/(COUNT(V7:V41)*COUNT(V7:V41)) ), "—")</f>
        <v>0</v>
      </c>
    </row>
    <row r="43" spans="1:22" x14ac:dyDescent="0.25">
      <c r="A43" s="9" t="s">
        <v>176</v>
      </c>
      <c r="B43" s="10"/>
      <c r="C43" s="10"/>
      <c r="D43" s="11"/>
      <c r="E43" s="10"/>
      <c r="F43" s="11"/>
      <c r="G43" s="10"/>
      <c r="H43" s="11"/>
      <c r="I43" s="10"/>
      <c r="J43" s="11"/>
      <c r="K43" s="10"/>
      <c r="L43" s="11"/>
      <c r="M43" s="10"/>
      <c r="N43" s="11"/>
      <c r="O43" s="10"/>
      <c r="P43" s="11"/>
      <c r="Q43" s="10"/>
      <c r="R43" s="11"/>
      <c r="S43" s="10"/>
      <c r="T43" s="11"/>
      <c r="U43" s="10"/>
      <c r="V43" s="12"/>
    </row>
    <row r="44" spans="1:22" x14ac:dyDescent="0.25">
      <c r="A44" s="11" t="s">
        <v>177</v>
      </c>
      <c r="B44" s="17" t="s">
        <v>154</v>
      </c>
      <c r="C44" s="17" t="s">
        <v>154</v>
      </c>
      <c r="D44" s="18" t="s">
        <v>154</v>
      </c>
      <c r="E44" s="17" t="s">
        <v>154</v>
      </c>
      <c r="F44" s="18" t="s">
        <v>154</v>
      </c>
      <c r="G44" s="17" t="s">
        <v>154</v>
      </c>
      <c r="H44" s="18" t="s">
        <v>154</v>
      </c>
      <c r="I44" s="17" t="s">
        <v>154</v>
      </c>
      <c r="J44" s="18" t="s">
        <v>154</v>
      </c>
      <c r="K44" s="17" t="s">
        <v>154</v>
      </c>
      <c r="L44" s="18" t="s">
        <v>154</v>
      </c>
      <c r="M44" s="17" t="s">
        <v>154</v>
      </c>
      <c r="N44" s="18" t="s">
        <v>154</v>
      </c>
      <c r="O44" s="17" t="s">
        <v>154</v>
      </c>
      <c r="P44" s="18" t="s">
        <v>154</v>
      </c>
      <c r="Q44" s="17" t="s">
        <v>154</v>
      </c>
      <c r="R44" s="18" t="s">
        <v>154</v>
      </c>
      <c r="S44" s="17" t="s">
        <v>154</v>
      </c>
      <c r="T44" s="18" t="s">
        <v>154</v>
      </c>
      <c r="U44" s="17" t="s">
        <v>154</v>
      </c>
      <c r="V44" s="18" t="s">
        <v>154</v>
      </c>
    </row>
    <row r="45" spans="1:22" x14ac:dyDescent="0.25">
      <c r="A45" s="11" t="s">
        <v>178</v>
      </c>
      <c r="B45" s="17" t="s">
        <v>154</v>
      </c>
      <c r="C45" s="17" t="s">
        <v>154</v>
      </c>
      <c r="D45" s="18" t="s">
        <v>154</v>
      </c>
      <c r="E45" s="17" t="s">
        <v>154</v>
      </c>
      <c r="F45" s="18" t="s">
        <v>154</v>
      </c>
      <c r="G45" s="17" t="s">
        <v>154</v>
      </c>
      <c r="H45" s="18" t="s">
        <v>154</v>
      </c>
      <c r="I45" s="17" t="s">
        <v>154</v>
      </c>
      <c r="J45" s="18" t="s">
        <v>154</v>
      </c>
      <c r="K45" s="17" t="s">
        <v>154</v>
      </c>
      <c r="L45" s="18" t="s">
        <v>154</v>
      </c>
      <c r="M45" s="17" t="s">
        <v>154</v>
      </c>
      <c r="N45" s="18" t="s">
        <v>154</v>
      </c>
      <c r="O45" s="17" t="s">
        <v>154</v>
      </c>
      <c r="P45" s="18" t="s">
        <v>154</v>
      </c>
      <c r="Q45" s="17" t="s">
        <v>154</v>
      </c>
      <c r="R45" s="18" t="s">
        <v>154</v>
      </c>
      <c r="S45" s="17" t="s">
        <v>154</v>
      </c>
      <c r="T45" s="18" t="s">
        <v>154</v>
      </c>
      <c r="U45" s="17" t="s">
        <v>154</v>
      </c>
      <c r="V45" s="18" t="s">
        <v>154</v>
      </c>
    </row>
    <row r="46" spans="1:22" x14ac:dyDescent="0.25">
      <c r="A46" s="11" t="s">
        <v>179</v>
      </c>
      <c r="B46" s="13">
        <v>23141</v>
      </c>
      <c r="C46" s="14">
        <f>(19783/B46*100)</f>
        <v>85.488958990536275</v>
      </c>
      <c r="D46" s="15">
        <v>3358</v>
      </c>
      <c r="E46" s="14">
        <v>60.08931157</v>
      </c>
      <c r="F46" s="16">
        <v>1.43937509</v>
      </c>
      <c r="G46" s="14">
        <v>10.3674079</v>
      </c>
      <c r="H46" s="16">
        <v>0.73052412</v>
      </c>
      <c r="I46" s="14">
        <v>9.7521182500000005</v>
      </c>
      <c r="J46" s="16">
        <v>0.70320174999999996</v>
      </c>
      <c r="K46" s="14">
        <v>19.791162280000002</v>
      </c>
      <c r="L46" s="16">
        <v>1.23096469</v>
      </c>
      <c r="M46" s="14" t="s">
        <v>139</v>
      </c>
      <c r="N46" s="16" t="s">
        <v>139</v>
      </c>
      <c r="O46" s="14">
        <v>0</v>
      </c>
      <c r="P46" s="16">
        <v>0</v>
      </c>
      <c r="Q46" s="14">
        <v>0</v>
      </c>
      <c r="R46" s="16">
        <v>0</v>
      </c>
      <c r="S46" s="14">
        <v>0</v>
      </c>
      <c r="T46" s="16">
        <v>0</v>
      </c>
      <c r="U46" s="14">
        <v>0</v>
      </c>
      <c r="V46" s="16">
        <v>0</v>
      </c>
    </row>
    <row r="47" spans="1:22" x14ac:dyDescent="0.25">
      <c r="A47" s="11" t="s">
        <v>180</v>
      </c>
      <c r="B47" s="13">
        <v>5928</v>
      </c>
      <c r="C47" s="14">
        <f>(4923/B47*100)</f>
        <v>83.046558704453446</v>
      </c>
      <c r="D47" s="15">
        <v>1005</v>
      </c>
      <c r="E47" s="14">
        <v>48.27777099</v>
      </c>
      <c r="F47" s="16">
        <v>1.75104623</v>
      </c>
      <c r="G47" s="14">
        <v>12.1462784</v>
      </c>
      <c r="H47" s="16">
        <v>1.06628356</v>
      </c>
      <c r="I47" s="14">
        <v>10.139534149999999</v>
      </c>
      <c r="J47" s="16">
        <v>0.98714586000000004</v>
      </c>
      <c r="K47" s="14">
        <v>29.43641646</v>
      </c>
      <c r="L47" s="16">
        <v>1.53031004</v>
      </c>
      <c r="M47" s="14" t="s">
        <v>139</v>
      </c>
      <c r="N47" s="16" t="s">
        <v>139</v>
      </c>
      <c r="O47" s="14">
        <v>0</v>
      </c>
      <c r="P47" s="16">
        <v>0</v>
      </c>
      <c r="Q47" s="14">
        <v>0</v>
      </c>
      <c r="R47" s="16">
        <v>0</v>
      </c>
      <c r="S47" s="14">
        <v>0</v>
      </c>
      <c r="T47" s="16">
        <v>0</v>
      </c>
      <c r="U47" s="14">
        <v>0</v>
      </c>
      <c r="V47" s="16">
        <v>0</v>
      </c>
    </row>
    <row r="48" spans="1:22" x14ac:dyDescent="0.25">
      <c r="A48" s="11" t="s">
        <v>181</v>
      </c>
      <c r="B48" s="13">
        <v>9841</v>
      </c>
      <c r="C48" s="14">
        <f>(8132/B48*100)</f>
        <v>82.633878670866778</v>
      </c>
      <c r="D48" s="15">
        <v>1709</v>
      </c>
      <c r="E48" s="14">
        <v>33.011773140000003</v>
      </c>
      <c r="F48" s="16">
        <v>1.5575810299999999</v>
      </c>
      <c r="G48" s="14">
        <v>13.282546139999999</v>
      </c>
      <c r="H48" s="16">
        <v>1.15698893</v>
      </c>
      <c r="I48" s="14">
        <v>14.51169039</v>
      </c>
      <c r="J48" s="16">
        <v>1.0450582100000001</v>
      </c>
      <c r="K48" s="14">
        <v>39.193990329999998</v>
      </c>
      <c r="L48" s="16">
        <v>1.6182970699999999</v>
      </c>
      <c r="M48" s="14" t="s">
        <v>139</v>
      </c>
      <c r="N48" s="16" t="s">
        <v>139</v>
      </c>
      <c r="O48" s="14">
        <v>0</v>
      </c>
      <c r="P48" s="16">
        <v>0</v>
      </c>
      <c r="Q48" s="14">
        <v>0</v>
      </c>
      <c r="R48" s="16">
        <v>0</v>
      </c>
      <c r="S48" s="14">
        <v>0</v>
      </c>
      <c r="T48" s="16">
        <v>0</v>
      </c>
      <c r="U48" s="14">
        <v>0</v>
      </c>
      <c r="V48" s="16">
        <v>0</v>
      </c>
    </row>
    <row r="49" spans="1:22" x14ac:dyDescent="0.25">
      <c r="A49" s="11" t="s">
        <v>182</v>
      </c>
      <c r="B49" s="17" t="s">
        <v>154</v>
      </c>
      <c r="C49" s="17" t="s">
        <v>154</v>
      </c>
      <c r="D49" s="18" t="s">
        <v>154</v>
      </c>
      <c r="E49" s="17" t="s">
        <v>154</v>
      </c>
      <c r="F49" s="18" t="s">
        <v>154</v>
      </c>
      <c r="G49" s="17" t="s">
        <v>154</v>
      </c>
      <c r="H49" s="18" t="s">
        <v>154</v>
      </c>
      <c r="I49" s="17" t="s">
        <v>154</v>
      </c>
      <c r="J49" s="18" t="s">
        <v>154</v>
      </c>
      <c r="K49" s="17" t="s">
        <v>154</v>
      </c>
      <c r="L49" s="18" t="s">
        <v>154</v>
      </c>
      <c r="M49" s="17" t="s">
        <v>154</v>
      </c>
      <c r="N49" s="18" t="s">
        <v>154</v>
      </c>
      <c r="O49" s="17" t="s">
        <v>154</v>
      </c>
      <c r="P49" s="18" t="s">
        <v>154</v>
      </c>
      <c r="Q49" s="17" t="s">
        <v>154</v>
      </c>
      <c r="R49" s="18" t="s">
        <v>154</v>
      </c>
      <c r="S49" s="17" t="s">
        <v>154</v>
      </c>
      <c r="T49" s="18" t="s">
        <v>154</v>
      </c>
      <c r="U49" s="17" t="s">
        <v>154</v>
      </c>
      <c r="V49" s="18" t="s">
        <v>154</v>
      </c>
    </row>
    <row r="50" spans="1:22" x14ac:dyDescent="0.25">
      <c r="A50" s="11" t="s">
        <v>183</v>
      </c>
      <c r="B50" s="13">
        <v>11795</v>
      </c>
      <c r="C50" s="14">
        <f>(9826/B50*100)</f>
        <v>83.306485799067403</v>
      </c>
      <c r="D50" s="15">
        <v>1969</v>
      </c>
      <c r="E50" s="14">
        <v>53.36336506</v>
      </c>
      <c r="F50" s="16">
        <v>1.5704085800000001</v>
      </c>
      <c r="G50" s="14">
        <v>14.50738602</v>
      </c>
      <c r="H50" s="16">
        <v>0.81892427000000001</v>
      </c>
      <c r="I50" s="14">
        <v>10.451056250000001</v>
      </c>
      <c r="J50" s="16">
        <v>0.79942347000000002</v>
      </c>
      <c r="K50" s="14">
        <v>21.678192660000001</v>
      </c>
      <c r="L50" s="16">
        <v>1.3527872599999999</v>
      </c>
      <c r="M50" s="14" t="s">
        <v>139</v>
      </c>
      <c r="N50" s="16" t="s">
        <v>139</v>
      </c>
      <c r="O50" s="14">
        <v>0</v>
      </c>
      <c r="P50" s="16">
        <v>0</v>
      </c>
      <c r="Q50" s="14">
        <v>0</v>
      </c>
      <c r="R50" s="16">
        <v>0</v>
      </c>
      <c r="S50" s="14">
        <v>0</v>
      </c>
      <c r="T50" s="16">
        <v>0</v>
      </c>
      <c r="U50" s="14">
        <v>0</v>
      </c>
      <c r="V50" s="16">
        <v>0</v>
      </c>
    </row>
    <row r="51" spans="1:22" x14ac:dyDescent="0.25">
      <c r="A51" s="11" t="s">
        <v>184</v>
      </c>
      <c r="B51" s="13">
        <v>6866</v>
      </c>
      <c r="C51" s="14">
        <f>(5835/B51*100)</f>
        <v>84.983979027090001</v>
      </c>
      <c r="D51" s="15">
        <v>1031</v>
      </c>
      <c r="E51" s="14">
        <v>50.054575239999998</v>
      </c>
      <c r="F51" s="16">
        <v>1.6458329700000001</v>
      </c>
      <c r="G51" s="14">
        <v>11.6939867</v>
      </c>
      <c r="H51" s="16">
        <v>1.0115252100000001</v>
      </c>
      <c r="I51" s="14">
        <v>12.99619925</v>
      </c>
      <c r="J51" s="16">
        <v>1.21282797</v>
      </c>
      <c r="K51" s="14">
        <v>25.255238819999999</v>
      </c>
      <c r="L51" s="16">
        <v>1.3893017400000001</v>
      </c>
      <c r="M51" s="14" t="s">
        <v>139</v>
      </c>
      <c r="N51" s="16" t="s">
        <v>139</v>
      </c>
      <c r="O51" s="14">
        <v>0</v>
      </c>
      <c r="P51" s="16">
        <v>0</v>
      </c>
      <c r="Q51" s="14">
        <v>0</v>
      </c>
      <c r="R51" s="16">
        <v>0</v>
      </c>
      <c r="S51" s="14">
        <v>0</v>
      </c>
      <c r="T51" s="16">
        <v>0</v>
      </c>
      <c r="U51" s="14">
        <v>0</v>
      </c>
      <c r="V51" s="16">
        <v>0</v>
      </c>
    </row>
    <row r="52" spans="1:22" x14ac:dyDescent="0.25">
      <c r="A52" s="11" t="s">
        <v>185</v>
      </c>
      <c r="B52" s="13">
        <v>5809</v>
      </c>
      <c r="C52" s="14">
        <f>(4824/B52*100)</f>
        <v>83.043553107247376</v>
      </c>
      <c r="D52" s="15">
        <v>985</v>
      </c>
      <c r="E52" s="14">
        <v>53.632812119999997</v>
      </c>
      <c r="F52" s="16">
        <v>1.88542261</v>
      </c>
      <c r="G52" s="14">
        <v>6.8499182000000003</v>
      </c>
      <c r="H52" s="16">
        <v>0.86053796999999999</v>
      </c>
      <c r="I52" s="14">
        <v>8.4911729000000005</v>
      </c>
      <c r="J52" s="16">
        <v>1.05179888</v>
      </c>
      <c r="K52" s="14">
        <v>31.02609678</v>
      </c>
      <c r="L52" s="16">
        <v>1.59863445</v>
      </c>
      <c r="M52" s="14" t="s">
        <v>139</v>
      </c>
      <c r="N52" s="16" t="s">
        <v>139</v>
      </c>
      <c r="O52" s="14">
        <v>0</v>
      </c>
      <c r="P52" s="16">
        <v>0</v>
      </c>
      <c r="Q52" s="14">
        <v>0</v>
      </c>
      <c r="R52" s="16">
        <v>0</v>
      </c>
      <c r="S52" s="14">
        <v>0</v>
      </c>
      <c r="T52" s="16">
        <v>0</v>
      </c>
      <c r="U52" s="14">
        <v>0</v>
      </c>
      <c r="V52" s="16">
        <v>0</v>
      </c>
    </row>
    <row r="53" spans="1:22" x14ac:dyDescent="0.25">
      <c r="A53" s="11" t="s">
        <v>186</v>
      </c>
      <c r="B53" s="13">
        <v>5571</v>
      </c>
      <c r="C53" s="14">
        <f>(4602/B53*100)</f>
        <v>82.606354334948833</v>
      </c>
      <c r="D53" s="15">
        <v>969</v>
      </c>
      <c r="E53" s="14">
        <v>43.99397123</v>
      </c>
      <c r="F53" s="16">
        <v>1.6871355100000001</v>
      </c>
      <c r="G53" s="14">
        <v>13.11435178</v>
      </c>
      <c r="H53" s="16">
        <v>1.16599721</v>
      </c>
      <c r="I53" s="14">
        <v>11.21545691</v>
      </c>
      <c r="J53" s="16">
        <v>1.01576292</v>
      </c>
      <c r="K53" s="14">
        <v>31.67622008</v>
      </c>
      <c r="L53" s="16">
        <v>1.6614835800000001</v>
      </c>
      <c r="M53" s="14" t="s">
        <v>139</v>
      </c>
      <c r="N53" s="16" t="s">
        <v>139</v>
      </c>
      <c r="O53" s="14">
        <v>0</v>
      </c>
      <c r="P53" s="16">
        <v>0</v>
      </c>
      <c r="Q53" s="14">
        <v>0</v>
      </c>
      <c r="R53" s="16">
        <v>0</v>
      </c>
      <c r="S53" s="14">
        <v>0</v>
      </c>
      <c r="T53" s="16">
        <v>0</v>
      </c>
      <c r="U53" s="14">
        <v>0</v>
      </c>
      <c r="V53" s="16">
        <v>0</v>
      </c>
    </row>
    <row r="54" spans="1:22" x14ac:dyDescent="0.25">
      <c r="A54" s="11" t="s">
        <v>187</v>
      </c>
      <c r="B54" s="17" t="s">
        <v>154</v>
      </c>
      <c r="C54" s="17" t="s">
        <v>154</v>
      </c>
      <c r="D54" s="18" t="s">
        <v>154</v>
      </c>
      <c r="E54" s="17" t="s">
        <v>154</v>
      </c>
      <c r="F54" s="18" t="s">
        <v>154</v>
      </c>
      <c r="G54" s="17" t="s">
        <v>154</v>
      </c>
      <c r="H54" s="18" t="s">
        <v>154</v>
      </c>
      <c r="I54" s="17" t="s">
        <v>154</v>
      </c>
      <c r="J54" s="18" t="s">
        <v>154</v>
      </c>
      <c r="K54" s="17" t="s">
        <v>154</v>
      </c>
      <c r="L54" s="18" t="s">
        <v>154</v>
      </c>
      <c r="M54" s="17" t="s">
        <v>154</v>
      </c>
      <c r="N54" s="18" t="s">
        <v>154</v>
      </c>
      <c r="O54" s="17" t="s">
        <v>154</v>
      </c>
      <c r="P54" s="18" t="s">
        <v>154</v>
      </c>
      <c r="Q54" s="17" t="s">
        <v>154</v>
      </c>
      <c r="R54" s="18" t="s">
        <v>154</v>
      </c>
      <c r="S54" s="17" t="s">
        <v>154</v>
      </c>
      <c r="T54" s="18" t="s">
        <v>154</v>
      </c>
      <c r="U54" s="17" t="s">
        <v>154</v>
      </c>
      <c r="V54" s="18" t="s">
        <v>154</v>
      </c>
    </row>
    <row r="55" spans="1:22" x14ac:dyDescent="0.25">
      <c r="A55" s="11" t="s">
        <v>188</v>
      </c>
      <c r="B55" s="17" t="s">
        <v>154</v>
      </c>
      <c r="C55" s="17" t="s">
        <v>154</v>
      </c>
      <c r="D55" s="18" t="s">
        <v>154</v>
      </c>
      <c r="E55" s="17" t="s">
        <v>154</v>
      </c>
      <c r="F55" s="18" t="s">
        <v>154</v>
      </c>
      <c r="G55" s="17" t="s">
        <v>154</v>
      </c>
      <c r="H55" s="18" t="s">
        <v>154</v>
      </c>
      <c r="I55" s="17" t="s">
        <v>154</v>
      </c>
      <c r="J55" s="18" t="s">
        <v>154</v>
      </c>
      <c r="K55" s="17" t="s">
        <v>154</v>
      </c>
      <c r="L55" s="18" t="s">
        <v>154</v>
      </c>
      <c r="M55" s="17" t="s">
        <v>154</v>
      </c>
      <c r="N55" s="18" t="s">
        <v>154</v>
      </c>
      <c r="O55" s="17" t="s">
        <v>154</v>
      </c>
      <c r="P55" s="18" t="s">
        <v>154</v>
      </c>
      <c r="Q55" s="17" t="s">
        <v>154</v>
      </c>
      <c r="R55" s="18" t="s">
        <v>154</v>
      </c>
      <c r="S55" s="17" t="s">
        <v>154</v>
      </c>
      <c r="T55" s="18" t="s">
        <v>154</v>
      </c>
      <c r="U55" s="17" t="s">
        <v>154</v>
      </c>
      <c r="V55" s="18" t="s">
        <v>154</v>
      </c>
    </row>
    <row r="56" spans="1:22" x14ac:dyDescent="0.25">
      <c r="A56" s="11" t="s">
        <v>189</v>
      </c>
      <c r="B56" s="13">
        <v>5359</v>
      </c>
      <c r="C56" s="14">
        <f>(4424/B56*100)</f>
        <v>82.552715058779626</v>
      </c>
      <c r="D56" s="15">
        <v>935</v>
      </c>
      <c r="E56" s="14">
        <v>19.306622170000001</v>
      </c>
      <c r="F56" s="16">
        <v>1.1820984000000001</v>
      </c>
      <c r="G56" s="14">
        <v>11.80981852</v>
      </c>
      <c r="H56" s="16">
        <v>1.2344170999999999</v>
      </c>
      <c r="I56" s="14">
        <v>21.51081894</v>
      </c>
      <c r="J56" s="16">
        <v>1.4111265500000001</v>
      </c>
      <c r="K56" s="14">
        <v>47.372740370000002</v>
      </c>
      <c r="L56" s="16">
        <v>1.8499713099999999</v>
      </c>
      <c r="M56" s="14" t="s">
        <v>139</v>
      </c>
      <c r="N56" s="16" t="s">
        <v>139</v>
      </c>
      <c r="O56" s="14">
        <v>0</v>
      </c>
      <c r="P56" s="16">
        <v>0</v>
      </c>
      <c r="Q56" s="14">
        <v>0</v>
      </c>
      <c r="R56" s="16">
        <v>0</v>
      </c>
      <c r="S56" s="14">
        <v>0</v>
      </c>
      <c r="T56" s="16">
        <v>0</v>
      </c>
      <c r="U56" s="14">
        <v>0</v>
      </c>
      <c r="V56" s="16">
        <v>0</v>
      </c>
    </row>
    <row r="57" spans="1:22" x14ac:dyDescent="0.25">
      <c r="A57" s="11" t="s">
        <v>190</v>
      </c>
      <c r="B57" s="17" t="s">
        <v>154</v>
      </c>
      <c r="C57" s="17" t="s">
        <v>154</v>
      </c>
      <c r="D57" s="18" t="s">
        <v>154</v>
      </c>
      <c r="E57" s="17" t="s">
        <v>154</v>
      </c>
      <c r="F57" s="18" t="s">
        <v>154</v>
      </c>
      <c r="G57" s="17" t="s">
        <v>154</v>
      </c>
      <c r="H57" s="18" t="s">
        <v>154</v>
      </c>
      <c r="I57" s="17" t="s">
        <v>154</v>
      </c>
      <c r="J57" s="18" t="s">
        <v>154</v>
      </c>
      <c r="K57" s="17" t="s">
        <v>154</v>
      </c>
      <c r="L57" s="18" t="s">
        <v>154</v>
      </c>
      <c r="M57" s="17" t="s">
        <v>154</v>
      </c>
      <c r="N57" s="18" t="s">
        <v>154</v>
      </c>
      <c r="O57" s="17" t="s">
        <v>154</v>
      </c>
      <c r="P57" s="18" t="s">
        <v>154</v>
      </c>
      <c r="Q57" s="17" t="s">
        <v>154</v>
      </c>
      <c r="R57" s="18" t="s">
        <v>154</v>
      </c>
      <c r="S57" s="17" t="s">
        <v>154</v>
      </c>
      <c r="T57" s="18" t="s">
        <v>154</v>
      </c>
      <c r="U57" s="17" t="s">
        <v>154</v>
      </c>
      <c r="V57" s="18" t="s">
        <v>154</v>
      </c>
    </row>
    <row r="58" spans="1:22" x14ac:dyDescent="0.25">
      <c r="A58" s="11" t="s">
        <v>191</v>
      </c>
      <c r="B58" s="17" t="s">
        <v>154</v>
      </c>
      <c r="C58" s="17" t="s">
        <v>154</v>
      </c>
      <c r="D58" s="18" t="s">
        <v>154</v>
      </c>
      <c r="E58" s="17" t="s">
        <v>154</v>
      </c>
      <c r="F58" s="18" t="s">
        <v>154</v>
      </c>
      <c r="G58" s="17" t="s">
        <v>154</v>
      </c>
      <c r="H58" s="18" t="s">
        <v>154</v>
      </c>
      <c r="I58" s="17" t="s">
        <v>154</v>
      </c>
      <c r="J58" s="18" t="s">
        <v>154</v>
      </c>
      <c r="K58" s="17" t="s">
        <v>154</v>
      </c>
      <c r="L58" s="18" t="s">
        <v>154</v>
      </c>
      <c r="M58" s="17" t="s">
        <v>154</v>
      </c>
      <c r="N58" s="18" t="s">
        <v>154</v>
      </c>
      <c r="O58" s="17" t="s">
        <v>154</v>
      </c>
      <c r="P58" s="18" t="s">
        <v>154</v>
      </c>
      <c r="Q58" s="17" t="s">
        <v>154</v>
      </c>
      <c r="R58" s="18" t="s">
        <v>154</v>
      </c>
      <c r="S58" s="17" t="s">
        <v>154</v>
      </c>
      <c r="T58" s="18" t="s">
        <v>154</v>
      </c>
      <c r="U58" s="17" t="s">
        <v>154</v>
      </c>
      <c r="V58" s="18" t="s">
        <v>154</v>
      </c>
    </row>
    <row r="59" spans="1:22" x14ac:dyDescent="0.25">
      <c r="A59" s="11" t="s">
        <v>192</v>
      </c>
      <c r="B59" s="17" t="s">
        <v>154</v>
      </c>
      <c r="C59" s="17" t="s">
        <v>154</v>
      </c>
      <c r="D59" s="18" t="s">
        <v>154</v>
      </c>
      <c r="E59" s="17" t="s">
        <v>154</v>
      </c>
      <c r="F59" s="18" t="s">
        <v>154</v>
      </c>
      <c r="G59" s="17" t="s">
        <v>154</v>
      </c>
      <c r="H59" s="18" t="s">
        <v>154</v>
      </c>
      <c r="I59" s="17" t="s">
        <v>154</v>
      </c>
      <c r="J59" s="18" t="s">
        <v>154</v>
      </c>
      <c r="K59" s="17" t="s">
        <v>154</v>
      </c>
      <c r="L59" s="18" t="s">
        <v>154</v>
      </c>
      <c r="M59" s="17" t="s">
        <v>154</v>
      </c>
      <c r="N59" s="18" t="s">
        <v>154</v>
      </c>
      <c r="O59" s="17" t="s">
        <v>154</v>
      </c>
      <c r="P59" s="18" t="s">
        <v>154</v>
      </c>
      <c r="Q59" s="17" t="s">
        <v>154</v>
      </c>
      <c r="R59" s="18" t="s">
        <v>154</v>
      </c>
      <c r="S59" s="17" t="s">
        <v>154</v>
      </c>
      <c r="T59" s="18" t="s">
        <v>154</v>
      </c>
      <c r="U59" s="17" t="s">
        <v>154</v>
      </c>
      <c r="V59" s="18" t="s">
        <v>154</v>
      </c>
    </row>
    <row r="60" spans="1:22" x14ac:dyDescent="0.25">
      <c r="A60" s="11" t="s">
        <v>193</v>
      </c>
      <c r="B60" s="17" t="s">
        <v>154</v>
      </c>
      <c r="C60" s="17" t="s">
        <v>154</v>
      </c>
      <c r="D60" s="18" t="s">
        <v>154</v>
      </c>
      <c r="E60" s="17" t="s">
        <v>154</v>
      </c>
      <c r="F60" s="18" t="s">
        <v>154</v>
      </c>
      <c r="G60" s="17" t="s">
        <v>154</v>
      </c>
      <c r="H60" s="18" t="s">
        <v>154</v>
      </c>
      <c r="I60" s="17" t="s">
        <v>154</v>
      </c>
      <c r="J60" s="18" t="s">
        <v>154</v>
      </c>
      <c r="K60" s="17" t="s">
        <v>154</v>
      </c>
      <c r="L60" s="18" t="s">
        <v>154</v>
      </c>
      <c r="M60" s="17" t="s">
        <v>154</v>
      </c>
      <c r="N60" s="18" t="s">
        <v>154</v>
      </c>
      <c r="O60" s="17" t="s">
        <v>154</v>
      </c>
      <c r="P60" s="18" t="s">
        <v>154</v>
      </c>
      <c r="Q60" s="17" t="s">
        <v>154</v>
      </c>
      <c r="R60" s="18" t="s">
        <v>154</v>
      </c>
      <c r="S60" s="17" t="s">
        <v>154</v>
      </c>
      <c r="T60" s="18" t="s">
        <v>154</v>
      </c>
      <c r="U60" s="17" t="s">
        <v>154</v>
      </c>
      <c r="V60" s="18" t="s">
        <v>154</v>
      </c>
    </row>
    <row r="61" spans="1:22" x14ac:dyDescent="0.25">
      <c r="A61" s="11" t="s">
        <v>194</v>
      </c>
      <c r="B61" s="13">
        <v>6525</v>
      </c>
      <c r="C61" s="14">
        <f>(5415/B61*100)</f>
        <v>82.988505747126439</v>
      </c>
      <c r="D61" s="15">
        <v>1110</v>
      </c>
      <c r="E61" s="14">
        <v>43.654582730000001</v>
      </c>
      <c r="F61" s="16">
        <v>1.6434229</v>
      </c>
      <c r="G61" s="14">
        <v>8.8780241899999996</v>
      </c>
      <c r="H61" s="16">
        <v>1.0629360699999999</v>
      </c>
      <c r="I61" s="14">
        <v>13.93113305</v>
      </c>
      <c r="J61" s="16">
        <v>1.2739718600000001</v>
      </c>
      <c r="K61" s="14">
        <v>33.536260030000001</v>
      </c>
      <c r="L61" s="16">
        <v>1.5483984200000001</v>
      </c>
      <c r="M61" s="14" t="s">
        <v>139</v>
      </c>
      <c r="N61" s="16" t="s">
        <v>139</v>
      </c>
      <c r="O61" s="14">
        <v>0</v>
      </c>
      <c r="P61" s="16">
        <v>0</v>
      </c>
      <c r="Q61" s="14">
        <v>0</v>
      </c>
      <c r="R61" s="16">
        <v>0</v>
      </c>
      <c r="S61" s="14">
        <v>0</v>
      </c>
      <c r="T61" s="16">
        <v>0</v>
      </c>
      <c r="U61" s="14">
        <v>0</v>
      </c>
      <c r="V61" s="16">
        <v>0</v>
      </c>
    </row>
    <row r="62" spans="1:22" x14ac:dyDescent="0.25">
      <c r="A62" s="11" t="s">
        <v>195</v>
      </c>
      <c r="B62" s="13">
        <v>4476</v>
      </c>
      <c r="C62" s="14">
        <f>(3712/B62*100)</f>
        <v>82.931188561215379</v>
      </c>
      <c r="D62" s="15">
        <v>764</v>
      </c>
      <c r="E62" s="14">
        <v>25.144094160000002</v>
      </c>
      <c r="F62" s="16">
        <v>1.49497429</v>
      </c>
      <c r="G62" s="14">
        <v>10.491496919999999</v>
      </c>
      <c r="H62" s="16">
        <v>1.1133238299999999</v>
      </c>
      <c r="I62" s="14">
        <v>14.817293729999999</v>
      </c>
      <c r="J62" s="16">
        <v>1.3197631400000001</v>
      </c>
      <c r="K62" s="14">
        <v>49.5471152</v>
      </c>
      <c r="L62" s="16">
        <v>1.65252709</v>
      </c>
      <c r="M62" s="14" t="s">
        <v>139</v>
      </c>
      <c r="N62" s="16" t="s">
        <v>139</v>
      </c>
      <c r="O62" s="14">
        <v>0</v>
      </c>
      <c r="P62" s="16">
        <v>0</v>
      </c>
      <c r="Q62" s="14">
        <v>0</v>
      </c>
      <c r="R62" s="16">
        <v>0</v>
      </c>
      <c r="S62" s="14">
        <v>0</v>
      </c>
      <c r="T62" s="16">
        <v>0</v>
      </c>
      <c r="U62" s="14">
        <v>0</v>
      </c>
      <c r="V62" s="16">
        <v>0</v>
      </c>
    </row>
    <row r="63" spans="1:22" x14ac:dyDescent="0.25">
      <c r="A63" s="11" t="s">
        <v>196</v>
      </c>
      <c r="B63" s="17" t="s">
        <v>154</v>
      </c>
      <c r="C63" s="17" t="s">
        <v>154</v>
      </c>
      <c r="D63" s="18" t="s">
        <v>154</v>
      </c>
      <c r="E63" s="17" t="s">
        <v>154</v>
      </c>
      <c r="F63" s="18" t="s">
        <v>154</v>
      </c>
      <c r="G63" s="17" t="s">
        <v>154</v>
      </c>
      <c r="H63" s="18" t="s">
        <v>154</v>
      </c>
      <c r="I63" s="17" t="s">
        <v>154</v>
      </c>
      <c r="J63" s="18" t="s">
        <v>154</v>
      </c>
      <c r="K63" s="17" t="s">
        <v>154</v>
      </c>
      <c r="L63" s="18" t="s">
        <v>154</v>
      </c>
      <c r="M63" s="17" t="s">
        <v>154</v>
      </c>
      <c r="N63" s="18" t="s">
        <v>154</v>
      </c>
      <c r="O63" s="17" t="s">
        <v>154</v>
      </c>
      <c r="P63" s="18" t="s">
        <v>154</v>
      </c>
      <c r="Q63" s="17" t="s">
        <v>154</v>
      </c>
      <c r="R63" s="18" t="s">
        <v>154</v>
      </c>
      <c r="S63" s="17" t="s">
        <v>154</v>
      </c>
      <c r="T63" s="18" t="s">
        <v>154</v>
      </c>
      <c r="U63" s="17" t="s">
        <v>154</v>
      </c>
      <c r="V63" s="18" t="s">
        <v>154</v>
      </c>
    </row>
    <row r="64" spans="1:22" x14ac:dyDescent="0.25">
      <c r="A64" s="11" t="s">
        <v>197</v>
      </c>
      <c r="B64" s="17" t="s">
        <v>154</v>
      </c>
      <c r="C64" s="17" t="s">
        <v>154</v>
      </c>
      <c r="D64" s="18" t="s">
        <v>154</v>
      </c>
      <c r="E64" s="17" t="s">
        <v>154</v>
      </c>
      <c r="F64" s="18" t="s">
        <v>154</v>
      </c>
      <c r="G64" s="17" t="s">
        <v>154</v>
      </c>
      <c r="H64" s="18" t="s">
        <v>154</v>
      </c>
      <c r="I64" s="17" t="s">
        <v>154</v>
      </c>
      <c r="J64" s="18" t="s">
        <v>154</v>
      </c>
      <c r="K64" s="17" t="s">
        <v>154</v>
      </c>
      <c r="L64" s="18" t="s">
        <v>154</v>
      </c>
      <c r="M64" s="17" t="s">
        <v>154</v>
      </c>
      <c r="N64" s="18" t="s">
        <v>154</v>
      </c>
      <c r="O64" s="17" t="s">
        <v>154</v>
      </c>
      <c r="P64" s="18" t="s">
        <v>154</v>
      </c>
      <c r="Q64" s="17" t="s">
        <v>154</v>
      </c>
      <c r="R64" s="18" t="s">
        <v>154</v>
      </c>
      <c r="S64" s="17" t="s">
        <v>154</v>
      </c>
      <c r="T64" s="18" t="s">
        <v>154</v>
      </c>
      <c r="U64" s="17" t="s">
        <v>154</v>
      </c>
      <c r="V64" s="18" t="s">
        <v>154</v>
      </c>
    </row>
    <row r="65" spans="1:22" x14ac:dyDescent="0.25">
      <c r="A65" s="11" t="s">
        <v>198</v>
      </c>
      <c r="B65" s="17" t="s">
        <v>154</v>
      </c>
      <c r="C65" s="17" t="s">
        <v>154</v>
      </c>
      <c r="D65" s="18" t="s">
        <v>154</v>
      </c>
      <c r="E65" s="17" t="s">
        <v>154</v>
      </c>
      <c r="F65" s="18" t="s">
        <v>154</v>
      </c>
      <c r="G65" s="17" t="s">
        <v>154</v>
      </c>
      <c r="H65" s="18" t="s">
        <v>154</v>
      </c>
      <c r="I65" s="17" t="s">
        <v>154</v>
      </c>
      <c r="J65" s="18" t="s">
        <v>154</v>
      </c>
      <c r="K65" s="17" t="s">
        <v>154</v>
      </c>
      <c r="L65" s="18" t="s">
        <v>154</v>
      </c>
      <c r="M65" s="17" t="s">
        <v>154</v>
      </c>
      <c r="N65" s="18" t="s">
        <v>154</v>
      </c>
      <c r="O65" s="17" t="s">
        <v>154</v>
      </c>
      <c r="P65" s="18" t="s">
        <v>154</v>
      </c>
      <c r="Q65" s="17" t="s">
        <v>154</v>
      </c>
      <c r="R65" s="18" t="s">
        <v>154</v>
      </c>
      <c r="S65" s="17" t="s">
        <v>154</v>
      </c>
      <c r="T65" s="18" t="s">
        <v>154</v>
      </c>
      <c r="U65" s="17" t="s">
        <v>154</v>
      </c>
      <c r="V65" s="18" t="s">
        <v>154</v>
      </c>
    </row>
    <row r="66" spans="1:22" x14ac:dyDescent="0.25">
      <c r="A66" s="11" t="s">
        <v>199</v>
      </c>
      <c r="B66" s="13">
        <v>5665</v>
      </c>
      <c r="C66" s="14">
        <f>(4711/B66*100)</f>
        <v>83.159752868490727</v>
      </c>
      <c r="D66" s="15">
        <v>954</v>
      </c>
      <c r="E66" s="14">
        <v>60.34357988</v>
      </c>
      <c r="F66" s="16">
        <v>1.5661111299999999</v>
      </c>
      <c r="G66" s="14">
        <v>8.1334559599999992</v>
      </c>
      <c r="H66" s="16">
        <v>0.85567570999999998</v>
      </c>
      <c r="I66" s="14">
        <v>7.1320460399999996</v>
      </c>
      <c r="J66" s="16">
        <v>0.75867947000000002</v>
      </c>
      <c r="K66" s="14">
        <v>24.390918119999998</v>
      </c>
      <c r="L66" s="16">
        <v>1.2735462200000001</v>
      </c>
      <c r="M66" s="14" t="s">
        <v>139</v>
      </c>
      <c r="N66" s="16" t="s">
        <v>139</v>
      </c>
      <c r="O66" s="14">
        <v>0</v>
      </c>
      <c r="P66" s="16">
        <v>0</v>
      </c>
      <c r="Q66" s="14">
        <v>0</v>
      </c>
      <c r="R66" s="16">
        <v>0</v>
      </c>
      <c r="S66" s="14">
        <v>0</v>
      </c>
      <c r="T66" s="16">
        <v>0</v>
      </c>
      <c r="U66" s="14">
        <v>0</v>
      </c>
      <c r="V66" s="16">
        <v>0</v>
      </c>
    </row>
    <row r="67" spans="1:22" x14ac:dyDescent="0.25">
      <c r="A67" s="11" t="s">
        <v>200</v>
      </c>
      <c r="B67" s="13">
        <v>6971</v>
      </c>
      <c r="C67" s="14">
        <f>(5876/B67*100)</f>
        <v>84.292067135274706</v>
      </c>
      <c r="D67" s="15">
        <v>1095</v>
      </c>
      <c r="E67" s="14">
        <v>53.812290590000003</v>
      </c>
      <c r="F67" s="16">
        <v>1.5889255200000001</v>
      </c>
      <c r="G67" s="14">
        <v>14.07499237</v>
      </c>
      <c r="H67" s="16">
        <v>0.97551209999999999</v>
      </c>
      <c r="I67" s="14">
        <v>11.48693681</v>
      </c>
      <c r="J67" s="16">
        <v>1.0503930500000001</v>
      </c>
      <c r="K67" s="14">
        <v>20.62578023</v>
      </c>
      <c r="L67" s="16">
        <v>1.3436295700000001</v>
      </c>
      <c r="M67" s="14" t="s">
        <v>139</v>
      </c>
      <c r="N67" s="16" t="s">
        <v>139</v>
      </c>
      <c r="O67" s="14">
        <v>0</v>
      </c>
      <c r="P67" s="16">
        <v>0</v>
      </c>
      <c r="Q67" s="14">
        <v>0</v>
      </c>
      <c r="R67" s="16">
        <v>0</v>
      </c>
      <c r="S67" s="14">
        <v>0</v>
      </c>
      <c r="T67" s="16">
        <v>0</v>
      </c>
      <c r="U67" s="14">
        <v>0</v>
      </c>
      <c r="V67" s="16">
        <v>0</v>
      </c>
    </row>
    <row r="68" spans="1:22" x14ac:dyDescent="0.25">
      <c r="A68" s="11" t="s">
        <v>201</v>
      </c>
      <c r="B68" s="17" t="s">
        <v>154</v>
      </c>
      <c r="C68" s="17" t="s">
        <v>154</v>
      </c>
      <c r="D68" s="18" t="s">
        <v>154</v>
      </c>
      <c r="E68" s="17" t="s">
        <v>154</v>
      </c>
      <c r="F68" s="18" t="s">
        <v>154</v>
      </c>
      <c r="G68" s="17" t="s">
        <v>154</v>
      </c>
      <c r="H68" s="18" t="s">
        <v>154</v>
      </c>
      <c r="I68" s="17" t="s">
        <v>154</v>
      </c>
      <c r="J68" s="18" t="s">
        <v>154</v>
      </c>
      <c r="K68" s="17" t="s">
        <v>154</v>
      </c>
      <c r="L68" s="18" t="s">
        <v>154</v>
      </c>
      <c r="M68" s="17" t="s">
        <v>154</v>
      </c>
      <c r="N68" s="18" t="s">
        <v>154</v>
      </c>
      <c r="O68" s="17" t="s">
        <v>154</v>
      </c>
      <c r="P68" s="18" t="s">
        <v>154</v>
      </c>
      <c r="Q68" s="17" t="s">
        <v>154</v>
      </c>
      <c r="R68" s="18" t="s">
        <v>154</v>
      </c>
      <c r="S68" s="17" t="s">
        <v>154</v>
      </c>
      <c r="T68" s="18" t="s">
        <v>154</v>
      </c>
      <c r="U68" s="17" t="s">
        <v>154</v>
      </c>
      <c r="V68" s="18" t="s">
        <v>154</v>
      </c>
    </row>
    <row r="69" spans="1:22" x14ac:dyDescent="0.25">
      <c r="A69" s="11" t="s">
        <v>202</v>
      </c>
      <c r="B69" s="17" t="s">
        <v>154</v>
      </c>
      <c r="C69" s="17" t="s">
        <v>154</v>
      </c>
      <c r="D69" s="18" t="s">
        <v>154</v>
      </c>
      <c r="E69" s="17" t="s">
        <v>154</v>
      </c>
      <c r="F69" s="18" t="s">
        <v>154</v>
      </c>
      <c r="G69" s="17" t="s">
        <v>154</v>
      </c>
      <c r="H69" s="18" t="s">
        <v>154</v>
      </c>
      <c r="I69" s="17" t="s">
        <v>154</v>
      </c>
      <c r="J69" s="18" t="s">
        <v>154</v>
      </c>
      <c r="K69" s="17" t="s">
        <v>154</v>
      </c>
      <c r="L69" s="18" t="s">
        <v>154</v>
      </c>
      <c r="M69" s="17" t="s">
        <v>154</v>
      </c>
      <c r="N69" s="18" t="s">
        <v>154</v>
      </c>
      <c r="O69" s="17" t="s">
        <v>154</v>
      </c>
      <c r="P69" s="18" t="s">
        <v>154</v>
      </c>
      <c r="Q69" s="17" t="s">
        <v>154</v>
      </c>
      <c r="R69" s="18" t="s">
        <v>154</v>
      </c>
      <c r="S69" s="17" t="s">
        <v>154</v>
      </c>
      <c r="T69" s="18" t="s">
        <v>154</v>
      </c>
      <c r="U69" s="17" t="s">
        <v>154</v>
      </c>
      <c r="V69" s="18" t="s">
        <v>154</v>
      </c>
    </row>
    <row r="70" spans="1:22" x14ac:dyDescent="0.25">
      <c r="A70" s="11" t="s">
        <v>203</v>
      </c>
      <c r="B70" s="13">
        <v>6036</v>
      </c>
      <c r="C70" s="14">
        <f>(5007/B70*100)</f>
        <v>82.952286282306162</v>
      </c>
      <c r="D70" s="15">
        <v>1029</v>
      </c>
      <c r="E70" s="14">
        <v>41.180823949999997</v>
      </c>
      <c r="F70" s="16">
        <v>2.0345843600000002</v>
      </c>
      <c r="G70" s="14">
        <v>10.62965417</v>
      </c>
      <c r="H70" s="16">
        <v>1.4740747700000001</v>
      </c>
      <c r="I70" s="14">
        <v>10.60827946</v>
      </c>
      <c r="J70" s="16">
        <v>1.10205584</v>
      </c>
      <c r="K70" s="14">
        <v>37.581242410000002</v>
      </c>
      <c r="L70" s="16">
        <v>1.6663205000000001</v>
      </c>
      <c r="M70" s="14" t="s">
        <v>139</v>
      </c>
      <c r="N70" s="16" t="s">
        <v>139</v>
      </c>
      <c r="O70" s="14">
        <v>0</v>
      </c>
      <c r="P70" s="16">
        <v>0</v>
      </c>
      <c r="Q70" s="14">
        <v>0</v>
      </c>
      <c r="R70" s="16">
        <v>0</v>
      </c>
      <c r="S70" s="14">
        <v>0</v>
      </c>
      <c r="T70" s="16">
        <v>0</v>
      </c>
      <c r="U70" s="14">
        <v>0</v>
      </c>
      <c r="V70" s="16">
        <v>0</v>
      </c>
    </row>
    <row r="71" spans="1:22" x14ac:dyDescent="0.25">
      <c r="A71" s="11" t="s">
        <v>204</v>
      </c>
      <c r="B71" s="17" t="s">
        <v>154</v>
      </c>
      <c r="C71" s="17" t="s">
        <v>154</v>
      </c>
      <c r="D71" s="18" t="s">
        <v>154</v>
      </c>
      <c r="E71" s="17" t="s">
        <v>154</v>
      </c>
      <c r="F71" s="18" t="s">
        <v>154</v>
      </c>
      <c r="G71" s="17" t="s">
        <v>154</v>
      </c>
      <c r="H71" s="18" t="s">
        <v>154</v>
      </c>
      <c r="I71" s="17" t="s">
        <v>154</v>
      </c>
      <c r="J71" s="18" t="s">
        <v>154</v>
      </c>
      <c r="K71" s="17" t="s">
        <v>154</v>
      </c>
      <c r="L71" s="18" t="s">
        <v>154</v>
      </c>
      <c r="M71" s="17" t="s">
        <v>154</v>
      </c>
      <c r="N71" s="18" t="s">
        <v>154</v>
      </c>
      <c r="O71" s="17" t="s">
        <v>154</v>
      </c>
      <c r="P71" s="18" t="s">
        <v>154</v>
      </c>
      <c r="Q71" s="17" t="s">
        <v>154</v>
      </c>
      <c r="R71" s="18" t="s">
        <v>154</v>
      </c>
      <c r="S71" s="17" t="s">
        <v>154</v>
      </c>
      <c r="T71" s="18" t="s">
        <v>154</v>
      </c>
      <c r="U71" s="17" t="s">
        <v>154</v>
      </c>
      <c r="V71" s="18" t="s">
        <v>154</v>
      </c>
    </row>
    <row r="72" spans="1:22" x14ac:dyDescent="0.25">
      <c r="A72" s="11" t="s">
        <v>205</v>
      </c>
      <c r="B72" s="13">
        <v>7708</v>
      </c>
      <c r="C72" s="14">
        <f>(6394/B72*100)</f>
        <v>82.952776336273999</v>
      </c>
      <c r="D72" s="15">
        <v>1314</v>
      </c>
      <c r="E72" s="14">
        <v>32.114187440000002</v>
      </c>
      <c r="F72" s="16">
        <v>1.3993512400000001</v>
      </c>
      <c r="G72" s="14">
        <v>11.21404018</v>
      </c>
      <c r="H72" s="16">
        <v>0.79056015999999996</v>
      </c>
      <c r="I72" s="14">
        <v>12.351988130000001</v>
      </c>
      <c r="J72" s="16">
        <v>1.0403258200000001</v>
      </c>
      <c r="K72" s="14">
        <v>44.319784249999998</v>
      </c>
      <c r="L72" s="16">
        <v>1.4968922200000001</v>
      </c>
      <c r="M72" s="14" t="s">
        <v>139</v>
      </c>
      <c r="N72" s="16" t="s">
        <v>139</v>
      </c>
      <c r="O72" s="14">
        <v>0</v>
      </c>
      <c r="P72" s="16">
        <v>0</v>
      </c>
      <c r="Q72" s="14">
        <v>0</v>
      </c>
      <c r="R72" s="16">
        <v>0</v>
      </c>
      <c r="S72" s="14">
        <v>0</v>
      </c>
      <c r="T72" s="16">
        <v>0</v>
      </c>
      <c r="U72" s="14">
        <v>0</v>
      </c>
      <c r="V72" s="16">
        <v>0</v>
      </c>
    </row>
    <row r="73" spans="1:22" x14ac:dyDescent="0.25">
      <c r="A73" s="11" t="s">
        <v>206</v>
      </c>
      <c r="B73" s="13">
        <v>8249</v>
      </c>
      <c r="C73" s="14">
        <f>(6882/B73*100)</f>
        <v>83.428294338707715</v>
      </c>
      <c r="D73" s="15">
        <v>1367</v>
      </c>
      <c r="E73" s="14">
        <v>52.262837939999997</v>
      </c>
      <c r="F73" s="16">
        <v>1.7256783200000001</v>
      </c>
      <c r="G73" s="14">
        <v>16.884722109999998</v>
      </c>
      <c r="H73" s="16">
        <v>1.16524819</v>
      </c>
      <c r="I73" s="14">
        <v>10.50913581</v>
      </c>
      <c r="J73" s="16">
        <v>0.91658015000000004</v>
      </c>
      <c r="K73" s="14">
        <v>20.34330413</v>
      </c>
      <c r="L73" s="16">
        <v>1.34373912</v>
      </c>
      <c r="M73" s="14" t="s">
        <v>139</v>
      </c>
      <c r="N73" s="16" t="s">
        <v>139</v>
      </c>
      <c r="O73" s="14">
        <v>0</v>
      </c>
      <c r="P73" s="16">
        <v>0</v>
      </c>
      <c r="Q73" s="14">
        <v>0</v>
      </c>
      <c r="R73" s="16">
        <v>0</v>
      </c>
      <c r="S73" s="14">
        <v>0</v>
      </c>
      <c r="T73" s="16">
        <v>0</v>
      </c>
      <c r="U73" s="14">
        <v>0</v>
      </c>
      <c r="V73" s="16">
        <v>0</v>
      </c>
    </row>
    <row r="74" spans="1:22" x14ac:dyDescent="0.25">
      <c r="A74" s="11" t="s">
        <v>207</v>
      </c>
      <c r="B74" s="17" t="s">
        <v>154</v>
      </c>
      <c r="C74" s="17" t="s">
        <v>154</v>
      </c>
      <c r="D74" s="18" t="s">
        <v>154</v>
      </c>
      <c r="E74" s="17" t="s">
        <v>154</v>
      </c>
      <c r="F74" s="18" t="s">
        <v>154</v>
      </c>
      <c r="G74" s="17" t="s">
        <v>154</v>
      </c>
      <c r="H74" s="18" t="s">
        <v>154</v>
      </c>
      <c r="I74" s="17" t="s">
        <v>154</v>
      </c>
      <c r="J74" s="18" t="s">
        <v>154</v>
      </c>
      <c r="K74" s="17" t="s">
        <v>154</v>
      </c>
      <c r="L74" s="18" t="s">
        <v>154</v>
      </c>
      <c r="M74" s="17" t="s">
        <v>154</v>
      </c>
      <c r="N74" s="18" t="s">
        <v>154</v>
      </c>
      <c r="O74" s="17" t="s">
        <v>154</v>
      </c>
      <c r="P74" s="18" t="s">
        <v>154</v>
      </c>
      <c r="Q74" s="17" t="s">
        <v>154</v>
      </c>
      <c r="R74" s="18" t="s">
        <v>154</v>
      </c>
      <c r="S74" s="17" t="s">
        <v>154</v>
      </c>
      <c r="T74" s="18" t="s">
        <v>154</v>
      </c>
      <c r="U74" s="17" t="s">
        <v>154</v>
      </c>
      <c r="V74" s="18" t="s">
        <v>154</v>
      </c>
    </row>
    <row r="75" spans="1:22" x14ac:dyDescent="0.25">
      <c r="A75" s="11" t="s">
        <v>208</v>
      </c>
      <c r="B75" s="13">
        <v>5375</v>
      </c>
      <c r="C75" s="14">
        <f>(4557/B75*100)</f>
        <v>84.781395348837208</v>
      </c>
      <c r="D75" s="15">
        <v>818</v>
      </c>
      <c r="E75" s="14">
        <v>69.231407619999999</v>
      </c>
      <c r="F75" s="16">
        <v>1.8208140500000001</v>
      </c>
      <c r="G75" s="14">
        <v>12.73072827</v>
      </c>
      <c r="H75" s="16">
        <v>1.1072685600000001</v>
      </c>
      <c r="I75" s="14">
        <v>7.2775943999999999</v>
      </c>
      <c r="J75" s="16">
        <v>0.90665510000000005</v>
      </c>
      <c r="K75" s="14">
        <v>10.760269709999999</v>
      </c>
      <c r="L75" s="16">
        <v>1.31396125</v>
      </c>
      <c r="M75" s="14" t="s">
        <v>139</v>
      </c>
      <c r="N75" s="16" t="s">
        <v>139</v>
      </c>
      <c r="O75" s="14">
        <v>0</v>
      </c>
      <c r="P75" s="16">
        <v>0</v>
      </c>
      <c r="Q75" s="14">
        <v>0</v>
      </c>
      <c r="R75" s="16">
        <v>0</v>
      </c>
      <c r="S75" s="14">
        <v>0</v>
      </c>
      <c r="T75" s="16">
        <v>0</v>
      </c>
      <c r="U75" s="14">
        <v>0</v>
      </c>
      <c r="V75" s="16">
        <v>0</v>
      </c>
    </row>
    <row r="76" spans="1:22" x14ac:dyDescent="0.25">
      <c r="A76" s="11" t="s">
        <v>209</v>
      </c>
      <c r="B76" s="13">
        <v>14167</v>
      </c>
      <c r="C76" s="14">
        <f>(11728/B76*100)</f>
        <v>82.783934495658926</v>
      </c>
      <c r="D76" s="15">
        <v>2439</v>
      </c>
      <c r="E76" s="14">
        <v>47.755974160000001</v>
      </c>
      <c r="F76" s="16">
        <v>1.3536476900000001</v>
      </c>
      <c r="G76" s="14">
        <v>15.545961370000001</v>
      </c>
      <c r="H76" s="16">
        <v>0.93770977</v>
      </c>
      <c r="I76" s="14">
        <v>12.881245099999999</v>
      </c>
      <c r="J76" s="16">
        <v>0.71509495000000001</v>
      </c>
      <c r="K76" s="14">
        <v>23.816819370000001</v>
      </c>
      <c r="L76" s="16">
        <v>1.1070513399999999</v>
      </c>
      <c r="M76" s="14" t="s">
        <v>139</v>
      </c>
      <c r="N76" s="16" t="s">
        <v>139</v>
      </c>
      <c r="O76" s="14">
        <v>0</v>
      </c>
      <c r="P76" s="16">
        <v>0</v>
      </c>
      <c r="Q76" s="14">
        <v>0</v>
      </c>
      <c r="R76" s="16">
        <v>0</v>
      </c>
      <c r="S76" s="14">
        <v>0</v>
      </c>
      <c r="T76" s="16">
        <v>0</v>
      </c>
      <c r="U76" s="14">
        <v>0</v>
      </c>
      <c r="V76" s="16">
        <v>0</v>
      </c>
    </row>
    <row r="77" spans="1:22" x14ac:dyDescent="0.25">
      <c r="A77" s="11" t="s">
        <v>210</v>
      </c>
      <c r="B77" s="13">
        <v>6062</v>
      </c>
      <c r="C77" s="14">
        <f>(5018/B77*100)</f>
        <v>82.777961068954141</v>
      </c>
      <c r="D77" s="15">
        <v>1044</v>
      </c>
      <c r="E77" s="14">
        <v>49.127732160000001</v>
      </c>
      <c r="F77" s="16">
        <v>1.5986982300000001</v>
      </c>
      <c r="G77" s="14">
        <v>8.4138292000000003</v>
      </c>
      <c r="H77" s="16">
        <v>0.89455024000000005</v>
      </c>
      <c r="I77" s="14">
        <v>11.25410432</v>
      </c>
      <c r="J77" s="16">
        <v>1.03567732</v>
      </c>
      <c r="K77" s="14">
        <v>31.204334320000001</v>
      </c>
      <c r="L77" s="16">
        <v>1.52758091</v>
      </c>
      <c r="M77" s="14" t="s">
        <v>139</v>
      </c>
      <c r="N77" s="16" t="s">
        <v>139</v>
      </c>
      <c r="O77" s="14">
        <v>0</v>
      </c>
      <c r="P77" s="16">
        <v>0</v>
      </c>
      <c r="Q77" s="14">
        <v>0</v>
      </c>
      <c r="R77" s="16">
        <v>0</v>
      </c>
      <c r="S77" s="14">
        <v>0</v>
      </c>
      <c r="T77" s="16">
        <v>0</v>
      </c>
      <c r="U77" s="14">
        <v>0</v>
      </c>
      <c r="V77" s="16">
        <v>0</v>
      </c>
    </row>
    <row r="78" spans="1:22" x14ac:dyDescent="0.25">
      <c r="A78" s="11" t="s">
        <v>211</v>
      </c>
      <c r="B78" s="17" t="s">
        <v>154</v>
      </c>
      <c r="C78" s="17" t="s">
        <v>154</v>
      </c>
      <c r="D78" s="18" t="s">
        <v>154</v>
      </c>
      <c r="E78" s="17" t="s">
        <v>154</v>
      </c>
      <c r="F78" s="18" t="s">
        <v>154</v>
      </c>
      <c r="G78" s="17" t="s">
        <v>154</v>
      </c>
      <c r="H78" s="18" t="s">
        <v>154</v>
      </c>
      <c r="I78" s="17" t="s">
        <v>154</v>
      </c>
      <c r="J78" s="18" t="s">
        <v>154</v>
      </c>
      <c r="K78" s="17" t="s">
        <v>154</v>
      </c>
      <c r="L78" s="18" t="s">
        <v>154</v>
      </c>
      <c r="M78" s="17" t="s">
        <v>154</v>
      </c>
      <c r="N78" s="18" t="s">
        <v>154</v>
      </c>
      <c r="O78" s="17" t="s">
        <v>154</v>
      </c>
      <c r="P78" s="18" t="s">
        <v>154</v>
      </c>
      <c r="Q78" s="17" t="s">
        <v>154</v>
      </c>
      <c r="R78" s="18" t="s">
        <v>154</v>
      </c>
      <c r="S78" s="17" t="s">
        <v>154</v>
      </c>
      <c r="T78" s="18" t="s">
        <v>154</v>
      </c>
      <c r="U78" s="17" t="s">
        <v>154</v>
      </c>
      <c r="V78" s="18" t="s">
        <v>154</v>
      </c>
    </row>
    <row r="79" spans="1:22" ht="24.95" customHeight="1" x14ac:dyDescent="0.25">
      <c r="A79" s="11" t="s">
        <v>212</v>
      </c>
      <c r="B79" s="17" t="s">
        <v>154</v>
      </c>
      <c r="C79" s="17" t="s">
        <v>154</v>
      </c>
      <c r="D79" s="18" t="s">
        <v>154</v>
      </c>
      <c r="E79" s="17" t="s">
        <v>154</v>
      </c>
      <c r="F79" s="18" t="s">
        <v>154</v>
      </c>
      <c r="G79" s="17" t="s">
        <v>154</v>
      </c>
      <c r="H79" s="18" t="s">
        <v>154</v>
      </c>
      <c r="I79" s="17" t="s">
        <v>154</v>
      </c>
      <c r="J79" s="18" t="s">
        <v>154</v>
      </c>
      <c r="K79" s="17" t="s">
        <v>154</v>
      </c>
      <c r="L79" s="18" t="s">
        <v>154</v>
      </c>
      <c r="M79" s="17" t="s">
        <v>154</v>
      </c>
      <c r="N79" s="18" t="s">
        <v>154</v>
      </c>
      <c r="O79" s="17" t="s">
        <v>154</v>
      </c>
      <c r="P79" s="18" t="s">
        <v>154</v>
      </c>
      <c r="Q79" s="17" t="s">
        <v>154</v>
      </c>
      <c r="R79" s="18" t="s">
        <v>154</v>
      </c>
      <c r="S79" s="17" t="s">
        <v>154</v>
      </c>
      <c r="T79" s="18" t="s">
        <v>154</v>
      </c>
      <c r="U79" s="17" t="s">
        <v>154</v>
      </c>
      <c r="V79" s="18" t="s">
        <v>154</v>
      </c>
    </row>
    <row r="80" spans="1:22" x14ac:dyDescent="0.25">
      <c r="A80" s="11" t="s">
        <v>213</v>
      </c>
      <c r="B80" s="17" t="s">
        <v>154</v>
      </c>
      <c r="C80" s="17" t="s">
        <v>154</v>
      </c>
      <c r="D80" s="18" t="s">
        <v>154</v>
      </c>
      <c r="E80" s="17" t="s">
        <v>154</v>
      </c>
      <c r="F80" s="18" t="s">
        <v>154</v>
      </c>
      <c r="G80" s="17" t="s">
        <v>154</v>
      </c>
      <c r="H80" s="18" t="s">
        <v>154</v>
      </c>
      <c r="I80" s="17" t="s">
        <v>154</v>
      </c>
      <c r="J80" s="18" t="s">
        <v>154</v>
      </c>
      <c r="K80" s="17" t="s">
        <v>154</v>
      </c>
      <c r="L80" s="18" t="s">
        <v>154</v>
      </c>
      <c r="M80" s="17" t="s">
        <v>154</v>
      </c>
      <c r="N80" s="18" t="s">
        <v>154</v>
      </c>
      <c r="O80" s="17" t="s">
        <v>154</v>
      </c>
      <c r="P80" s="18" t="s">
        <v>154</v>
      </c>
      <c r="Q80" s="17" t="s">
        <v>154</v>
      </c>
      <c r="R80" s="18" t="s">
        <v>154</v>
      </c>
      <c r="S80" s="17" t="s">
        <v>154</v>
      </c>
      <c r="T80" s="18" t="s">
        <v>154</v>
      </c>
      <c r="U80" s="17" t="s">
        <v>154</v>
      </c>
      <c r="V80" s="18" t="s">
        <v>154</v>
      </c>
    </row>
    <row r="81" spans="1:22" x14ac:dyDescent="0.25">
      <c r="A81" s="19" t="s">
        <v>214</v>
      </c>
      <c r="B81" s="13">
        <v>8861</v>
      </c>
      <c r="C81" s="14">
        <f>(7369/B81*100)</f>
        <v>83.162171312492944</v>
      </c>
      <c r="D81" s="15">
        <v>1492</v>
      </c>
      <c r="E81" s="14">
        <v>41.404962310000002</v>
      </c>
      <c r="F81" s="16">
        <v>1.63986097</v>
      </c>
      <c r="G81" s="14">
        <v>16.25873236</v>
      </c>
      <c r="H81" s="16">
        <v>1.0330965700000001</v>
      </c>
      <c r="I81" s="14">
        <v>15.107599130000001</v>
      </c>
      <c r="J81" s="16">
        <v>1.1266259199999999</v>
      </c>
      <c r="K81" s="14">
        <v>27.228706209999999</v>
      </c>
      <c r="L81" s="16">
        <v>1.6111145499999999</v>
      </c>
      <c r="M81" s="14" t="s">
        <v>139</v>
      </c>
      <c r="N81" s="16" t="s">
        <v>139</v>
      </c>
      <c r="O81" s="14">
        <v>0</v>
      </c>
      <c r="P81" s="16">
        <v>0</v>
      </c>
      <c r="Q81" s="14">
        <v>0</v>
      </c>
      <c r="R81" s="16">
        <v>0</v>
      </c>
      <c r="S81" s="14">
        <v>0</v>
      </c>
      <c r="T81" s="16">
        <v>0</v>
      </c>
      <c r="U81" s="14">
        <v>0</v>
      </c>
      <c r="V81" s="16">
        <v>0</v>
      </c>
    </row>
    <row r="82" spans="1:22" x14ac:dyDescent="0.25">
      <c r="A82" s="20"/>
      <c r="B82" s="20" t="s">
        <v>215</v>
      </c>
      <c r="C82" s="20" t="s">
        <v>215</v>
      </c>
      <c r="D82" s="20" t="s">
        <v>215</v>
      </c>
      <c r="E82" s="20" t="s">
        <v>215</v>
      </c>
      <c r="F82" s="20" t="s">
        <v>215</v>
      </c>
      <c r="G82" s="20" t="s">
        <v>215</v>
      </c>
      <c r="H82" s="20" t="s">
        <v>215</v>
      </c>
      <c r="I82" s="20" t="s">
        <v>215</v>
      </c>
      <c r="J82" s="20" t="s">
        <v>215</v>
      </c>
      <c r="K82" s="20" t="s">
        <v>215</v>
      </c>
      <c r="L82" s="20" t="s">
        <v>215</v>
      </c>
      <c r="M82" s="20" t="s">
        <v>215</v>
      </c>
      <c r="N82" s="20" t="s">
        <v>215</v>
      </c>
      <c r="O82" s="20" t="s">
        <v>215</v>
      </c>
      <c r="P82" s="20" t="s">
        <v>215</v>
      </c>
      <c r="Q82" s="20" t="s">
        <v>215</v>
      </c>
      <c r="R82" s="20" t="s">
        <v>215</v>
      </c>
      <c r="S82" s="20" t="s">
        <v>215</v>
      </c>
      <c r="T82" s="20" t="s">
        <v>215</v>
      </c>
      <c r="U82" s="20" t="s">
        <v>215</v>
      </c>
      <c r="V82" s="20" t="s">
        <v>215</v>
      </c>
    </row>
    <row r="83" spans="1:22" x14ac:dyDescent="0.25">
      <c r="A83" s="3" t="s">
        <v>216</v>
      </c>
    </row>
    <row r="84" spans="1:22" x14ac:dyDescent="0.25">
      <c r="A84" s="22" t="s">
        <v>217</v>
      </c>
      <c r="B84" s="23"/>
      <c r="C84" s="23"/>
      <c r="D84" s="23"/>
      <c r="E84" s="23"/>
      <c r="F84" s="23"/>
      <c r="G84" s="23"/>
      <c r="H84" s="23"/>
      <c r="I84" s="23"/>
      <c r="J84" s="23"/>
      <c r="K84" s="23"/>
      <c r="L84" s="23"/>
      <c r="M84" s="23"/>
      <c r="N84" s="23"/>
      <c r="O84" s="23"/>
      <c r="P84" s="23"/>
      <c r="Q84" s="23"/>
      <c r="R84" s="23"/>
      <c r="S84" s="23"/>
      <c r="T84" s="23"/>
      <c r="U84" s="23"/>
      <c r="V84" s="23"/>
    </row>
    <row r="85" spans="1:22" x14ac:dyDescent="0.25">
      <c r="A85" s="22" t="s">
        <v>218</v>
      </c>
      <c r="B85" s="23"/>
      <c r="C85" s="23"/>
      <c r="D85" s="23"/>
      <c r="E85" s="23"/>
      <c r="F85" s="23"/>
      <c r="G85" s="23"/>
      <c r="H85" s="23"/>
      <c r="I85" s="23"/>
      <c r="J85" s="23"/>
      <c r="K85" s="23"/>
      <c r="L85" s="23"/>
      <c r="M85" s="23"/>
      <c r="N85" s="23"/>
      <c r="O85" s="23"/>
      <c r="P85" s="23"/>
      <c r="Q85" s="23"/>
      <c r="R85" s="23"/>
      <c r="S85" s="23"/>
      <c r="T85" s="23"/>
      <c r="U85" s="23"/>
      <c r="V85" s="23"/>
    </row>
    <row r="86" spans="1:22" ht="30" customHeight="1" x14ac:dyDescent="0.25">
      <c r="A86" s="22" t="s">
        <v>219</v>
      </c>
      <c r="B86" s="23"/>
      <c r="C86" s="23"/>
      <c r="D86" s="23"/>
      <c r="E86" s="23"/>
      <c r="F86" s="23"/>
      <c r="G86" s="23"/>
      <c r="H86" s="23"/>
      <c r="I86" s="23"/>
      <c r="J86" s="23"/>
      <c r="K86" s="23"/>
      <c r="L86" s="23"/>
      <c r="M86" s="23"/>
      <c r="N86" s="23"/>
      <c r="O86" s="23"/>
      <c r="P86" s="23"/>
      <c r="Q86" s="23"/>
      <c r="R86" s="23"/>
      <c r="S86" s="23"/>
      <c r="T86" s="23"/>
      <c r="U86" s="23"/>
      <c r="V86" s="23"/>
    </row>
    <row r="87" spans="1:22" ht="30" customHeight="1" x14ac:dyDescent="0.25">
      <c r="A87" s="22" t="s">
        <v>215</v>
      </c>
      <c r="B87" s="23"/>
      <c r="C87" s="23"/>
      <c r="D87" s="23"/>
      <c r="E87" s="23"/>
      <c r="F87" s="23"/>
      <c r="G87" s="23"/>
      <c r="H87" s="23"/>
      <c r="I87" s="23"/>
      <c r="J87" s="23"/>
      <c r="K87" s="23"/>
      <c r="L87" s="23"/>
      <c r="M87" s="23"/>
      <c r="N87" s="23"/>
      <c r="O87" s="23"/>
      <c r="P87" s="23"/>
      <c r="Q87" s="23"/>
      <c r="R87" s="23"/>
      <c r="S87" s="23"/>
      <c r="T87" s="23"/>
      <c r="U87" s="23"/>
      <c r="V87" s="23"/>
    </row>
    <row r="88" spans="1:22" ht="30" customHeight="1" x14ac:dyDescent="0.25">
      <c r="A88" s="22" t="s">
        <v>220</v>
      </c>
      <c r="B88" s="23"/>
      <c r="C88" s="23"/>
      <c r="D88" s="23"/>
      <c r="E88" s="23"/>
      <c r="F88" s="23"/>
      <c r="G88" s="23"/>
      <c r="H88" s="23"/>
      <c r="I88" s="23"/>
      <c r="J88" s="23"/>
      <c r="K88" s="23"/>
      <c r="L88" s="23"/>
      <c r="M88" s="23"/>
      <c r="N88" s="23"/>
      <c r="O88" s="23"/>
      <c r="P88" s="23"/>
      <c r="Q88" s="23"/>
      <c r="R88" s="23"/>
      <c r="S88" s="23"/>
      <c r="T88" s="23"/>
      <c r="U88" s="23"/>
      <c r="V88" s="23"/>
    </row>
    <row r="89" spans="1:22" ht="30" customHeight="1" x14ac:dyDescent="0.25">
      <c r="A89" s="22" t="s">
        <v>221</v>
      </c>
      <c r="B89" s="23"/>
      <c r="C89" s="23"/>
      <c r="D89" s="23"/>
      <c r="E89" s="23"/>
      <c r="F89" s="23"/>
      <c r="G89" s="23"/>
      <c r="H89" s="23"/>
      <c r="I89" s="23"/>
      <c r="J89" s="23"/>
      <c r="K89" s="23"/>
      <c r="L89" s="23"/>
      <c r="M89" s="23"/>
      <c r="N89" s="23"/>
      <c r="O89" s="23"/>
      <c r="P89" s="23"/>
      <c r="Q89" s="23"/>
      <c r="R89" s="23"/>
      <c r="S89" s="23"/>
      <c r="T89" s="23"/>
      <c r="U89" s="23"/>
      <c r="V89" s="23"/>
    </row>
    <row r="90" spans="1:22" ht="30" customHeight="1" x14ac:dyDescent="0.25">
      <c r="A90" s="22" t="s">
        <v>222</v>
      </c>
      <c r="B90" s="23"/>
      <c r="C90" s="23"/>
      <c r="D90" s="23"/>
      <c r="E90" s="23"/>
      <c r="F90" s="23"/>
      <c r="G90" s="23"/>
      <c r="H90" s="23"/>
      <c r="I90" s="23"/>
      <c r="J90" s="23"/>
      <c r="K90" s="23"/>
      <c r="L90" s="23"/>
      <c r="M90" s="23"/>
      <c r="N90" s="23"/>
      <c r="O90" s="23"/>
      <c r="P90" s="23"/>
      <c r="Q90" s="23"/>
      <c r="R90" s="23"/>
      <c r="S90" s="23"/>
      <c r="T90" s="23"/>
      <c r="U90" s="23"/>
      <c r="V90" s="23"/>
    </row>
    <row r="91" spans="1:22" ht="30" customHeight="1" x14ac:dyDescent="0.25">
      <c r="A91" s="22" t="s">
        <v>223</v>
      </c>
      <c r="B91" s="23"/>
      <c r="C91" s="23"/>
      <c r="D91" s="23"/>
      <c r="E91" s="23"/>
      <c r="F91" s="23"/>
      <c r="G91" s="23"/>
      <c r="H91" s="23"/>
      <c r="I91" s="23"/>
      <c r="J91" s="23"/>
      <c r="K91" s="23"/>
      <c r="L91" s="23"/>
      <c r="M91" s="23"/>
      <c r="N91" s="23"/>
      <c r="O91" s="23"/>
      <c r="P91" s="23"/>
      <c r="Q91" s="23"/>
      <c r="R91" s="23"/>
      <c r="S91" s="23"/>
      <c r="T91" s="23"/>
      <c r="U91" s="23"/>
      <c r="V91" s="23"/>
    </row>
    <row r="92" spans="1:22" ht="30" customHeight="1" x14ac:dyDescent="0.25">
      <c r="A92" s="22" t="s">
        <v>224</v>
      </c>
      <c r="B92" s="23"/>
      <c r="C92" s="23"/>
      <c r="D92" s="23"/>
      <c r="E92" s="23"/>
      <c r="F92" s="23"/>
      <c r="G92" s="23"/>
      <c r="H92" s="23"/>
      <c r="I92" s="23"/>
      <c r="J92" s="23"/>
      <c r="K92" s="23"/>
      <c r="L92" s="23"/>
      <c r="M92" s="23"/>
      <c r="N92" s="23"/>
      <c r="O92" s="23"/>
      <c r="P92" s="23"/>
      <c r="Q92" s="23"/>
      <c r="R92" s="23"/>
      <c r="S92" s="23"/>
      <c r="T92" s="23"/>
      <c r="U92" s="23"/>
      <c r="V92" s="23"/>
    </row>
    <row r="93" spans="1:22" ht="30" customHeight="1" x14ac:dyDescent="0.25">
      <c r="A93" s="22" t="s">
        <v>225</v>
      </c>
      <c r="B93" s="23"/>
      <c r="C93" s="23"/>
      <c r="D93" s="23"/>
      <c r="E93" s="23"/>
      <c r="F93" s="23"/>
      <c r="G93" s="23"/>
      <c r="H93" s="23"/>
      <c r="I93" s="23"/>
      <c r="J93" s="23"/>
      <c r="K93" s="23"/>
      <c r="L93" s="23"/>
      <c r="M93" s="23"/>
      <c r="N93" s="23"/>
      <c r="O93" s="23"/>
      <c r="P93" s="23"/>
      <c r="Q93" s="23"/>
      <c r="R93" s="23"/>
      <c r="S93" s="23"/>
      <c r="T93" s="23"/>
      <c r="U93" s="23"/>
      <c r="V93" s="23"/>
    </row>
    <row r="94" spans="1:22" ht="30" customHeight="1" x14ac:dyDescent="0.25">
      <c r="A94" s="22" t="s">
        <v>226</v>
      </c>
      <c r="B94" s="23"/>
      <c r="C94" s="23"/>
      <c r="D94" s="23"/>
      <c r="E94" s="23"/>
      <c r="F94" s="23"/>
      <c r="G94" s="23"/>
      <c r="H94" s="23"/>
      <c r="I94" s="23"/>
      <c r="J94" s="23"/>
      <c r="K94" s="23"/>
      <c r="L94" s="23"/>
      <c r="M94" s="23"/>
      <c r="N94" s="23"/>
      <c r="O94" s="23"/>
      <c r="P94" s="23"/>
      <c r="Q94" s="23"/>
      <c r="R94" s="23"/>
      <c r="S94" s="23"/>
      <c r="T94" s="23"/>
      <c r="U94" s="23"/>
      <c r="V94" s="23"/>
    </row>
    <row r="95" spans="1:22" ht="30" customHeight="1" x14ac:dyDescent="0.25">
      <c r="A95" s="22" t="s">
        <v>227</v>
      </c>
      <c r="B95" s="23"/>
      <c r="C95" s="23"/>
      <c r="D95" s="23"/>
      <c r="E95" s="23"/>
      <c r="F95" s="23"/>
      <c r="G95" s="23"/>
      <c r="H95" s="23"/>
      <c r="I95" s="23"/>
      <c r="J95" s="23"/>
      <c r="K95" s="23"/>
      <c r="L95" s="23"/>
      <c r="M95" s="23"/>
      <c r="N95" s="23"/>
      <c r="O95" s="23"/>
      <c r="P95" s="23"/>
      <c r="Q95" s="23"/>
      <c r="R95" s="23"/>
      <c r="S95" s="23"/>
      <c r="T95" s="23"/>
      <c r="U95" s="23"/>
      <c r="V95" s="23"/>
    </row>
    <row r="96" spans="1:22" ht="30" customHeight="1" x14ac:dyDescent="0.25">
      <c r="A96" s="22" t="s">
        <v>228</v>
      </c>
      <c r="B96" s="23"/>
      <c r="C96" s="23"/>
      <c r="D96" s="23"/>
      <c r="E96" s="23"/>
      <c r="F96" s="23"/>
      <c r="G96" s="23"/>
      <c r="H96" s="23"/>
      <c r="I96" s="23"/>
      <c r="J96" s="23"/>
      <c r="K96" s="23"/>
      <c r="L96" s="23"/>
      <c r="M96" s="23"/>
      <c r="N96" s="23"/>
      <c r="O96" s="23"/>
      <c r="P96" s="23"/>
      <c r="Q96" s="23"/>
      <c r="R96" s="23"/>
      <c r="S96" s="23"/>
      <c r="T96" s="23"/>
      <c r="U96" s="23"/>
      <c r="V96" s="23"/>
    </row>
  </sheetData>
  <mergeCells count="24">
    <mergeCell ref="O4:P4"/>
    <mergeCell ref="Q4:R4"/>
    <mergeCell ref="S4:T4"/>
    <mergeCell ref="U4:V4"/>
    <mergeCell ref="A1:V1"/>
    <mergeCell ref="A2:V2"/>
    <mergeCell ref="E4:F4"/>
    <mergeCell ref="G4:H4"/>
    <mergeCell ref="I4:J4"/>
    <mergeCell ref="K4:L4"/>
    <mergeCell ref="M4:N4"/>
    <mergeCell ref="A84:V84"/>
    <mergeCell ref="A85:V85"/>
    <mergeCell ref="A86:V86"/>
    <mergeCell ref="A87:V87"/>
    <mergeCell ref="A88:V88"/>
    <mergeCell ref="A94:V94"/>
    <mergeCell ref="A95:V95"/>
    <mergeCell ref="A96:V96"/>
    <mergeCell ref="A89:V89"/>
    <mergeCell ref="A90:V90"/>
    <mergeCell ref="A91:V91"/>
    <mergeCell ref="A92:V92"/>
    <mergeCell ref="A93:V93"/>
  </mergeCells>
  <pageMargins left="0.75" right="0.75" top="1" bottom="1" header="0.5" footer="0.5"/>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3"/>
  <dimension ref="A1:R96"/>
  <sheetViews>
    <sheetView zoomScale="80" workbookViewId="0">
      <pane xSplit="4" topLeftCell="E1" activePane="topRight" state="frozen"/>
      <selection sqref="A1:R1"/>
      <selection pane="topRight" sqref="A1:R1"/>
    </sheetView>
  </sheetViews>
  <sheetFormatPr defaultColWidth="11.42578125" defaultRowHeight="15" x14ac:dyDescent="0.25"/>
  <cols>
    <col min="1" max="1" width="50" customWidth="1"/>
  </cols>
  <sheetData>
    <row r="1" spans="1:18" x14ac:dyDescent="0.25">
      <c r="A1" s="26" t="s">
        <v>122</v>
      </c>
      <c r="B1" s="23"/>
      <c r="C1" s="23"/>
      <c r="D1" s="23"/>
      <c r="E1" s="23"/>
      <c r="F1" s="23"/>
      <c r="G1" s="23"/>
      <c r="H1" s="23"/>
      <c r="I1" s="23"/>
      <c r="J1" s="23"/>
      <c r="K1" s="23"/>
      <c r="L1" s="23"/>
      <c r="M1" s="23"/>
      <c r="N1" s="23"/>
      <c r="O1" s="23"/>
      <c r="P1" s="23"/>
      <c r="Q1" s="23"/>
      <c r="R1" s="23"/>
    </row>
    <row r="2" spans="1:18" x14ac:dyDescent="0.25">
      <c r="A2" s="27" t="s">
        <v>289</v>
      </c>
      <c r="B2" s="23"/>
      <c r="C2" s="23"/>
      <c r="D2" s="23"/>
      <c r="E2" s="23"/>
      <c r="F2" s="23"/>
      <c r="G2" s="23"/>
      <c r="H2" s="23"/>
      <c r="I2" s="23"/>
      <c r="J2" s="23"/>
      <c r="K2" s="23"/>
      <c r="L2" s="23"/>
      <c r="M2" s="23"/>
      <c r="N2" s="23"/>
      <c r="O2" s="23"/>
      <c r="P2" s="23"/>
      <c r="Q2" s="23"/>
      <c r="R2" s="23"/>
    </row>
    <row r="4" spans="1:18" ht="30" customHeight="1" x14ac:dyDescent="0.25">
      <c r="A4" s="4"/>
      <c r="B4" s="5" t="s">
        <v>123</v>
      </c>
      <c r="C4" s="5" t="s">
        <v>124</v>
      </c>
      <c r="D4" s="6" t="s">
        <v>123</v>
      </c>
      <c r="E4" s="24" t="s">
        <v>125</v>
      </c>
      <c r="F4" s="25"/>
      <c r="G4" s="24" t="s">
        <v>126</v>
      </c>
      <c r="H4" s="25"/>
      <c r="I4" s="24" t="s">
        <v>127</v>
      </c>
      <c r="J4" s="25"/>
      <c r="K4" s="24" t="s">
        <v>128</v>
      </c>
      <c r="L4" s="25"/>
      <c r="M4" s="24" t="s">
        <v>129</v>
      </c>
      <c r="N4" s="25"/>
      <c r="O4" s="24" t="s">
        <v>130</v>
      </c>
      <c r="P4" s="25"/>
      <c r="Q4" s="24" t="s">
        <v>131</v>
      </c>
      <c r="R4" s="25"/>
    </row>
    <row r="5" spans="1:18" x14ac:dyDescent="0.25">
      <c r="A5" s="7"/>
      <c r="B5" s="8" t="s">
        <v>132</v>
      </c>
      <c r="C5" s="8" t="s">
        <v>133</v>
      </c>
      <c r="D5" s="7" t="s">
        <v>134</v>
      </c>
      <c r="E5" s="8" t="s">
        <v>135</v>
      </c>
      <c r="F5" s="7" t="s">
        <v>136</v>
      </c>
      <c r="G5" s="8" t="s">
        <v>135</v>
      </c>
      <c r="H5" s="7" t="s">
        <v>136</v>
      </c>
      <c r="I5" s="8" t="s">
        <v>135</v>
      </c>
      <c r="J5" s="7" t="s">
        <v>136</v>
      </c>
      <c r="K5" s="8" t="s">
        <v>135</v>
      </c>
      <c r="L5" s="7" t="s">
        <v>136</v>
      </c>
      <c r="M5" s="8" t="s">
        <v>135</v>
      </c>
      <c r="N5" s="7" t="s">
        <v>136</v>
      </c>
      <c r="O5" s="8" t="s">
        <v>135</v>
      </c>
      <c r="P5" s="7" t="s">
        <v>136</v>
      </c>
      <c r="Q5" s="8" t="s">
        <v>135</v>
      </c>
      <c r="R5" s="7" t="s">
        <v>136</v>
      </c>
    </row>
    <row r="6" spans="1:18" x14ac:dyDescent="0.25">
      <c r="A6" s="9" t="s">
        <v>137</v>
      </c>
      <c r="B6" s="10"/>
      <c r="C6" s="10"/>
      <c r="D6" s="11"/>
      <c r="E6" s="10"/>
      <c r="F6" s="11"/>
      <c r="G6" s="10"/>
      <c r="H6" s="11"/>
      <c r="I6" s="10"/>
      <c r="J6" s="11"/>
      <c r="K6" s="10"/>
      <c r="L6" s="11"/>
      <c r="M6" s="10"/>
      <c r="N6" s="11"/>
      <c r="O6" s="10"/>
      <c r="P6" s="11"/>
      <c r="Q6" s="10"/>
      <c r="R6" s="12"/>
    </row>
    <row r="7" spans="1:18" x14ac:dyDescent="0.25">
      <c r="A7" s="11" t="s">
        <v>138</v>
      </c>
      <c r="B7" s="13">
        <v>14530</v>
      </c>
      <c r="C7" s="14">
        <f>(12103/B7*100)</f>
        <v>83.296627666896072</v>
      </c>
      <c r="D7" s="15">
        <v>2427</v>
      </c>
      <c r="E7" s="14">
        <v>72.092855580000005</v>
      </c>
      <c r="F7" s="16">
        <v>0.98058190999999995</v>
      </c>
      <c r="G7" s="14">
        <v>27.907144420000002</v>
      </c>
      <c r="H7" s="16">
        <v>0.98058190999999995</v>
      </c>
      <c r="I7" s="14" t="s">
        <v>139</v>
      </c>
      <c r="J7" s="16" t="s">
        <v>139</v>
      </c>
      <c r="K7" s="14">
        <v>0</v>
      </c>
      <c r="L7" s="16">
        <v>0</v>
      </c>
      <c r="M7" s="14">
        <v>0</v>
      </c>
      <c r="N7" s="16">
        <v>0</v>
      </c>
      <c r="O7" s="14">
        <v>0</v>
      </c>
      <c r="P7" s="16">
        <v>0</v>
      </c>
      <c r="Q7" s="14">
        <v>0</v>
      </c>
      <c r="R7" s="16">
        <v>0</v>
      </c>
    </row>
    <row r="8" spans="1:18" x14ac:dyDescent="0.25">
      <c r="A8" s="11" t="s">
        <v>140</v>
      </c>
      <c r="B8" s="13">
        <v>7007</v>
      </c>
      <c r="C8" s="14">
        <f>(5812/B8*100)</f>
        <v>82.94562580276866</v>
      </c>
      <c r="D8" s="15">
        <v>1195</v>
      </c>
      <c r="E8" s="14">
        <v>68.847215219999995</v>
      </c>
      <c r="F8" s="16">
        <v>1.4974128499999999</v>
      </c>
      <c r="G8" s="14">
        <v>31.152784780000001</v>
      </c>
      <c r="H8" s="16">
        <v>1.4974128499999999</v>
      </c>
      <c r="I8" s="14" t="s">
        <v>139</v>
      </c>
      <c r="J8" s="16" t="s">
        <v>139</v>
      </c>
      <c r="K8" s="14">
        <v>0</v>
      </c>
      <c r="L8" s="16">
        <v>0</v>
      </c>
      <c r="M8" s="14">
        <v>0</v>
      </c>
      <c r="N8" s="16">
        <v>0</v>
      </c>
      <c r="O8" s="14">
        <v>0</v>
      </c>
      <c r="P8" s="16">
        <v>0</v>
      </c>
      <c r="Q8" s="14">
        <v>0</v>
      </c>
      <c r="R8" s="16">
        <v>0</v>
      </c>
    </row>
    <row r="9" spans="1:18" x14ac:dyDescent="0.25">
      <c r="A9" s="11" t="s">
        <v>141</v>
      </c>
      <c r="B9" s="13">
        <v>9651</v>
      </c>
      <c r="C9" s="14">
        <f>(8044/B9*100)</f>
        <v>83.34887576416952</v>
      </c>
      <c r="D9" s="15">
        <v>1607</v>
      </c>
      <c r="E9" s="14">
        <v>70.475682969999994</v>
      </c>
      <c r="F9" s="16">
        <v>1.1890859199999999</v>
      </c>
      <c r="G9" s="14">
        <v>29.524317029999999</v>
      </c>
      <c r="H9" s="16">
        <v>1.1890859199999999</v>
      </c>
      <c r="I9" s="14" t="s">
        <v>139</v>
      </c>
      <c r="J9" s="16" t="s">
        <v>139</v>
      </c>
      <c r="K9" s="14">
        <v>0</v>
      </c>
      <c r="L9" s="16">
        <v>0</v>
      </c>
      <c r="M9" s="14">
        <v>0</v>
      </c>
      <c r="N9" s="16">
        <v>0</v>
      </c>
      <c r="O9" s="14">
        <v>0</v>
      </c>
      <c r="P9" s="16">
        <v>0</v>
      </c>
      <c r="Q9" s="14">
        <v>0</v>
      </c>
      <c r="R9" s="16">
        <v>0</v>
      </c>
    </row>
    <row r="10" spans="1:18" x14ac:dyDescent="0.25">
      <c r="A10" s="11" t="s">
        <v>142</v>
      </c>
      <c r="B10" s="13">
        <v>20058</v>
      </c>
      <c r="C10" s="14">
        <f>(16638/B10*100)</f>
        <v>82.949446604845946</v>
      </c>
      <c r="D10" s="15">
        <v>3420</v>
      </c>
      <c r="E10" s="14">
        <v>72.876794899999993</v>
      </c>
      <c r="F10" s="16">
        <v>1.2822582899999999</v>
      </c>
      <c r="G10" s="14">
        <v>27.1232051</v>
      </c>
      <c r="H10" s="16">
        <v>1.2822582899999999</v>
      </c>
      <c r="I10" s="14" t="s">
        <v>139</v>
      </c>
      <c r="J10" s="16" t="s">
        <v>139</v>
      </c>
      <c r="K10" s="14">
        <v>0</v>
      </c>
      <c r="L10" s="16">
        <v>0</v>
      </c>
      <c r="M10" s="14">
        <v>0</v>
      </c>
      <c r="N10" s="16">
        <v>0</v>
      </c>
      <c r="O10" s="14">
        <v>0</v>
      </c>
      <c r="P10" s="16">
        <v>0</v>
      </c>
      <c r="Q10" s="14">
        <v>0</v>
      </c>
      <c r="R10" s="16">
        <v>0</v>
      </c>
    </row>
    <row r="11" spans="1:18" x14ac:dyDescent="0.25">
      <c r="A11" s="11" t="s">
        <v>143</v>
      </c>
      <c r="B11" s="13">
        <v>7053</v>
      </c>
      <c r="C11" s="14">
        <f>(5851/B11*100)</f>
        <v>82.957606692187724</v>
      </c>
      <c r="D11" s="15">
        <v>1202</v>
      </c>
      <c r="E11" s="14">
        <v>78.235340059999999</v>
      </c>
      <c r="F11" s="16">
        <v>1.4298971700000001</v>
      </c>
      <c r="G11" s="14">
        <v>21.764659940000001</v>
      </c>
      <c r="H11" s="16">
        <v>1.4298971700000001</v>
      </c>
      <c r="I11" s="14" t="s">
        <v>139</v>
      </c>
      <c r="J11" s="16" t="s">
        <v>139</v>
      </c>
      <c r="K11" s="14">
        <v>0</v>
      </c>
      <c r="L11" s="16">
        <v>0</v>
      </c>
      <c r="M11" s="14">
        <v>0</v>
      </c>
      <c r="N11" s="16">
        <v>0</v>
      </c>
      <c r="O11" s="14">
        <v>0</v>
      </c>
      <c r="P11" s="16">
        <v>0</v>
      </c>
      <c r="Q11" s="14">
        <v>0</v>
      </c>
      <c r="R11" s="16">
        <v>0</v>
      </c>
    </row>
    <row r="12" spans="1:18" x14ac:dyDescent="0.25">
      <c r="A12" s="11" t="s">
        <v>144</v>
      </c>
      <c r="B12" s="13">
        <v>6894</v>
      </c>
      <c r="C12" s="14">
        <f>(5720/B12*100)</f>
        <v>82.970699158688717</v>
      </c>
      <c r="D12" s="15">
        <v>1174</v>
      </c>
      <c r="E12" s="14">
        <v>66.816002249999997</v>
      </c>
      <c r="F12" s="16">
        <v>1.39548808</v>
      </c>
      <c r="G12" s="14">
        <v>33.183997750000003</v>
      </c>
      <c r="H12" s="16">
        <v>1.39548808</v>
      </c>
      <c r="I12" s="14" t="s">
        <v>139</v>
      </c>
      <c r="J12" s="16" t="s">
        <v>139</v>
      </c>
      <c r="K12" s="14">
        <v>0</v>
      </c>
      <c r="L12" s="16">
        <v>0</v>
      </c>
      <c r="M12" s="14">
        <v>0</v>
      </c>
      <c r="N12" s="16">
        <v>0</v>
      </c>
      <c r="O12" s="14">
        <v>0</v>
      </c>
      <c r="P12" s="16">
        <v>0</v>
      </c>
      <c r="Q12" s="14">
        <v>0</v>
      </c>
      <c r="R12" s="16">
        <v>0</v>
      </c>
    </row>
    <row r="13" spans="1:18" x14ac:dyDescent="0.25">
      <c r="A13" s="11" t="s">
        <v>145</v>
      </c>
      <c r="B13" s="13">
        <v>7161</v>
      </c>
      <c r="C13" s="14">
        <f>(6008/B13*100)</f>
        <v>83.898896802122607</v>
      </c>
      <c r="D13" s="15">
        <v>1153</v>
      </c>
      <c r="E13" s="14">
        <v>67.104697259999995</v>
      </c>
      <c r="F13" s="16">
        <v>1.5304067100000001</v>
      </c>
      <c r="G13" s="14">
        <v>32.895302739999998</v>
      </c>
      <c r="H13" s="16">
        <v>1.5304067100000001</v>
      </c>
      <c r="I13" s="14" t="s">
        <v>139</v>
      </c>
      <c r="J13" s="16" t="s">
        <v>139</v>
      </c>
      <c r="K13" s="14">
        <v>0</v>
      </c>
      <c r="L13" s="16">
        <v>0</v>
      </c>
      <c r="M13" s="14">
        <v>0</v>
      </c>
      <c r="N13" s="16">
        <v>0</v>
      </c>
      <c r="O13" s="14">
        <v>0</v>
      </c>
      <c r="P13" s="16">
        <v>0</v>
      </c>
      <c r="Q13" s="14">
        <v>0</v>
      </c>
      <c r="R13" s="16">
        <v>0</v>
      </c>
    </row>
    <row r="14" spans="1:18" x14ac:dyDescent="0.25">
      <c r="A14" s="11" t="s">
        <v>146</v>
      </c>
      <c r="B14" s="13">
        <v>5587</v>
      </c>
      <c r="C14" s="14">
        <f>(4631/B14*100)</f>
        <v>82.888849114014675</v>
      </c>
      <c r="D14" s="15">
        <v>956</v>
      </c>
      <c r="E14" s="14">
        <v>73.655965899999998</v>
      </c>
      <c r="F14" s="16">
        <v>1.4966246299999999</v>
      </c>
      <c r="G14" s="14">
        <v>26.344034099999998</v>
      </c>
      <c r="H14" s="16">
        <v>1.4966246299999999</v>
      </c>
      <c r="I14" s="14" t="s">
        <v>139</v>
      </c>
      <c r="J14" s="16" t="s">
        <v>139</v>
      </c>
      <c r="K14" s="14">
        <v>0</v>
      </c>
      <c r="L14" s="16">
        <v>0</v>
      </c>
      <c r="M14" s="14">
        <v>0</v>
      </c>
      <c r="N14" s="16">
        <v>0</v>
      </c>
      <c r="O14" s="14">
        <v>0</v>
      </c>
      <c r="P14" s="16">
        <v>0</v>
      </c>
      <c r="Q14" s="14">
        <v>0</v>
      </c>
      <c r="R14" s="16">
        <v>0</v>
      </c>
    </row>
    <row r="15" spans="1:18" x14ac:dyDescent="0.25">
      <c r="A15" s="11" t="s">
        <v>147</v>
      </c>
      <c r="B15" s="13">
        <v>5882</v>
      </c>
      <c r="C15" s="14">
        <f>(4867/B15*100)</f>
        <v>82.743964637878278</v>
      </c>
      <c r="D15" s="15">
        <v>1015</v>
      </c>
      <c r="E15" s="14">
        <v>73.247984779999996</v>
      </c>
      <c r="F15" s="16">
        <v>1.4556415</v>
      </c>
      <c r="G15" s="14">
        <v>26.752015220000001</v>
      </c>
      <c r="H15" s="16">
        <v>1.4556415</v>
      </c>
      <c r="I15" s="14" t="s">
        <v>139</v>
      </c>
      <c r="J15" s="16" t="s">
        <v>139</v>
      </c>
      <c r="K15" s="14">
        <v>0</v>
      </c>
      <c r="L15" s="16">
        <v>0</v>
      </c>
      <c r="M15" s="14">
        <v>0</v>
      </c>
      <c r="N15" s="16">
        <v>0</v>
      </c>
      <c r="O15" s="14">
        <v>0</v>
      </c>
      <c r="P15" s="16">
        <v>0</v>
      </c>
      <c r="Q15" s="14">
        <v>0</v>
      </c>
      <c r="R15" s="16">
        <v>0</v>
      </c>
    </row>
    <row r="16" spans="1:18" x14ac:dyDescent="0.25">
      <c r="A16" s="11" t="s">
        <v>148</v>
      </c>
      <c r="B16" s="13">
        <v>6108</v>
      </c>
      <c r="C16" s="14">
        <f>(5047/B16*100)</f>
        <v>82.629338572364105</v>
      </c>
      <c r="D16" s="15">
        <v>1061</v>
      </c>
      <c r="E16" s="14">
        <v>77.762816799999996</v>
      </c>
      <c r="F16" s="16">
        <v>1.2997645499999999</v>
      </c>
      <c r="G16" s="14">
        <v>22.2371832</v>
      </c>
      <c r="H16" s="16">
        <v>1.2997645499999999</v>
      </c>
      <c r="I16" s="14" t="s">
        <v>139</v>
      </c>
      <c r="J16" s="16" t="s">
        <v>139</v>
      </c>
      <c r="K16" s="14">
        <v>0</v>
      </c>
      <c r="L16" s="16">
        <v>0</v>
      </c>
      <c r="M16" s="14">
        <v>0</v>
      </c>
      <c r="N16" s="16">
        <v>0</v>
      </c>
      <c r="O16" s="14">
        <v>0</v>
      </c>
      <c r="P16" s="16">
        <v>0</v>
      </c>
      <c r="Q16" s="14">
        <v>0</v>
      </c>
      <c r="R16" s="16">
        <v>0</v>
      </c>
    </row>
    <row r="17" spans="1:18" x14ac:dyDescent="0.25">
      <c r="A17" s="11" t="s">
        <v>149</v>
      </c>
      <c r="B17" s="13">
        <v>6504</v>
      </c>
      <c r="C17" s="14">
        <f>(5401/B17*100)</f>
        <v>83.041205412054126</v>
      </c>
      <c r="D17" s="15">
        <v>1103</v>
      </c>
      <c r="E17" s="14">
        <v>68.330897800000002</v>
      </c>
      <c r="F17" s="16">
        <v>1.51779671</v>
      </c>
      <c r="G17" s="14">
        <v>31.669102200000001</v>
      </c>
      <c r="H17" s="16">
        <v>1.51779671</v>
      </c>
      <c r="I17" s="14" t="s">
        <v>139</v>
      </c>
      <c r="J17" s="16" t="s">
        <v>139</v>
      </c>
      <c r="K17" s="14">
        <v>0</v>
      </c>
      <c r="L17" s="16">
        <v>0</v>
      </c>
      <c r="M17" s="14">
        <v>0</v>
      </c>
      <c r="N17" s="16">
        <v>0</v>
      </c>
      <c r="O17" s="14">
        <v>0</v>
      </c>
      <c r="P17" s="16">
        <v>0</v>
      </c>
      <c r="Q17" s="14">
        <v>0</v>
      </c>
      <c r="R17" s="16">
        <v>0</v>
      </c>
    </row>
    <row r="18" spans="1:18" x14ac:dyDescent="0.25">
      <c r="A18" s="11" t="s">
        <v>150</v>
      </c>
      <c r="B18" s="13">
        <v>5532</v>
      </c>
      <c r="C18" s="14">
        <f>(4618/B18*100)</f>
        <v>83.477946493130872</v>
      </c>
      <c r="D18" s="15">
        <v>914</v>
      </c>
      <c r="E18" s="14">
        <v>0</v>
      </c>
      <c r="F18" s="16">
        <v>0</v>
      </c>
      <c r="G18" s="14">
        <v>0</v>
      </c>
      <c r="H18" s="16">
        <v>0</v>
      </c>
      <c r="I18" s="14" t="s">
        <v>139</v>
      </c>
      <c r="J18" s="16" t="s">
        <v>139</v>
      </c>
      <c r="K18" s="14">
        <v>0</v>
      </c>
      <c r="L18" s="16">
        <v>0</v>
      </c>
      <c r="M18" s="14">
        <v>100</v>
      </c>
      <c r="N18" s="16">
        <v>0</v>
      </c>
      <c r="O18" s="14">
        <v>0</v>
      </c>
      <c r="P18" s="16">
        <v>0</v>
      </c>
      <c r="Q18" s="14">
        <v>0</v>
      </c>
      <c r="R18" s="16">
        <v>0</v>
      </c>
    </row>
    <row r="19" spans="1:18" x14ac:dyDescent="0.25">
      <c r="A19" s="11" t="s">
        <v>151</v>
      </c>
      <c r="B19" s="13">
        <v>5658</v>
      </c>
      <c r="C19" s="14">
        <f>(4693/B19*100)</f>
        <v>82.944503358077057</v>
      </c>
      <c r="D19" s="15">
        <v>965</v>
      </c>
      <c r="E19" s="14">
        <v>74.262718219999996</v>
      </c>
      <c r="F19" s="16">
        <v>1.46588216</v>
      </c>
      <c r="G19" s="14">
        <v>25.73728178</v>
      </c>
      <c r="H19" s="16">
        <v>1.46588216</v>
      </c>
      <c r="I19" s="14" t="s">
        <v>139</v>
      </c>
      <c r="J19" s="16" t="s">
        <v>139</v>
      </c>
      <c r="K19" s="14">
        <v>0</v>
      </c>
      <c r="L19" s="16">
        <v>0</v>
      </c>
      <c r="M19" s="14">
        <v>0</v>
      </c>
      <c r="N19" s="16">
        <v>0</v>
      </c>
      <c r="O19" s="14">
        <v>0</v>
      </c>
      <c r="P19" s="16">
        <v>0</v>
      </c>
      <c r="Q19" s="14">
        <v>0</v>
      </c>
      <c r="R19" s="16">
        <v>0</v>
      </c>
    </row>
    <row r="20" spans="1:18" x14ac:dyDescent="0.25">
      <c r="A20" s="11" t="s">
        <v>152</v>
      </c>
      <c r="B20" s="13">
        <v>3371</v>
      </c>
      <c r="C20" s="14">
        <f>(2807/B20*100)</f>
        <v>83.26905962622368</v>
      </c>
      <c r="D20" s="15">
        <v>564</v>
      </c>
      <c r="E20" s="14">
        <v>63.930516609999998</v>
      </c>
      <c r="F20" s="16">
        <v>1.8421690500000001</v>
      </c>
      <c r="G20" s="14">
        <v>36.069483390000002</v>
      </c>
      <c r="H20" s="16">
        <v>1.8421690500000001</v>
      </c>
      <c r="I20" s="14" t="s">
        <v>139</v>
      </c>
      <c r="J20" s="16" t="s">
        <v>139</v>
      </c>
      <c r="K20" s="14">
        <v>0</v>
      </c>
      <c r="L20" s="16">
        <v>0</v>
      </c>
      <c r="M20" s="14">
        <v>0</v>
      </c>
      <c r="N20" s="16">
        <v>0</v>
      </c>
      <c r="O20" s="14">
        <v>0</v>
      </c>
      <c r="P20" s="16">
        <v>0</v>
      </c>
      <c r="Q20" s="14">
        <v>0</v>
      </c>
      <c r="R20" s="16">
        <v>0</v>
      </c>
    </row>
    <row r="21" spans="1:18" x14ac:dyDescent="0.25">
      <c r="A21" s="11" t="s">
        <v>153</v>
      </c>
      <c r="B21" s="17" t="s">
        <v>154</v>
      </c>
      <c r="C21" s="17" t="s">
        <v>154</v>
      </c>
      <c r="D21" s="18" t="s">
        <v>154</v>
      </c>
      <c r="E21" s="17" t="s">
        <v>154</v>
      </c>
      <c r="F21" s="18" t="s">
        <v>154</v>
      </c>
      <c r="G21" s="17" t="s">
        <v>154</v>
      </c>
      <c r="H21" s="18" t="s">
        <v>154</v>
      </c>
      <c r="I21" s="17" t="s">
        <v>154</v>
      </c>
      <c r="J21" s="18" t="s">
        <v>154</v>
      </c>
      <c r="K21" s="17" t="s">
        <v>154</v>
      </c>
      <c r="L21" s="18" t="s">
        <v>154</v>
      </c>
      <c r="M21" s="17" t="s">
        <v>154</v>
      </c>
      <c r="N21" s="18" t="s">
        <v>154</v>
      </c>
      <c r="O21" s="17" t="s">
        <v>154</v>
      </c>
      <c r="P21" s="18" t="s">
        <v>154</v>
      </c>
      <c r="Q21" s="17" t="s">
        <v>154</v>
      </c>
      <c r="R21" s="18" t="s">
        <v>154</v>
      </c>
    </row>
    <row r="22" spans="1:18" x14ac:dyDescent="0.25">
      <c r="A22" s="11" t="s">
        <v>155</v>
      </c>
      <c r="B22" s="13">
        <v>6598</v>
      </c>
      <c r="C22" s="14">
        <f>(5567/B22*100)</f>
        <v>84.374052743255533</v>
      </c>
      <c r="D22" s="15">
        <v>1031</v>
      </c>
      <c r="E22" s="14">
        <v>73.634239399999998</v>
      </c>
      <c r="F22" s="16">
        <v>1.4401212800000001</v>
      </c>
      <c r="G22" s="14">
        <v>26.365760600000002</v>
      </c>
      <c r="H22" s="16">
        <v>1.4401212800000001</v>
      </c>
      <c r="I22" s="14" t="s">
        <v>139</v>
      </c>
      <c r="J22" s="16" t="s">
        <v>139</v>
      </c>
      <c r="K22" s="14">
        <v>0</v>
      </c>
      <c r="L22" s="16">
        <v>0</v>
      </c>
      <c r="M22" s="14">
        <v>0</v>
      </c>
      <c r="N22" s="16">
        <v>0</v>
      </c>
      <c r="O22" s="14">
        <v>0</v>
      </c>
      <c r="P22" s="16">
        <v>0</v>
      </c>
      <c r="Q22" s="14">
        <v>0</v>
      </c>
      <c r="R22" s="16">
        <v>0</v>
      </c>
    </row>
    <row r="23" spans="1:18" x14ac:dyDescent="0.25">
      <c r="A23" s="11" t="s">
        <v>156</v>
      </c>
      <c r="B23" s="13">
        <v>11583</v>
      </c>
      <c r="C23" s="14">
        <f>(9592/B23*100)</f>
        <v>82.81101614434948</v>
      </c>
      <c r="D23" s="15">
        <v>1991</v>
      </c>
      <c r="E23" s="14">
        <v>72.906731660000005</v>
      </c>
      <c r="F23" s="16">
        <v>1.42670108</v>
      </c>
      <c r="G23" s="14">
        <v>27.093268340000002</v>
      </c>
      <c r="H23" s="16">
        <v>1.42670108</v>
      </c>
      <c r="I23" s="14" t="s">
        <v>139</v>
      </c>
      <c r="J23" s="16" t="s">
        <v>139</v>
      </c>
      <c r="K23" s="14">
        <v>0</v>
      </c>
      <c r="L23" s="16">
        <v>0</v>
      </c>
      <c r="M23" s="14">
        <v>0</v>
      </c>
      <c r="N23" s="16">
        <v>0</v>
      </c>
      <c r="O23" s="14">
        <v>0</v>
      </c>
      <c r="P23" s="16">
        <v>0</v>
      </c>
      <c r="Q23" s="14">
        <v>0</v>
      </c>
      <c r="R23" s="16">
        <v>0</v>
      </c>
    </row>
    <row r="24" spans="1:18" x14ac:dyDescent="0.25">
      <c r="A24" s="11" t="s">
        <v>157</v>
      </c>
      <c r="B24" s="13">
        <v>6647</v>
      </c>
      <c r="C24" s="14">
        <f>(5467/B24*100)</f>
        <v>82.247630510004512</v>
      </c>
      <c r="D24" s="15">
        <v>1180</v>
      </c>
      <c r="E24" s="14">
        <v>44.129734929999998</v>
      </c>
      <c r="F24" s="16">
        <v>1.5040179600000001</v>
      </c>
      <c r="G24" s="14">
        <v>55.870265070000002</v>
      </c>
      <c r="H24" s="16">
        <v>1.5040179600000001</v>
      </c>
      <c r="I24" s="14" t="s">
        <v>139</v>
      </c>
      <c r="J24" s="16" t="s">
        <v>139</v>
      </c>
      <c r="K24" s="14">
        <v>0</v>
      </c>
      <c r="L24" s="16">
        <v>0</v>
      </c>
      <c r="M24" s="14">
        <v>0</v>
      </c>
      <c r="N24" s="16">
        <v>0</v>
      </c>
      <c r="O24" s="14">
        <v>0</v>
      </c>
      <c r="P24" s="16">
        <v>0</v>
      </c>
      <c r="Q24" s="14">
        <v>0</v>
      </c>
      <c r="R24" s="16">
        <v>0</v>
      </c>
    </row>
    <row r="25" spans="1:18" x14ac:dyDescent="0.25">
      <c r="A25" s="11" t="s">
        <v>158</v>
      </c>
      <c r="B25" s="13">
        <v>5581</v>
      </c>
      <c r="C25" s="14">
        <f>(4597/B25*100)</f>
        <v>82.368751119870993</v>
      </c>
      <c r="D25" s="15">
        <v>984</v>
      </c>
      <c r="E25" s="14">
        <v>52.011028670000002</v>
      </c>
      <c r="F25" s="16">
        <v>1.3622740200000001</v>
      </c>
      <c r="G25" s="14">
        <v>47.988971329999998</v>
      </c>
      <c r="H25" s="16">
        <v>1.3622740200000001</v>
      </c>
      <c r="I25" s="14" t="s">
        <v>139</v>
      </c>
      <c r="J25" s="16" t="s">
        <v>139</v>
      </c>
      <c r="K25" s="14">
        <v>0</v>
      </c>
      <c r="L25" s="16">
        <v>0</v>
      </c>
      <c r="M25" s="14">
        <v>0</v>
      </c>
      <c r="N25" s="16">
        <v>0</v>
      </c>
      <c r="O25" s="14">
        <v>0</v>
      </c>
      <c r="P25" s="16">
        <v>0</v>
      </c>
      <c r="Q25" s="14">
        <v>0</v>
      </c>
      <c r="R25" s="16">
        <v>0</v>
      </c>
    </row>
    <row r="26" spans="1:18" x14ac:dyDescent="0.25">
      <c r="A26" s="11" t="s">
        <v>159</v>
      </c>
      <c r="B26" s="13">
        <v>4869</v>
      </c>
      <c r="C26" s="14">
        <f>(4032/B26*100)</f>
        <v>82.809611829944558</v>
      </c>
      <c r="D26" s="15">
        <v>837</v>
      </c>
      <c r="E26" s="14">
        <v>75.131154179999996</v>
      </c>
      <c r="F26" s="16">
        <v>1.48960377</v>
      </c>
      <c r="G26" s="14">
        <v>24.868845820000001</v>
      </c>
      <c r="H26" s="16">
        <v>1.48960377</v>
      </c>
      <c r="I26" s="14" t="s">
        <v>139</v>
      </c>
      <c r="J26" s="16" t="s">
        <v>139</v>
      </c>
      <c r="K26" s="14">
        <v>0</v>
      </c>
      <c r="L26" s="16">
        <v>0</v>
      </c>
      <c r="M26" s="14">
        <v>0</v>
      </c>
      <c r="N26" s="16">
        <v>0</v>
      </c>
      <c r="O26" s="14">
        <v>0</v>
      </c>
      <c r="P26" s="16">
        <v>0</v>
      </c>
      <c r="Q26" s="14">
        <v>0</v>
      </c>
      <c r="R26" s="16">
        <v>0</v>
      </c>
    </row>
    <row r="27" spans="1:18" x14ac:dyDescent="0.25">
      <c r="A27" s="11" t="s">
        <v>160</v>
      </c>
      <c r="B27" s="13">
        <v>5299</v>
      </c>
      <c r="C27" s="14">
        <f>(4397/B27*100)</f>
        <v>82.977920362332512</v>
      </c>
      <c r="D27" s="15">
        <v>902</v>
      </c>
      <c r="E27" s="14">
        <v>75.314170399999995</v>
      </c>
      <c r="F27" s="16">
        <v>1.2990618899999999</v>
      </c>
      <c r="G27" s="14">
        <v>24.685829600000002</v>
      </c>
      <c r="H27" s="16">
        <v>1.2990618899999999</v>
      </c>
      <c r="I27" s="14" t="s">
        <v>139</v>
      </c>
      <c r="J27" s="16" t="s">
        <v>139</v>
      </c>
      <c r="K27" s="14">
        <v>0</v>
      </c>
      <c r="L27" s="16">
        <v>0</v>
      </c>
      <c r="M27" s="14">
        <v>0</v>
      </c>
      <c r="N27" s="16">
        <v>0</v>
      </c>
      <c r="O27" s="14">
        <v>0</v>
      </c>
      <c r="P27" s="16">
        <v>0</v>
      </c>
      <c r="Q27" s="14">
        <v>0</v>
      </c>
      <c r="R27" s="16">
        <v>0</v>
      </c>
    </row>
    <row r="28" spans="1:18" x14ac:dyDescent="0.25">
      <c r="A28" s="11" t="s">
        <v>161</v>
      </c>
      <c r="B28" s="13">
        <v>7568</v>
      </c>
      <c r="C28" s="14">
        <f>(6322/B28*100)</f>
        <v>83.535940803382672</v>
      </c>
      <c r="D28" s="15">
        <v>1246</v>
      </c>
      <c r="E28" s="14">
        <v>78.050844470000001</v>
      </c>
      <c r="F28" s="16">
        <v>1.31930477</v>
      </c>
      <c r="G28" s="14">
        <v>21.949155529999999</v>
      </c>
      <c r="H28" s="16">
        <v>1.31930477</v>
      </c>
      <c r="I28" s="14" t="s">
        <v>139</v>
      </c>
      <c r="J28" s="16" t="s">
        <v>139</v>
      </c>
      <c r="K28" s="14">
        <v>0</v>
      </c>
      <c r="L28" s="16">
        <v>0</v>
      </c>
      <c r="M28" s="14">
        <v>0</v>
      </c>
      <c r="N28" s="16">
        <v>0</v>
      </c>
      <c r="O28" s="14">
        <v>0</v>
      </c>
      <c r="P28" s="16">
        <v>0</v>
      </c>
      <c r="Q28" s="14">
        <v>0</v>
      </c>
      <c r="R28" s="16">
        <v>0</v>
      </c>
    </row>
    <row r="29" spans="1:18" x14ac:dyDescent="0.25">
      <c r="A29" s="11" t="s">
        <v>162</v>
      </c>
      <c r="B29" s="13">
        <v>5385</v>
      </c>
      <c r="C29" s="14">
        <f>(4466/B29*100)</f>
        <v>82.934076137418757</v>
      </c>
      <c r="D29" s="15">
        <v>919</v>
      </c>
      <c r="E29" s="14">
        <v>64.588118249999994</v>
      </c>
      <c r="F29" s="16">
        <v>1.4640516299999999</v>
      </c>
      <c r="G29" s="14">
        <v>35.411881749999999</v>
      </c>
      <c r="H29" s="16">
        <v>1.4640516299999999</v>
      </c>
      <c r="I29" s="14" t="s">
        <v>139</v>
      </c>
      <c r="J29" s="16" t="s">
        <v>139</v>
      </c>
      <c r="K29" s="14">
        <v>0</v>
      </c>
      <c r="L29" s="16">
        <v>0</v>
      </c>
      <c r="M29" s="14">
        <v>0</v>
      </c>
      <c r="N29" s="16">
        <v>0</v>
      </c>
      <c r="O29" s="14">
        <v>0</v>
      </c>
      <c r="P29" s="16">
        <v>0</v>
      </c>
      <c r="Q29" s="14">
        <v>0</v>
      </c>
      <c r="R29" s="16">
        <v>0</v>
      </c>
    </row>
    <row r="30" spans="1:18" x14ac:dyDescent="0.25">
      <c r="A30" s="11" t="s">
        <v>163</v>
      </c>
      <c r="B30" s="13">
        <v>4520</v>
      </c>
      <c r="C30" s="14">
        <f>(3753/B30*100)</f>
        <v>83.030973451327441</v>
      </c>
      <c r="D30" s="15">
        <v>767</v>
      </c>
      <c r="E30" s="14">
        <v>61.31566797</v>
      </c>
      <c r="F30" s="16">
        <v>1.6478292400000001</v>
      </c>
      <c r="G30" s="14">
        <v>38.68433203</v>
      </c>
      <c r="H30" s="16">
        <v>1.6478292400000001</v>
      </c>
      <c r="I30" s="14" t="s">
        <v>139</v>
      </c>
      <c r="J30" s="16" t="s">
        <v>139</v>
      </c>
      <c r="K30" s="14">
        <v>0</v>
      </c>
      <c r="L30" s="16">
        <v>0</v>
      </c>
      <c r="M30" s="14">
        <v>0</v>
      </c>
      <c r="N30" s="16">
        <v>0</v>
      </c>
      <c r="O30" s="14">
        <v>0</v>
      </c>
      <c r="P30" s="16">
        <v>0</v>
      </c>
      <c r="Q30" s="14">
        <v>0</v>
      </c>
      <c r="R30" s="16">
        <v>0</v>
      </c>
    </row>
    <row r="31" spans="1:18" x14ac:dyDescent="0.25">
      <c r="A31" s="11" t="s">
        <v>164</v>
      </c>
      <c r="B31" s="13">
        <v>5456</v>
      </c>
      <c r="C31" s="14">
        <f>(4490/B31*100)</f>
        <v>82.294721407624635</v>
      </c>
      <c r="D31" s="15">
        <v>966</v>
      </c>
      <c r="E31" s="14">
        <v>71.209390380000002</v>
      </c>
      <c r="F31" s="16">
        <v>1.4482204000000001</v>
      </c>
      <c r="G31" s="14">
        <v>28.790609620000001</v>
      </c>
      <c r="H31" s="16">
        <v>1.4482204000000001</v>
      </c>
      <c r="I31" s="14" t="s">
        <v>139</v>
      </c>
      <c r="J31" s="16" t="s">
        <v>139</v>
      </c>
      <c r="K31" s="14">
        <v>0</v>
      </c>
      <c r="L31" s="16">
        <v>0</v>
      </c>
      <c r="M31" s="14">
        <v>0</v>
      </c>
      <c r="N31" s="16">
        <v>0</v>
      </c>
      <c r="O31" s="14">
        <v>0</v>
      </c>
      <c r="P31" s="16">
        <v>0</v>
      </c>
      <c r="Q31" s="14">
        <v>0</v>
      </c>
      <c r="R31" s="16">
        <v>0</v>
      </c>
    </row>
    <row r="32" spans="1:18" x14ac:dyDescent="0.25">
      <c r="A32" s="11" t="s">
        <v>165</v>
      </c>
      <c r="B32" s="17" t="s">
        <v>154</v>
      </c>
      <c r="C32" s="17" t="s">
        <v>154</v>
      </c>
      <c r="D32" s="18" t="s">
        <v>154</v>
      </c>
      <c r="E32" s="17" t="s">
        <v>154</v>
      </c>
      <c r="F32" s="18" t="s">
        <v>154</v>
      </c>
      <c r="G32" s="17" t="s">
        <v>154</v>
      </c>
      <c r="H32" s="18" t="s">
        <v>154</v>
      </c>
      <c r="I32" s="17" t="s">
        <v>154</v>
      </c>
      <c r="J32" s="18" t="s">
        <v>154</v>
      </c>
      <c r="K32" s="17" t="s">
        <v>154</v>
      </c>
      <c r="L32" s="18" t="s">
        <v>154</v>
      </c>
      <c r="M32" s="17" t="s">
        <v>154</v>
      </c>
      <c r="N32" s="18" t="s">
        <v>154</v>
      </c>
      <c r="O32" s="17" t="s">
        <v>154</v>
      </c>
      <c r="P32" s="18" t="s">
        <v>154</v>
      </c>
      <c r="Q32" s="17" t="s">
        <v>154</v>
      </c>
      <c r="R32" s="18" t="s">
        <v>154</v>
      </c>
    </row>
    <row r="33" spans="1:18" x14ac:dyDescent="0.25">
      <c r="A33" s="11" t="s">
        <v>166</v>
      </c>
      <c r="B33" s="13">
        <v>7325</v>
      </c>
      <c r="C33" s="14">
        <f>(6062/B33*100)</f>
        <v>82.757679180887365</v>
      </c>
      <c r="D33" s="15">
        <v>1263</v>
      </c>
      <c r="E33" s="14">
        <v>79.988344589999997</v>
      </c>
      <c r="F33" s="16">
        <v>1.1017841900000001</v>
      </c>
      <c r="G33" s="14">
        <v>20.011655409999999</v>
      </c>
      <c r="H33" s="16">
        <v>1.1017841900000001</v>
      </c>
      <c r="I33" s="14" t="s">
        <v>139</v>
      </c>
      <c r="J33" s="16" t="s">
        <v>139</v>
      </c>
      <c r="K33" s="14">
        <v>0</v>
      </c>
      <c r="L33" s="16">
        <v>0</v>
      </c>
      <c r="M33" s="14">
        <v>0</v>
      </c>
      <c r="N33" s="16">
        <v>0</v>
      </c>
      <c r="O33" s="14">
        <v>0</v>
      </c>
      <c r="P33" s="16">
        <v>0</v>
      </c>
      <c r="Q33" s="14">
        <v>0</v>
      </c>
      <c r="R33" s="16">
        <v>0</v>
      </c>
    </row>
    <row r="34" spans="1:18" x14ac:dyDescent="0.25">
      <c r="A34" s="11" t="s">
        <v>167</v>
      </c>
      <c r="B34" s="13">
        <v>6350</v>
      </c>
      <c r="C34" s="14">
        <f>(5302/B34*100)</f>
        <v>83.496062992125985</v>
      </c>
      <c r="D34" s="15">
        <v>1048</v>
      </c>
      <c r="E34" s="14">
        <v>70.126243169999995</v>
      </c>
      <c r="F34" s="16">
        <v>1.4268176100000001</v>
      </c>
      <c r="G34" s="14">
        <v>29.873756830000001</v>
      </c>
      <c r="H34" s="16">
        <v>1.4268176100000001</v>
      </c>
      <c r="I34" s="14" t="s">
        <v>139</v>
      </c>
      <c r="J34" s="16" t="s">
        <v>139</v>
      </c>
      <c r="K34" s="14">
        <v>0</v>
      </c>
      <c r="L34" s="16">
        <v>0</v>
      </c>
      <c r="M34" s="14">
        <v>0</v>
      </c>
      <c r="N34" s="16">
        <v>0</v>
      </c>
      <c r="O34" s="14">
        <v>0</v>
      </c>
      <c r="P34" s="16">
        <v>0</v>
      </c>
      <c r="Q34" s="14">
        <v>0</v>
      </c>
      <c r="R34" s="16">
        <v>0</v>
      </c>
    </row>
    <row r="35" spans="1:18" x14ac:dyDescent="0.25">
      <c r="A35" s="11" t="s">
        <v>168</v>
      </c>
      <c r="B35" s="13">
        <v>6406</v>
      </c>
      <c r="C35" s="14">
        <f>(5326/B35*100)</f>
        <v>83.140805494848578</v>
      </c>
      <c r="D35" s="15">
        <v>1080</v>
      </c>
      <c r="E35" s="14">
        <v>72.042926080000001</v>
      </c>
      <c r="F35" s="16">
        <v>1.8549244199999999</v>
      </c>
      <c r="G35" s="14">
        <v>27.957073919999999</v>
      </c>
      <c r="H35" s="16">
        <v>1.8549244199999999</v>
      </c>
      <c r="I35" s="14" t="s">
        <v>139</v>
      </c>
      <c r="J35" s="16" t="s">
        <v>139</v>
      </c>
      <c r="K35" s="14">
        <v>0</v>
      </c>
      <c r="L35" s="16">
        <v>0</v>
      </c>
      <c r="M35" s="14">
        <v>0</v>
      </c>
      <c r="N35" s="16">
        <v>0</v>
      </c>
      <c r="O35" s="14">
        <v>0</v>
      </c>
      <c r="P35" s="16">
        <v>0</v>
      </c>
      <c r="Q35" s="14">
        <v>0</v>
      </c>
      <c r="R35" s="16">
        <v>0</v>
      </c>
    </row>
    <row r="36" spans="1:18" x14ac:dyDescent="0.25">
      <c r="A36" s="11" t="s">
        <v>169</v>
      </c>
      <c r="B36" s="13">
        <v>6736</v>
      </c>
      <c r="C36" s="14">
        <f>(5591/B36*100)</f>
        <v>83.001781472684087</v>
      </c>
      <c r="D36" s="15">
        <v>1145</v>
      </c>
      <c r="E36" s="14">
        <v>76.677389599999998</v>
      </c>
      <c r="F36" s="16">
        <v>1.20563942</v>
      </c>
      <c r="G36" s="14">
        <v>23.322610399999999</v>
      </c>
      <c r="H36" s="16">
        <v>1.20563942</v>
      </c>
      <c r="I36" s="14" t="s">
        <v>139</v>
      </c>
      <c r="J36" s="16" t="s">
        <v>139</v>
      </c>
      <c r="K36" s="14">
        <v>0</v>
      </c>
      <c r="L36" s="16">
        <v>0</v>
      </c>
      <c r="M36" s="14">
        <v>0</v>
      </c>
      <c r="N36" s="16">
        <v>0</v>
      </c>
      <c r="O36" s="14">
        <v>0</v>
      </c>
      <c r="P36" s="16">
        <v>0</v>
      </c>
      <c r="Q36" s="14">
        <v>0</v>
      </c>
      <c r="R36" s="16">
        <v>0</v>
      </c>
    </row>
    <row r="37" spans="1:18" x14ac:dyDescent="0.25">
      <c r="A37" s="11" t="s">
        <v>170</v>
      </c>
      <c r="B37" s="13">
        <v>5458</v>
      </c>
      <c r="C37" s="14">
        <f>(4522/B37*100)</f>
        <v>82.850861121289853</v>
      </c>
      <c r="D37" s="15">
        <v>936</v>
      </c>
      <c r="E37" s="14">
        <v>76.307831329999999</v>
      </c>
      <c r="F37" s="16">
        <v>1.2059532399999999</v>
      </c>
      <c r="G37" s="14">
        <v>23.692168670000001</v>
      </c>
      <c r="H37" s="16">
        <v>1.2059532399999999</v>
      </c>
      <c r="I37" s="14" t="s">
        <v>139</v>
      </c>
      <c r="J37" s="16" t="s">
        <v>139</v>
      </c>
      <c r="K37" s="14">
        <v>0</v>
      </c>
      <c r="L37" s="16">
        <v>0</v>
      </c>
      <c r="M37" s="14">
        <v>0</v>
      </c>
      <c r="N37" s="16">
        <v>0</v>
      </c>
      <c r="O37" s="14">
        <v>0</v>
      </c>
      <c r="P37" s="16">
        <v>0</v>
      </c>
      <c r="Q37" s="14">
        <v>0</v>
      </c>
      <c r="R37" s="16">
        <v>0</v>
      </c>
    </row>
    <row r="38" spans="1:18" x14ac:dyDescent="0.25">
      <c r="A38" s="11" t="s">
        <v>171</v>
      </c>
      <c r="B38" s="17" t="s">
        <v>154</v>
      </c>
      <c r="C38" s="17" t="s">
        <v>154</v>
      </c>
      <c r="D38" s="18" t="s">
        <v>154</v>
      </c>
      <c r="E38" s="17" t="s">
        <v>154</v>
      </c>
      <c r="F38" s="18" t="s">
        <v>154</v>
      </c>
      <c r="G38" s="17" t="s">
        <v>154</v>
      </c>
      <c r="H38" s="18" t="s">
        <v>154</v>
      </c>
      <c r="I38" s="17" t="s">
        <v>154</v>
      </c>
      <c r="J38" s="18" t="s">
        <v>154</v>
      </c>
      <c r="K38" s="17" t="s">
        <v>154</v>
      </c>
      <c r="L38" s="18" t="s">
        <v>154</v>
      </c>
      <c r="M38" s="17" t="s">
        <v>154</v>
      </c>
      <c r="N38" s="18" t="s">
        <v>154</v>
      </c>
      <c r="O38" s="17" t="s">
        <v>154</v>
      </c>
      <c r="P38" s="18" t="s">
        <v>154</v>
      </c>
      <c r="Q38" s="17" t="s">
        <v>154</v>
      </c>
      <c r="R38" s="18" t="s">
        <v>154</v>
      </c>
    </row>
    <row r="39" spans="1:18" x14ac:dyDescent="0.25">
      <c r="A39" s="11" t="s">
        <v>172</v>
      </c>
      <c r="B39" s="13">
        <v>5895</v>
      </c>
      <c r="C39" s="14">
        <f>(4865/B39*100)</f>
        <v>82.527565733672603</v>
      </c>
      <c r="D39" s="15">
        <v>1030</v>
      </c>
      <c r="E39" s="14">
        <v>77.116409200000007</v>
      </c>
      <c r="F39" s="16">
        <v>1.2701162800000001</v>
      </c>
      <c r="G39" s="14">
        <v>22.8835908</v>
      </c>
      <c r="H39" s="16">
        <v>1.2701162800000001</v>
      </c>
      <c r="I39" s="14" t="s">
        <v>139</v>
      </c>
      <c r="J39" s="16" t="s">
        <v>139</v>
      </c>
      <c r="K39" s="14">
        <v>0</v>
      </c>
      <c r="L39" s="16">
        <v>0</v>
      </c>
      <c r="M39" s="14">
        <v>0</v>
      </c>
      <c r="N39" s="16">
        <v>0</v>
      </c>
      <c r="O39" s="14">
        <v>0</v>
      </c>
      <c r="P39" s="16">
        <v>0</v>
      </c>
      <c r="Q39" s="14">
        <v>0</v>
      </c>
      <c r="R39" s="16">
        <v>0</v>
      </c>
    </row>
    <row r="40" spans="1:18" x14ac:dyDescent="0.25">
      <c r="A40" s="11" t="s">
        <v>173</v>
      </c>
      <c r="B40" s="13">
        <v>14157</v>
      </c>
      <c r="C40" s="14">
        <f>(11676/B40*100)</f>
        <v>82.475100656918841</v>
      </c>
      <c r="D40" s="15">
        <v>2481</v>
      </c>
      <c r="E40" s="14">
        <v>73.884745379999998</v>
      </c>
      <c r="F40" s="16">
        <v>1.1956085400000001</v>
      </c>
      <c r="G40" s="14">
        <v>26.115254620000002</v>
      </c>
      <c r="H40" s="16">
        <v>1.1956085400000001</v>
      </c>
      <c r="I40" s="14" t="s">
        <v>139</v>
      </c>
      <c r="J40" s="16" t="s">
        <v>139</v>
      </c>
      <c r="K40" s="14">
        <v>0</v>
      </c>
      <c r="L40" s="16">
        <v>0</v>
      </c>
      <c r="M40" s="14">
        <v>0</v>
      </c>
      <c r="N40" s="16">
        <v>0</v>
      </c>
      <c r="O40" s="14">
        <v>0</v>
      </c>
      <c r="P40" s="16">
        <v>0</v>
      </c>
      <c r="Q40" s="14">
        <v>0</v>
      </c>
      <c r="R40" s="16">
        <v>0</v>
      </c>
    </row>
    <row r="41" spans="1:18" x14ac:dyDescent="0.25">
      <c r="A41" s="11" t="s">
        <v>174</v>
      </c>
      <c r="B41" s="13">
        <v>5712</v>
      </c>
      <c r="C41" s="14">
        <f>(4753/B41*100)</f>
        <v>83.210784313725497</v>
      </c>
      <c r="D41" s="15">
        <v>959</v>
      </c>
      <c r="E41" s="14">
        <v>74.107503210000004</v>
      </c>
      <c r="F41" s="16">
        <v>1.44144988</v>
      </c>
      <c r="G41" s="14">
        <v>25.892496789999999</v>
      </c>
      <c r="H41" s="16">
        <v>1.44144988</v>
      </c>
      <c r="I41" s="14" t="s">
        <v>139</v>
      </c>
      <c r="J41" s="16" t="s">
        <v>139</v>
      </c>
      <c r="K41" s="14">
        <v>0</v>
      </c>
      <c r="L41" s="16">
        <v>0</v>
      </c>
      <c r="M41" s="14">
        <v>0</v>
      </c>
      <c r="N41" s="16">
        <v>0</v>
      </c>
      <c r="O41" s="14">
        <v>0</v>
      </c>
      <c r="P41" s="16">
        <v>0</v>
      </c>
      <c r="Q41" s="14">
        <v>0</v>
      </c>
      <c r="R41" s="16">
        <v>0</v>
      </c>
    </row>
    <row r="42" spans="1:18" x14ac:dyDescent="0.25">
      <c r="A42" s="11" t="s">
        <v>175</v>
      </c>
      <c r="B42" s="13">
        <f>IF(COUNT(B7:B41) &gt; 0, AVERAGE(B7:B41), "\u2014")</f>
        <v>7266.90625</v>
      </c>
      <c r="C42" s="14">
        <f>IF(COUNT(C7:C41) &gt; 0, AVERAGE(C7:C41), "—")</f>
        <v>83.006499411908919</v>
      </c>
      <c r="D42" s="15">
        <f>IF(COUNT(D7:D41) &gt; 0, AVERAGE(D7:D41), "—")</f>
        <v>1235.03125</v>
      </c>
      <c r="E42" s="14">
        <f>IF(COUNT(E7:E41) &gt; 0, AVERAGE(E7:E41), "—")</f>
        <v>68.630686288124991</v>
      </c>
      <c r="F42" s="16">
        <f>IF(COUNT(F7:F41) &gt; 0, SQRT(SUMSQ(F7:F41)/(COUNT(F7:F41)*COUNT(F7:F41)) ), "—")</f>
        <v>0.24614129834570053</v>
      </c>
      <c r="G42" s="14">
        <f>IF(COUNT(G7:G41) &gt; 0, AVERAGE(G7:G41), "—")</f>
        <v>28.244313711875002</v>
      </c>
      <c r="H42" s="16">
        <f>IF(COUNT(H7:H41) &gt; 0, SQRT(SUMSQ(H7:H41)/(COUNT(H7:H41)*COUNT(H7:H41)) ), "—")</f>
        <v>0.24614129834570053</v>
      </c>
      <c r="I42" s="14" t="str">
        <f>IF(COUNT(I7:I41) &gt; 0, AVERAGE(I7:I41), "—")</f>
        <v>—</v>
      </c>
      <c r="J42" s="16" t="str">
        <f>IF(COUNT(J7:J41) &gt; 0, SQRT(SUMSQ(J7:J41)/(COUNT(J7:J41)*COUNT(J7:J41)) ), "—")</f>
        <v>—</v>
      </c>
      <c r="K42" s="14">
        <f>IF(COUNT(K7:K41) &gt; 0, AVERAGE(K7:K41), "—")</f>
        <v>0</v>
      </c>
      <c r="L42" s="16">
        <f>IF(COUNT(L7:L41) &gt; 0, SQRT(SUMSQ(L7:L41)/(COUNT(L7:L41)*COUNT(L7:L41)) ), "—")</f>
        <v>0</v>
      </c>
      <c r="M42" s="14">
        <f>IF(COUNT(M7:M41) &gt; 0, AVERAGE(M7:M41), "—")</f>
        <v>3.125</v>
      </c>
      <c r="N42" s="16">
        <f>IF(COUNT(N7:N41) &gt; 0, SQRT(SUMSQ(N7:N41)/(COUNT(N7:N41)*COUNT(N7:N41)) ), "—")</f>
        <v>0</v>
      </c>
      <c r="O42" s="14">
        <f>IF(COUNT(O7:O41) &gt; 0, AVERAGE(O7:O41), "—")</f>
        <v>0</v>
      </c>
      <c r="P42" s="16">
        <f>IF(COUNT(P7:P41) &gt; 0, SQRT(SUMSQ(P7:P41)/(COUNT(P7:P41)*COUNT(P7:P41)) ), "—")</f>
        <v>0</v>
      </c>
      <c r="Q42" s="14">
        <f>IF(COUNT(Q7:Q41) &gt; 0, AVERAGE(Q7:Q41), "—")</f>
        <v>0</v>
      </c>
      <c r="R42" s="16">
        <f>IF(COUNT(R7:R41) &gt; 0, SQRT(SUMSQ(R7:R41)/(COUNT(R7:R41)*COUNT(R7:R41)) ), "—")</f>
        <v>0</v>
      </c>
    </row>
    <row r="43" spans="1:18" x14ac:dyDescent="0.25">
      <c r="A43" s="9" t="s">
        <v>176</v>
      </c>
      <c r="B43" s="10"/>
      <c r="C43" s="10"/>
      <c r="D43" s="11"/>
      <c r="E43" s="10"/>
      <c r="F43" s="11"/>
      <c r="G43" s="10"/>
      <c r="H43" s="11"/>
      <c r="I43" s="10"/>
      <c r="J43" s="11"/>
      <c r="K43" s="10"/>
      <c r="L43" s="11"/>
      <c r="M43" s="10"/>
      <c r="N43" s="11"/>
      <c r="O43" s="10"/>
      <c r="P43" s="11"/>
      <c r="Q43" s="10"/>
      <c r="R43" s="12"/>
    </row>
    <row r="44" spans="1:18" x14ac:dyDescent="0.25">
      <c r="A44" s="11" t="s">
        <v>177</v>
      </c>
      <c r="B44" s="17" t="s">
        <v>154</v>
      </c>
      <c r="C44" s="17" t="s">
        <v>154</v>
      </c>
      <c r="D44" s="18" t="s">
        <v>154</v>
      </c>
      <c r="E44" s="17" t="s">
        <v>154</v>
      </c>
      <c r="F44" s="18" t="s">
        <v>154</v>
      </c>
      <c r="G44" s="17" t="s">
        <v>154</v>
      </c>
      <c r="H44" s="18" t="s">
        <v>154</v>
      </c>
      <c r="I44" s="17" t="s">
        <v>154</v>
      </c>
      <c r="J44" s="18" t="s">
        <v>154</v>
      </c>
      <c r="K44" s="17" t="s">
        <v>154</v>
      </c>
      <c r="L44" s="18" t="s">
        <v>154</v>
      </c>
      <c r="M44" s="17" t="s">
        <v>154</v>
      </c>
      <c r="N44" s="18" t="s">
        <v>154</v>
      </c>
      <c r="O44" s="17" t="s">
        <v>154</v>
      </c>
      <c r="P44" s="18" t="s">
        <v>154</v>
      </c>
      <c r="Q44" s="17" t="s">
        <v>154</v>
      </c>
      <c r="R44" s="18" t="s">
        <v>154</v>
      </c>
    </row>
    <row r="45" spans="1:18" x14ac:dyDescent="0.25">
      <c r="A45" s="11" t="s">
        <v>178</v>
      </c>
      <c r="B45" s="17" t="s">
        <v>154</v>
      </c>
      <c r="C45" s="17" t="s">
        <v>154</v>
      </c>
      <c r="D45" s="18" t="s">
        <v>154</v>
      </c>
      <c r="E45" s="17" t="s">
        <v>154</v>
      </c>
      <c r="F45" s="18" t="s">
        <v>154</v>
      </c>
      <c r="G45" s="17" t="s">
        <v>154</v>
      </c>
      <c r="H45" s="18" t="s">
        <v>154</v>
      </c>
      <c r="I45" s="17" t="s">
        <v>154</v>
      </c>
      <c r="J45" s="18" t="s">
        <v>154</v>
      </c>
      <c r="K45" s="17" t="s">
        <v>154</v>
      </c>
      <c r="L45" s="18" t="s">
        <v>154</v>
      </c>
      <c r="M45" s="17" t="s">
        <v>154</v>
      </c>
      <c r="N45" s="18" t="s">
        <v>154</v>
      </c>
      <c r="O45" s="17" t="s">
        <v>154</v>
      </c>
      <c r="P45" s="18" t="s">
        <v>154</v>
      </c>
      <c r="Q45" s="17" t="s">
        <v>154</v>
      </c>
      <c r="R45" s="18" t="s">
        <v>154</v>
      </c>
    </row>
    <row r="46" spans="1:18" x14ac:dyDescent="0.25">
      <c r="A46" s="11" t="s">
        <v>179</v>
      </c>
      <c r="B46" s="13">
        <v>23141</v>
      </c>
      <c r="C46" s="14">
        <f>(19783/B46*100)</f>
        <v>85.488958990536275</v>
      </c>
      <c r="D46" s="15">
        <v>3358</v>
      </c>
      <c r="E46" s="14">
        <v>79.575811310000006</v>
      </c>
      <c r="F46" s="16">
        <v>0.98976598000000005</v>
      </c>
      <c r="G46" s="14">
        <v>20.424188690000001</v>
      </c>
      <c r="H46" s="16">
        <v>0.98976598000000005</v>
      </c>
      <c r="I46" s="14" t="s">
        <v>139</v>
      </c>
      <c r="J46" s="16" t="s">
        <v>139</v>
      </c>
      <c r="K46" s="14">
        <v>0</v>
      </c>
      <c r="L46" s="16">
        <v>0</v>
      </c>
      <c r="M46" s="14">
        <v>0</v>
      </c>
      <c r="N46" s="16">
        <v>0</v>
      </c>
      <c r="O46" s="14">
        <v>0</v>
      </c>
      <c r="P46" s="16">
        <v>0</v>
      </c>
      <c r="Q46" s="14">
        <v>0</v>
      </c>
      <c r="R46" s="16">
        <v>0</v>
      </c>
    </row>
    <row r="47" spans="1:18" x14ac:dyDescent="0.25">
      <c r="A47" s="11" t="s">
        <v>180</v>
      </c>
      <c r="B47" s="13">
        <v>5928</v>
      </c>
      <c r="C47" s="14">
        <f>(4923/B47*100)</f>
        <v>83.046558704453446</v>
      </c>
      <c r="D47" s="15">
        <v>1005</v>
      </c>
      <c r="E47" s="14">
        <v>71.77181933</v>
      </c>
      <c r="F47" s="16">
        <v>1.6428289599999999</v>
      </c>
      <c r="G47" s="14">
        <v>28.22818067</v>
      </c>
      <c r="H47" s="16">
        <v>1.6428289599999999</v>
      </c>
      <c r="I47" s="14" t="s">
        <v>139</v>
      </c>
      <c r="J47" s="16" t="s">
        <v>139</v>
      </c>
      <c r="K47" s="14">
        <v>0</v>
      </c>
      <c r="L47" s="16">
        <v>0</v>
      </c>
      <c r="M47" s="14">
        <v>0</v>
      </c>
      <c r="N47" s="16">
        <v>0</v>
      </c>
      <c r="O47" s="14">
        <v>0</v>
      </c>
      <c r="P47" s="16">
        <v>0</v>
      </c>
      <c r="Q47" s="14">
        <v>0</v>
      </c>
      <c r="R47" s="16">
        <v>0</v>
      </c>
    </row>
    <row r="48" spans="1:18" x14ac:dyDescent="0.25">
      <c r="A48" s="11" t="s">
        <v>181</v>
      </c>
      <c r="B48" s="13">
        <v>9841</v>
      </c>
      <c r="C48" s="14">
        <f>(8132/B48*100)</f>
        <v>82.633878670866778</v>
      </c>
      <c r="D48" s="15">
        <v>1709</v>
      </c>
      <c r="E48" s="14">
        <v>64.889625420000002</v>
      </c>
      <c r="F48" s="16">
        <v>1.7898240700000001</v>
      </c>
      <c r="G48" s="14">
        <v>35.110374579999998</v>
      </c>
      <c r="H48" s="16">
        <v>1.7898240700000001</v>
      </c>
      <c r="I48" s="14" t="s">
        <v>139</v>
      </c>
      <c r="J48" s="16" t="s">
        <v>139</v>
      </c>
      <c r="K48" s="14">
        <v>0</v>
      </c>
      <c r="L48" s="16">
        <v>0</v>
      </c>
      <c r="M48" s="14">
        <v>0</v>
      </c>
      <c r="N48" s="16">
        <v>0</v>
      </c>
      <c r="O48" s="14">
        <v>0</v>
      </c>
      <c r="P48" s="16">
        <v>0</v>
      </c>
      <c r="Q48" s="14">
        <v>0</v>
      </c>
      <c r="R48" s="16">
        <v>0</v>
      </c>
    </row>
    <row r="49" spans="1:18" x14ac:dyDescent="0.25">
      <c r="A49" s="11" t="s">
        <v>182</v>
      </c>
      <c r="B49" s="17" t="s">
        <v>154</v>
      </c>
      <c r="C49" s="17" t="s">
        <v>154</v>
      </c>
      <c r="D49" s="18" t="s">
        <v>154</v>
      </c>
      <c r="E49" s="17" t="s">
        <v>154</v>
      </c>
      <c r="F49" s="18" t="s">
        <v>154</v>
      </c>
      <c r="G49" s="17" t="s">
        <v>154</v>
      </c>
      <c r="H49" s="18" t="s">
        <v>154</v>
      </c>
      <c r="I49" s="17" t="s">
        <v>154</v>
      </c>
      <c r="J49" s="18" t="s">
        <v>154</v>
      </c>
      <c r="K49" s="17" t="s">
        <v>154</v>
      </c>
      <c r="L49" s="18" t="s">
        <v>154</v>
      </c>
      <c r="M49" s="17" t="s">
        <v>154</v>
      </c>
      <c r="N49" s="18" t="s">
        <v>154</v>
      </c>
      <c r="O49" s="17" t="s">
        <v>154</v>
      </c>
      <c r="P49" s="18" t="s">
        <v>154</v>
      </c>
      <c r="Q49" s="17" t="s">
        <v>154</v>
      </c>
      <c r="R49" s="18" t="s">
        <v>154</v>
      </c>
    </row>
    <row r="50" spans="1:18" x14ac:dyDescent="0.25">
      <c r="A50" s="11" t="s">
        <v>183</v>
      </c>
      <c r="B50" s="13">
        <v>11795</v>
      </c>
      <c r="C50" s="14">
        <f>(9826/B50*100)</f>
        <v>83.306485799067403</v>
      </c>
      <c r="D50" s="15">
        <v>1969</v>
      </c>
      <c r="E50" s="14">
        <v>77.856196330000003</v>
      </c>
      <c r="F50" s="16">
        <v>1.2243735499999999</v>
      </c>
      <c r="G50" s="14">
        <v>22.14380367</v>
      </c>
      <c r="H50" s="16">
        <v>1.2243735499999999</v>
      </c>
      <c r="I50" s="14" t="s">
        <v>139</v>
      </c>
      <c r="J50" s="16" t="s">
        <v>139</v>
      </c>
      <c r="K50" s="14">
        <v>0</v>
      </c>
      <c r="L50" s="16">
        <v>0</v>
      </c>
      <c r="M50" s="14">
        <v>0</v>
      </c>
      <c r="N50" s="16">
        <v>0</v>
      </c>
      <c r="O50" s="14">
        <v>0</v>
      </c>
      <c r="P50" s="16">
        <v>0</v>
      </c>
      <c r="Q50" s="14">
        <v>0</v>
      </c>
      <c r="R50" s="16">
        <v>0</v>
      </c>
    </row>
    <row r="51" spans="1:18" x14ac:dyDescent="0.25">
      <c r="A51" s="11" t="s">
        <v>184</v>
      </c>
      <c r="B51" s="13">
        <v>6866</v>
      </c>
      <c r="C51" s="14">
        <f>(5835/B51*100)</f>
        <v>84.983979027090001</v>
      </c>
      <c r="D51" s="15">
        <v>1031</v>
      </c>
      <c r="E51" s="14">
        <v>76.667666539999999</v>
      </c>
      <c r="F51" s="16">
        <v>1.2377289199999999</v>
      </c>
      <c r="G51" s="14">
        <v>23.332333460000001</v>
      </c>
      <c r="H51" s="16">
        <v>1.2377289199999999</v>
      </c>
      <c r="I51" s="14" t="s">
        <v>139</v>
      </c>
      <c r="J51" s="16" t="s">
        <v>139</v>
      </c>
      <c r="K51" s="14">
        <v>0</v>
      </c>
      <c r="L51" s="16">
        <v>0</v>
      </c>
      <c r="M51" s="14">
        <v>0</v>
      </c>
      <c r="N51" s="16">
        <v>0</v>
      </c>
      <c r="O51" s="14">
        <v>0</v>
      </c>
      <c r="P51" s="16">
        <v>0</v>
      </c>
      <c r="Q51" s="14">
        <v>0</v>
      </c>
      <c r="R51" s="16">
        <v>0</v>
      </c>
    </row>
    <row r="52" spans="1:18" x14ac:dyDescent="0.25">
      <c r="A52" s="11" t="s">
        <v>185</v>
      </c>
      <c r="B52" s="13">
        <v>5809</v>
      </c>
      <c r="C52" s="14">
        <f>(4824/B52*100)</f>
        <v>83.043553107247376</v>
      </c>
      <c r="D52" s="15">
        <v>985</v>
      </c>
      <c r="E52" s="14">
        <v>0</v>
      </c>
      <c r="F52" s="16">
        <v>0</v>
      </c>
      <c r="G52" s="14">
        <v>0</v>
      </c>
      <c r="H52" s="16">
        <v>0</v>
      </c>
      <c r="I52" s="14" t="s">
        <v>139</v>
      </c>
      <c r="J52" s="16" t="s">
        <v>139</v>
      </c>
      <c r="K52" s="14">
        <v>0</v>
      </c>
      <c r="L52" s="16">
        <v>0</v>
      </c>
      <c r="M52" s="14">
        <v>100</v>
      </c>
      <c r="N52" s="16">
        <v>0</v>
      </c>
      <c r="O52" s="14">
        <v>0</v>
      </c>
      <c r="P52" s="16">
        <v>0</v>
      </c>
      <c r="Q52" s="14">
        <v>0</v>
      </c>
      <c r="R52" s="16">
        <v>0</v>
      </c>
    </row>
    <row r="53" spans="1:18" x14ac:dyDescent="0.25">
      <c r="A53" s="11" t="s">
        <v>186</v>
      </c>
      <c r="B53" s="13">
        <v>5571</v>
      </c>
      <c r="C53" s="14">
        <f>(4602/B53*100)</f>
        <v>82.606354334948833</v>
      </c>
      <c r="D53" s="15">
        <v>969</v>
      </c>
      <c r="E53" s="14">
        <v>82.028231629999993</v>
      </c>
      <c r="F53" s="16">
        <v>1.12655321</v>
      </c>
      <c r="G53" s="14">
        <v>17.971768369999999</v>
      </c>
      <c r="H53" s="16">
        <v>1.12655321</v>
      </c>
      <c r="I53" s="14" t="s">
        <v>139</v>
      </c>
      <c r="J53" s="16" t="s">
        <v>139</v>
      </c>
      <c r="K53" s="14">
        <v>0</v>
      </c>
      <c r="L53" s="16">
        <v>0</v>
      </c>
      <c r="M53" s="14">
        <v>0</v>
      </c>
      <c r="N53" s="16">
        <v>0</v>
      </c>
      <c r="O53" s="14">
        <v>0</v>
      </c>
      <c r="P53" s="16">
        <v>0</v>
      </c>
      <c r="Q53" s="14">
        <v>0</v>
      </c>
      <c r="R53" s="16">
        <v>0</v>
      </c>
    </row>
    <row r="54" spans="1:18" x14ac:dyDescent="0.25">
      <c r="A54" s="11" t="s">
        <v>187</v>
      </c>
      <c r="B54" s="17" t="s">
        <v>154</v>
      </c>
      <c r="C54" s="17" t="s">
        <v>154</v>
      </c>
      <c r="D54" s="18" t="s">
        <v>154</v>
      </c>
      <c r="E54" s="17" t="s">
        <v>154</v>
      </c>
      <c r="F54" s="18" t="s">
        <v>154</v>
      </c>
      <c r="G54" s="17" t="s">
        <v>154</v>
      </c>
      <c r="H54" s="18" t="s">
        <v>154</v>
      </c>
      <c r="I54" s="17" t="s">
        <v>154</v>
      </c>
      <c r="J54" s="18" t="s">
        <v>154</v>
      </c>
      <c r="K54" s="17" t="s">
        <v>154</v>
      </c>
      <c r="L54" s="18" t="s">
        <v>154</v>
      </c>
      <c r="M54" s="17" t="s">
        <v>154</v>
      </c>
      <c r="N54" s="18" t="s">
        <v>154</v>
      </c>
      <c r="O54" s="17" t="s">
        <v>154</v>
      </c>
      <c r="P54" s="18" t="s">
        <v>154</v>
      </c>
      <c r="Q54" s="17" t="s">
        <v>154</v>
      </c>
      <c r="R54" s="18" t="s">
        <v>154</v>
      </c>
    </row>
    <row r="55" spans="1:18" x14ac:dyDescent="0.25">
      <c r="A55" s="11" t="s">
        <v>188</v>
      </c>
      <c r="B55" s="17" t="s">
        <v>154</v>
      </c>
      <c r="C55" s="17" t="s">
        <v>154</v>
      </c>
      <c r="D55" s="18" t="s">
        <v>154</v>
      </c>
      <c r="E55" s="17" t="s">
        <v>154</v>
      </c>
      <c r="F55" s="18" t="s">
        <v>154</v>
      </c>
      <c r="G55" s="17" t="s">
        <v>154</v>
      </c>
      <c r="H55" s="18" t="s">
        <v>154</v>
      </c>
      <c r="I55" s="17" t="s">
        <v>154</v>
      </c>
      <c r="J55" s="18" t="s">
        <v>154</v>
      </c>
      <c r="K55" s="17" t="s">
        <v>154</v>
      </c>
      <c r="L55" s="18" t="s">
        <v>154</v>
      </c>
      <c r="M55" s="17" t="s">
        <v>154</v>
      </c>
      <c r="N55" s="18" t="s">
        <v>154</v>
      </c>
      <c r="O55" s="17" t="s">
        <v>154</v>
      </c>
      <c r="P55" s="18" t="s">
        <v>154</v>
      </c>
      <c r="Q55" s="17" t="s">
        <v>154</v>
      </c>
      <c r="R55" s="18" t="s">
        <v>154</v>
      </c>
    </row>
    <row r="56" spans="1:18" x14ac:dyDescent="0.25">
      <c r="A56" s="11" t="s">
        <v>189</v>
      </c>
      <c r="B56" s="13">
        <v>5359</v>
      </c>
      <c r="C56" s="14">
        <f>(4424/B56*100)</f>
        <v>82.552715058779626</v>
      </c>
      <c r="D56" s="15">
        <v>935</v>
      </c>
      <c r="E56" s="14">
        <v>55.186128750000002</v>
      </c>
      <c r="F56" s="16">
        <v>1.47512368</v>
      </c>
      <c r="G56" s="14">
        <v>44.813871249999998</v>
      </c>
      <c r="H56" s="16">
        <v>1.47512368</v>
      </c>
      <c r="I56" s="14" t="s">
        <v>139</v>
      </c>
      <c r="J56" s="16" t="s">
        <v>139</v>
      </c>
      <c r="K56" s="14">
        <v>0</v>
      </c>
      <c r="L56" s="16">
        <v>0</v>
      </c>
      <c r="M56" s="14">
        <v>0</v>
      </c>
      <c r="N56" s="16">
        <v>0</v>
      </c>
      <c r="O56" s="14">
        <v>0</v>
      </c>
      <c r="P56" s="16">
        <v>0</v>
      </c>
      <c r="Q56" s="14">
        <v>0</v>
      </c>
      <c r="R56" s="16">
        <v>0</v>
      </c>
    </row>
    <row r="57" spans="1:18" x14ac:dyDescent="0.25">
      <c r="A57" s="11" t="s">
        <v>190</v>
      </c>
      <c r="B57" s="17" t="s">
        <v>154</v>
      </c>
      <c r="C57" s="17" t="s">
        <v>154</v>
      </c>
      <c r="D57" s="18" t="s">
        <v>154</v>
      </c>
      <c r="E57" s="17" t="s">
        <v>154</v>
      </c>
      <c r="F57" s="18" t="s">
        <v>154</v>
      </c>
      <c r="G57" s="17" t="s">
        <v>154</v>
      </c>
      <c r="H57" s="18" t="s">
        <v>154</v>
      </c>
      <c r="I57" s="17" t="s">
        <v>154</v>
      </c>
      <c r="J57" s="18" t="s">
        <v>154</v>
      </c>
      <c r="K57" s="17" t="s">
        <v>154</v>
      </c>
      <c r="L57" s="18" t="s">
        <v>154</v>
      </c>
      <c r="M57" s="17" t="s">
        <v>154</v>
      </c>
      <c r="N57" s="18" t="s">
        <v>154</v>
      </c>
      <c r="O57" s="17" t="s">
        <v>154</v>
      </c>
      <c r="P57" s="18" t="s">
        <v>154</v>
      </c>
      <c r="Q57" s="17" t="s">
        <v>154</v>
      </c>
      <c r="R57" s="18" t="s">
        <v>154</v>
      </c>
    </row>
    <row r="58" spans="1:18" x14ac:dyDescent="0.25">
      <c r="A58" s="11" t="s">
        <v>191</v>
      </c>
      <c r="B58" s="17" t="s">
        <v>154</v>
      </c>
      <c r="C58" s="17" t="s">
        <v>154</v>
      </c>
      <c r="D58" s="18" t="s">
        <v>154</v>
      </c>
      <c r="E58" s="17" t="s">
        <v>154</v>
      </c>
      <c r="F58" s="18" t="s">
        <v>154</v>
      </c>
      <c r="G58" s="17" t="s">
        <v>154</v>
      </c>
      <c r="H58" s="18" t="s">
        <v>154</v>
      </c>
      <c r="I58" s="17" t="s">
        <v>154</v>
      </c>
      <c r="J58" s="18" t="s">
        <v>154</v>
      </c>
      <c r="K58" s="17" t="s">
        <v>154</v>
      </c>
      <c r="L58" s="18" t="s">
        <v>154</v>
      </c>
      <c r="M58" s="17" t="s">
        <v>154</v>
      </c>
      <c r="N58" s="18" t="s">
        <v>154</v>
      </c>
      <c r="O58" s="17" t="s">
        <v>154</v>
      </c>
      <c r="P58" s="18" t="s">
        <v>154</v>
      </c>
      <c r="Q58" s="17" t="s">
        <v>154</v>
      </c>
      <c r="R58" s="18" t="s">
        <v>154</v>
      </c>
    </row>
    <row r="59" spans="1:18" x14ac:dyDescent="0.25">
      <c r="A59" s="11" t="s">
        <v>192</v>
      </c>
      <c r="B59" s="17" t="s">
        <v>154</v>
      </c>
      <c r="C59" s="17" t="s">
        <v>154</v>
      </c>
      <c r="D59" s="18" t="s">
        <v>154</v>
      </c>
      <c r="E59" s="17" t="s">
        <v>154</v>
      </c>
      <c r="F59" s="18" t="s">
        <v>154</v>
      </c>
      <c r="G59" s="17" t="s">
        <v>154</v>
      </c>
      <c r="H59" s="18" t="s">
        <v>154</v>
      </c>
      <c r="I59" s="17" t="s">
        <v>154</v>
      </c>
      <c r="J59" s="18" t="s">
        <v>154</v>
      </c>
      <c r="K59" s="17" t="s">
        <v>154</v>
      </c>
      <c r="L59" s="18" t="s">
        <v>154</v>
      </c>
      <c r="M59" s="17" t="s">
        <v>154</v>
      </c>
      <c r="N59" s="18" t="s">
        <v>154</v>
      </c>
      <c r="O59" s="17" t="s">
        <v>154</v>
      </c>
      <c r="P59" s="18" t="s">
        <v>154</v>
      </c>
      <c r="Q59" s="17" t="s">
        <v>154</v>
      </c>
      <c r="R59" s="18" t="s">
        <v>154</v>
      </c>
    </row>
    <row r="60" spans="1:18" x14ac:dyDescent="0.25">
      <c r="A60" s="11" t="s">
        <v>193</v>
      </c>
      <c r="B60" s="17" t="s">
        <v>154</v>
      </c>
      <c r="C60" s="17" t="s">
        <v>154</v>
      </c>
      <c r="D60" s="18" t="s">
        <v>154</v>
      </c>
      <c r="E60" s="17" t="s">
        <v>154</v>
      </c>
      <c r="F60" s="18" t="s">
        <v>154</v>
      </c>
      <c r="G60" s="17" t="s">
        <v>154</v>
      </c>
      <c r="H60" s="18" t="s">
        <v>154</v>
      </c>
      <c r="I60" s="17" t="s">
        <v>154</v>
      </c>
      <c r="J60" s="18" t="s">
        <v>154</v>
      </c>
      <c r="K60" s="17" t="s">
        <v>154</v>
      </c>
      <c r="L60" s="18" t="s">
        <v>154</v>
      </c>
      <c r="M60" s="17" t="s">
        <v>154</v>
      </c>
      <c r="N60" s="18" t="s">
        <v>154</v>
      </c>
      <c r="O60" s="17" t="s">
        <v>154</v>
      </c>
      <c r="P60" s="18" t="s">
        <v>154</v>
      </c>
      <c r="Q60" s="17" t="s">
        <v>154</v>
      </c>
      <c r="R60" s="18" t="s">
        <v>154</v>
      </c>
    </row>
    <row r="61" spans="1:18" x14ac:dyDescent="0.25">
      <c r="A61" s="11" t="s">
        <v>194</v>
      </c>
      <c r="B61" s="13">
        <v>6525</v>
      </c>
      <c r="C61" s="14">
        <f>(5415/B61*100)</f>
        <v>82.988505747126439</v>
      </c>
      <c r="D61" s="15">
        <v>1110</v>
      </c>
      <c r="E61" s="14">
        <v>78.676329379999999</v>
      </c>
      <c r="F61" s="16">
        <v>1.2227965199999999</v>
      </c>
      <c r="G61" s="14">
        <v>21.323670620000001</v>
      </c>
      <c r="H61" s="16">
        <v>1.2227965199999999</v>
      </c>
      <c r="I61" s="14" t="s">
        <v>139</v>
      </c>
      <c r="J61" s="16" t="s">
        <v>139</v>
      </c>
      <c r="K61" s="14">
        <v>0</v>
      </c>
      <c r="L61" s="16">
        <v>0</v>
      </c>
      <c r="M61" s="14">
        <v>0</v>
      </c>
      <c r="N61" s="16">
        <v>0</v>
      </c>
      <c r="O61" s="14">
        <v>0</v>
      </c>
      <c r="P61" s="16">
        <v>0</v>
      </c>
      <c r="Q61" s="14">
        <v>0</v>
      </c>
      <c r="R61" s="16">
        <v>0</v>
      </c>
    </row>
    <row r="62" spans="1:18" x14ac:dyDescent="0.25">
      <c r="A62" s="11" t="s">
        <v>195</v>
      </c>
      <c r="B62" s="13">
        <v>4476</v>
      </c>
      <c r="C62" s="14">
        <f>(3712/B62*100)</f>
        <v>82.931188561215379</v>
      </c>
      <c r="D62" s="15">
        <v>764</v>
      </c>
      <c r="E62" s="14">
        <v>55.663147940000002</v>
      </c>
      <c r="F62" s="16">
        <v>1.9994721</v>
      </c>
      <c r="G62" s="14">
        <v>44.336852059999998</v>
      </c>
      <c r="H62" s="16">
        <v>1.9994721</v>
      </c>
      <c r="I62" s="14" t="s">
        <v>139</v>
      </c>
      <c r="J62" s="16" t="s">
        <v>139</v>
      </c>
      <c r="K62" s="14">
        <v>0</v>
      </c>
      <c r="L62" s="16">
        <v>0</v>
      </c>
      <c r="M62" s="14">
        <v>0</v>
      </c>
      <c r="N62" s="16">
        <v>0</v>
      </c>
      <c r="O62" s="14">
        <v>0</v>
      </c>
      <c r="P62" s="16">
        <v>0</v>
      </c>
      <c r="Q62" s="14">
        <v>0</v>
      </c>
      <c r="R62" s="16">
        <v>0</v>
      </c>
    </row>
    <row r="63" spans="1:18" x14ac:dyDescent="0.25">
      <c r="A63" s="11" t="s">
        <v>196</v>
      </c>
      <c r="B63" s="17" t="s">
        <v>154</v>
      </c>
      <c r="C63" s="17" t="s">
        <v>154</v>
      </c>
      <c r="D63" s="18" t="s">
        <v>154</v>
      </c>
      <c r="E63" s="17" t="s">
        <v>154</v>
      </c>
      <c r="F63" s="18" t="s">
        <v>154</v>
      </c>
      <c r="G63" s="17" t="s">
        <v>154</v>
      </c>
      <c r="H63" s="18" t="s">
        <v>154</v>
      </c>
      <c r="I63" s="17" t="s">
        <v>154</v>
      </c>
      <c r="J63" s="18" t="s">
        <v>154</v>
      </c>
      <c r="K63" s="17" t="s">
        <v>154</v>
      </c>
      <c r="L63" s="18" t="s">
        <v>154</v>
      </c>
      <c r="M63" s="17" t="s">
        <v>154</v>
      </c>
      <c r="N63" s="18" t="s">
        <v>154</v>
      </c>
      <c r="O63" s="17" t="s">
        <v>154</v>
      </c>
      <c r="P63" s="18" t="s">
        <v>154</v>
      </c>
      <c r="Q63" s="17" t="s">
        <v>154</v>
      </c>
      <c r="R63" s="18" t="s">
        <v>154</v>
      </c>
    </row>
    <row r="64" spans="1:18" x14ac:dyDescent="0.25">
      <c r="A64" s="11" t="s">
        <v>197</v>
      </c>
      <c r="B64" s="17" t="s">
        <v>154</v>
      </c>
      <c r="C64" s="17" t="s">
        <v>154</v>
      </c>
      <c r="D64" s="18" t="s">
        <v>154</v>
      </c>
      <c r="E64" s="17" t="s">
        <v>154</v>
      </c>
      <c r="F64" s="18" t="s">
        <v>154</v>
      </c>
      <c r="G64" s="17" t="s">
        <v>154</v>
      </c>
      <c r="H64" s="18" t="s">
        <v>154</v>
      </c>
      <c r="I64" s="17" t="s">
        <v>154</v>
      </c>
      <c r="J64" s="18" t="s">
        <v>154</v>
      </c>
      <c r="K64" s="17" t="s">
        <v>154</v>
      </c>
      <c r="L64" s="18" t="s">
        <v>154</v>
      </c>
      <c r="M64" s="17" t="s">
        <v>154</v>
      </c>
      <c r="N64" s="18" t="s">
        <v>154</v>
      </c>
      <c r="O64" s="17" t="s">
        <v>154</v>
      </c>
      <c r="P64" s="18" t="s">
        <v>154</v>
      </c>
      <c r="Q64" s="17" t="s">
        <v>154</v>
      </c>
      <c r="R64" s="18" t="s">
        <v>154</v>
      </c>
    </row>
    <row r="65" spans="1:18" x14ac:dyDescent="0.25">
      <c r="A65" s="11" t="s">
        <v>198</v>
      </c>
      <c r="B65" s="17" t="s">
        <v>154</v>
      </c>
      <c r="C65" s="17" t="s">
        <v>154</v>
      </c>
      <c r="D65" s="18" t="s">
        <v>154</v>
      </c>
      <c r="E65" s="17" t="s">
        <v>154</v>
      </c>
      <c r="F65" s="18" t="s">
        <v>154</v>
      </c>
      <c r="G65" s="17" t="s">
        <v>154</v>
      </c>
      <c r="H65" s="18" t="s">
        <v>154</v>
      </c>
      <c r="I65" s="17" t="s">
        <v>154</v>
      </c>
      <c r="J65" s="18" t="s">
        <v>154</v>
      </c>
      <c r="K65" s="17" t="s">
        <v>154</v>
      </c>
      <c r="L65" s="18" t="s">
        <v>154</v>
      </c>
      <c r="M65" s="17" t="s">
        <v>154</v>
      </c>
      <c r="N65" s="18" t="s">
        <v>154</v>
      </c>
      <c r="O65" s="17" t="s">
        <v>154</v>
      </c>
      <c r="P65" s="18" t="s">
        <v>154</v>
      </c>
      <c r="Q65" s="17" t="s">
        <v>154</v>
      </c>
      <c r="R65" s="18" t="s">
        <v>154</v>
      </c>
    </row>
    <row r="66" spans="1:18" x14ac:dyDescent="0.25">
      <c r="A66" s="11" t="s">
        <v>199</v>
      </c>
      <c r="B66" s="13">
        <v>5665</v>
      </c>
      <c r="C66" s="14">
        <f>(4711/B66*100)</f>
        <v>83.159752868490727</v>
      </c>
      <c r="D66" s="15">
        <v>954</v>
      </c>
      <c r="E66" s="14">
        <v>0</v>
      </c>
      <c r="F66" s="16">
        <v>0</v>
      </c>
      <c r="G66" s="14">
        <v>0</v>
      </c>
      <c r="H66" s="16">
        <v>0</v>
      </c>
      <c r="I66" s="14" t="s">
        <v>139</v>
      </c>
      <c r="J66" s="16" t="s">
        <v>139</v>
      </c>
      <c r="K66" s="14">
        <v>0</v>
      </c>
      <c r="L66" s="16">
        <v>0</v>
      </c>
      <c r="M66" s="14">
        <v>100</v>
      </c>
      <c r="N66" s="16">
        <v>0</v>
      </c>
      <c r="O66" s="14">
        <v>0</v>
      </c>
      <c r="P66" s="16">
        <v>0</v>
      </c>
      <c r="Q66" s="14">
        <v>0</v>
      </c>
      <c r="R66" s="16">
        <v>0</v>
      </c>
    </row>
    <row r="67" spans="1:18" x14ac:dyDescent="0.25">
      <c r="A67" s="11" t="s">
        <v>200</v>
      </c>
      <c r="B67" s="13">
        <v>6971</v>
      </c>
      <c r="C67" s="14">
        <f>(5876/B67*100)</f>
        <v>84.292067135274706</v>
      </c>
      <c r="D67" s="15">
        <v>1095</v>
      </c>
      <c r="E67" s="14">
        <v>80.566177830000001</v>
      </c>
      <c r="F67" s="16">
        <v>1.29420146</v>
      </c>
      <c r="G67" s="14">
        <v>19.433822169999999</v>
      </c>
      <c r="H67" s="16">
        <v>1.29420146</v>
      </c>
      <c r="I67" s="14" t="s">
        <v>139</v>
      </c>
      <c r="J67" s="16" t="s">
        <v>139</v>
      </c>
      <c r="K67" s="14">
        <v>0</v>
      </c>
      <c r="L67" s="16">
        <v>0</v>
      </c>
      <c r="M67" s="14">
        <v>0</v>
      </c>
      <c r="N67" s="16">
        <v>0</v>
      </c>
      <c r="O67" s="14">
        <v>0</v>
      </c>
      <c r="P67" s="16">
        <v>0</v>
      </c>
      <c r="Q67" s="14">
        <v>0</v>
      </c>
      <c r="R67" s="16">
        <v>0</v>
      </c>
    </row>
    <row r="68" spans="1:18" x14ac:dyDescent="0.25">
      <c r="A68" s="11" t="s">
        <v>201</v>
      </c>
      <c r="B68" s="17" t="s">
        <v>154</v>
      </c>
      <c r="C68" s="17" t="s">
        <v>154</v>
      </c>
      <c r="D68" s="18" t="s">
        <v>154</v>
      </c>
      <c r="E68" s="17" t="s">
        <v>154</v>
      </c>
      <c r="F68" s="18" t="s">
        <v>154</v>
      </c>
      <c r="G68" s="17" t="s">
        <v>154</v>
      </c>
      <c r="H68" s="18" t="s">
        <v>154</v>
      </c>
      <c r="I68" s="17" t="s">
        <v>154</v>
      </c>
      <c r="J68" s="18" t="s">
        <v>154</v>
      </c>
      <c r="K68" s="17" t="s">
        <v>154</v>
      </c>
      <c r="L68" s="18" t="s">
        <v>154</v>
      </c>
      <c r="M68" s="17" t="s">
        <v>154</v>
      </c>
      <c r="N68" s="18" t="s">
        <v>154</v>
      </c>
      <c r="O68" s="17" t="s">
        <v>154</v>
      </c>
      <c r="P68" s="18" t="s">
        <v>154</v>
      </c>
      <c r="Q68" s="17" t="s">
        <v>154</v>
      </c>
      <c r="R68" s="18" t="s">
        <v>154</v>
      </c>
    </row>
    <row r="69" spans="1:18" x14ac:dyDescent="0.25">
      <c r="A69" s="11" t="s">
        <v>202</v>
      </c>
      <c r="B69" s="17" t="s">
        <v>154</v>
      </c>
      <c r="C69" s="17" t="s">
        <v>154</v>
      </c>
      <c r="D69" s="18" t="s">
        <v>154</v>
      </c>
      <c r="E69" s="17" t="s">
        <v>154</v>
      </c>
      <c r="F69" s="18" t="s">
        <v>154</v>
      </c>
      <c r="G69" s="17" t="s">
        <v>154</v>
      </c>
      <c r="H69" s="18" t="s">
        <v>154</v>
      </c>
      <c r="I69" s="17" t="s">
        <v>154</v>
      </c>
      <c r="J69" s="18" t="s">
        <v>154</v>
      </c>
      <c r="K69" s="17" t="s">
        <v>154</v>
      </c>
      <c r="L69" s="18" t="s">
        <v>154</v>
      </c>
      <c r="M69" s="17" t="s">
        <v>154</v>
      </c>
      <c r="N69" s="18" t="s">
        <v>154</v>
      </c>
      <c r="O69" s="17" t="s">
        <v>154</v>
      </c>
      <c r="P69" s="18" t="s">
        <v>154</v>
      </c>
      <c r="Q69" s="17" t="s">
        <v>154</v>
      </c>
      <c r="R69" s="18" t="s">
        <v>154</v>
      </c>
    </row>
    <row r="70" spans="1:18" x14ac:dyDescent="0.25">
      <c r="A70" s="11" t="s">
        <v>203</v>
      </c>
      <c r="B70" s="13">
        <v>6036</v>
      </c>
      <c r="C70" s="14">
        <f>(5007/B70*100)</f>
        <v>82.952286282306162</v>
      </c>
      <c r="D70" s="15">
        <v>1029</v>
      </c>
      <c r="E70" s="14">
        <v>71.241480460000005</v>
      </c>
      <c r="F70" s="16">
        <v>1.6536684500000001</v>
      </c>
      <c r="G70" s="14">
        <v>28.758519540000002</v>
      </c>
      <c r="H70" s="16">
        <v>1.6536684500000001</v>
      </c>
      <c r="I70" s="14" t="s">
        <v>139</v>
      </c>
      <c r="J70" s="16" t="s">
        <v>139</v>
      </c>
      <c r="K70" s="14">
        <v>0</v>
      </c>
      <c r="L70" s="16">
        <v>0</v>
      </c>
      <c r="M70" s="14">
        <v>0</v>
      </c>
      <c r="N70" s="16">
        <v>0</v>
      </c>
      <c r="O70" s="14">
        <v>0</v>
      </c>
      <c r="P70" s="16">
        <v>0</v>
      </c>
      <c r="Q70" s="14">
        <v>0</v>
      </c>
      <c r="R70" s="16">
        <v>0</v>
      </c>
    </row>
    <row r="71" spans="1:18" x14ac:dyDescent="0.25">
      <c r="A71" s="11" t="s">
        <v>204</v>
      </c>
      <c r="B71" s="17" t="s">
        <v>154</v>
      </c>
      <c r="C71" s="17" t="s">
        <v>154</v>
      </c>
      <c r="D71" s="18" t="s">
        <v>154</v>
      </c>
      <c r="E71" s="17" t="s">
        <v>154</v>
      </c>
      <c r="F71" s="18" t="s">
        <v>154</v>
      </c>
      <c r="G71" s="17" t="s">
        <v>154</v>
      </c>
      <c r="H71" s="18" t="s">
        <v>154</v>
      </c>
      <c r="I71" s="17" t="s">
        <v>154</v>
      </c>
      <c r="J71" s="18" t="s">
        <v>154</v>
      </c>
      <c r="K71" s="17" t="s">
        <v>154</v>
      </c>
      <c r="L71" s="18" t="s">
        <v>154</v>
      </c>
      <c r="M71" s="17" t="s">
        <v>154</v>
      </c>
      <c r="N71" s="18" t="s">
        <v>154</v>
      </c>
      <c r="O71" s="17" t="s">
        <v>154</v>
      </c>
      <c r="P71" s="18" t="s">
        <v>154</v>
      </c>
      <c r="Q71" s="17" t="s">
        <v>154</v>
      </c>
      <c r="R71" s="18" t="s">
        <v>154</v>
      </c>
    </row>
    <row r="72" spans="1:18" x14ac:dyDescent="0.25">
      <c r="A72" s="11" t="s">
        <v>205</v>
      </c>
      <c r="B72" s="13">
        <v>7708</v>
      </c>
      <c r="C72" s="14">
        <f>(6394/B72*100)</f>
        <v>82.952776336273999</v>
      </c>
      <c r="D72" s="15">
        <v>1314</v>
      </c>
      <c r="E72" s="14">
        <v>50.794601270000001</v>
      </c>
      <c r="F72" s="16">
        <v>1.61016421</v>
      </c>
      <c r="G72" s="14">
        <v>49.205398729999999</v>
      </c>
      <c r="H72" s="16">
        <v>1.61016421</v>
      </c>
      <c r="I72" s="14" t="s">
        <v>139</v>
      </c>
      <c r="J72" s="16" t="s">
        <v>139</v>
      </c>
      <c r="K72" s="14">
        <v>0</v>
      </c>
      <c r="L72" s="16">
        <v>0</v>
      </c>
      <c r="M72" s="14">
        <v>0</v>
      </c>
      <c r="N72" s="16">
        <v>0</v>
      </c>
      <c r="O72" s="14">
        <v>0</v>
      </c>
      <c r="P72" s="16">
        <v>0</v>
      </c>
      <c r="Q72" s="14">
        <v>0</v>
      </c>
      <c r="R72" s="16">
        <v>0</v>
      </c>
    </row>
    <row r="73" spans="1:18" x14ac:dyDescent="0.25">
      <c r="A73" s="11" t="s">
        <v>206</v>
      </c>
      <c r="B73" s="13">
        <v>8249</v>
      </c>
      <c r="C73" s="14">
        <f>(6882/B73*100)</f>
        <v>83.428294338707715</v>
      </c>
      <c r="D73" s="15">
        <v>1367</v>
      </c>
      <c r="E73" s="14">
        <v>72.364231459999999</v>
      </c>
      <c r="F73" s="16">
        <v>1.4908497300000001</v>
      </c>
      <c r="G73" s="14">
        <v>27.635768540000001</v>
      </c>
      <c r="H73" s="16">
        <v>1.4908497300000001</v>
      </c>
      <c r="I73" s="14" t="s">
        <v>139</v>
      </c>
      <c r="J73" s="16" t="s">
        <v>139</v>
      </c>
      <c r="K73" s="14">
        <v>0</v>
      </c>
      <c r="L73" s="16">
        <v>0</v>
      </c>
      <c r="M73" s="14">
        <v>0</v>
      </c>
      <c r="N73" s="16">
        <v>0</v>
      </c>
      <c r="O73" s="14">
        <v>0</v>
      </c>
      <c r="P73" s="16">
        <v>0</v>
      </c>
      <c r="Q73" s="14">
        <v>0</v>
      </c>
      <c r="R73" s="16">
        <v>0</v>
      </c>
    </row>
    <row r="74" spans="1:18" x14ac:dyDescent="0.25">
      <c r="A74" s="11" t="s">
        <v>207</v>
      </c>
      <c r="B74" s="17" t="s">
        <v>154</v>
      </c>
      <c r="C74" s="17" t="s">
        <v>154</v>
      </c>
      <c r="D74" s="18" t="s">
        <v>154</v>
      </c>
      <c r="E74" s="17" t="s">
        <v>154</v>
      </c>
      <c r="F74" s="18" t="s">
        <v>154</v>
      </c>
      <c r="G74" s="17" t="s">
        <v>154</v>
      </c>
      <c r="H74" s="18" t="s">
        <v>154</v>
      </c>
      <c r="I74" s="17" t="s">
        <v>154</v>
      </c>
      <c r="J74" s="18" t="s">
        <v>154</v>
      </c>
      <c r="K74" s="17" t="s">
        <v>154</v>
      </c>
      <c r="L74" s="18" t="s">
        <v>154</v>
      </c>
      <c r="M74" s="17" t="s">
        <v>154</v>
      </c>
      <c r="N74" s="18" t="s">
        <v>154</v>
      </c>
      <c r="O74" s="17" t="s">
        <v>154</v>
      </c>
      <c r="P74" s="18" t="s">
        <v>154</v>
      </c>
      <c r="Q74" s="17" t="s">
        <v>154</v>
      </c>
      <c r="R74" s="18" t="s">
        <v>154</v>
      </c>
    </row>
    <row r="75" spans="1:18" x14ac:dyDescent="0.25">
      <c r="A75" s="11" t="s">
        <v>208</v>
      </c>
      <c r="B75" s="13">
        <v>5375</v>
      </c>
      <c r="C75" s="14">
        <f>(4557/B75*100)</f>
        <v>84.781395348837208</v>
      </c>
      <c r="D75" s="15">
        <v>818</v>
      </c>
      <c r="E75" s="14">
        <v>80.892641839999996</v>
      </c>
      <c r="F75" s="16">
        <v>1.3873258900000001</v>
      </c>
      <c r="G75" s="14">
        <v>19.10735816</v>
      </c>
      <c r="H75" s="16">
        <v>1.3873258900000001</v>
      </c>
      <c r="I75" s="14" t="s">
        <v>139</v>
      </c>
      <c r="J75" s="16" t="s">
        <v>139</v>
      </c>
      <c r="K75" s="14">
        <v>0</v>
      </c>
      <c r="L75" s="16">
        <v>0</v>
      </c>
      <c r="M75" s="14">
        <v>0</v>
      </c>
      <c r="N75" s="16">
        <v>0</v>
      </c>
      <c r="O75" s="14">
        <v>0</v>
      </c>
      <c r="P75" s="16">
        <v>0</v>
      </c>
      <c r="Q75" s="14">
        <v>0</v>
      </c>
      <c r="R75" s="16">
        <v>0</v>
      </c>
    </row>
    <row r="76" spans="1:18" x14ac:dyDescent="0.25">
      <c r="A76" s="11" t="s">
        <v>209</v>
      </c>
      <c r="B76" s="13">
        <v>14167</v>
      </c>
      <c r="C76" s="14">
        <f>(11728/B76*100)</f>
        <v>82.783934495658926</v>
      </c>
      <c r="D76" s="15">
        <v>2439</v>
      </c>
      <c r="E76" s="14">
        <v>72.933382469999998</v>
      </c>
      <c r="F76" s="16">
        <v>1.0004731099999999</v>
      </c>
      <c r="G76" s="14">
        <v>27.066617529999998</v>
      </c>
      <c r="H76" s="16">
        <v>1.0004731099999999</v>
      </c>
      <c r="I76" s="14" t="s">
        <v>139</v>
      </c>
      <c r="J76" s="16" t="s">
        <v>139</v>
      </c>
      <c r="K76" s="14">
        <v>0</v>
      </c>
      <c r="L76" s="16">
        <v>0</v>
      </c>
      <c r="M76" s="14">
        <v>0</v>
      </c>
      <c r="N76" s="16">
        <v>0</v>
      </c>
      <c r="O76" s="14">
        <v>0</v>
      </c>
      <c r="P76" s="16">
        <v>0</v>
      </c>
      <c r="Q76" s="14">
        <v>0</v>
      </c>
      <c r="R76" s="16">
        <v>0</v>
      </c>
    </row>
    <row r="77" spans="1:18" x14ac:dyDescent="0.25">
      <c r="A77" s="11" t="s">
        <v>210</v>
      </c>
      <c r="B77" s="13">
        <v>6062</v>
      </c>
      <c r="C77" s="14">
        <f>(5018/B77*100)</f>
        <v>82.777961068954141</v>
      </c>
      <c r="D77" s="15">
        <v>1044</v>
      </c>
      <c r="E77" s="14">
        <v>76.899602329999993</v>
      </c>
      <c r="F77" s="16">
        <v>1.36740207</v>
      </c>
      <c r="G77" s="14">
        <v>23.10039767</v>
      </c>
      <c r="H77" s="16">
        <v>1.36740207</v>
      </c>
      <c r="I77" s="14" t="s">
        <v>139</v>
      </c>
      <c r="J77" s="16" t="s">
        <v>139</v>
      </c>
      <c r="K77" s="14">
        <v>0</v>
      </c>
      <c r="L77" s="16">
        <v>0</v>
      </c>
      <c r="M77" s="14">
        <v>0</v>
      </c>
      <c r="N77" s="16">
        <v>0</v>
      </c>
      <c r="O77" s="14">
        <v>0</v>
      </c>
      <c r="P77" s="16">
        <v>0</v>
      </c>
      <c r="Q77" s="14">
        <v>0</v>
      </c>
      <c r="R77" s="16">
        <v>0</v>
      </c>
    </row>
    <row r="78" spans="1:18" x14ac:dyDescent="0.25">
      <c r="A78" s="11" t="s">
        <v>211</v>
      </c>
      <c r="B78" s="17" t="s">
        <v>154</v>
      </c>
      <c r="C78" s="17" t="s">
        <v>154</v>
      </c>
      <c r="D78" s="18" t="s">
        <v>154</v>
      </c>
      <c r="E78" s="17" t="s">
        <v>154</v>
      </c>
      <c r="F78" s="18" t="s">
        <v>154</v>
      </c>
      <c r="G78" s="17" t="s">
        <v>154</v>
      </c>
      <c r="H78" s="18" t="s">
        <v>154</v>
      </c>
      <c r="I78" s="17" t="s">
        <v>154</v>
      </c>
      <c r="J78" s="18" t="s">
        <v>154</v>
      </c>
      <c r="K78" s="17" t="s">
        <v>154</v>
      </c>
      <c r="L78" s="18" t="s">
        <v>154</v>
      </c>
      <c r="M78" s="17" t="s">
        <v>154</v>
      </c>
      <c r="N78" s="18" t="s">
        <v>154</v>
      </c>
      <c r="O78" s="17" t="s">
        <v>154</v>
      </c>
      <c r="P78" s="18" t="s">
        <v>154</v>
      </c>
      <c r="Q78" s="17" t="s">
        <v>154</v>
      </c>
      <c r="R78" s="18" t="s">
        <v>154</v>
      </c>
    </row>
    <row r="79" spans="1:18" ht="24.95" customHeight="1" x14ac:dyDescent="0.25">
      <c r="A79" s="11" t="s">
        <v>212</v>
      </c>
      <c r="B79" s="17" t="s">
        <v>154</v>
      </c>
      <c r="C79" s="17" t="s">
        <v>154</v>
      </c>
      <c r="D79" s="18" t="s">
        <v>154</v>
      </c>
      <c r="E79" s="17" t="s">
        <v>154</v>
      </c>
      <c r="F79" s="18" t="s">
        <v>154</v>
      </c>
      <c r="G79" s="17" t="s">
        <v>154</v>
      </c>
      <c r="H79" s="18" t="s">
        <v>154</v>
      </c>
      <c r="I79" s="17" t="s">
        <v>154</v>
      </c>
      <c r="J79" s="18" t="s">
        <v>154</v>
      </c>
      <c r="K79" s="17" t="s">
        <v>154</v>
      </c>
      <c r="L79" s="18" t="s">
        <v>154</v>
      </c>
      <c r="M79" s="17" t="s">
        <v>154</v>
      </c>
      <c r="N79" s="18" t="s">
        <v>154</v>
      </c>
      <c r="O79" s="17" t="s">
        <v>154</v>
      </c>
      <c r="P79" s="18" t="s">
        <v>154</v>
      </c>
      <c r="Q79" s="17" t="s">
        <v>154</v>
      </c>
      <c r="R79" s="18" t="s">
        <v>154</v>
      </c>
    </row>
    <row r="80" spans="1:18" x14ac:dyDescent="0.25">
      <c r="A80" s="11" t="s">
        <v>213</v>
      </c>
      <c r="B80" s="17" t="s">
        <v>154</v>
      </c>
      <c r="C80" s="17" t="s">
        <v>154</v>
      </c>
      <c r="D80" s="18" t="s">
        <v>154</v>
      </c>
      <c r="E80" s="17" t="s">
        <v>154</v>
      </c>
      <c r="F80" s="18" t="s">
        <v>154</v>
      </c>
      <c r="G80" s="17" t="s">
        <v>154</v>
      </c>
      <c r="H80" s="18" t="s">
        <v>154</v>
      </c>
      <c r="I80" s="17" t="s">
        <v>154</v>
      </c>
      <c r="J80" s="18" t="s">
        <v>154</v>
      </c>
      <c r="K80" s="17" t="s">
        <v>154</v>
      </c>
      <c r="L80" s="18" t="s">
        <v>154</v>
      </c>
      <c r="M80" s="17" t="s">
        <v>154</v>
      </c>
      <c r="N80" s="18" t="s">
        <v>154</v>
      </c>
      <c r="O80" s="17" t="s">
        <v>154</v>
      </c>
      <c r="P80" s="18" t="s">
        <v>154</v>
      </c>
      <c r="Q80" s="17" t="s">
        <v>154</v>
      </c>
      <c r="R80" s="18" t="s">
        <v>154</v>
      </c>
    </row>
    <row r="81" spans="1:18" x14ac:dyDescent="0.25">
      <c r="A81" s="19" t="s">
        <v>214</v>
      </c>
      <c r="B81" s="13">
        <v>8861</v>
      </c>
      <c r="C81" s="14">
        <f>(7369/B81*100)</f>
        <v>83.162171312492944</v>
      </c>
      <c r="D81" s="15">
        <v>1492</v>
      </c>
      <c r="E81" s="14">
        <v>63.674071069999997</v>
      </c>
      <c r="F81" s="16">
        <v>1.5169043099999999</v>
      </c>
      <c r="G81" s="14">
        <v>36.325928930000003</v>
      </c>
      <c r="H81" s="16">
        <v>1.5169043099999999</v>
      </c>
      <c r="I81" s="14" t="s">
        <v>139</v>
      </c>
      <c r="J81" s="16" t="s">
        <v>139</v>
      </c>
      <c r="K81" s="14">
        <v>0</v>
      </c>
      <c r="L81" s="16">
        <v>0</v>
      </c>
      <c r="M81" s="14">
        <v>0</v>
      </c>
      <c r="N81" s="16">
        <v>0</v>
      </c>
      <c r="O81" s="14">
        <v>0</v>
      </c>
      <c r="P81" s="16">
        <v>0</v>
      </c>
      <c r="Q81" s="14">
        <v>0</v>
      </c>
      <c r="R81" s="16">
        <v>0</v>
      </c>
    </row>
    <row r="82" spans="1:18" x14ac:dyDescent="0.25">
      <c r="A82" s="20"/>
      <c r="B82" s="20" t="s">
        <v>215</v>
      </c>
      <c r="C82" s="20" t="s">
        <v>215</v>
      </c>
      <c r="D82" s="20" t="s">
        <v>215</v>
      </c>
      <c r="E82" s="20" t="s">
        <v>215</v>
      </c>
      <c r="F82" s="20" t="s">
        <v>215</v>
      </c>
      <c r="G82" s="20" t="s">
        <v>215</v>
      </c>
      <c r="H82" s="20" t="s">
        <v>215</v>
      </c>
      <c r="I82" s="20" t="s">
        <v>215</v>
      </c>
      <c r="J82" s="20" t="s">
        <v>215</v>
      </c>
      <c r="K82" s="20" t="s">
        <v>215</v>
      </c>
      <c r="L82" s="20" t="s">
        <v>215</v>
      </c>
      <c r="M82" s="20" t="s">
        <v>215</v>
      </c>
      <c r="N82" s="20" t="s">
        <v>215</v>
      </c>
      <c r="O82" s="20" t="s">
        <v>215</v>
      </c>
      <c r="P82" s="20" t="s">
        <v>215</v>
      </c>
      <c r="Q82" s="20" t="s">
        <v>215</v>
      </c>
      <c r="R82" s="20" t="s">
        <v>215</v>
      </c>
    </row>
    <row r="83" spans="1:18" x14ac:dyDescent="0.25">
      <c r="A83" s="3" t="s">
        <v>216</v>
      </c>
    </row>
    <row r="84" spans="1:18" x14ac:dyDescent="0.25">
      <c r="A84" s="22" t="s">
        <v>217</v>
      </c>
      <c r="B84" s="23"/>
      <c r="C84" s="23"/>
      <c r="D84" s="23"/>
      <c r="E84" s="23"/>
      <c r="F84" s="23"/>
      <c r="G84" s="23"/>
      <c r="H84" s="23"/>
      <c r="I84" s="23"/>
      <c r="J84" s="23"/>
      <c r="K84" s="23"/>
      <c r="L84" s="23"/>
      <c r="M84" s="23"/>
      <c r="N84" s="23"/>
      <c r="O84" s="23"/>
      <c r="P84" s="23"/>
      <c r="Q84" s="23"/>
      <c r="R84" s="23"/>
    </row>
    <row r="85" spans="1:18" x14ac:dyDescent="0.25">
      <c r="A85" s="22" t="s">
        <v>218</v>
      </c>
      <c r="B85" s="23"/>
      <c r="C85" s="23"/>
      <c r="D85" s="23"/>
      <c r="E85" s="23"/>
      <c r="F85" s="23"/>
      <c r="G85" s="23"/>
      <c r="H85" s="23"/>
      <c r="I85" s="23"/>
      <c r="J85" s="23"/>
      <c r="K85" s="23"/>
      <c r="L85" s="23"/>
      <c r="M85" s="23"/>
      <c r="N85" s="23"/>
      <c r="O85" s="23"/>
      <c r="P85" s="23"/>
      <c r="Q85" s="23"/>
      <c r="R85" s="23"/>
    </row>
    <row r="86" spans="1:18" ht="30" customHeight="1" x14ac:dyDescent="0.25">
      <c r="A86" s="22" t="s">
        <v>219</v>
      </c>
      <c r="B86" s="23"/>
      <c r="C86" s="23"/>
      <c r="D86" s="23"/>
      <c r="E86" s="23"/>
      <c r="F86" s="23"/>
      <c r="G86" s="23"/>
      <c r="H86" s="23"/>
      <c r="I86" s="23"/>
      <c r="J86" s="23"/>
      <c r="K86" s="23"/>
      <c r="L86" s="23"/>
      <c r="M86" s="23"/>
      <c r="N86" s="23"/>
      <c r="O86" s="23"/>
      <c r="P86" s="23"/>
      <c r="Q86" s="23"/>
      <c r="R86" s="23"/>
    </row>
    <row r="87" spans="1:18" ht="30" customHeight="1" x14ac:dyDescent="0.25">
      <c r="A87" s="22" t="s">
        <v>215</v>
      </c>
      <c r="B87" s="23"/>
      <c r="C87" s="23"/>
      <c r="D87" s="23"/>
      <c r="E87" s="23"/>
      <c r="F87" s="23"/>
      <c r="G87" s="23"/>
      <c r="H87" s="23"/>
      <c r="I87" s="23"/>
      <c r="J87" s="23"/>
      <c r="K87" s="23"/>
      <c r="L87" s="23"/>
      <c r="M87" s="23"/>
      <c r="N87" s="23"/>
      <c r="O87" s="23"/>
      <c r="P87" s="23"/>
      <c r="Q87" s="23"/>
      <c r="R87" s="23"/>
    </row>
    <row r="88" spans="1:18" ht="30" customHeight="1" x14ac:dyDescent="0.25">
      <c r="A88" s="22" t="s">
        <v>220</v>
      </c>
      <c r="B88" s="23"/>
      <c r="C88" s="23"/>
      <c r="D88" s="23"/>
      <c r="E88" s="23"/>
      <c r="F88" s="23"/>
      <c r="G88" s="23"/>
      <c r="H88" s="23"/>
      <c r="I88" s="23"/>
      <c r="J88" s="23"/>
      <c r="K88" s="23"/>
      <c r="L88" s="23"/>
      <c r="M88" s="23"/>
      <c r="N88" s="23"/>
      <c r="O88" s="23"/>
      <c r="P88" s="23"/>
      <c r="Q88" s="23"/>
      <c r="R88" s="23"/>
    </row>
    <row r="89" spans="1:18" ht="30" customHeight="1" x14ac:dyDescent="0.25">
      <c r="A89" s="22" t="s">
        <v>221</v>
      </c>
      <c r="B89" s="23"/>
      <c r="C89" s="23"/>
      <c r="D89" s="23"/>
      <c r="E89" s="23"/>
      <c r="F89" s="23"/>
      <c r="G89" s="23"/>
      <c r="H89" s="23"/>
      <c r="I89" s="23"/>
      <c r="J89" s="23"/>
      <c r="K89" s="23"/>
      <c r="L89" s="23"/>
      <c r="M89" s="23"/>
      <c r="N89" s="23"/>
      <c r="O89" s="23"/>
      <c r="P89" s="23"/>
      <c r="Q89" s="23"/>
      <c r="R89" s="23"/>
    </row>
    <row r="90" spans="1:18" ht="30" customHeight="1" x14ac:dyDescent="0.25">
      <c r="A90" s="22" t="s">
        <v>222</v>
      </c>
      <c r="B90" s="23"/>
      <c r="C90" s="23"/>
      <c r="D90" s="23"/>
      <c r="E90" s="23"/>
      <c r="F90" s="23"/>
      <c r="G90" s="23"/>
      <c r="H90" s="23"/>
      <c r="I90" s="23"/>
      <c r="J90" s="23"/>
      <c r="K90" s="23"/>
      <c r="L90" s="23"/>
      <c r="M90" s="23"/>
      <c r="N90" s="23"/>
      <c r="O90" s="23"/>
      <c r="P90" s="23"/>
      <c r="Q90" s="23"/>
      <c r="R90" s="23"/>
    </row>
    <row r="91" spans="1:18" ht="30" customHeight="1" x14ac:dyDescent="0.25">
      <c r="A91" s="22" t="s">
        <v>223</v>
      </c>
      <c r="B91" s="23"/>
      <c r="C91" s="23"/>
      <c r="D91" s="23"/>
      <c r="E91" s="23"/>
      <c r="F91" s="23"/>
      <c r="G91" s="23"/>
      <c r="H91" s="23"/>
      <c r="I91" s="23"/>
      <c r="J91" s="23"/>
      <c r="K91" s="23"/>
      <c r="L91" s="23"/>
      <c r="M91" s="23"/>
      <c r="N91" s="23"/>
      <c r="O91" s="23"/>
      <c r="P91" s="23"/>
      <c r="Q91" s="23"/>
      <c r="R91" s="23"/>
    </row>
    <row r="92" spans="1:18" ht="30" customHeight="1" x14ac:dyDescent="0.25">
      <c r="A92" s="22" t="s">
        <v>224</v>
      </c>
      <c r="B92" s="23"/>
      <c r="C92" s="23"/>
      <c r="D92" s="23"/>
      <c r="E92" s="23"/>
      <c r="F92" s="23"/>
      <c r="G92" s="23"/>
      <c r="H92" s="23"/>
      <c r="I92" s="23"/>
      <c r="J92" s="23"/>
      <c r="K92" s="23"/>
      <c r="L92" s="23"/>
      <c r="M92" s="23"/>
      <c r="N92" s="23"/>
      <c r="O92" s="23"/>
      <c r="P92" s="23"/>
      <c r="Q92" s="23"/>
      <c r="R92" s="23"/>
    </row>
    <row r="93" spans="1:18" ht="30" customHeight="1" x14ac:dyDescent="0.25">
      <c r="A93" s="22" t="s">
        <v>225</v>
      </c>
      <c r="B93" s="23"/>
      <c r="C93" s="23"/>
      <c r="D93" s="23"/>
      <c r="E93" s="23"/>
      <c r="F93" s="23"/>
      <c r="G93" s="23"/>
      <c r="H93" s="23"/>
      <c r="I93" s="23"/>
      <c r="J93" s="23"/>
      <c r="K93" s="23"/>
      <c r="L93" s="23"/>
      <c r="M93" s="23"/>
      <c r="N93" s="23"/>
      <c r="O93" s="23"/>
      <c r="P93" s="23"/>
      <c r="Q93" s="23"/>
      <c r="R93" s="23"/>
    </row>
    <row r="94" spans="1:18" ht="30" customHeight="1" x14ac:dyDescent="0.25">
      <c r="A94" s="22" t="s">
        <v>226</v>
      </c>
      <c r="B94" s="23"/>
      <c r="C94" s="23"/>
      <c r="D94" s="23"/>
      <c r="E94" s="23"/>
      <c r="F94" s="23"/>
      <c r="G94" s="23"/>
      <c r="H94" s="23"/>
      <c r="I94" s="23"/>
      <c r="J94" s="23"/>
      <c r="K94" s="23"/>
      <c r="L94" s="23"/>
      <c r="M94" s="23"/>
      <c r="N94" s="23"/>
      <c r="O94" s="23"/>
      <c r="P94" s="23"/>
      <c r="Q94" s="23"/>
      <c r="R94" s="23"/>
    </row>
    <row r="95" spans="1:18" ht="30" customHeight="1" x14ac:dyDescent="0.25">
      <c r="A95" s="22" t="s">
        <v>227</v>
      </c>
      <c r="B95" s="23"/>
      <c r="C95" s="23"/>
      <c r="D95" s="23"/>
      <c r="E95" s="23"/>
      <c r="F95" s="23"/>
      <c r="G95" s="23"/>
      <c r="H95" s="23"/>
      <c r="I95" s="23"/>
      <c r="J95" s="23"/>
      <c r="K95" s="23"/>
      <c r="L95" s="23"/>
      <c r="M95" s="23"/>
      <c r="N95" s="23"/>
      <c r="O95" s="23"/>
      <c r="P95" s="23"/>
      <c r="Q95" s="23"/>
      <c r="R95" s="23"/>
    </row>
    <row r="96" spans="1:18" ht="30" customHeight="1" x14ac:dyDescent="0.25">
      <c r="A96" s="22" t="s">
        <v>228</v>
      </c>
      <c r="B96" s="23"/>
      <c r="C96" s="23"/>
      <c r="D96" s="23"/>
      <c r="E96" s="23"/>
      <c r="F96" s="23"/>
      <c r="G96" s="23"/>
      <c r="H96" s="23"/>
      <c r="I96" s="23"/>
      <c r="J96" s="23"/>
      <c r="K96" s="23"/>
      <c r="L96" s="23"/>
      <c r="M96" s="23"/>
      <c r="N96" s="23"/>
      <c r="O96" s="23"/>
      <c r="P96" s="23"/>
      <c r="Q96" s="23"/>
      <c r="R96" s="23"/>
    </row>
  </sheetData>
  <mergeCells count="22">
    <mergeCell ref="O4:P4"/>
    <mergeCell ref="Q4:R4"/>
    <mergeCell ref="A1:R1"/>
    <mergeCell ref="A2:R2"/>
    <mergeCell ref="A84:R84"/>
    <mergeCell ref="E4:F4"/>
    <mergeCell ref="G4:H4"/>
    <mergeCell ref="I4:J4"/>
    <mergeCell ref="K4:L4"/>
    <mergeCell ref="M4:N4"/>
    <mergeCell ref="A85:R85"/>
    <mergeCell ref="A86:R86"/>
    <mergeCell ref="A87:R87"/>
    <mergeCell ref="A88:R88"/>
    <mergeCell ref="A89:R89"/>
    <mergeCell ref="A95:R95"/>
    <mergeCell ref="A96:R96"/>
    <mergeCell ref="A90:R90"/>
    <mergeCell ref="A91:R91"/>
    <mergeCell ref="A92:R92"/>
    <mergeCell ref="A93:R93"/>
    <mergeCell ref="A94:R94"/>
  </mergeCells>
  <pageMargins left="0.75" right="0.75" top="1" bottom="1" header="0.5" footer="0.5"/>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4"/>
  <dimension ref="A1:R96"/>
  <sheetViews>
    <sheetView zoomScale="80" workbookViewId="0">
      <pane xSplit="4" topLeftCell="E1" activePane="topRight" state="frozen"/>
      <selection sqref="A1:R1"/>
      <selection pane="topRight" sqref="A1:R1"/>
    </sheetView>
  </sheetViews>
  <sheetFormatPr defaultColWidth="11.42578125" defaultRowHeight="15" x14ac:dyDescent="0.25"/>
  <cols>
    <col min="1" max="1" width="50" customWidth="1"/>
  </cols>
  <sheetData>
    <row r="1" spans="1:18" x14ac:dyDescent="0.25">
      <c r="A1" s="26" t="s">
        <v>122</v>
      </c>
      <c r="B1" s="23"/>
      <c r="C1" s="23"/>
      <c r="D1" s="23"/>
      <c r="E1" s="23"/>
      <c r="F1" s="23"/>
      <c r="G1" s="23"/>
      <c r="H1" s="23"/>
      <c r="I1" s="23"/>
      <c r="J1" s="23"/>
      <c r="K1" s="23"/>
      <c r="L1" s="23"/>
      <c r="M1" s="23"/>
      <c r="N1" s="23"/>
      <c r="O1" s="23"/>
      <c r="P1" s="23"/>
      <c r="Q1" s="23"/>
      <c r="R1" s="23"/>
    </row>
    <row r="2" spans="1:18" x14ac:dyDescent="0.25">
      <c r="A2" s="27" t="s">
        <v>290</v>
      </c>
      <c r="B2" s="23"/>
      <c r="C2" s="23"/>
      <c r="D2" s="23"/>
      <c r="E2" s="23"/>
      <c r="F2" s="23"/>
      <c r="G2" s="23"/>
      <c r="H2" s="23"/>
      <c r="I2" s="23"/>
      <c r="J2" s="23"/>
      <c r="K2" s="23"/>
      <c r="L2" s="23"/>
      <c r="M2" s="23"/>
      <c r="N2" s="23"/>
      <c r="O2" s="23"/>
      <c r="P2" s="23"/>
      <c r="Q2" s="23"/>
      <c r="R2" s="23"/>
    </row>
    <row r="4" spans="1:18" ht="30" customHeight="1" x14ac:dyDescent="0.25">
      <c r="A4" s="4"/>
      <c r="B4" s="5" t="s">
        <v>123</v>
      </c>
      <c r="C4" s="5" t="s">
        <v>124</v>
      </c>
      <c r="D4" s="6" t="s">
        <v>123</v>
      </c>
      <c r="E4" s="24" t="s">
        <v>125</v>
      </c>
      <c r="F4" s="25"/>
      <c r="G4" s="24" t="s">
        <v>126</v>
      </c>
      <c r="H4" s="25"/>
      <c r="I4" s="24" t="s">
        <v>127</v>
      </c>
      <c r="J4" s="25"/>
      <c r="K4" s="24" t="s">
        <v>128</v>
      </c>
      <c r="L4" s="25"/>
      <c r="M4" s="24" t="s">
        <v>129</v>
      </c>
      <c r="N4" s="25"/>
      <c r="O4" s="24" t="s">
        <v>130</v>
      </c>
      <c r="P4" s="25"/>
      <c r="Q4" s="24" t="s">
        <v>131</v>
      </c>
      <c r="R4" s="25"/>
    </row>
    <row r="5" spans="1:18" x14ac:dyDescent="0.25">
      <c r="A5" s="7"/>
      <c r="B5" s="8" t="s">
        <v>132</v>
      </c>
      <c r="C5" s="8" t="s">
        <v>133</v>
      </c>
      <c r="D5" s="7" t="s">
        <v>134</v>
      </c>
      <c r="E5" s="8" t="s">
        <v>135</v>
      </c>
      <c r="F5" s="7" t="s">
        <v>136</v>
      </c>
      <c r="G5" s="8" t="s">
        <v>135</v>
      </c>
      <c r="H5" s="7" t="s">
        <v>136</v>
      </c>
      <c r="I5" s="8" t="s">
        <v>135</v>
      </c>
      <c r="J5" s="7" t="s">
        <v>136</v>
      </c>
      <c r="K5" s="8" t="s">
        <v>135</v>
      </c>
      <c r="L5" s="7" t="s">
        <v>136</v>
      </c>
      <c r="M5" s="8" t="s">
        <v>135</v>
      </c>
      <c r="N5" s="7" t="s">
        <v>136</v>
      </c>
      <c r="O5" s="8" t="s">
        <v>135</v>
      </c>
      <c r="P5" s="7" t="s">
        <v>136</v>
      </c>
      <c r="Q5" s="8" t="s">
        <v>135</v>
      </c>
      <c r="R5" s="7" t="s">
        <v>136</v>
      </c>
    </row>
    <row r="6" spans="1:18" x14ac:dyDescent="0.25">
      <c r="A6" s="9" t="s">
        <v>137</v>
      </c>
      <c r="B6" s="10"/>
      <c r="C6" s="10"/>
      <c r="D6" s="11"/>
      <c r="E6" s="10"/>
      <c r="F6" s="11"/>
      <c r="G6" s="10"/>
      <c r="H6" s="11"/>
      <c r="I6" s="10"/>
      <c r="J6" s="11"/>
      <c r="K6" s="10"/>
      <c r="L6" s="11"/>
      <c r="M6" s="10"/>
      <c r="N6" s="11"/>
      <c r="O6" s="10"/>
      <c r="P6" s="11"/>
      <c r="Q6" s="10"/>
      <c r="R6" s="12"/>
    </row>
    <row r="7" spans="1:18" x14ac:dyDescent="0.25">
      <c r="A7" s="11" t="s">
        <v>138</v>
      </c>
      <c r="B7" s="13">
        <v>14530</v>
      </c>
      <c r="C7" s="14">
        <f>(12103/B7*100)</f>
        <v>83.296627666896072</v>
      </c>
      <c r="D7" s="15">
        <v>2427</v>
      </c>
      <c r="E7" s="14">
        <v>34.194838310000002</v>
      </c>
      <c r="F7" s="16">
        <v>1.15509851</v>
      </c>
      <c r="G7" s="14">
        <v>65.805161690000006</v>
      </c>
      <c r="H7" s="16">
        <v>1.15509851</v>
      </c>
      <c r="I7" s="14" t="s">
        <v>139</v>
      </c>
      <c r="J7" s="16" t="s">
        <v>139</v>
      </c>
      <c r="K7" s="14">
        <v>0</v>
      </c>
      <c r="L7" s="16">
        <v>0</v>
      </c>
      <c r="M7" s="14">
        <v>0</v>
      </c>
      <c r="N7" s="16">
        <v>0</v>
      </c>
      <c r="O7" s="14">
        <v>0</v>
      </c>
      <c r="P7" s="16">
        <v>0</v>
      </c>
      <c r="Q7" s="14">
        <v>0</v>
      </c>
      <c r="R7" s="16">
        <v>0</v>
      </c>
    </row>
    <row r="8" spans="1:18" x14ac:dyDescent="0.25">
      <c r="A8" s="11" t="s">
        <v>140</v>
      </c>
      <c r="B8" s="13">
        <v>7007</v>
      </c>
      <c r="C8" s="14">
        <f>(5812/B8*100)</f>
        <v>82.94562580276866</v>
      </c>
      <c r="D8" s="15">
        <v>1195</v>
      </c>
      <c r="E8" s="14">
        <v>33.685931570000001</v>
      </c>
      <c r="F8" s="16">
        <v>1.3544366800000001</v>
      </c>
      <c r="G8" s="14">
        <v>66.314068430000006</v>
      </c>
      <c r="H8" s="16">
        <v>1.3544366800000001</v>
      </c>
      <c r="I8" s="14" t="s">
        <v>139</v>
      </c>
      <c r="J8" s="16" t="s">
        <v>139</v>
      </c>
      <c r="K8" s="14">
        <v>0</v>
      </c>
      <c r="L8" s="16">
        <v>0</v>
      </c>
      <c r="M8" s="14">
        <v>0</v>
      </c>
      <c r="N8" s="16">
        <v>0</v>
      </c>
      <c r="O8" s="14">
        <v>0</v>
      </c>
      <c r="P8" s="16">
        <v>0</v>
      </c>
      <c r="Q8" s="14">
        <v>0</v>
      </c>
      <c r="R8" s="16">
        <v>0</v>
      </c>
    </row>
    <row r="9" spans="1:18" x14ac:dyDescent="0.25">
      <c r="A9" s="11" t="s">
        <v>141</v>
      </c>
      <c r="B9" s="13">
        <v>9651</v>
      </c>
      <c r="C9" s="14">
        <f>(8044/B9*100)</f>
        <v>83.34887576416952</v>
      </c>
      <c r="D9" s="15">
        <v>1607</v>
      </c>
      <c r="E9" s="14">
        <v>38.50608587</v>
      </c>
      <c r="F9" s="16">
        <v>1.3116716900000001</v>
      </c>
      <c r="G9" s="14">
        <v>61.49391413</v>
      </c>
      <c r="H9" s="16">
        <v>1.3116716900000001</v>
      </c>
      <c r="I9" s="14" t="s">
        <v>139</v>
      </c>
      <c r="J9" s="16" t="s">
        <v>139</v>
      </c>
      <c r="K9" s="14">
        <v>0</v>
      </c>
      <c r="L9" s="16">
        <v>0</v>
      </c>
      <c r="M9" s="14">
        <v>0</v>
      </c>
      <c r="N9" s="16">
        <v>0</v>
      </c>
      <c r="O9" s="14">
        <v>0</v>
      </c>
      <c r="P9" s="16">
        <v>0</v>
      </c>
      <c r="Q9" s="14">
        <v>0</v>
      </c>
      <c r="R9" s="16">
        <v>0</v>
      </c>
    </row>
    <row r="10" spans="1:18" x14ac:dyDescent="0.25">
      <c r="A10" s="11" t="s">
        <v>142</v>
      </c>
      <c r="B10" s="13">
        <v>20058</v>
      </c>
      <c r="C10" s="14">
        <f>(16638/B10*100)</f>
        <v>82.949446604845946</v>
      </c>
      <c r="D10" s="15">
        <v>3420</v>
      </c>
      <c r="E10" s="14">
        <v>34.249249620000001</v>
      </c>
      <c r="F10" s="16">
        <v>1.05480358</v>
      </c>
      <c r="G10" s="14">
        <v>65.750750379999999</v>
      </c>
      <c r="H10" s="16">
        <v>1.05480358</v>
      </c>
      <c r="I10" s="14" t="s">
        <v>139</v>
      </c>
      <c r="J10" s="16" t="s">
        <v>139</v>
      </c>
      <c r="K10" s="14">
        <v>0</v>
      </c>
      <c r="L10" s="16">
        <v>0</v>
      </c>
      <c r="M10" s="14">
        <v>0</v>
      </c>
      <c r="N10" s="16">
        <v>0</v>
      </c>
      <c r="O10" s="14">
        <v>0</v>
      </c>
      <c r="P10" s="16">
        <v>0</v>
      </c>
      <c r="Q10" s="14">
        <v>0</v>
      </c>
      <c r="R10" s="16">
        <v>0</v>
      </c>
    </row>
    <row r="11" spans="1:18" x14ac:dyDescent="0.25">
      <c r="A11" s="11" t="s">
        <v>143</v>
      </c>
      <c r="B11" s="13">
        <v>7053</v>
      </c>
      <c r="C11" s="14">
        <f>(5851/B11*100)</f>
        <v>82.957606692187724</v>
      </c>
      <c r="D11" s="15">
        <v>1202</v>
      </c>
      <c r="E11" s="14">
        <v>53.656101739999997</v>
      </c>
      <c r="F11" s="16">
        <v>1.8195494999999999</v>
      </c>
      <c r="G11" s="14">
        <v>46.343898260000003</v>
      </c>
      <c r="H11" s="16">
        <v>1.8195494999999999</v>
      </c>
      <c r="I11" s="14" t="s">
        <v>139</v>
      </c>
      <c r="J11" s="16" t="s">
        <v>139</v>
      </c>
      <c r="K11" s="14">
        <v>0</v>
      </c>
      <c r="L11" s="16">
        <v>0</v>
      </c>
      <c r="M11" s="14">
        <v>0</v>
      </c>
      <c r="N11" s="16">
        <v>0</v>
      </c>
      <c r="O11" s="14">
        <v>0</v>
      </c>
      <c r="P11" s="16">
        <v>0</v>
      </c>
      <c r="Q11" s="14">
        <v>0</v>
      </c>
      <c r="R11" s="16">
        <v>0</v>
      </c>
    </row>
    <row r="12" spans="1:18" x14ac:dyDescent="0.25">
      <c r="A12" s="11" t="s">
        <v>144</v>
      </c>
      <c r="B12" s="13">
        <v>6894</v>
      </c>
      <c r="C12" s="14">
        <f>(5720/B12*100)</f>
        <v>82.970699158688717</v>
      </c>
      <c r="D12" s="15">
        <v>1174</v>
      </c>
      <c r="E12" s="14">
        <v>38.188327260000001</v>
      </c>
      <c r="F12" s="16">
        <v>1.8362738999999999</v>
      </c>
      <c r="G12" s="14">
        <v>61.811672739999999</v>
      </c>
      <c r="H12" s="16">
        <v>1.8362738999999999</v>
      </c>
      <c r="I12" s="14" t="s">
        <v>139</v>
      </c>
      <c r="J12" s="16" t="s">
        <v>139</v>
      </c>
      <c r="K12" s="14">
        <v>0</v>
      </c>
      <c r="L12" s="16">
        <v>0</v>
      </c>
      <c r="M12" s="14">
        <v>0</v>
      </c>
      <c r="N12" s="16">
        <v>0</v>
      </c>
      <c r="O12" s="14">
        <v>0</v>
      </c>
      <c r="P12" s="16">
        <v>0</v>
      </c>
      <c r="Q12" s="14">
        <v>0</v>
      </c>
      <c r="R12" s="16">
        <v>0</v>
      </c>
    </row>
    <row r="13" spans="1:18" x14ac:dyDescent="0.25">
      <c r="A13" s="11" t="s">
        <v>145</v>
      </c>
      <c r="B13" s="13">
        <v>7161</v>
      </c>
      <c r="C13" s="14">
        <f>(6008/B13*100)</f>
        <v>83.898896802122607</v>
      </c>
      <c r="D13" s="15">
        <v>1153</v>
      </c>
      <c r="E13" s="14">
        <v>33.06434402</v>
      </c>
      <c r="F13" s="16">
        <v>1.64332901</v>
      </c>
      <c r="G13" s="14">
        <v>66.935655980000007</v>
      </c>
      <c r="H13" s="16">
        <v>1.64332901</v>
      </c>
      <c r="I13" s="14" t="s">
        <v>139</v>
      </c>
      <c r="J13" s="16" t="s">
        <v>139</v>
      </c>
      <c r="K13" s="14">
        <v>0</v>
      </c>
      <c r="L13" s="16">
        <v>0</v>
      </c>
      <c r="M13" s="14">
        <v>0</v>
      </c>
      <c r="N13" s="16">
        <v>0</v>
      </c>
      <c r="O13" s="14">
        <v>0</v>
      </c>
      <c r="P13" s="16">
        <v>0</v>
      </c>
      <c r="Q13" s="14">
        <v>0</v>
      </c>
      <c r="R13" s="16">
        <v>0</v>
      </c>
    </row>
    <row r="14" spans="1:18" x14ac:dyDescent="0.25">
      <c r="A14" s="11" t="s">
        <v>146</v>
      </c>
      <c r="B14" s="13">
        <v>5587</v>
      </c>
      <c r="C14" s="14">
        <f>(4631/B14*100)</f>
        <v>82.888849114014675</v>
      </c>
      <c r="D14" s="15">
        <v>956</v>
      </c>
      <c r="E14" s="14">
        <v>28.36338666</v>
      </c>
      <c r="F14" s="16">
        <v>1.58487943</v>
      </c>
      <c r="G14" s="14">
        <v>71.636613339999997</v>
      </c>
      <c r="H14" s="16">
        <v>1.58487943</v>
      </c>
      <c r="I14" s="14" t="s">
        <v>139</v>
      </c>
      <c r="J14" s="16" t="s">
        <v>139</v>
      </c>
      <c r="K14" s="14">
        <v>0</v>
      </c>
      <c r="L14" s="16">
        <v>0</v>
      </c>
      <c r="M14" s="14">
        <v>0</v>
      </c>
      <c r="N14" s="16">
        <v>0</v>
      </c>
      <c r="O14" s="14">
        <v>0</v>
      </c>
      <c r="P14" s="16">
        <v>0</v>
      </c>
      <c r="Q14" s="14">
        <v>0</v>
      </c>
      <c r="R14" s="16">
        <v>0</v>
      </c>
    </row>
    <row r="15" spans="1:18" x14ac:dyDescent="0.25">
      <c r="A15" s="11" t="s">
        <v>147</v>
      </c>
      <c r="B15" s="13">
        <v>5882</v>
      </c>
      <c r="C15" s="14">
        <f>(4867/B15*100)</f>
        <v>82.743964637878278</v>
      </c>
      <c r="D15" s="15">
        <v>1015</v>
      </c>
      <c r="E15" s="14">
        <v>31.528431659999999</v>
      </c>
      <c r="F15" s="16">
        <v>1.6153091799999999</v>
      </c>
      <c r="G15" s="14">
        <v>68.471568340000005</v>
      </c>
      <c r="H15" s="16">
        <v>1.6153091799999999</v>
      </c>
      <c r="I15" s="14" t="s">
        <v>139</v>
      </c>
      <c r="J15" s="16" t="s">
        <v>139</v>
      </c>
      <c r="K15" s="14">
        <v>0</v>
      </c>
      <c r="L15" s="16">
        <v>0</v>
      </c>
      <c r="M15" s="14">
        <v>0</v>
      </c>
      <c r="N15" s="16">
        <v>0</v>
      </c>
      <c r="O15" s="14">
        <v>0</v>
      </c>
      <c r="P15" s="16">
        <v>0</v>
      </c>
      <c r="Q15" s="14">
        <v>0</v>
      </c>
      <c r="R15" s="16">
        <v>0</v>
      </c>
    </row>
    <row r="16" spans="1:18" x14ac:dyDescent="0.25">
      <c r="A16" s="11" t="s">
        <v>148</v>
      </c>
      <c r="B16" s="13">
        <v>6108</v>
      </c>
      <c r="C16" s="14">
        <f>(5047/B16*100)</f>
        <v>82.629338572364105</v>
      </c>
      <c r="D16" s="15">
        <v>1061</v>
      </c>
      <c r="E16" s="14">
        <v>43.909432979999998</v>
      </c>
      <c r="F16" s="16">
        <v>1.59972231</v>
      </c>
      <c r="G16" s="14">
        <v>56.090567020000002</v>
      </c>
      <c r="H16" s="16">
        <v>1.59972231</v>
      </c>
      <c r="I16" s="14" t="s">
        <v>139</v>
      </c>
      <c r="J16" s="16" t="s">
        <v>139</v>
      </c>
      <c r="K16" s="14">
        <v>0</v>
      </c>
      <c r="L16" s="16">
        <v>0</v>
      </c>
      <c r="M16" s="14">
        <v>0</v>
      </c>
      <c r="N16" s="16">
        <v>0</v>
      </c>
      <c r="O16" s="14">
        <v>0</v>
      </c>
      <c r="P16" s="16">
        <v>0</v>
      </c>
      <c r="Q16" s="14">
        <v>0</v>
      </c>
      <c r="R16" s="16">
        <v>0</v>
      </c>
    </row>
    <row r="17" spans="1:18" x14ac:dyDescent="0.25">
      <c r="A17" s="11" t="s">
        <v>149</v>
      </c>
      <c r="B17" s="13">
        <v>6504</v>
      </c>
      <c r="C17" s="14">
        <f>(5401/B17*100)</f>
        <v>83.041205412054126</v>
      </c>
      <c r="D17" s="15">
        <v>1103</v>
      </c>
      <c r="E17" s="14">
        <v>32.431556960000002</v>
      </c>
      <c r="F17" s="16">
        <v>1.5166893400000001</v>
      </c>
      <c r="G17" s="14">
        <v>67.568443040000005</v>
      </c>
      <c r="H17" s="16">
        <v>1.5166893400000001</v>
      </c>
      <c r="I17" s="14" t="s">
        <v>139</v>
      </c>
      <c r="J17" s="16" t="s">
        <v>139</v>
      </c>
      <c r="K17" s="14">
        <v>0</v>
      </c>
      <c r="L17" s="16">
        <v>0</v>
      </c>
      <c r="M17" s="14">
        <v>0</v>
      </c>
      <c r="N17" s="16">
        <v>0</v>
      </c>
      <c r="O17" s="14">
        <v>0</v>
      </c>
      <c r="P17" s="16">
        <v>0</v>
      </c>
      <c r="Q17" s="14">
        <v>0</v>
      </c>
      <c r="R17" s="16">
        <v>0</v>
      </c>
    </row>
    <row r="18" spans="1:18" x14ac:dyDescent="0.25">
      <c r="A18" s="11" t="s">
        <v>150</v>
      </c>
      <c r="B18" s="13">
        <v>5532</v>
      </c>
      <c r="C18" s="14">
        <f>(4618/B18*100)</f>
        <v>83.477946493130872</v>
      </c>
      <c r="D18" s="15">
        <v>914</v>
      </c>
      <c r="E18" s="14">
        <v>50.066975919999997</v>
      </c>
      <c r="F18" s="16">
        <v>1.9943261999999999</v>
      </c>
      <c r="G18" s="14">
        <v>49.933024080000003</v>
      </c>
      <c r="H18" s="16">
        <v>1.9943261999999999</v>
      </c>
      <c r="I18" s="14" t="s">
        <v>139</v>
      </c>
      <c r="J18" s="16" t="s">
        <v>139</v>
      </c>
      <c r="K18" s="14">
        <v>0</v>
      </c>
      <c r="L18" s="16">
        <v>0</v>
      </c>
      <c r="M18" s="14">
        <v>0</v>
      </c>
      <c r="N18" s="16">
        <v>0</v>
      </c>
      <c r="O18" s="14">
        <v>0</v>
      </c>
      <c r="P18" s="16">
        <v>0</v>
      </c>
      <c r="Q18" s="14">
        <v>0</v>
      </c>
      <c r="R18" s="16">
        <v>0</v>
      </c>
    </row>
    <row r="19" spans="1:18" x14ac:dyDescent="0.25">
      <c r="A19" s="11" t="s">
        <v>151</v>
      </c>
      <c r="B19" s="13">
        <v>5658</v>
      </c>
      <c r="C19" s="14">
        <f>(4693/B19*100)</f>
        <v>82.944503358077057</v>
      </c>
      <c r="D19" s="15">
        <v>965</v>
      </c>
      <c r="E19" s="14">
        <v>50.585663940000003</v>
      </c>
      <c r="F19" s="16">
        <v>1.5694806400000001</v>
      </c>
      <c r="G19" s="14">
        <v>49.414336059999997</v>
      </c>
      <c r="H19" s="16">
        <v>1.5694806400000001</v>
      </c>
      <c r="I19" s="14" t="s">
        <v>139</v>
      </c>
      <c r="J19" s="16" t="s">
        <v>139</v>
      </c>
      <c r="K19" s="14">
        <v>0</v>
      </c>
      <c r="L19" s="16">
        <v>0</v>
      </c>
      <c r="M19" s="14">
        <v>0</v>
      </c>
      <c r="N19" s="16">
        <v>0</v>
      </c>
      <c r="O19" s="14">
        <v>0</v>
      </c>
      <c r="P19" s="16">
        <v>0</v>
      </c>
      <c r="Q19" s="14">
        <v>0</v>
      </c>
      <c r="R19" s="16">
        <v>0</v>
      </c>
    </row>
    <row r="20" spans="1:18" x14ac:dyDescent="0.25">
      <c r="A20" s="11" t="s">
        <v>152</v>
      </c>
      <c r="B20" s="13">
        <v>3371</v>
      </c>
      <c r="C20" s="14">
        <f>(2807/B20*100)</f>
        <v>83.26905962622368</v>
      </c>
      <c r="D20" s="15">
        <v>564</v>
      </c>
      <c r="E20" s="14">
        <v>38.962685759999999</v>
      </c>
      <c r="F20" s="16">
        <v>2.1560424500000002</v>
      </c>
      <c r="G20" s="14">
        <v>61.037314240000001</v>
      </c>
      <c r="H20" s="16">
        <v>2.1560424500000002</v>
      </c>
      <c r="I20" s="14" t="s">
        <v>139</v>
      </c>
      <c r="J20" s="16" t="s">
        <v>139</v>
      </c>
      <c r="K20" s="14">
        <v>0</v>
      </c>
      <c r="L20" s="16">
        <v>0</v>
      </c>
      <c r="M20" s="14">
        <v>0</v>
      </c>
      <c r="N20" s="16">
        <v>0</v>
      </c>
      <c r="O20" s="14">
        <v>0</v>
      </c>
      <c r="P20" s="16">
        <v>0</v>
      </c>
      <c r="Q20" s="14">
        <v>0</v>
      </c>
      <c r="R20" s="16">
        <v>0</v>
      </c>
    </row>
    <row r="21" spans="1:18" x14ac:dyDescent="0.25">
      <c r="A21" s="11" t="s">
        <v>153</v>
      </c>
      <c r="B21" s="17" t="s">
        <v>154</v>
      </c>
      <c r="C21" s="17" t="s">
        <v>154</v>
      </c>
      <c r="D21" s="18" t="s">
        <v>154</v>
      </c>
      <c r="E21" s="17" t="s">
        <v>154</v>
      </c>
      <c r="F21" s="18" t="s">
        <v>154</v>
      </c>
      <c r="G21" s="17" t="s">
        <v>154</v>
      </c>
      <c r="H21" s="18" t="s">
        <v>154</v>
      </c>
      <c r="I21" s="17" t="s">
        <v>154</v>
      </c>
      <c r="J21" s="18" t="s">
        <v>154</v>
      </c>
      <c r="K21" s="17" t="s">
        <v>154</v>
      </c>
      <c r="L21" s="18" t="s">
        <v>154</v>
      </c>
      <c r="M21" s="17" t="s">
        <v>154</v>
      </c>
      <c r="N21" s="18" t="s">
        <v>154</v>
      </c>
      <c r="O21" s="17" t="s">
        <v>154</v>
      </c>
      <c r="P21" s="18" t="s">
        <v>154</v>
      </c>
      <c r="Q21" s="17" t="s">
        <v>154</v>
      </c>
      <c r="R21" s="18" t="s">
        <v>154</v>
      </c>
    </row>
    <row r="22" spans="1:18" x14ac:dyDescent="0.25">
      <c r="A22" s="11" t="s">
        <v>155</v>
      </c>
      <c r="B22" s="13">
        <v>6598</v>
      </c>
      <c r="C22" s="14">
        <f>(5567/B22*100)</f>
        <v>84.374052743255533</v>
      </c>
      <c r="D22" s="15">
        <v>1031</v>
      </c>
      <c r="E22" s="14">
        <v>49.660732099999997</v>
      </c>
      <c r="F22" s="16">
        <v>1.95476538</v>
      </c>
      <c r="G22" s="14">
        <v>50.339267900000003</v>
      </c>
      <c r="H22" s="16">
        <v>1.95476538</v>
      </c>
      <c r="I22" s="14" t="s">
        <v>139</v>
      </c>
      <c r="J22" s="16" t="s">
        <v>139</v>
      </c>
      <c r="K22" s="14">
        <v>0</v>
      </c>
      <c r="L22" s="16">
        <v>0</v>
      </c>
      <c r="M22" s="14">
        <v>0</v>
      </c>
      <c r="N22" s="16">
        <v>0</v>
      </c>
      <c r="O22" s="14">
        <v>0</v>
      </c>
      <c r="P22" s="16">
        <v>0</v>
      </c>
      <c r="Q22" s="14">
        <v>0</v>
      </c>
      <c r="R22" s="16">
        <v>0</v>
      </c>
    </row>
    <row r="23" spans="1:18" x14ac:dyDescent="0.25">
      <c r="A23" s="11" t="s">
        <v>156</v>
      </c>
      <c r="B23" s="13">
        <v>11583</v>
      </c>
      <c r="C23" s="14">
        <f>(9592/B23*100)</f>
        <v>82.81101614434948</v>
      </c>
      <c r="D23" s="15">
        <v>1991</v>
      </c>
      <c r="E23" s="14">
        <v>52.893209489999997</v>
      </c>
      <c r="F23" s="16">
        <v>1.54291515</v>
      </c>
      <c r="G23" s="14">
        <v>47.106790510000003</v>
      </c>
      <c r="H23" s="16">
        <v>1.54291515</v>
      </c>
      <c r="I23" s="14" t="s">
        <v>139</v>
      </c>
      <c r="J23" s="16" t="s">
        <v>139</v>
      </c>
      <c r="K23" s="14">
        <v>0</v>
      </c>
      <c r="L23" s="16">
        <v>0</v>
      </c>
      <c r="M23" s="14">
        <v>0</v>
      </c>
      <c r="N23" s="16">
        <v>0</v>
      </c>
      <c r="O23" s="14">
        <v>0</v>
      </c>
      <c r="P23" s="16">
        <v>0</v>
      </c>
      <c r="Q23" s="14">
        <v>0</v>
      </c>
      <c r="R23" s="16">
        <v>0</v>
      </c>
    </row>
    <row r="24" spans="1:18" x14ac:dyDescent="0.25">
      <c r="A24" s="11" t="s">
        <v>157</v>
      </c>
      <c r="B24" s="13">
        <v>6647</v>
      </c>
      <c r="C24" s="14">
        <f>(5467/B24*100)</f>
        <v>82.247630510004512</v>
      </c>
      <c r="D24" s="15">
        <v>1180</v>
      </c>
      <c r="E24" s="14">
        <v>39.069891849999998</v>
      </c>
      <c r="F24" s="16">
        <v>1.50899855</v>
      </c>
      <c r="G24" s="14">
        <v>60.930108150000002</v>
      </c>
      <c r="H24" s="16">
        <v>1.50899855</v>
      </c>
      <c r="I24" s="14" t="s">
        <v>139</v>
      </c>
      <c r="J24" s="16" t="s">
        <v>139</v>
      </c>
      <c r="K24" s="14">
        <v>0</v>
      </c>
      <c r="L24" s="16">
        <v>0</v>
      </c>
      <c r="M24" s="14">
        <v>0</v>
      </c>
      <c r="N24" s="16">
        <v>0</v>
      </c>
      <c r="O24" s="14">
        <v>0</v>
      </c>
      <c r="P24" s="16">
        <v>0</v>
      </c>
      <c r="Q24" s="14">
        <v>0</v>
      </c>
      <c r="R24" s="16">
        <v>0</v>
      </c>
    </row>
    <row r="25" spans="1:18" x14ac:dyDescent="0.25">
      <c r="A25" s="11" t="s">
        <v>158</v>
      </c>
      <c r="B25" s="13">
        <v>5581</v>
      </c>
      <c r="C25" s="14">
        <f>(4597/B25*100)</f>
        <v>82.368751119870993</v>
      </c>
      <c r="D25" s="15">
        <v>984</v>
      </c>
      <c r="E25" s="14">
        <v>44.05523582</v>
      </c>
      <c r="F25" s="16">
        <v>1.3894423499999999</v>
      </c>
      <c r="G25" s="14">
        <v>55.94476418</v>
      </c>
      <c r="H25" s="16">
        <v>1.3894423499999999</v>
      </c>
      <c r="I25" s="14" t="s">
        <v>139</v>
      </c>
      <c r="J25" s="16" t="s">
        <v>139</v>
      </c>
      <c r="K25" s="14">
        <v>0</v>
      </c>
      <c r="L25" s="16">
        <v>0</v>
      </c>
      <c r="M25" s="14">
        <v>0</v>
      </c>
      <c r="N25" s="16">
        <v>0</v>
      </c>
      <c r="O25" s="14">
        <v>0</v>
      </c>
      <c r="P25" s="16">
        <v>0</v>
      </c>
      <c r="Q25" s="14">
        <v>0</v>
      </c>
      <c r="R25" s="16">
        <v>0</v>
      </c>
    </row>
    <row r="26" spans="1:18" x14ac:dyDescent="0.25">
      <c r="A26" s="11" t="s">
        <v>159</v>
      </c>
      <c r="B26" s="13">
        <v>4869</v>
      </c>
      <c r="C26" s="14">
        <f>(4032/B26*100)</f>
        <v>82.809611829944558</v>
      </c>
      <c r="D26" s="15">
        <v>837</v>
      </c>
      <c r="E26" s="14">
        <v>45.677880160000001</v>
      </c>
      <c r="F26" s="16">
        <v>1.7232912899999999</v>
      </c>
      <c r="G26" s="14">
        <v>54.322119839999999</v>
      </c>
      <c r="H26" s="16">
        <v>1.7232912899999999</v>
      </c>
      <c r="I26" s="14" t="s">
        <v>139</v>
      </c>
      <c r="J26" s="16" t="s">
        <v>139</v>
      </c>
      <c r="K26" s="14">
        <v>0</v>
      </c>
      <c r="L26" s="16">
        <v>0</v>
      </c>
      <c r="M26" s="14">
        <v>0</v>
      </c>
      <c r="N26" s="16">
        <v>0</v>
      </c>
      <c r="O26" s="14">
        <v>0</v>
      </c>
      <c r="P26" s="16">
        <v>0</v>
      </c>
      <c r="Q26" s="14">
        <v>0</v>
      </c>
      <c r="R26" s="16">
        <v>0</v>
      </c>
    </row>
    <row r="27" spans="1:18" x14ac:dyDescent="0.25">
      <c r="A27" s="11" t="s">
        <v>160</v>
      </c>
      <c r="B27" s="13">
        <v>5299</v>
      </c>
      <c r="C27" s="14">
        <f>(4397/B27*100)</f>
        <v>82.977920362332512</v>
      </c>
      <c r="D27" s="15">
        <v>902</v>
      </c>
      <c r="E27" s="14">
        <v>42.218771709999999</v>
      </c>
      <c r="F27" s="16">
        <v>1.61421097</v>
      </c>
      <c r="G27" s="14">
        <v>57.781228290000001</v>
      </c>
      <c r="H27" s="16">
        <v>1.61421097</v>
      </c>
      <c r="I27" s="14" t="s">
        <v>139</v>
      </c>
      <c r="J27" s="16" t="s">
        <v>139</v>
      </c>
      <c r="K27" s="14">
        <v>0</v>
      </c>
      <c r="L27" s="16">
        <v>0</v>
      </c>
      <c r="M27" s="14">
        <v>0</v>
      </c>
      <c r="N27" s="16">
        <v>0</v>
      </c>
      <c r="O27" s="14">
        <v>0</v>
      </c>
      <c r="P27" s="16">
        <v>0</v>
      </c>
      <c r="Q27" s="14">
        <v>0</v>
      </c>
      <c r="R27" s="16">
        <v>0</v>
      </c>
    </row>
    <row r="28" spans="1:18" x14ac:dyDescent="0.25">
      <c r="A28" s="11" t="s">
        <v>161</v>
      </c>
      <c r="B28" s="13">
        <v>7568</v>
      </c>
      <c r="C28" s="14">
        <f>(6322/B28*100)</f>
        <v>83.535940803382672</v>
      </c>
      <c r="D28" s="15">
        <v>1246</v>
      </c>
      <c r="E28" s="14">
        <v>60.477965140000002</v>
      </c>
      <c r="F28" s="16">
        <v>1.44021932</v>
      </c>
      <c r="G28" s="14">
        <v>39.522034859999998</v>
      </c>
      <c r="H28" s="16">
        <v>1.44021932</v>
      </c>
      <c r="I28" s="14" t="s">
        <v>139</v>
      </c>
      <c r="J28" s="16" t="s">
        <v>139</v>
      </c>
      <c r="K28" s="14">
        <v>0</v>
      </c>
      <c r="L28" s="16">
        <v>0</v>
      </c>
      <c r="M28" s="14">
        <v>0</v>
      </c>
      <c r="N28" s="16">
        <v>0</v>
      </c>
      <c r="O28" s="14">
        <v>0</v>
      </c>
      <c r="P28" s="16">
        <v>0</v>
      </c>
      <c r="Q28" s="14">
        <v>0</v>
      </c>
      <c r="R28" s="16">
        <v>0</v>
      </c>
    </row>
    <row r="29" spans="1:18" x14ac:dyDescent="0.25">
      <c r="A29" s="11" t="s">
        <v>162</v>
      </c>
      <c r="B29" s="13">
        <v>5385</v>
      </c>
      <c r="C29" s="14">
        <f>(4466/B29*100)</f>
        <v>82.934076137418757</v>
      </c>
      <c r="D29" s="15">
        <v>919</v>
      </c>
      <c r="E29" s="14">
        <v>30.325905649999999</v>
      </c>
      <c r="F29" s="16">
        <v>1.5532237200000001</v>
      </c>
      <c r="G29" s="14">
        <v>69.674094350000004</v>
      </c>
      <c r="H29" s="16">
        <v>1.5532237200000001</v>
      </c>
      <c r="I29" s="14" t="s">
        <v>139</v>
      </c>
      <c r="J29" s="16" t="s">
        <v>139</v>
      </c>
      <c r="K29" s="14">
        <v>0</v>
      </c>
      <c r="L29" s="16">
        <v>0</v>
      </c>
      <c r="M29" s="14">
        <v>0</v>
      </c>
      <c r="N29" s="16">
        <v>0</v>
      </c>
      <c r="O29" s="14">
        <v>0</v>
      </c>
      <c r="P29" s="16">
        <v>0</v>
      </c>
      <c r="Q29" s="14">
        <v>0</v>
      </c>
      <c r="R29" s="16">
        <v>0</v>
      </c>
    </row>
    <row r="30" spans="1:18" x14ac:dyDescent="0.25">
      <c r="A30" s="11" t="s">
        <v>163</v>
      </c>
      <c r="B30" s="13">
        <v>4520</v>
      </c>
      <c r="C30" s="14">
        <f>(3753/B30*100)</f>
        <v>83.030973451327441</v>
      </c>
      <c r="D30" s="15">
        <v>767</v>
      </c>
      <c r="E30" s="14">
        <v>35.331021409999998</v>
      </c>
      <c r="F30" s="16">
        <v>1.7312843200000001</v>
      </c>
      <c r="G30" s="14">
        <v>64.668978589999995</v>
      </c>
      <c r="H30" s="16">
        <v>1.7312843200000001</v>
      </c>
      <c r="I30" s="14" t="s">
        <v>139</v>
      </c>
      <c r="J30" s="16" t="s">
        <v>139</v>
      </c>
      <c r="K30" s="14">
        <v>0</v>
      </c>
      <c r="L30" s="16">
        <v>0</v>
      </c>
      <c r="M30" s="14">
        <v>0</v>
      </c>
      <c r="N30" s="16">
        <v>0</v>
      </c>
      <c r="O30" s="14">
        <v>0</v>
      </c>
      <c r="P30" s="16">
        <v>0</v>
      </c>
      <c r="Q30" s="14">
        <v>0</v>
      </c>
      <c r="R30" s="16">
        <v>0</v>
      </c>
    </row>
    <row r="31" spans="1:18" x14ac:dyDescent="0.25">
      <c r="A31" s="11" t="s">
        <v>164</v>
      </c>
      <c r="B31" s="13">
        <v>5456</v>
      </c>
      <c r="C31" s="14">
        <f>(4490/B31*100)</f>
        <v>82.294721407624635</v>
      </c>
      <c r="D31" s="15">
        <v>966</v>
      </c>
      <c r="E31" s="14">
        <v>44.399480199999999</v>
      </c>
      <c r="F31" s="16">
        <v>1.62938461</v>
      </c>
      <c r="G31" s="14">
        <v>55.600519800000001</v>
      </c>
      <c r="H31" s="16">
        <v>1.62938461</v>
      </c>
      <c r="I31" s="14" t="s">
        <v>139</v>
      </c>
      <c r="J31" s="16" t="s">
        <v>139</v>
      </c>
      <c r="K31" s="14">
        <v>0</v>
      </c>
      <c r="L31" s="16">
        <v>0</v>
      </c>
      <c r="M31" s="14">
        <v>0</v>
      </c>
      <c r="N31" s="16">
        <v>0</v>
      </c>
      <c r="O31" s="14">
        <v>0</v>
      </c>
      <c r="P31" s="16">
        <v>0</v>
      </c>
      <c r="Q31" s="14">
        <v>0</v>
      </c>
      <c r="R31" s="16">
        <v>0</v>
      </c>
    </row>
    <row r="32" spans="1:18" x14ac:dyDescent="0.25">
      <c r="A32" s="11" t="s">
        <v>165</v>
      </c>
      <c r="B32" s="17" t="s">
        <v>154</v>
      </c>
      <c r="C32" s="17" t="s">
        <v>154</v>
      </c>
      <c r="D32" s="18" t="s">
        <v>154</v>
      </c>
      <c r="E32" s="17" t="s">
        <v>154</v>
      </c>
      <c r="F32" s="18" t="s">
        <v>154</v>
      </c>
      <c r="G32" s="17" t="s">
        <v>154</v>
      </c>
      <c r="H32" s="18" t="s">
        <v>154</v>
      </c>
      <c r="I32" s="17" t="s">
        <v>154</v>
      </c>
      <c r="J32" s="18" t="s">
        <v>154</v>
      </c>
      <c r="K32" s="17" t="s">
        <v>154</v>
      </c>
      <c r="L32" s="18" t="s">
        <v>154</v>
      </c>
      <c r="M32" s="17" t="s">
        <v>154</v>
      </c>
      <c r="N32" s="18" t="s">
        <v>154</v>
      </c>
      <c r="O32" s="17" t="s">
        <v>154</v>
      </c>
      <c r="P32" s="18" t="s">
        <v>154</v>
      </c>
      <c r="Q32" s="17" t="s">
        <v>154</v>
      </c>
      <c r="R32" s="18" t="s">
        <v>154</v>
      </c>
    </row>
    <row r="33" spans="1:18" x14ac:dyDescent="0.25">
      <c r="A33" s="11" t="s">
        <v>166</v>
      </c>
      <c r="B33" s="13">
        <v>7325</v>
      </c>
      <c r="C33" s="14">
        <f>(6062/B33*100)</f>
        <v>82.757679180887365</v>
      </c>
      <c r="D33" s="15">
        <v>1263</v>
      </c>
      <c r="E33" s="14">
        <v>41.68723</v>
      </c>
      <c r="F33" s="16">
        <v>1.78307653</v>
      </c>
      <c r="G33" s="14">
        <v>58.31277</v>
      </c>
      <c r="H33" s="16">
        <v>1.78307653</v>
      </c>
      <c r="I33" s="14" t="s">
        <v>139</v>
      </c>
      <c r="J33" s="16" t="s">
        <v>139</v>
      </c>
      <c r="K33" s="14">
        <v>0</v>
      </c>
      <c r="L33" s="16">
        <v>0</v>
      </c>
      <c r="M33" s="14">
        <v>0</v>
      </c>
      <c r="N33" s="16">
        <v>0</v>
      </c>
      <c r="O33" s="14">
        <v>0</v>
      </c>
      <c r="P33" s="16">
        <v>0</v>
      </c>
      <c r="Q33" s="14">
        <v>0</v>
      </c>
      <c r="R33" s="16">
        <v>0</v>
      </c>
    </row>
    <row r="34" spans="1:18" x14ac:dyDescent="0.25">
      <c r="A34" s="11" t="s">
        <v>167</v>
      </c>
      <c r="B34" s="13">
        <v>6350</v>
      </c>
      <c r="C34" s="14">
        <f>(5302/B34*100)</f>
        <v>83.496062992125985</v>
      </c>
      <c r="D34" s="15">
        <v>1048</v>
      </c>
      <c r="E34" s="14">
        <v>43.787965239999998</v>
      </c>
      <c r="F34" s="16">
        <v>1.8734817800000001</v>
      </c>
      <c r="G34" s="14">
        <v>56.212034760000002</v>
      </c>
      <c r="H34" s="16">
        <v>1.8734817800000001</v>
      </c>
      <c r="I34" s="14" t="s">
        <v>139</v>
      </c>
      <c r="J34" s="16" t="s">
        <v>139</v>
      </c>
      <c r="K34" s="14">
        <v>0</v>
      </c>
      <c r="L34" s="16">
        <v>0</v>
      </c>
      <c r="M34" s="14">
        <v>0</v>
      </c>
      <c r="N34" s="16">
        <v>0</v>
      </c>
      <c r="O34" s="14">
        <v>0</v>
      </c>
      <c r="P34" s="16">
        <v>0</v>
      </c>
      <c r="Q34" s="14">
        <v>0</v>
      </c>
      <c r="R34" s="16">
        <v>0</v>
      </c>
    </row>
    <row r="35" spans="1:18" x14ac:dyDescent="0.25">
      <c r="A35" s="11" t="s">
        <v>168</v>
      </c>
      <c r="B35" s="13">
        <v>6406</v>
      </c>
      <c r="C35" s="14">
        <f>(5326/B35*100)</f>
        <v>83.140805494848578</v>
      </c>
      <c r="D35" s="15">
        <v>1080</v>
      </c>
      <c r="E35" s="14">
        <v>46.55581815</v>
      </c>
      <c r="F35" s="16">
        <v>1.82483095</v>
      </c>
      <c r="G35" s="14">
        <v>53.44418185</v>
      </c>
      <c r="H35" s="16">
        <v>1.82483095</v>
      </c>
      <c r="I35" s="14" t="s">
        <v>139</v>
      </c>
      <c r="J35" s="16" t="s">
        <v>139</v>
      </c>
      <c r="K35" s="14">
        <v>0</v>
      </c>
      <c r="L35" s="16">
        <v>0</v>
      </c>
      <c r="M35" s="14">
        <v>0</v>
      </c>
      <c r="N35" s="16">
        <v>0</v>
      </c>
      <c r="O35" s="14">
        <v>0</v>
      </c>
      <c r="P35" s="16">
        <v>0</v>
      </c>
      <c r="Q35" s="14">
        <v>0</v>
      </c>
      <c r="R35" s="16">
        <v>0</v>
      </c>
    </row>
    <row r="36" spans="1:18" x14ac:dyDescent="0.25">
      <c r="A36" s="11" t="s">
        <v>169</v>
      </c>
      <c r="B36" s="13">
        <v>6736</v>
      </c>
      <c r="C36" s="14">
        <f>(5591/B36*100)</f>
        <v>83.001781472684087</v>
      </c>
      <c r="D36" s="15">
        <v>1145</v>
      </c>
      <c r="E36" s="14">
        <v>42.469206130000003</v>
      </c>
      <c r="F36" s="16">
        <v>1.3712723099999999</v>
      </c>
      <c r="G36" s="14">
        <v>57.530793869999997</v>
      </c>
      <c r="H36" s="16">
        <v>1.3712723099999999</v>
      </c>
      <c r="I36" s="14" t="s">
        <v>139</v>
      </c>
      <c r="J36" s="16" t="s">
        <v>139</v>
      </c>
      <c r="K36" s="14">
        <v>0</v>
      </c>
      <c r="L36" s="16">
        <v>0</v>
      </c>
      <c r="M36" s="14">
        <v>0</v>
      </c>
      <c r="N36" s="16">
        <v>0</v>
      </c>
      <c r="O36" s="14">
        <v>0</v>
      </c>
      <c r="P36" s="16">
        <v>0</v>
      </c>
      <c r="Q36" s="14">
        <v>0</v>
      </c>
      <c r="R36" s="16">
        <v>0</v>
      </c>
    </row>
    <row r="37" spans="1:18" x14ac:dyDescent="0.25">
      <c r="A37" s="11" t="s">
        <v>170</v>
      </c>
      <c r="B37" s="13">
        <v>5458</v>
      </c>
      <c r="C37" s="14">
        <f>(4522/B37*100)</f>
        <v>82.850861121289853</v>
      </c>
      <c r="D37" s="15">
        <v>936</v>
      </c>
      <c r="E37" s="14">
        <v>39.926359380000001</v>
      </c>
      <c r="F37" s="16">
        <v>2.0536971099999999</v>
      </c>
      <c r="G37" s="14">
        <v>60.073640619999999</v>
      </c>
      <c r="H37" s="16">
        <v>2.0536971099999999</v>
      </c>
      <c r="I37" s="14" t="s">
        <v>139</v>
      </c>
      <c r="J37" s="16" t="s">
        <v>139</v>
      </c>
      <c r="K37" s="14">
        <v>0</v>
      </c>
      <c r="L37" s="16">
        <v>0</v>
      </c>
      <c r="M37" s="14">
        <v>0</v>
      </c>
      <c r="N37" s="16">
        <v>0</v>
      </c>
      <c r="O37" s="14">
        <v>0</v>
      </c>
      <c r="P37" s="16">
        <v>0</v>
      </c>
      <c r="Q37" s="14">
        <v>0</v>
      </c>
      <c r="R37" s="16">
        <v>0</v>
      </c>
    </row>
    <row r="38" spans="1:18" x14ac:dyDescent="0.25">
      <c r="A38" s="11" t="s">
        <v>171</v>
      </c>
      <c r="B38" s="17" t="s">
        <v>154</v>
      </c>
      <c r="C38" s="17" t="s">
        <v>154</v>
      </c>
      <c r="D38" s="18" t="s">
        <v>154</v>
      </c>
      <c r="E38" s="17" t="s">
        <v>154</v>
      </c>
      <c r="F38" s="18" t="s">
        <v>154</v>
      </c>
      <c r="G38" s="17" t="s">
        <v>154</v>
      </c>
      <c r="H38" s="18" t="s">
        <v>154</v>
      </c>
      <c r="I38" s="17" t="s">
        <v>154</v>
      </c>
      <c r="J38" s="18" t="s">
        <v>154</v>
      </c>
      <c r="K38" s="17" t="s">
        <v>154</v>
      </c>
      <c r="L38" s="18" t="s">
        <v>154</v>
      </c>
      <c r="M38" s="17" t="s">
        <v>154</v>
      </c>
      <c r="N38" s="18" t="s">
        <v>154</v>
      </c>
      <c r="O38" s="17" t="s">
        <v>154</v>
      </c>
      <c r="P38" s="18" t="s">
        <v>154</v>
      </c>
      <c r="Q38" s="17" t="s">
        <v>154</v>
      </c>
      <c r="R38" s="18" t="s">
        <v>154</v>
      </c>
    </row>
    <row r="39" spans="1:18" x14ac:dyDescent="0.25">
      <c r="A39" s="11" t="s">
        <v>172</v>
      </c>
      <c r="B39" s="13">
        <v>5895</v>
      </c>
      <c r="C39" s="14">
        <f>(4865/B39*100)</f>
        <v>82.527565733672603</v>
      </c>
      <c r="D39" s="15">
        <v>1030</v>
      </c>
      <c r="E39" s="14">
        <v>69.553590929999999</v>
      </c>
      <c r="F39" s="16">
        <v>2.0908360500000001</v>
      </c>
      <c r="G39" s="14">
        <v>30.446409070000001</v>
      </c>
      <c r="H39" s="16">
        <v>2.0908360500000001</v>
      </c>
      <c r="I39" s="14" t="s">
        <v>139</v>
      </c>
      <c r="J39" s="16" t="s">
        <v>139</v>
      </c>
      <c r="K39" s="14">
        <v>0</v>
      </c>
      <c r="L39" s="16">
        <v>0</v>
      </c>
      <c r="M39" s="14">
        <v>0</v>
      </c>
      <c r="N39" s="16">
        <v>0</v>
      </c>
      <c r="O39" s="14">
        <v>0</v>
      </c>
      <c r="P39" s="16">
        <v>0</v>
      </c>
      <c r="Q39" s="14">
        <v>0</v>
      </c>
      <c r="R39" s="16">
        <v>0</v>
      </c>
    </row>
    <row r="40" spans="1:18" x14ac:dyDescent="0.25">
      <c r="A40" s="11" t="s">
        <v>173</v>
      </c>
      <c r="B40" s="13">
        <v>14157</v>
      </c>
      <c r="C40" s="14">
        <f>(11676/B40*100)</f>
        <v>82.475100656918841</v>
      </c>
      <c r="D40" s="15">
        <v>2481</v>
      </c>
      <c r="E40" s="14">
        <v>43.956863290000001</v>
      </c>
      <c r="F40" s="16">
        <v>1.4435902599999999</v>
      </c>
      <c r="G40" s="14">
        <v>56.043136709999999</v>
      </c>
      <c r="H40" s="16">
        <v>1.4435902599999999</v>
      </c>
      <c r="I40" s="14" t="s">
        <v>139</v>
      </c>
      <c r="J40" s="16" t="s">
        <v>139</v>
      </c>
      <c r="K40" s="14">
        <v>0</v>
      </c>
      <c r="L40" s="16">
        <v>0</v>
      </c>
      <c r="M40" s="14">
        <v>0</v>
      </c>
      <c r="N40" s="16">
        <v>0</v>
      </c>
      <c r="O40" s="14">
        <v>0</v>
      </c>
      <c r="P40" s="16">
        <v>0</v>
      </c>
      <c r="Q40" s="14">
        <v>0</v>
      </c>
      <c r="R40" s="16">
        <v>0</v>
      </c>
    </row>
    <row r="41" spans="1:18" x14ac:dyDescent="0.25">
      <c r="A41" s="11" t="s">
        <v>174</v>
      </c>
      <c r="B41" s="13">
        <v>5712</v>
      </c>
      <c r="C41" s="14">
        <f>(4753/B41*100)</f>
        <v>83.210784313725497</v>
      </c>
      <c r="D41" s="15">
        <v>959</v>
      </c>
      <c r="E41" s="14">
        <v>40.854242339999999</v>
      </c>
      <c r="F41" s="16">
        <v>1.8970442300000001</v>
      </c>
      <c r="G41" s="14">
        <v>59.145757660000001</v>
      </c>
      <c r="H41" s="16">
        <v>1.8970442300000001</v>
      </c>
      <c r="I41" s="14" t="s">
        <v>139</v>
      </c>
      <c r="J41" s="16" t="s">
        <v>139</v>
      </c>
      <c r="K41" s="14">
        <v>0</v>
      </c>
      <c r="L41" s="16">
        <v>0</v>
      </c>
      <c r="M41" s="14">
        <v>0</v>
      </c>
      <c r="N41" s="16">
        <v>0</v>
      </c>
      <c r="O41" s="14">
        <v>0</v>
      </c>
      <c r="P41" s="16">
        <v>0</v>
      </c>
      <c r="Q41" s="14">
        <v>0</v>
      </c>
      <c r="R41" s="16">
        <v>0</v>
      </c>
    </row>
    <row r="42" spans="1:18" x14ac:dyDescent="0.25">
      <c r="A42" s="11" t="s">
        <v>175</v>
      </c>
      <c r="B42" s="13">
        <f>IF(COUNT(B7:B41) &gt; 0, AVERAGE(B7:B41), "\u2014")</f>
        <v>7266.90625</v>
      </c>
      <c r="C42" s="14">
        <f>IF(COUNT(C7:C41) &gt; 0, AVERAGE(C7:C41), "—")</f>
        <v>83.006499411908919</v>
      </c>
      <c r="D42" s="15">
        <f>IF(COUNT(D7:D41) &gt; 0, AVERAGE(D7:D41), "—")</f>
        <v>1235.03125</v>
      </c>
      <c r="E42" s="14">
        <f>IF(COUNT(E7:E41) &gt; 0, AVERAGE(E7:E41), "—")</f>
        <v>42.32169941437499</v>
      </c>
      <c r="F42" s="16">
        <f>IF(COUNT(F7:F41) &gt; 0, SQRT(SUMSQ(F7:F41)/(COUNT(F7:F41)*COUNT(F7:F41)) ), "—")</f>
        <v>0.29439769386989456</v>
      </c>
      <c r="G42" s="14">
        <f>IF(COUNT(G7:G41) &gt; 0, AVERAGE(G7:G41), "—")</f>
        <v>57.67830058562501</v>
      </c>
      <c r="H42" s="16">
        <f>IF(COUNT(H7:H41) &gt; 0, SQRT(SUMSQ(H7:H41)/(COUNT(H7:H41)*COUNT(H7:H41)) ), "—")</f>
        <v>0.29439769386989456</v>
      </c>
      <c r="I42" s="14" t="str">
        <f>IF(COUNT(I7:I41) &gt; 0, AVERAGE(I7:I41), "—")</f>
        <v>—</v>
      </c>
      <c r="J42" s="16" t="str">
        <f>IF(COUNT(J7:J41) &gt; 0, SQRT(SUMSQ(J7:J41)/(COUNT(J7:J41)*COUNT(J7:J41)) ), "—")</f>
        <v>—</v>
      </c>
      <c r="K42" s="14">
        <f>IF(COUNT(K7:K41) &gt; 0, AVERAGE(K7:K41), "—")</f>
        <v>0</v>
      </c>
      <c r="L42" s="16">
        <f>IF(COUNT(L7:L41) &gt; 0, SQRT(SUMSQ(L7:L41)/(COUNT(L7:L41)*COUNT(L7:L41)) ), "—")</f>
        <v>0</v>
      </c>
      <c r="M42" s="14">
        <f>IF(COUNT(M7:M41) &gt; 0, AVERAGE(M7:M41), "—")</f>
        <v>0</v>
      </c>
      <c r="N42" s="16">
        <f>IF(COUNT(N7:N41) &gt; 0, SQRT(SUMSQ(N7:N41)/(COUNT(N7:N41)*COUNT(N7:N41)) ), "—")</f>
        <v>0</v>
      </c>
      <c r="O42" s="14">
        <f>IF(COUNT(O7:O41) &gt; 0, AVERAGE(O7:O41), "—")</f>
        <v>0</v>
      </c>
      <c r="P42" s="16">
        <f>IF(COUNT(P7:P41) &gt; 0, SQRT(SUMSQ(P7:P41)/(COUNT(P7:P41)*COUNT(P7:P41)) ), "—")</f>
        <v>0</v>
      </c>
      <c r="Q42" s="14">
        <f>IF(COUNT(Q7:Q41) &gt; 0, AVERAGE(Q7:Q41), "—")</f>
        <v>0</v>
      </c>
      <c r="R42" s="16">
        <f>IF(COUNT(R7:R41) &gt; 0, SQRT(SUMSQ(R7:R41)/(COUNT(R7:R41)*COUNT(R7:R41)) ), "—")</f>
        <v>0</v>
      </c>
    </row>
    <row r="43" spans="1:18" x14ac:dyDescent="0.25">
      <c r="A43" s="9" t="s">
        <v>176</v>
      </c>
      <c r="B43" s="10"/>
      <c r="C43" s="10"/>
      <c r="D43" s="11"/>
      <c r="E43" s="10"/>
      <c r="F43" s="11"/>
      <c r="G43" s="10"/>
      <c r="H43" s="11"/>
      <c r="I43" s="10"/>
      <c r="J43" s="11"/>
      <c r="K43" s="10"/>
      <c r="L43" s="11"/>
      <c r="M43" s="10"/>
      <c r="N43" s="11"/>
      <c r="O43" s="10"/>
      <c r="P43" s="11"/>
      <c r="Q43" s="10"/>
      <c r="R43" s="12"/>
    </row>
    <row r="44" spans="1:18" x14ac:dyDescent="0.25">
      <c r="A44" s="11" t="s">
        <v>177</v>
      </c>
      <c r="B44" s="17" t="s">
        <v>154</v>
      </c>
      <c r="C44" s="17" t="s">
        <v>154</v>
      </c>
      <c r="D44" s="18" t="s">
        <v>154</v>
      </c>
      <c r="E44" s="17" t="s">
        <v>154</v>
      </c>
      <c r="F44" s="18" t="s">
        <v>154</v>
      </c>
      <c r="G44" s="17" t="s">
        <v>154</v>
      </c>
      <c r="H44" s="18" t="s">
        <v>154</v>
      </c>
      <c r="I44" s="17" t="s">
        <v>154</v>
      </c>
      <c r="J44" s="18" t="s">
        <v>154</v>
      </c>
      <c r="K44" s="17" t="s">
        <v>154</v>
      </c>
      <c r="L44" s="18" t="s">
        <v>154</v>
      </c>
      <c r="M44" s="17" t="s">
        <v>154</v>
      </c>
      <c r="N44" s="18" t="s">
        <v>154</v>
      </c>
      <c r="O44" s="17" t="s">
        <v>154</v>
      </c>
      <c r="P44" s="18" t="s">
        <v>154</v>
      </c>
      <c r="Q44" s="17" t="s">
        <v>154</v>
      </c>
      <c r="R44" s="18" t="s">
        <v>154</v>
      </c>
    </row>
    <row r="45" spans="1:18" x14ac:dyDescent="0.25">
      <c r="A45" s="11" t="s">
        <v>178</v>
      </c>
      <c r="B45" s="17" t="s">
        <v>154</v>
      </c>
      <c r="C45" s="17" t="s">
        <v>154</v>
      </c>
      <c r="D45" s="18" t="s">
        <v>154</v>
      </c>
      <c r="E45" s="17" t="s">
        <v>154</v>
      </c>
      <c r="F45" s="18" t="s">
        <v>154</v>
      </c>
      <c r="G45" s="17" t="s">
        <v>154</v>
      </c>
      <c r="H45" s="18" t="s">
        <v>154</v>
      </c>
      <c r="I45" s="17" t="s">
        <v>154</v>
      </c>
      <c r="J45" s="18" t="s">
        <v>154</v>
      </c>
      <c r="K45" s="17" t="s">
        <v>154</v>
      </c>
      <c r="L45" s="18" t="s">
        <v>154</v>
      </c>
      <c r="M45" s="17" t="s">
        <v>154</v>
      </c>
      <c r="N45" s="18" t="s">
        <v>154</v>
      </c>
      <c r="O45" s="17" t="s">
        <v>154</v>
      </c>
      <c r="P45" s="18" t="s">
        <v>154</v>
      </c>
      <c r="Q45" s="17" t="s">
        <v>154</v>
      </c>
      <c r="R45" s="18" t="s">
        <v>154</v>
      </c>
    </row>
    <row r="46" spans="1:18" x14ac:dyDescent="0.25">
      <c r="A46" s="11" t="s">
        <v>179</v>
      </c>
      <c r="B46" s="13">
        <v>23141</v>
      </c>
      <c r="C46" s="14">
        <f>(19783/B46*100)</f>
        <v>85.488958990536275</v>
      </c>
      <c r="D46" s="15">
        <v>3358</v>
      </c>
      <c r="E46" s="14">
        <v>63.42721495</v>
      </c>
      <c r="F46" s="16">
        <v>1.1817952700000001</v>
      </c>
      <c r="G46" s="14">
        <v>36.57278505</v>
      </c>
      <c r="H46" s="16">
        <v>1.1817952700000001</v>
      </c>
      <c r="I46" s="14" t="s">
        <v>139</v>
      </c>
      <c r="J46" s="16" t="s">
        <v>139</v>
      </c>
      <c r="K46" s="14">
        <v>0</v>
      </c>
      <c r="L46" s="16">
        <v>0</v>
      </c>
      <c r="M46" s="14">
        <v>0</v>
      </c>
      <c r="N46" s="16">
        <v>0</v>
      </c>
      <c r="O46" s="14">
        <v>0</v>
      </c>
      <c r="P46" s="16">
        <v>0</v>
      </c>
      <c r="Q46" s="14">
        <v>0</v>
      </c>
      <c r="R46" s="16">
        <v>0</v>
      </c>
    </row>
    <row r="47" spans="1:18" x14ac:dyDescent="0.25">
      <c r="A47" s="11" t="s">
        <v>180</v>
      </c>
      <c r="B47" s="13">
        <v>5928</v>
      </c>
      <c r="C47" s="14">
        <f>(4923/B47*100)</f>
        <v>83.046558704453446</v>
      </c>
      <c r="D47" s="15">
        <v>1005</v>
      </c>
      <c r="E47" s="14">
        <v>51.871538610000002</v>
      </c>
      <c r="F47" s="16">
        <v>1.9513995399999999</v>
      </c>
      <c r="G47" s="14">
        <v>48.128461389999998</v>
      </c>
      <c r="H47" s="16">
        <v>1.9513995399999999</v>
      </c>
      <c r="I47" s="14" t="s">
        <v>139</v>
      </c>
      <c r="J47" s="16" t="s">
        <v>139</v>
      </c>
      <c r="K47" s="14">
        <v>0</v>
      </c>
      <c r="L47" s="16">
        <v>0</v>
      </c>
      <c r="M47" s="14">
        <v>0</v>
      </c>
      <c r="N47" s="16">
        <v>0</v>
      </c>
      <c r="O47" s="14">
        <v>0</v>
      </c>
      <c r="P47" s="16">
        <v>0</v>
      </c>
      <c r="Q47" s="14">
        <v>0</v>
      </c>
      <c r="R47" s="16">
        <v>0</v>
      </c>
    </row>
    <row r="48" spans="1:18" x14ac:dyDescent="0.25">
      <c r="A48" s="11" t="s">
        <v>181</v>
      </c>
      <c r="B48" s="13">
        <v>9841</v>
      </c>
      <c r="C48" s="14">
        <f>(8132/B48*100)</f>
        <v>82.633878670866778</v>
      </c>
      <c r="D48" s="15">
        <v>1709</v>
      </c>
      <c r="E48" s="14">
        <v>41.424615119999999</v>
      </c>
      <c r="F48" s="16">
        <v>1.5497246200000001</v>
      </c>
      <c r="G48" s="14">
        <v>58.575384880000001</v>
      </c>
      <c r="H48" s="16">
        <v>1.5497246200000001</v>
      </c>
      <c r="I48" s="14" t="s">
        <v>139</v>
      </c>
      <c r="J48" s="16" t="s">
        <v>139</v>
      </c>
      <c r="K48" s="14">
        <v>0</v>
      </c>
      <c r="L48" s="16">
        <v>0</v>
      </c>
      <c r="M48" s="14">
        <v>0</v>
      </c>
      <c r="N48" s="16">
        <v>0</v>
      </c>
      <c r="O48" s="14">
        <v>0</v>
      </c>
      <c r="P48" s="16">
        <v>0</v>
      </c>
      <c r="Q48" s="14">
        <v>0</v>
      </c>
      <c r="R48" s="16">
        <v>0</v>
      </c>
    </row>
    <row r="49" spans="1:18" x14ac:dyDescent="0.25">
      <c r="A49" s="11" t="s">
        <v>182</v>
      </c>
      <c r="B49" s="17" t="s">
        <v>154</v>
      </c>
      <c r="C49" s="17" t="s">
        <v>154</v>
      </c>
      <c r="D49" s="18" t="s">
        <v>154</v>
      </c>
      <c r="E49" s="17" t="s">
        <v>154</v>
      </c>
      <c r="F49" s="18" t="s">
        <v>154</v>
      </c>
      <c r="G49" s="17" t="s">
        <v>154</v>
      </c>
      <c r="H49" s="18" t="s">
        <v>154</v>
      </c>
      <c r="I49" s="17" t="s">
        <v>154</v>
      </c>
      <c r="J49" s="18" t="s">
        <v>154</v>
      </c>
      <c r="K49" s="17" t="s">
        <v>154</v>
      </c>
      <c r="L49" s="18" t="s">
        <v>154</v>
      </c>
      <c r="M49" s="17" t="s">
        <v>154</v>
      </c>
      <c r="N49" s="18" t="s">
        <v>154</v>
      </c>
      <c r="O49" s="17" t="s">
        <v>154</v>
      </c>
      <c r="P49" s="18" t="s">
        <v>154</v>
      </c>
      <c r="Q49" s="17" t="s">
        <v>154</v>
      </c>
      <c r="R49" s="18" t="s">
        <v>154</v>
      </c>
    </row>
    <row r="50" spans="1:18" x14ac:dyDescent="0.25">
      <c r="A50" s="11" t="s">
        <v>183</v>
      </c>
      <c r="B50" s="13">
        <v>11795</v>
      </c>
      <c r="C50" s="14">
        <f>(9826/B50*100)</f>
        <v>83.306485799067403</v>
      </c>
      <c r="D50" s="15">
        <v>1969</v>
      </c>
      <c r="E50" s="14">
        <v>63.927711180000003</v>
      </c>
      <c r="F50" s="16">
        <v>1.4807346699999999</v>
      </c>
      <c r="G50" s="14">
        <v>36.072288819999997</v>
      </c>
      <c r="H50" s="16">
        <v>1.4807346699999999</v>
      </c>
      <c r="I50" s="14" t="s">
        <v>139</v>
      </c>
      <c r="J50" s="16" t="s">
        <v>139</v>
      </c>
      <c r="K50" s="14">
        <v>0</v>
      </c>
      <c r="L50" s="16">
        <v>0</v>
      </c>
      <c r="M50" s="14">
        <v>0</v>
      </c>
      <c r="N50" s="16">
        <v>0</v>
      </c>
      <c r="O50" s="14">
        <v>0</v>
      </c>
      <c r="P50" s="16">
        <v>0</v>
      </c>
      <c r="Q50" s="14">
        <v>0</v>
      </c>
      <c r="R50" s="16">
        <v>0</v>
      </c>
    </row>
    <row r="51" spans="1:18" x14ac:dyDescent="0.25">
      <c r="A51" s="11" t="s">
        <v>184</v>
      </c>
      <c r="B51" s="13">
        <v>6866</v>
      </c>
      <c r="C51" s="14">
        <f>(5835/B51*100)</f>
        <v>84.983979027090001</v>
      </c>
      <c r="D51" s="15">
        <v>1031</v>
      </c>
      <c r="E51" s="14">
        <v>54.906370899999999</v>
      </c>
      <c r="F51" s="16">
        <v>1.66748271</v>
      </c>
      <c r="G51" s="14">
        <v>45.093629100000001</v>
      </c>
      <c r="H51" s="16">
        <v>1.66748271</v>
      </c>
      <c r="I51" s="14" t="s">
        <v>139</v>
      </c>
      <c r="J51" s="16" t="s">
        <v>139</v>
      </c>
      <c r="K51" s="14">
        <v>0</v>
      </c>
      <c r="L51" s="16">
        <v>0</v>
      </c>
      <c r="M51" s="14">
        <v>0</v>
      </c>
      <c r="N51" s="16">
        <v>0</v>
      </c>
      <c r="O51" s="14">
        <v>0</v>
      </c>
      <c r="P51" s="16">
        <v>0</v>
      </c>
      <c r="Q51" s="14">
        <v>0</v>
      </c>
      <c r="R51" s="16">
        <v>0</v>
      </c>
    </row>
    <row r="52" spans="1:18" x14ac:dyDescent="0.25">
      <c r="A52" s="11" t="s">
        <v>185</v>
      </c>
      <c r="B52" s="13">
        <v>5809</v>
      </c>
      <c r="C52" s="14">
        <f>(4824/B52*100)</f>
        <v>83.043553107247376</v>
      </c>
      <c r="D52" s="15">
        <v>985</v>
      </c>
      <c r="E52" s="14">
        <v>49.37922476</v>
      </c>
      <c r="F52" s="16">
        <v>1.67927117</v>
      </c>
      <c r="G52" s="14">
        <v>50.62077524</v>
      </c>
      <c r="H52" s="16">
        <v>1.67927117</v>
      </c>
      <c r="I52" s="14" t="s">
        <v>139</v>
      </c>
      <c r="J52" s="16" t="s">
        <v>139</v>
      </c>
      <c r="K52" s="14">
        <v>0</v>
      </c>
      <c r="L52" s="16">
        <v>0</v>
      </c>
      <c r="M52" s="14">
        <v>0</v>
      </c>
      <c r="N52" s="16">
        <v>0</v>
      </c>
      <c r="O52" s="14">
        <v>0</v>
      </c>
      <c r="P52" s="16">
        <v>0</v>
      </c>
      <c r="Q52" s="14">
        <v>0</v>
      </c>
      <c r="R52" s="16">
        <v>0</v>
      </c>
    </row>
    <row r="53" spans="1:18" x14ac:dyDescent="0.25">
      <c r="A53" s="11" t="s">
        <v>186</v>
      </c>
      <c r="B53" s="13">
        <v>5571</v>
      </c>
      <c r="C53" s="14">
        <f>(4602/B53*100)</f>
        <v>82.606354334948833</v>
      </c>
      <c r="D53" s="15">
        <v>969</v>
      </c>
      <c r="E53" s="14">
        <v>55.44329097</v>
      </c>
      <c r="F53" s="16">
        <v>1.8177131399999999</v>
      </c>
      <c r="G53" s="14">
        <v>44.55670903</v>
      </c>
      <c r="H53" s="16">
        <v>1.8177131399999999</v>
      </c>
      <c r="I53" s="14" t="s">
        <v>139</v>
      </c>
      <c r="J53" s="16" t="s">
        <v>139</v>
      </c>
      <c r="K53" s="14">
        <v>0</v>
      </c>
      <c r="L53" s="16">
        <v>0</v>
      </c>
      <c r="M53" s="14">
        <v>0</v>
      </c>
      <c r="N53" s="16">
        <v>0</v>
      </c>
      <c r="O53" s="14">
        <v>0</v>
      </c>
      <c r="P53" s="16">
        <v>0</v>
      </c>
      <c r="Q53" s="14">
        <v>0</v>
      </c>
      <c r="R53" s="16">
        <v>0</v>
      </c>
    </row>
    <row r="54" spans="1:18" x14ac:dyDescent="0.25">
      <c r="A54" s="11" t="s">
        <v>187</v>
      </c>
      <c r="B54" s="17" t="s">
        <v>154</v>
      </c>
      <c r="C54" s="17" t="s">
        <v>154</v>
      </c>
      <c r="D54" s="18" t="s">
        <v>154</v>
      </c>
      <c r="E54" s="17" t="s">
        <v>154</v>
      </c>
      <c r="F54" s="18" t="s">
        <v>154</v>
      </c>
      <c r="G54" s="17" t="s">
        <v>154</v>
      </c>
      <c r="H54" s="18" t="s">
        <v>154</v>
      </c>
      <c r="I54" s="17" t="s">
        <v>154</v>
      </c>
      <c r="J54" s="18" t="s">
        <v>154</v>
      </c>
      <c r="K54" s="17" t="s">
        <v>154</v>
      </c>
      <c r="L54" s="18" t="s">
        <v>154</v>
      </c>
      <c r="M54" s="17" t="s">
        <v>154</v>
      </c>
      <c r="N54" s="18" t="s">
        <v>154</v>
      </c>
      <c r="O54" s="17" t="s">
        <v>154</v>
      </c>
      <c r="P54" s="18" t="s">
        <v>154</v>
      </c>
      <c r="Q54" s="17" t="s">
        <v>154</v>
      </c>
      <c r="R54" s="18" t="s">
        <v>154</v>
      </c>
    </row>
    <row r="55" spans="1:18" x14ac:dyDescent="0.25">
      <c r="A55" s="11" t="s">
        <v>188</v>
      </c>
      <c r="B55" s="17" t="s">
        <v>154</v>
      </c>
      <c r="C55" s="17" t="s">
        <v>154</v>
      </c>
      <c r="D55" s="18" t="s">
        <v>154</v>
      </c>
      <c r="E55" s="17" t="s">
        <v>154</v>
      </c>
      <c r="F55" s="18" t="s">
        <v>154</v>
      </c>
      <c r="G55" s="17" t="s">
        <v>154</v>
      </c>
      <c r="H55" s="18" t="s">
        <v>154</v>
      </c>
      <c r="I55" s="17" t="s">
        <v>154</v>
      </c>
      <c r="J55" s="18" t="s">
        <v>154</v>
      </c>
      <c r="K55" s="17" t="s">
        <v>154</v>
      </c>
      <c r="L55" s="18" t="s">
        <v>154</v>
      </c>
      <c r="M55" s="17" t="s">
        <v>154</v>
      </c>
      <c r="N55" s="18" t="s">
        <v>154</v>
      </c>
      <c r="O55" s="17" t="s">
        <v>154</v>
      </c>
      <c r="P55" s="18" t="s">
        <v>154</v>
      </c>
      <c r="Q55" s="17" t="s">
        <v>154</v>
      </c>
      <c r="R55" s="18" t="s">
        <v>154</v>
      </c>
    </row>
    <row r="56" spans="1:18" x14ac:dyDescent="0.25">
      <c r="A56" s="11" t="s">
        <v>189</v>
      </c>
      <c r="B56" s="13">
        <v>5359</v>
      </c>
      <c r="C56" s="14">
        <f>(4424/B56*100)</f>
        <v>82.552715058779626</v>
      </c>
      <c r="D56" s="15">
        <v>935</v>
      </c>
      <c r="E56" s="14">
        <v>31.253449060000001</v>
      </c>
      <c r="F56" s="16">
        <v>1.72839287</v>
      </c>
      <c r="G56" s="14">
        <v>68.746550940000006</v>
      </c>
      <c r="H56" s="16">
        <v>1.72839287</v>
      </c>
      <c r="I56" s="14" t="s">
        <v>139</v>
      </c>
      <c r="J56" s="16" t="s">
        <v>139</v>
      </c>
      <c r="K56" s="14">
        <v>0</v>
      </c>
      <c r="L56" s="16">
        <v>0</v>
      </c>
      <c r="M56" s="14">
        <v>0</v>
      </c>
      <c r="N56" s="16">
        <v>0</v>
      </c>
      <c r="O56" s="14">
        <v>0</v>
      </c>
      <c r="P56" s="16">
        <v>0</v>
      </c>
      <c r="Q56" s="14">
        <v>0</v>
      </c>
      <c r="R56" s="16">
        <v>0</v>
      </c>
    </row>
    <row r="57" spans="1:18" x14ac:dyDescent="0.25">
      <c r="A57" s="11" t="s">
        <v>190</v>
      </c>
      <c r="B57" s="17" t="s">
        <v>154</v>
      </c>
      <c r="C57" s="17" t="s">
        <v>154</v>
      </c>
      <c r="D57" s="18" t="s">
        <v>154</v>
      </c>
      <c r="E57" s="17" t="s">
        <v>154</v>
      </c>
      <c r="F57" s="18" t="s">
        <v>154</v>
      </c>
      <c r="G57" s="17" t="s">
        <v>154</v>
      </c>
      <c r="H57" s="18" t="s">
        <v>154</v>
      </c>
      <c r="I57" s="17" t="s">
        <v>154</v>
      </c>
      <c r="J57" s="18" t="s">
        <v>154</v>
      </c>
      <c r="K57" s="17" t="s">
        <v>154</v>
      </c>
      <c r="L57" s="18" t="s">
        <v>154</v>
      </c>
      <c r="M57" s="17" t="s">
        <v>154</v>
      </c>
      <c r="N57" s="18" t="s">
        <v>154</v>
      </c>
      <c r="O57" s="17" t="s">
        <v>154</v>
      </c>
      <c r="P57" s="18" t="s">
        <v>154</v>
      </c>
      <c r="Q57" s="17" t="s">
        <v>154</v>
      </c>
      <c r="R57" s="18" t="s">
        <v>154</v>
      </c>
    </row>
    <row r="58" spans="1:18" x14ac:dyDescent="0.25">
      <c r="A58" s="11" t="s">
        <v>191</v>
      </c>
      <c r="B58" s="17" t="s">
        <v>154</v>
      </c>
      <c r="C58" s="17" t="s">
        <v>154</v>
      </c>
      <c r="D58" s="18" t="s">
        <v>154</v>
      </c>
      <c r="E58" s="17" t="s">
        <v>154</v>
      </c>
      <c r="F58" s="18" t="s">
        <v>154</v>
      </c>
      <c r="G58" s="17" t="s">
        <v>154</v>
      </c>
      <c r="H58" s="18" t="s">
        <v>154</v>
      </c>
      <c r="I58" s="17" t="s">
        <v>154</v>
      </c>
      <c r="J58" s="18" t="s">
        <v>154</v>
      </c>
      <c r="K58" s="17" t="s">
        <v>154</v>
      </c>
      <c r="L58" s="18" t="s">
        <v>154</v>
      </c>
      <c r="M58" s="17" t="s">
        <v>154</v>
      </c>
      <c r="N58" s="18" t="s">
        <v>154</v>
      </c>
      <c r="O58" s="17" t="s">
        <v>154</v>
      </c>
      <c r="P58" s="18" t="s">
        <v>154</v>
      </c>
      <c r="Q58" s="17" t="s">
        <v>154</v>
      </c>
      <c r="R58" s="18" t="s">
        <v>154</v>
      </c>
    </row>
    <row r="59" spans="1:18" x14ac:dyDescent="0.25">
      <c r="A59" s="11" t="s">
        <v>192</v>
      </c>
      <c r="B59" s="17" t="s">
        <v>154</v>
      </c>
      <c r="C59" s="17" t="s">
        <v>154</v>
      </c>
      <c r="D59" s="18" t="s">
        <v>154</v>
      </c>
      <c r="E59" s="17" t="s">
        <v>154</v>
      </c>
      <c r="F59" s="18" t="s">
        <v>154</v>
      </c>
      <c r="G59" s="17" t="s">
        <v>154</v>
      </c>
      <c r="H59" s="18" t="s">
        <v>154</v>
      </c>
      <c r="I59" s="17" t="s">
        <v>154</v>
      </c>
      <c r="J59" s="18" t="s">
        <v>154</v>
      </c>
      <c r="K59" s="17" t="s">
        <v>154</v>
      </c>
      <c r="L59" s="18" t="s">
        <v>154</v>
      </c>
      <c r="M59" s="17" t="s">
        <v>154</v>
      </c>
      <c r="N59" s="18" t="s">
        <v>154</v>
      </c>
      <c r="O59" s="17" t="s">
        <v>154</v>
      </c>
      <c r="P59" s="18" t="s">
        <v>154</v>
      </c>
      <c r="Q59" s="17" t="s">
        <v>154</v>
      </c>
      <c r="R59" s="18" t="s">
        <v>154</v>
      </c>
    </row>
    <row r="60" spans="1:18" x14ac:dyDescent="0.25">
      <c r="A60" s="11" t="s">
        <v>193</v>
      </c>
      <c r="B60" s="17" t="s">
        <v>154</v>
      </c>
      <c r="C60" s="17" t="s">
        <v>154</v>
      </c>
      <c r="D60" s="18" t="s">
        <v>154</v>
      </c>
      <c r="E60" s="17" t="s">
        <v>154</v>
      </c>
      <c r="F60" s="18" t="s">
        <v>154</v>
      </c>
      <c r="G60" s="17" t="s">
        <v>154</v>
      </c>
      <c r="H60" s="18" t="s">
        <v>154</v>
      </c>
      <c r="I60" s="17" t="s">
        <v>154</v>
      </c>
      <c r="J60" s="18" t="s">
        <v>154</v>
      </c>
      <c r="K60" s="17" t="s">
        <v>154</v>
      </c>
      <c r="L60" s="18" t="s">
        <v>154</v>
      </c>
      <c r="M60" s="17" t="s">
        <v>154</v>
      </c>
      <c r="N60" s="18" t="s">
        <v>154</v>
      </c>
      <c r="O60" s="17" t="s">
        <v>154</v>
      </c>
      <c r="P60" s="18" t="s">
        <v>154</v>
      </c>
      <c r="Q60" s="17" t="s">
        <v>154</v>
      </c>
      <c r="R60" s="18" t="s">
        <v>154</v>
      </c>
    </row>
    <row r="61" spans="1:18" x14ac:dyDescent="0.25">
      <c r="A61" s="11" t="s">
        <v>194</v>
      </c>
      <c r="B61" s="13">
        <v>6525</v>
      </c>
      <c r="C61" s="14">
        <f>(5415/B61*100)</f>
        <v>82.988505747126439</v>
      </c>
      <c r="D61" s="15">
        <v>1110</v>
      </c>
      <c r="E61" s="14">
        <v>58.075186209999998</v>
      </c>
      <c r="F61" s="16">
        <v>1.5951983199999999</v>
      </c>
      <c r="G61" s="14">
        <v>41.924813790000002</v>
      </c>
      <c r="H61" s="16">
        <v>1.5951983199999999</v>
      </c>
      <c r="I61" s="14" t="s">
        <v>139</v>
      </c>
      <c r="J61" s="16" t="s">
        <v>139</v>
      </c>
      <c r="K61" s="14">
        <v>0</v>
      </c>
      <c r="L61" s="16">
        <v>0</v>
      </c>
      <c r="M61" s="14">
        <v>0</v>
      </c>
      <c r="N61" s="16">
        <v>0</v>
      </c>
      <c r="O61" s="14">
        <v>0</v>
      </c>
      <c r="P61" s="16">
        <v>0</v>
      </c>
      <c r="Q61" s="14">
        <v>0</v>
      </c>
      <c r="R61" s="16">
        <v>0</v>
      </c>
    </row>
    <row r="62" spans="1:18" x14ac:dyDescent="0.25">
      <c r="A62" s="11" t="s">
        <v>195</v>
      </c>
      <c r="B62" s="13">
        <v>4476</v>
      </c>
      <c r="C62" s="14">
        <f>(3712/B62*100)</f>
        <v>82.931188561215379</v>
      </c>
      <c r="D62" s="15">
        <v>764</v>
      </c>
      <c r="E62" s="14">
        <v>37.843728239999997</v>
      </c>
      <c r="F62" s="16">
        <v>1.7650751499999999</v>
      </c>
      <c r="G62" s="14">
        <v>62.156271760000003</v>
      </c>
      <c r="H62" s="16">
        <v>1.7650751499999999</v>
      </c>
      <c r="I62" s="14" t="s">
        <v>139</v>
      </c>
      <c r="J62" s="16" t="s">
        <v>139</v>
      </c>
      <c r="K62" s="14">
        <v>0</v>
      </c>
      <c r="L62" s="16">
        <v>0</v>
      </c>
      <c r="M62" s="14">
        <v>0</v>
      </c>
      <c r="N62" s="16">
        <v>0</v>
      </c>
      <c r="O62" s="14">
        <v>0</v>
      </c>
      <c r="P62" s="16">
        <v>0</v>
      </c>
      <c r="Q62" s="14">
        <v>0</v>
      </c>
      <c r="R62" s="16">
        <v>0</v>
      </c>
    </row>
    <row r="63" spans="1:18" x14ac:dyDescent="0.25">
      <c r="A63" s="11" t="s">
        <v>196</v>
      </c>
      <c r="B63" s="17" t="s">
        <v>154</v>
      </c>
      <c r="C63" s="17" t="s">
        <v>154</v>
      </c>
      <c r="D63" s="18" t="s">
        <v>154</v>
      </c>
      <c r="E63" s="17" t="s">
        <v>154</v>
      </c>
      <c r="F63" s="18" t="s">
        <v>154</v>
      </c>
      <c r="G63" s="17" t="s">
        <v>154</v>
      </c>
      <c r="H63" s="18" t="s">
        <v>154</v>
      </c>
      <c r="I63" s="17" t="s">
        <v>154</v>
      </c>
      <c r="J63" s="18" t="s">
        <v>154</v>
      </c>
      <c r="K63" s="17" t="s">
        <v>154</v>
      </c>
      <c r="L63" s="18" t="s">
        <v>154</v>
      </c>
      <c r="M63" s="17" t="s">
        <v>154</v>
      </c>
      <c r="N63" s="18" t="s">
        <v>154</v>
      </c>
      <c r="O63" s="17" t="s">
        <v>154</v>
      </c>
      <c r="P63" s="18" t="s">
        <v>154</v>
      </c>
      <c r="Q63" s="17" t="s">
        <v>154</v>
      </c>
      <c r="R63" s="18" t="s">
        <v>154</v>
      </c>
    </row>
    <row r="64" spans="1:18" x14ac:dyDescent="0.25">
      <c r="A64" s="11" t="s">
        <v>197</v>
      </c>
      <c r="B64" s="17" t="s">
        <v>154</v>
      </c>
      <c r="C64" s="17" t="s">
        <v>154</v>
      </c>
      <c r="D64" s="18" t="s">
        <v>154</v>
      </c>
      <c r="E64" s="17" t="s">
        <v>154</v>
      </c>
      <c r="F64" s="18" t="s">
        <v>154</v>
      </c>
      <c r="G64" s="17" t="s">
        <v>154</v>
      </c>
      <c r="H64" s="18" t="s">
        <v>154</v>
      </c>
      <c r="I64" s="17" t="s">
        <v>154</v>
      </c>
      <c r="J64" s="18" t="s">
        <v>154</v>
      </c>
      <c r="K64" s="17" t="s">
        <v>154</v>
      </c>
      <c r="L64" s="18" t="s">
        <v>154</v>
      </c>
      <c r="M64" s="17" t="s">
        <v>154</v>
      </c>
      <c r="N64" s="18" t="s">
        <v>154</v>
      </c>
      <c r="O64" s="17" t="s">
        <v>154</v>
      </c>
      <c r="P64" s="18" t="s">
        <v>154</v>
      </c>
      <c r="Q64" s="17" t="s">
        <v>154</v>
      </c>
      <c r="R64" s="18" t="s">
        <v>154</v>
      </c>
    </row>
    <row r="65" spans="1:18" x14ac:dyDescent="0.25">
      <c r="A65" s="11" t="s">
        <v>198</v>
      </c>
      <c r="B65" s="17" t="s">
        <v>154</v>
      </c>
      <c r="C65" s="17" t="s">
        <v>154</v>
      </c>
      <c r="D65" s="18" t="s">
        <v>154</v>
      </c>
      <c r="E65" s="17" t="s">
        <v>154</v>
      </c>
      <c r="F65" s="18" t="s">
        <v>154</v>
      </c>
      <c r="G65" s="17" t="s">
        <v>154</v>
      </c>
      <c r="H65" s="18" t="s">
        <v>154</v>
      </c>
      <c r="I65" s="17" t="s">
        <v>154</v>
      </c>
      <c r="J65" s="18" t="s">
        <v>154</v>
      </c>
      <c r="K65" s="17" t="s">
        <v>154</v>
      </c>
      <c r="L65" s="18" t="s">
        <v>154</v>
      </c>
      <c r="M65" s="17" t="s">
        <v>154</v>
      </c>
      <c r="N65" s="18" t="s">
        <v>154</v>
      </c>
      <c r="O65" s="17" t="s">
        <v>154</v>
      </c>
      <c r="P65" s="18" t="s">
        <v>154</v>
      </c>
      <c r="Q65" s="17" t="s">
        <v>154</v>
      </c>
      <c r="R65" s="18" t="s">
        <v>154</v>
      </c>
    </row>
    <row r="66" spans="1:18" x14ac:dyDescent="0.25">
      <c r="A66" s="11" t="s">
        <v>199</v>
      </c>
      <c r="B66" s="13">
        <v>5665</v>
      </c>
      <c r="C66" s="14">
        <f>(4711/B66*100)</f>
        <v>83.159752868490727</v>
      </c>
      <c r="D66" s="15">
        <v>954</v>
      </c>
      <c r="E66" s="14">
        <v>72.023530410000006</v>
      </c>
      <c r="F66" s="16">
        <v>1.4553311600000001</v>
      </c>
      <c r="G66" s="14">
        <v>27.976469590000001</v>
      </c>
      <c r="H66" s="16">
        <v>1.4553311600000001</v>
      </c>
      <c r="I66" s="14" t="s">
        <v>139</v>
      </c>
      <c r="J66" s="16" t="s">
        <v>139</v>
      </c>
      <c r="K66" s="14">
        <v>0</v>
      </c>
      <c r="L66" s="16">
        <v>0</v>
      </c>
      <c r="M66" s="14">
        <v>0</v>
      </c>
      <c r="N66" s="16">
        <v>0</v>
      </c>
      <c r="O66" s="14">
        <v>0</v>
      </c>
      <c r="P66" s="16">
        <v>0</v>
      </c>
      <c r="Q66" s="14">
        <v>0</v>
      </c>
      <c r="R66" s="16">
        <v>0</v>
      </c>
    </row>
    <row r="67" spans="1:18" x14ac:dyDescent="0.25">
      <c r="A67" s="11" t="s">
        <v>200</v>
      </c>
      <c r="B67" s="13">
        <v>6971</v>
      </c>
      <c r="C67" s="14">
        <f>(5876/B67*100)</f>
        <v>84.292067135274706</v>
      </c>
      <c r="D67" s="15">
        <v>1095</v>
      </c>
      <c r="E67" s="14">
        <v>65.668127940000005</v>
      </c>
      <c r="F67" s="16">
        <v>1.5397949099999999</v>
      </c>
      <c r="G67" s="14">
        <v>34.331872060000002</v>
      </c>
      <c r="H67" s="16">
        <v>1.5397949099999999</v>
      </c>
      <c r="I67" s="14" t="s">
        <v>139</v>
      </c>
      <c r="J67" s="16" t="s">
        <v>139</v>
      </c>
      <c r="K67" s="14">
        <v>0</v>
      </c>
      <c r="L67" s="16">
        <v>0</v>
      </c>
      <c r="M67" s="14">
        <v>0</v>
      </c>
      <c r="N67" s="16">
        <v>0</v>
      </c>
      <c r="O67" s="14">
        <v>0</v>
      </c>
      <c r="P67" s="16">
        <v>0</v>
      </c>
      <c r="Q67" s="14">
        <v>0</v>
      </c>
      <c r="R67" s="16">
        <v>0</v>
      </c>
    </row>
    <row r="68" spans="1:18" x14ac:dyDescent="0.25">
      <c r="A68" s="11" t="s">
        <v>201</v>
      </c>
      <c r="B68" s="17" t="s">
        <v>154</v>
      </c>
      <c r="C68" s="17" t="s">
        <v>154</v>
      </c>
      <c r="D68" s="18" t="s">
        <v>154</v>
      </c>
      <c r="E68" s="17" t="s">
        <v>154</v>
      </c>
      <c r="F68" s="18" t="s">
        <v>154</v>
      </c>
      <c r="G68" s="17" t="s">
        <v>154</v>
      </c>
      <c r="H68" s="18" t="s">
        <v>154</v>
      </c>
      <c r="I68" s="17" t="s">
        <v>154</v>
      </c>
      <c r="J68" s="18" t="s">
        <v>154</v>
      </c>
      <c r="K68" s="17" t="s">
        <v>154</v>
      </c>
      <c r="L68" s="18" t="s">
        <v>154</v>
      </c>
      <c r="M68" s="17" t="s">
        <v>154</v>
      </c>
      <c r="N68" s="18" t="s">
        <v>154</v>
      </c>
      <c r="O68" s="17" t="s">
        <v>154</v>
      </c>
      <c r="P68" s="18" t="s">
        <v>154</v>
      </c>
      <c r="Q68" s="17" t="s">
        <v>154</v>
      </c>
      <c r="R68" s="18" t="s">
        <v>154</v>
      </c>
    </row>
    <row r="69" spans="1:18" x14ac:dyDescent="0.25">
      <c r="A69" s="11" t="s">
        <v>202</v>
      </c>
      <c r="B69" s="17" t="s">
        <v>154</v>
      </c>
      <c r="C69" s="17" t="s">
        <v>154</v>
      </c>
      <c r="D69" s="18" t="s">
        <v>154</v>
      </c>
      <c r="E69" s="17" t="s">
        <v>154</v>
      </c>
      <c r="F69" s="18" t="s">
        <v>154</v>
      </c>
      <c r="G69" s="17" t="s">
        <v>154</v>
      </c>
      <c r="H69" s="18" t="s">
        <v>154</v>
      </c>
      <c r="I69" s="17" t="s">
        <v>154</v>
      </c>
      <c r="J69" s="18" t="s">
        <v>154</v>
      </c>
      <c r="K69" s="17" t="s">
        <v>154</v>
      </c>
      <c r="L69" s="18" t="s">
        <v>154</v>
      </c>
      <c r="M69" s="17" t="s">
        <v>154</v>
      </c>
      <c r="N69" s="18" t="s">
        <v>154</v>
      </c>
      <c r="O69" s="17" t="s">
        <v>154</v>
      </c>
      <c r="P69" s="18" t="s">
        <v>154</v>
      </c>
      <c r="Q69" s="17" t="s">
        <v>154</v>
      </c>
      <c r="R69" s="18" t="s">
        <v>154</v>
      </c>
    </row>
    <row r="70" spans="1:18" x14ac:dyDescent="0.25">
      <c r="A70" s="11" t="s">
        <v>203</v>
      </c>
      <c r="B70" s="13">
        <v>6036</v>
      </c>
      <c r="C70" s="14">
        <f>(5007/B70*100)</f>
        <v>82.952286282306162</v>
      </c>
      <c r="D70" s="15">
        <v>1029</v>
      </c>
      <c r="E70" s="14">
        <v>45.435910040000003</v>
      </c>
      <c r="F70" s="16">
        <v>1.9835334</v>
      </c>
      <c r="G70" s="14">
        <v>54.564089959999997</v>
      </c>
      <c r="H70" s="16">
        <v>1.9835334</v>
      </c>
      <c r="I70" s="14" t="s">
        <v>139</v>
      </c>
      <c r="J70" s="16" t="s">
        <v>139</v>
      </c>
      <c r="K70" s="14">
        <v>0</v>
      </c>
      <c r="L70" s="16">
        <v>0</v>
      </c>
      <c r="M70" s="14">
        <v>0</v>
      </c>
      <c r="N70" s="16">
        <v>0</v>
      </c>
      <c r="O70" s="14">
        <v>0</v>
      </c>
      <c r="P70" s="16">
        <v>0</v>
      </c>
      <c r="Q70" s="14">
        <v>0</v>
      </c>
      <c r="R70" s="16">
        <v>0</v>
      </c>
    </row>
    <row r="71" spans="1:18" x14ac:dyDescent="0.25">
      <c r="A71" s="11" t="s">
        <v>204</v>
      </c>
      <c r="B71" s="17" t="s">
        <v>154</v>
      </c>
      <c r="C71" s="17" t="s">
        <v>154</v>
      </c>
      <c r="D71" s="18" t="s">
        <v>154</v>
      </c>
      <c r="E71" s="17" t="s">
        <v>154</v>
      </c>
      <c r="F71" s="18" t="s">
        <v>154</v>
      </c>
      <c r="G71" s="17" t="s">
        <v>154</v>
      </c>
      <c r="H71" s="18" t="s">
        <v>154</v>
      </c>
      <c r="I71" s="17" t="s">
        <v>154</v>
      </c>
      <c r="J71" s="18" t="s">
        <v>154</v>
      </c>
      <c r="K71" s="17" t="s">
        <v>154</v>
      </c>
      <c r="L71" s="18" t="s">
        <v>154</v>
      </c>
      <c r="M71" s="17" t="s">
        <v>154</v>
      </c>
      <c r="N71" s="18" t="s">
        <v>154</v>
      </c>
      <c r="O71" s="17" t="s">
        <v>154</v>
      </c>
      <c r="P71" s="18" t="s">
        <v>154</v>
      </c>
      <c r="Q71" s="17" t="s">
        <v>154</v>
      </c>
      <c r="R71" s="18" t="s">
        <v>154</v>
      </c>
    </row>
    <row r="72" spans="1:18" x14ac:dyDescent="0.25">
      <c r="A72" s="11" t="s">
        <v>205</v>
      </c>
      <c r="B72" s="13">
        <v>7708</v>
      </c>
      <c r="C72" s="14">
        <f>(6394/B72*100)</f>
        <v>82.952776336273999</v>
      </c>
      <c r="D72" s="15">
        <v>1314</v>
      </c>
      <c r="E72" s="14">
        <v>39.558163620000002</v>
      </c>
      <c r="F72" s="16">
        <v>1.49458208</v>
      </c>
      <c r="G72" s="14">
        <v>60.441836379999998</v>
      </c>
      <c r="H72" s="16">
        <v>1.49458208</v>
      </c>
      <c r="I72" s="14" t="s">
        <v>139</v>
      </c>
      <c r="J72" s="16" t="s">
        <v>139</v>
      </c>
      <c r="K72" s="14">
        <v>0</v>
      </c>
      <c r="L72" s="16">
        <v>0</v>
      </c>
      <c r="M72" s="14">
        <v>0</v>
      </c>
      <c r="N72" s="16">
        <v>0</v>
      </c>
      <c r="O72" s="14">
        <v>0</v>
      </c>
      <c r="P72" s="16">
        <v>0</v>
      </c>
      <c r="Q72" s="14">
        <v>0</v>
      </c>
      <c r="R72" s="16">
        <v>0</v>
      </c>
    </row>
    <row r="73" spans="1:18" x14ac:dyDescent="0.25">
      <c r="A73" s="11" t="s">
        <v>206</v>
      </c>
      <c r="B73" s="13">
        <v>8249</v>
      </c>
      <c r="C73" s="14">
        <f>(6882/B73*100)</f>
        <v>83.428294338707715</v>
      </c>
      <c r="D73" s="15">
        <v>1367</v>
      </c>
      <c r="E73" s="14">
        <v>57.816710579999999</v>
      </c>
      <c r="F73" s="16">
        <v>1.9756830000000001</v>
      </c>
      <c r="G73" s="14">
        <v>42.183289420000001</v>
      </c>
      <c r="H73" s="16">
        <v>1.9756830000000001</v>
      </c>
      <c r="I73" s="14" t="s">
        <v>139</v>
      </c>
      <c r="J73" s="16" t="s">
        <v>139</v>
      </c>
      <c r="K73" s="14">
        <v>0</v>
      </c>
      <c r="L73" s="16">
        <v>0</v>
      </c>
      <c r="M73" s="14">
        <v>0</v>
      </c>
      <c r="N73" s="16">
        <v>0</v>
      </c>
      <c r="O73" s="14">
        <v>0</v>
      </c>
      <c r="P73" s="16">
        <v>0</v>
      </c>
      <c r="Q73" s="14">
        <v>0</v>
      </c>
      <c r="R73" s="16">
        <v>0</v>
      </c>
    </row>
    <row r="74" spans="1:18" x14ac:dyDescent="0.25">
      <c r="A74" s="11" t="s">
        <v>207</v>
      </c>
      <c r="B74" s="17" t="s">
        <v>154</v>
      </c>
      <c r="C74" s="17" t="s">
        <v>154</v>
      </c>
      <c r="D74" s="18" t="s">
        <v>154</v>
      </c>
      <c r="E74" s="17" t="s">
        <v>154</v>
      </c>
      <c r="F74" s="18" t="s">
        <v>154</v>
      </c>
      <c r="G74" s="17" t="s">
        <v>154</v>
      </c>
      <c r="H74" s="18" t="s">
        <v>154</v>
      </c>
      <c r="I74" s="17" t="s">
        <v>154</v>
      </c>
      <c r="J74" s="18" t="s">
        <v>154</v>
      </c>
      <c r="K74" s="17" t="s">
        <v>154</v>
      </c>
      <c r="L74" s="18" t="s">
        <v>154</v>
      </c>
      <c r="M74" s="17" t="s">
        <v>154</v>
      </c>
      <c r="N74" s="18" t="s">
        <v>154</v>
      </c>
      <c r="O74" s="17" t="s">
        <v>154</v>
      </c>
      <c r="P74" s="18" t="s">
        <v>154</v>
      </c>
      <c r="Q74" s="17" t="s">
        <v>154</v>
      </c>
      <c r="R74" s="18" t="s">
        <v>154</v>
      </c>
    </row>
    <row r="75" spans="1:18" x14ac:dyDescent="0.25">
      <c r="A75" s="11" t="s">
        <v>208</v>
      </c>
      <c r="B75" s="13">
        <v>5375</v>
      </c>
      <c r="C75" s="14">
        <f>(4557/B75*100)</f>
        <v>84.781395348837208</v>
      </c>
      <c r="D75" s="15">
        <v>818</v>
      </c>
      <c r="E75" s="14">
        <v>73.986982999999995</v>
      </c>
      <c r="F75" s="16">
        <v>1.5950647499999999</v>
      </c>
      <c r="G75" s="14">
        <v>26.013017000000001</v>
      </c>
      <c r="H75" s="16">
        <v>1.5950647499999999</v>
      </c>
      <c r="I75" s="14" t="s">
        <v>139</v>
      </c>
      <c r="J75" s="16" t="s">
        <v>139</v>
      </c>
      <c r="K75" s="14">
        <v>0</v>
      </c>
      <c r="L75" s="16">
        <v>0</v>
      </c>
      <c r="M75" s="14">
        <v>0</v>
      </c>
      <c r="N75" s="16">
        <v>0</v>
      </c>
      <c r="O75" s="14">
        <v>0</v>
      </c>
      <c r="P75" s="16">
        <v>0</v>
      </c>
      <c r="Q75" s="14">
        <v>0</v>
      </c>
      <c r="R75" s="16">
        <v>0</v>
      </c>
    </row>
    <row r="76" spans="1:18" x14ac:dyDescent="0.25">
      <c r="A76" s="11" t="s">
        <v>209</v>
      </c>
      <c r="B76" s="13">
        <v>14167</v>
      </c>
      <c r="C76" s="14">
        <f>(11728/B76*100)</f>
        <v>82.783934495658926</v>
      </c>
      <c r="D76" s="15">
        <v>2439</v>
      </c>
      <c r="E76" s="14">
        <v>61.574104390000002</v>
      </c>
      <c r="F76" s="16">
        <v>1.1249993</v>
      </c>
      <c r="G76" s="14">
        <v>38.425895609999998</v>
      </c>
      <c r="H76" s="16">
        <v>1.1249993</v>
      </c>
      <c r="I76" s="14" t="s">
        <v>139</v>
      </c>
      <c r="J76" s="16" t="s">
        <v>139</v>
      </c>
      <c r="K76" s="14">
        <v>0</v>
      </c>
      <c r="L76" s="16">
        <v>0</v>
      </c>
      <c r="M76" s="14">
        <v>0</v>
      </c>
      <c r="N76" s="16">
        <v>0</v>
      </c>
      <c r="O76" s="14">
        <v>0</v>
      </c>
      <c r="P76" s="16">
        <v>0</v>
      </c>
      <c r="Q76" s="14">
        <v>0</v>
      </c>
      <c r="R76" s="16">
        <v>0</v>
      </c>
    </row>
    <row r="77" spans="1:18" x14ac:dyDescent="0.25">
      <c r="A77" s="11" t="s">
        <v>210</v>
      </c>
      <c r="B77" s="13">
        <v>6062</v>
      </c>
      <c r="C77" s="14">
        <f>(5018/B77*100)</f>
        <v>82.777961068954141</v>
      </c>
      <c r="D77" s="15">
        <v>1044</v>
      </c>
      <c r="E77" s="14">
        <v>55.306207759999999</v>
      </c>
      <c r="F77" s="16">
        <v>1.6913554</v>
      </c>
      <c r="G77" s="14">
        <v>44.693792240000001</v>
      </c>
      <c r="H77" s="16">
        <v>1.6913554</v>
      </c>
      <c r="I77" s="14" t="s">
        <v>139</v>
      </c>
      <c r="J77" s="16" t="s">
        <v>139</v>
      </c>
      <c r="K77" s="14">
        <v>0</v>
      </c>
      <c r="L77" s="16">
        <v>0</v>
      </c>
      <c r="M77" s="14">
        <v>0</v>
      </c>
      <c r="N77" s="16">
        <v>0</v>
      </c>
      <c r="O77" s="14">
        <v>0</v>
      </c>
      <c r="P77" s="16">
        <v>0</v>
      </c>
      <c r="Q77" s="14">
        <v>0</v>
      </c>
      <c r="R77" s="16">
        <v>0</v>
      </c>
    </row>
    <row r="78" spans="1:18" x14ac:dyDescent="0.25">
      <c r="A78" s="11" t="s">
        <v>211</v>
      </c>
      <c r="B78" s="17" t="s">
        <v>154</v>
      </c>
      <c r="C78" s="17" t="s">
        <v>154</v>
      </c>
      <c r="D78" s="18" t="s">
        <v>154</v>
      </c>
      <c r="E78" s="17" t="s">
        <v>154</v>
      </c>
      <c r="F78" s="18" t="s">
        <v>154</v>
      </c>
      <c r="G78" s="17" t="s">
        <v>154</v>
      </c>
      <c r="H78" s="18" t="s">
        <v>154</v>
      </c>
      <c r="I78" s="17" t="s">
        <v>154</v>
      </c>
      <c r="J78" s="18" t="s">
        <v>154</v>
      </c>
      <c r="K78" s="17" t="s">
        <v>154</v>
      </c>
      <c r="L78" s="18" t="s">
        <v>154</v>
      </c>
      <c r="M78" s="17" t="s">
        <v>154</v>
      </c>
      <c r="N78" s="18" t="s">
        <v>154</v>
      </c>
      <c r="O78" s="17" t="s">
        <v>154</v>
      </c>
      <c r="P78" s="18" t="s">
        <v>154</v>
      </c>
      <c r="Q78" s="17" t="s">
        <v>154</v>
      </c>
      <c r="R78" s="18" t="s">
        <v>154</v>
      </c>
    </row>
    <row r="79" spans="1:18" ht="24.95" customHeight="1" x14ac:dyDescent="0.25">
      <c r="A79" s="11" t="s">
        <v>212</v>
      </c>
      <c r="B79" s="17" t="s">
        <v>154</v>
      </c>
      <c r="C79" s="17" t="s">
        <v>154</v>
      </c>
      <c r="D79" s="18" t="s">
        <v>154</v>
      </c>
      <c r="E79" s="17" t="s">
        <v>154</v>
      </c>
      <c r="F79" s="18" t="s">
        <v>154</v>
      </c>
      <c r="G79" s="17" t="s">
        <v>154</v>
      </c>
      <c r="H79" s="18" t="s">
        <v>154</v>
      </c>
      <c r="I79" s="17" t="s">
        <v>154</v>
      </c>
      <c r="J79" s="18" t="s">
        <v>154</v>
      </c>
      <c r="K79" s="17" t="s">
        <v>154</v>
      </c>
      <c r="L79" s="18" t="s">
        <v>154</v>
      </c>
      <c r="M79" s="17" t="s">
        <v>154</v>
      </c>
      <c r="N79" s="18" t="s">
        <v>154</v>
      </c>
      <c r="O79" s="17" t="s">
        <v>154</v>
      </c>
      <c r="P79" s="18" t="s">
        <v>154</v>
      </c>
      <c r="Q79" s="17" t="s">
        <v>154</v>
      </c>
      <c r="R79" s="18" t="s">
        <v>154</v>
      </c>
    </row>
    <row r="80" spans="1:18" x14ac:dyDescent="0.25">
      <c r="A80" s="11" t="s">
        <v>213</v>
      </c>
      <c r="B80" s="17" t="s">
        <v>154</v>
      </c>
      <c r="C80" s="17" t="s">
        <v>154</v>
      </c>
      <c r="D80" s="18" t="s">
        <v>154</v>
      </c>
      <c r="E80" s="17" t="s">
        <v>154</v>
      </c>
      <c r="F80" s="18" t="s">
        <v>154</v>
      </c>
      <c r="G80" s="17" t="s">
        <v>154</v>
      </c>
      <c r="H80" s="18" t="s">
        <v>154</v>
      </c>
      <c r="I80" s="17" t="s">
        <v>154</v>
      </c>
      <c r="J80" s="18" t="s">
        <v>154</v>
      </c>
      <c r="K80" s="17" t="s">
        <v>154</v>
      </c>
      <c r="L80" s="18" t="s">
        <v>154</v>
      </c>
      <c r="M80" s="17" t="s">
        <v>154</v>
      </c>
      <c r="N80" s="18" t="s">
        <v>154</v>
      </c>
      <c r="O80" s="17" t="s">
        <v>154</v>
      </c>
      <c r="P80" s="18" t="s">
        <v>154</v>
      </c>
      <c r="Q80" s="17" t="s">
        <v>154</v>
      </c>
      <c r="R80" s="18" t="s">
        <v>154</v>
      </c>
    </row>
    <row r="81" spans="1:18" x14ac:dyDescent="0.25">
      <c r="A81" s="19" t="s">
        <v>214</v>
      </c>
      <c r="B81" s="13">
        <v>8861</v>
      </c>
      <c r="C81" s="14">
        <f>(7369/B81*100)</f>
        <v>83.162171312492944</v>
      </c>
      <c r="D81" s="15">
        <v>1492</v>
      </c>
      <c r="E81" s="14">
        <v>52.493821740000001</v>
      </c>
      <c r="F81" s="16">
        <v>1.5524940899999999</v>
      </c>
      <c r="G81" s="14">
        <v>47.506178259999999</v>
      </c>
      <c r="H81" s="16">
        <v>1.5524940899999999</v>
      </c>
      <c r="I81" s="14" t="s">
        <v>139</v>
      </c>
      <c r="J81" s="16" t="s">
        <v>139</v>
      </c>
      <c r="K81" s="14">
        <v>0</v>
      </c>
      <c r="L81" s="16">
        <v>0</v>
      </c>
      <c r="M81" s="14">
        <v>0</v>
      </c>
      <c r="N81" s="16">
        <v>0</v>
      </c>
      <c r="O81" s="14">
        <v>0</v>
      </c>
      <c r="P81" s="16">
        <v>0</v>
      </c>
      <c r="Q81" s="14">
        <v>0</v>
      </c>
      <c r="R81" s="16">
        <v>0</v>
      </c>
    </row>
    <row r="82" spans="1:18" x14ac:dyDescent="0.25">
      <c r="A82" s="20"/>
      <c r="B82" s="20" t="s">
        <v>215</v>
      </c>
      <c r="C82" s="20" t="s">
        <v>215</v>
      </c>
      <c r="D82" s="20" t="s">
        <v>215</v>
      </c>
      <c r="E82" s="20" t="s">
        <v>215</v>
      </c>
      <c r="F82" s="20" t="s">
        <v>215</v>
      </c>
      <c r="G82" s="20" t="s">
        <v>215</v>
      </c>
      <c r="H82" s="20" t="s">
        <v>215</v>
      </c>
      <c r="I82" s="20" t="s">
        <v>215</v>
      </c>
      <c r="J82" s="20" t="s">
        <v>215</v>
      </c>
      <c r="K82" s="20" t="s">
        <v>215</v>
      </c>
      <c r="L82" s="20" t="s">
        <v>215</v>
      </c>
      <c r="M82" s="20" t="s">
        <v>215</v>
      </c>
      <c r="N82" s="20" t="s">
        <v>215</v>
      </c>
      <c r="O82" s="20" t="s">
        <v>215</v>
      </c>
      <c r="P82" s="20" t="s">
        <v>215</v>
      </c>
      <c r="Q82" s="20" t="s">
        <v>215</v>
      </c>
      <c r="R82" s="20" t="s">
        <v>215</v>
      </c>
    </row>
    <row r="83" spans="1:18" x14ac:dyDescent="0.25">
      <c r="A83" s="3" t="s">
        <v>216</v>
      </c>
    </row>
    <row r="84" spans="1:18" x14ac:dyDescent="0.25">
      <c r="A84" s="22" t="s">
        <v>217</v>
      </c>
      <c r="B84" s="23"/>
      <c r="C84" s="23"/>
      <c r="D84" s="23"/>
      <c r="E84" s="23"/>
      <c r="F84" s="23"/>
      <c r="G84" s="23"/>
      <c r="H84" s="23"/>
      <c r="I84" s="23"/>
      <c r="J84" s="23"/>
      <c r="K84" s="23"/>
      <c r="L84" s="23"/>
      <c r="M84" s="23"/>
      <c r="N84" s="23"/>
      <c r="O84" s="23"/>
      <c r="P84" s="23"/>
      <c r="Q84" s="23"/>
      <c r="R84" s="23"/>
    </row>
    <row r="85" spans="1:18" x14ac:dyDescent="0.25">
      <c r="A85" s="22" t="s">
        <v>218</v>
      </c>
      <c r="B85" s="23"/>
      <c r="C85" s="23"/>
      <c r="D85" s="23"/>
      <c r="E85" s="23"/>
      <c r="F85" s="23"/>
      <c r="G85" s="23"/>
      <c r="H85" s="23"/>
      <c r="I85" s="23"/>
      <c r="J85" s="23"/>
      <c r="K85" s="23"/>
      <c r="L85" s="23"/>
      <c r="M85" s="23"/>
      <c r="N85" s="23"/>
      <c r="O85" s="23"/>
      <c r="P85" s="23"/>
      <c r="Q85" s="23"/>
      <c r="R85" s="23"/>
    </row>
    <row r="86" spans="1:18" ht="30" customHeight="1" x14ac:dyDescent="0.25">
      <c r="A86" s="22" t="s">
        <v>219</v>
      </c>
      <c r="B86" s="23"/>
      <c r="C86" s="23"/>
      <c r="D86" s="23"/>
      <c r="E86" s="23"/>
      <c r="F86" s="23"/>
      <c r="G86" s="23"/>
      <c r="H86" s="23"/>
      <c r="I86" s="23"/>
      <c r="J86" s="23"/>
      <c r="K86" s="23"/>
      <c r="L86" s="23"/>
      <c r="M86" s="23"/>
      <c r="N86" s="23"/>
      <c r="O86" s="23"/>
      <c r="P86" s="23"/>
      <c r="Q86" s="23"/>
      <c r="R86" s="23"/>
    </row>
    <row r="87" spans="1:18" ht="30" customHeight="1" x14ac:dyDescent="0.25">
      <c r="A87" s="22" t="s">
        <v>215</v>
      </c>
      <c r="B87" s="23"/>
      <c r="C87" s="23"/>
      <c r="D87" s="23"/>
      <c r="E87" s="23"/>
      <c r="F87" s="23"/>
      <c r="G87" s="23"/>
      <c r="H87" s="23"/>
      <c r="I87" s="23"/>
      <c r="J87" s="23"/>
      <c r="K87" s="23"/>
      <c r="L87" s="23"/>
      <c r="M87" s="23"/>
      <c r="N87" s="23"/>
      <c r="O87" s="23"/>
      <c r="P87" s="23"/>
      <c r="Q87" s="23"/>
      <c r="R87" s="23"/>
    </row>
    <row r="88" spans="1:18" ht="30" customHeight="1" x14ac:dyDescent="0.25">
      <c r="A88" s="22" t="s">
        <v>220</v>
      </c>
      <c r="B88" s="23"/>
      <c r="C88" s="23"/>
      <c r="D88" s="23"/>
      <c r="E88" s="23"/>
      <c r="F88" s="23"/>
      <c r="G88" s="23"/>
      <c r="H88" s="23"/>
      <c r="I88" s="23"/>
      <c r="J88" s="23"/>
      <c r="K88" s="23"/>
      <c r="L88" s="23"/>
      <c r="M88" s="23"/>
      <c r="N88" s="23"/>
      <c r="O88" s="23"/>
      <c r="P88" s="23"/>
      <c r="Q88" s="23"/>
      <c r="R88" s="23"/>
    </row>
    <row r="89" spans="1:18" ht="30" customHeight="1" x14ac:dyDescent="0.25">
      <c r="A89" s="22" t="s">
        <v>221</v>
      </c>
      <c r="B89" s="23"/>
      <c r="C89" s="23"/>
      <c r="D89" s="23"/>
      <c r="E89" s="23"/>
      <c r="F89" s="23"/>
      <c r="G89" s="23"/>
      <c r="H89" s="23"/>
      <c r="I89" s="23"/>
      <c r="J89" s="23"/>
      <c r="K89" s="23"/>
      <c r="L89" s="23"/>
      <c r="M89" s="23"/>
      <c r="N89" s="23"/>
      <c r="O89" s="23"/>
      <c r="P89" s="23"/>
      <c r="Q89" s="23"/>
      <c r="R89" s="23"/>
    </row>
    <row r="90" spans="1:18" ht="30" customHeight="1" x14ac:dyDescent="0.25">
      <c r="A90" s="22" t="s">
        <v>222</v>
      </c>
      <c r="B90" s="23"/>
      <c r="C90" s="23"/>
      <c r="D90" s="23"/>
      <c r="E90" s="23"/>
      <c r="F90" s="23"/>
      <c r="G90" s="23"/>
      <c r="H90" s="23"/>
      <c r="I90" s="23"/>
      <c r="J90" s="23"/>
      <c r="K90" s="23"/>
      <c r="L90" s="23"/>
      <c r="M90" s="23"/>
      <c r="N90" s="23"/>
      <c r="O90" s="23"/>
      <c r="P90" s="23"/>
      <c r="Q90" s="23"/>
      <c r="R90" s="23"/>
    </row>
    <row r="91" spans="1:18" ht="30" customHeight="1" x14ac:dyDescent="0.25">
      <c r="A91" s="22" t="s">
        <v>223</v>
      </c>
      <c r="B91" s="23"/>
      <c r="C91" s="23"/>
      <c r="D91" s="23"/>
      <c r="E91" s="23"/>
      <c r="F91" s="23"/>
      <c r="G91" s="23"/>
      <c r="H91" s="23"/>
      <c r="I91" s="23"/>
      <c r="J91" s="23"/>
      <c r="K91" s="23"/>
      <c r="L91" s="23"/>
      <c r="M91" s="23"/>
      <c r="N91" s="23"/>
      <c r="O91" s="23"/>
      <c r="P91" s="23"/>
      <c r="Q91" s="23"/>
      <c r="R91" s="23"/>
    </row>
    <row r="92" spans="1:18" ht="30" customHeight="1" x14ac:dyDescent="0.25">
      <c r="A92" s="22" t="s">
        <v>224</v>
      </c>
      <c r="B92" s="23"/>
      <c r="C92" s="23"/>
      <c r="D92" s="23"/>
      <c r="E92" s="23"/>
      <c r="F92" s="23"/>
      <c r="G92" s="23"/>
      <c r="H92" s="23"/>
      <c r="I92" s="23"/>
      <c r="J92" s="23"/>
      <c r="K92" s="23"/>
      <c r="L92" s="23"/>
      <c r="M92" s="23"/>
      <c r="N92" s="23"/>
      <c r="O92" s="23"/>
      <c r="P92" s="23"/>
      <c r="Q92" s="23"/>
      <c r="R92" s="23"/>
    </row>
    <row r="93" spans="1:18" ht="30" customHeight="1" x14ac:dyDescent="0.25">
      <c r="A93" s="22" t="s">
        <v>225</v>
      </c>
      <c r="B93" s="23"/>
      <c r="C93" s="23"/>
      <c r="D93" s="23"/>
      <c r="E93" s="23"/>
      <c r="F93" s="23"/>
      <c r="G93" s="23"/>
      <c r="H93" s="23"/>
      <c r="I93" s="23"/>
      <c r="J93" s="23"/>
      <c r="K93" s="23"/>
      <c r="L93" s="23"/>
      <c r="M93" s="23"/>
      <c r="N93" s="23"/>
      <c r="O93" s="23"/>
      <c r="P93" s="23"/>
      <c r="Q93" s="23"/>
      <c r="R93" s="23"/>
    </row>
    <row r="94" spans="1:18" ht="30" customHeight="1" x14ac:dyDescent="0.25">
      <c r="A94" s="22" t="s">
        <v>226</v>
      </c>
      <c r="B94" s="23"/>
      <c r="C94" s="23"/>
      <c r="D94" s="23"/>
      <c r="E94" s="23"/>
      <c r="F94" s="23"/>
      <c r="G94" s="23"/>
      <c r="H94" s="23"/>
      <c r="I94" s="23"/>
      <c r="J94" s="23"/>
      <c r="K94" s="23"/>
      <c r="L94" s="23"/>
      <c r="M94" s="23"/>
      <c r="N94" s="23"/>
      <c r="O94" s="23"/>
      <c r="P94" s="23"/>
      <c r="Q94" s="23"/>
      <c r="R94" s="23"/>
    </row>
    <row r="95" spans="1:18" ht="30" customHeight="1" x14ac:dyDescent="0.25">
      <c r="A95" s="22" t="s">
        <v>227</v>
      </c>
      <c r="B95" s="23"/>
      <c r="C95" s="23"/>
      <c r="D95" s="23"/>
      <c r="E95" s="23"/>
      <c r="F95" s="23"/>
      <c r="G95" s="23"/>
      <c r="H95" s="23"/>
      <c r="I95" s="23"/>
      <c r="J95" s="23"/>
      <c r="K95" s="23"/>
      <c r="L95" s="23"/>
      <c r="M95" s="23"/>
      <c r="N95" s="23"/>
      <c r="O95" s="23"/>
      <c r="P95" s="23"/>
      <c r="Q95" s="23"/>
      <c r="R95" s="23"/>
    </row>
    <row r="96" spans="1:18" ht="30" customHeight="1" x14ac:dyDescent="0.25">
      <c r="A96" s="22" t="s">
        <v>228</v>
      </c>
      <c r="B96" s="23"/>
      <c r="C96" s="23"/>
      <c r="D96" s="23"/>
      <c r="E96" s="23"/>
      <c r="F96" s="23"/>
      <c r="G96" s="23"/>
      <c r="H96" s="23"/>
      <c r="I96" s="23"/>
      <c r="J96" s="23"/>
      <c r="K96" s="23"/>
      <c r="L96" s="23"/>
      <c r="M96" s="23"/>
      <c r="N96" s="23"/>
      <c r="O96" s="23"/>
      <c r="P96" s="23"/>
      <c r="Q96" s="23"/>
      <c r="R96" s="23"/>
    </row>
  </sheetData>
  <mergeCells count="22">
    <mergeCell ref="O4:P4"/>
    <mergeCell ref="Q4:R4"/>
    <mergeCell ref="A1:R1"/>
    <mergeCell ref="A2:R2"/>
    <mergeCell ref="A84:R84"/>
    <mergeCell ref="E4:F4"/>
    <mergeCell ref="G4:H4"/>
    <mergeCell ref="I4:J4"/>
    <mergeCell ref="K4:L4"/>
    <mergeCell ref="M4:N4"/>
    <mergeCell ref="A85:R85"/>
    <mergeCell ref="A86:R86"/>
    <mergeCell ref="A87:R87"/>
    <mergeCell ref="A88:R88"/>
    <mergeCell ref="A89:R89"/>
    <mergeCell ref="A95:R95"/>
    <mergeCell ref="A96:R96"/>
    <mergeCell ref="A90:R90"/>
    <mergeCell ref="A91:R91"/>
    <mergeCell ref="A92:R92"/>
    <mergeCell ref="A93:R93"/>
    <mergeCell ref="A94:R94"/>
  </mergeCells>
  <pageMargins left="0.75" right="0.75" top="1" bottom="1" header="0.5" footer="0.5"/>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5"/>
  <dimension ref="A1:R96"/>
  <sheetViews>
    <sheetView zoomScale="80" workbookViewId="0">
      <pane xSplit="4" topLeftCell="E1" activePane="topRight" state="frozen"/>
      <selection sqref="A1:R1"/>
      <selection pane="topRight" sqref="A1:R1"/>
    </sheetView>
  </sheetViews>
  <sheetFormatPr defaultColWidth="11.42578125" defaultRowHeight="15" x14ac:dyDescent="0.25"/>
  <cols>
    <col min="1" max="1" width="50" customWidth="1"/>
  </cols>
  <sheetData>
    <row r="1" spans="1:18" x14ac:dyDescent="0.25">
      <c r="A1" s="26" t="s">
        <v>122</v>
      </c>
      <c r="B1" s="23"/>
      <c r="C1" s="23"/>
      <c r="D1" s="23"/>
      <c r="E1" s="23"/>
      <c r="F1" s="23"/>
      <c r="G1" s="23"/>
      <c r="H1" s="23"/>
      <c r="I1" s="23"/>
      <c r="J1" s="23"/>
      <c r="K1" s="23"/>
      <c r="L1" s="23"/>
      <c r="M1" s="23"/>
      <c r="N1" s="23"/>
      <c r="O1" s="23"/>
      <c r="P1" s="23"/>
      <c r="Q1" s="23"/>
      <c r="R1" s="23"/>
    </row>
    <row r="2" spans="1:18" x14ac:dyDescent="0.25">
      <c r="A2" s="27" t="s">
        <v>291</v>
      </c>
      <c r="B2" s="23"/>
      <c r="C2" s="23"/>
      <c r="D2" s="23"/>
      <c r="E2" s="23"/>
      <c r="F2" s="23"/>
      <c r="G2" s="23"/>
      <c r="H2" s="23"/>
      <c r="I2" s="23"/>
      <c r="J2" s="23"/>
      <c r="K2" s="23"/>
      <c r="L2" s="23"/>
      <c r="M2" s="23"/>
      <c r="N2" s="23"/>
      <c r="O2" s="23"/>
      <c r="P2" s="23"/>
      <c r="Q2" s="23"/>
      <c r="R2" s="23"/>
    </row>
    <row r="4" spans="1:18" ht="30" customHeight="1" x14ac:dyDescent="0.25">
      <c r="A4" s="4"/>
      <c r="B4" s="5" t="s">
        <v>123</v>
      </c>
      <c r="C4" s="5" t="s">
        <v>124</v>
      </c>
      <c r="D4" s="6" t="s">
        <v>123</v>
      </c>
      <c r="E4" s="24" t="s">
        <v>125</v>
      </c>
      <c r="F4" s="25"/>
      <c r="G4" s="24" t="s">
        <v>126</v>
      </c>
      <c r="H4" s="25"/>
      <c r="I4" s="24" t="s">
        <v>127</v>
      </c>
      <c r="J4" s="25"/>
      <c r="K4" s="24" t="s">
        <v>128</v>
      </c>
      <c r="L4" s="25"/>
      <c r="M4" s="24" t="s">
        <v>129</v>
      </c>
      <c r="N4" s="25"/>
      <c r="O4" s="24" t="s">
        <v>130</v>
      </c>
      <c r="P4" s="25"/>
      <c r="Q4" s="24" t="s">
        <v>131</v>
      </c>
      <c r="R4" s="25"/>
    </row>
    <row r="5" spans="1:18" x14ac:dyDescent="0.25">
      <c r="A5" s="7"/>
      <c r="B5" s="8" t="s">
        <v>132</v>
      </c>
      <c r="C5" s="8" t="s">
        <v>133</v>
      </c>
      <c r="D5" s="7" t="s">
        <v>134</v>
      </c>
      <c r="E5" s="8" t="s">
        <v>135</v>
      </c>
      <c r="F5" s="7" t="s">
        <v>136</v>
      </c>
      <c r="G5" s="8" t="s">
        <v>135</v>
      </c>
      <c r="H5" s="7" t="s">
        <v>136</v>
      </c>
      <c r="I5" s="8" t="s">
        <v>135</v>
      </c>
      <c r="J5" s="7" t="s">
        <v>136</v>
      </c>
      <c r="K5" s="8" t="s">
        <v>135</v>
      </c>
      <c r="L5" s="7" t="s">
        <v>136</v>
      </c>
      <c r="M5" s="8" t="s">
        <v>135</v>
      </c>
      <c r="N5" s="7" t="s">
        <v>136</v>
      </c>
      <c r="O5" s="8" t="s">
        <v>135</v>
      </c>
      <c r="P5" s="7" t="s">
        <v>136</v>
      </c>
      <c r="Q5" s="8" t="s">
        <v>135</v>
      </c>
      <c r="R5" s="7" t="s">
        <v>136</v>
      </c>
    </row>
    <row r="6" spans="1:18" x14ac:dyDescent="0.25">
      <c r="A6" s="9" t="s">
        <v>137</v>
      </c>
      <c r="B6" s="10"/>
      <c r="C6" s="10"/>
      <c r="D6" s="11"/>
      <c r="E6" s="10"/>
      <c r="F6" s="11"/>
      <c r="G6" s="10"/>
      <c r="H6" s="11"/>
      <c r="I6" s="10"/>
      <c r="J6" s="11"/>
      <c r="K6" s="10"/>
      <c r="L6" s="11"/>
      <c r="M6" s="10"/>
      <c r="N6" s="11"/>
      <c r="O6" s="10"/>
      <c r="P6" s="11"/>
      <c r="Q6" s="10"/>
      <c r="R6" s="12"/>
    </row>
    <row r="7" spans="1:18" x14ac:dyDescent="0.25">
      <c r="A7" s="11" t="s">
        <v>138</v>
      </c>
      <c r="B7" s="13">
        <v>14530</v>
      </c>
      <c r="C7" s="14">
        <f>(12149/B7*100)</f>
        <v>83.613214039917409</v>
      </c>
      <c r="D7" s="15">
        <v>2381</v>
      </c>
      <c r="E7" s="14">
        <v>10.493495149999999</v>
      </c>
      <c r="F7" s="16">
        <v>0.75554783000000003</v>
      </c>
      <c r="G7" s="14">
        <v>89.506504849999999</v>
      </c>
      <c r="H7" s="16">
        <v>0.75554783000000003</v>
      </c>
      <c r="I7" s="14" t="s">
        <v>139</v>
      </c>
      <c r="J7" s="16" t="s">
        <v>139</v>
      </c>
      <c r="K7" s="14">
        <v>0</v>
      </c>
      <c r="L7" s="16">
        <v>0</v>
      </c>
      <c r="M7" s="14">
        <v>0</v>
      </c>
      <c r="N7" s="16">
        <v>0</v>
      </c>
      <c r="O7" s="14">
        <v>0</v>
      </c>
      <c r="P7" s="16">
        <v>0</v>
      </c>
      <c r="Q7" s="14">
        <v>0</v>
      </c>
      <c r="R7" s="16">
        <v>0</v>
      </c>
    </row>
    <row r="8" spans="1:18" x14ac:dyDescent="0.25">
      <c r="A8" s="11" t="s">
        <v>140</v>
      </c>
      <c r="B8" s="13">
        <v>7007</v>
      </c>
      <c r="C8" s="14">
        <f>(5821/B8*100)</f>
        <v>83.074068788354509</v>
      </c>
      <c r="D8" s="15">
        <v>1186</v>
      </c>
      <c r="E8" s="14">
        <v>10.613029320000001</v>
      </c>
      <c r="F8" s="16">
        <v>0.99170318000000002</v>
      </c>
      <c r="G8" s="14">
        <v>89.386970680000005</v>
      </c>
      <c r="H8" s="16">
        <v>0.99170318000000002</v>
      </c>
      <c r="I8" s="14" t="s">
        <v>139</v>
      </c>
      <c r="J8" s="16" t="s">
        <v>139</v>
      </c>
      <c r="K8" s="14">
        <v>0</v>
      </c>
      <c r="L8" s="16">
        <v>0</v>
      </c>
      <c r="M8" s="14">
        <v>0</v>
      </c>
      <c r="N8" s="16">
        <v>0</v>
      </c>
      <c r="O8" s="14">
        <v>0</v>
      </c>
      <c r="P8" s="16">
        <v>0</v>
      </c>
      <c r="Q8" s="14">
        <v>0</v>
      </c>
      <c r="R8" s="16">
        <v>0</v>
      </c>
    </row>
    <row r="9" spans="1:18" x14ac:dyDescent="0.25">
      <c r="A9" s="11" t="s">
        <v>141</v>
      </c>
      <c r="B9" s="13">
        <v>9651</v>
      </c>
      <c r="C9" s="14">
        <f>(8080/B9*100)</f>
        <v>83.721894104237904</v>
      </c>
      <c r="D9" s="15">
        <v>1571</v>
      </c>
      <c r="E9" s="14">
        <v>12.09878986</v>
      </c>
      <c r="F9" s="16">
        <v>0.74096762999999999</v>
      </c>
      <c r="G9" s="14">
        <v>87.901210140000003</v>
      </c>
      <c r="H9" s="16">
        <v>0.74096762999999999</v>
      </c>
      <c r="I9" s="14" t="s">
        <v>139</v>
      </c>
      <c r="J9" s="16" t="s">
        <v>139</v>
      </c>
      <c r="K9" s="14">
        <v>0</v>
      </c>
      <c r="L9" s="16">
        <v>0</v>
      </c>
      <c r="M9" s="14">
        <v>0</v>
      </c>
      <c r="N9" s="16">
        <v>0</v>
      </c>
      <c r="O9" s="14">
        <v>0</v>
      </c>
      <c r="P9" s="16">
        <v>0</v>
      </c>
      <c r="Q9" s="14">
        <v>0</v>
      </c>
      <c r="R9" s="16">
        <v>0</v>
      </c>
    </row>
    <row r="10" spans="1:18" x14ac:dyDescent="0.25">
      <c r="A10" s="11" t="s">
        <v>142</v>
      </c>
      <c r="B10" s="13">
        <v>20058</v>
      </c>
      <c r="C10" s="14">
        <f>(16662/B10*100)</f>
        <v>83.069099611127726</v>
      </c>
      <c r="D10" s="15">
        <v>3396</v>
      </c>
      <c r="E10" s="14">
        <v>8.73855206</v>
      </c>
      <c r="F10" s="16">
        <v>0.78042076999999999</v>
      </c>
      <c r="G10" s="14">
        <v>91.261447939999996</v>
      </c>
      <c r="H10" s="16">
        <v>0.78042076999999999</v>
      </c>
      <c r="I10" s="14" t="s">
        <v>139</v>
      </c>
      <c r="J10" s="16" t="s">
        <v>139</v>
      </c>
      <c r="K10" s="14">
        <v>0</v>
      </c>
      <c r="L10" s="16">
        <v>0</v>
      </c>
      <c r="M10" s="14">
        <v>0</v>
      </c>
      <c r="N10" s="16">
        <v>0</v>
      </c>
      <c r="O10" s="14">
        <v>0</v>
      </c>
      <c r="P10" s="16">
        <v>0</v>
      </c>
      <c r="Q10" s="14">
        <v>0</v>
      </c>
      <c r="R10" s="16">
        <v>0</v>
      </c>
    </row>
    <row r="11" spans="1:18" x14ac:dyDescent="0.25">
      <c r="A11" s="11" t="s">
        <v>143</v>
      </c>
      <c r="B11" s="13">
        <v>7053</v>
      </c>
      <c r="C11" s="14">
        <f>(5867/B11*100)</f>
        <v>83.184460513256781</v>
      </c>
      <c r="D11" s="15">
        <v>1186</v>
      </c>
      <c r="E11" s="14">
        <v>20.170923859999998</v>
      </c>
      <c r="F11" s="16">
        <v>1.3494332099999999</v>
      </c>
      <c r="G11" s="14">
        <v>79.829076139999998</v>
      </c>
      <c r="H11" s="16">
        <v>1.3494332099999999</v>
      </c>
      <c r="I11" s="14" t="s">
        <v>139</v>
      </c>
      <c r="J11" s="16" t="s">
        <v>139</v>
      </c>
      <c r="K11" s="14">
        <v>0</v>
      </c>
      <c r="L11" s="16">
        <v>0</v>
      </c>
      <c r="M11" s="14">
        <v>0</v>
      </c>
      <c r="N11" s="16">
        <v>0</v>
      </c>
      <c r="O11" s="14">
        <v>0</v>
      </c>
      <c r="P11" s="16">
        <v>0</v>
      </c>
      <c r="Q11" s="14">
        <v>0</v>
      </c>
      <c r="R11" s="16">
        <v>0</v>
      </c>
    </row>
    <row r="12" spans="1:18" x14ac:dyDescent="0.25">
      <c r="A12" s="11" t="s">
        <v>144</v>
      </c>
      <c r="B12" s="13">
        <v>6894</v>
      </c>
      <c r="C12" s="14">
        <f>(5738/B12*100)</f>
        <v>83.231795764432832</v>
      </c>
      <c r="D12" s="15">
        <v>1156</v>
      </c>
      <c r="E12" s="14">
        <v>10.033599049999999</v>
      </c>
      <c r="F12" s="16">
        <v>1.09319352</v>
      </c>
      <c r="G12" s="14">
        <v>89.966400949999993</v>
      </c>
      <c r="H12" s="16">
        <v>1.09319352</v>
      </c>
      <c r="I12" s="14" t="s">
        <v>139</v>
      </c>
      <c r="J12" s="16" t="s">
        <v>139</v>
      </c>
      <c r="K12" s="14">
        <v>0</v>
      </c>
      <c r="L12" s="16">
        <v>0</v>
      </c>
      <c r="M12" s="14">
        <v>0</v>
      </c>
      <c r="N12" s="16">
        <v>0</v>
      </c>
      <c r="O12" s="14">
        <v>0</v>
      </c>
      <c r="P12" s="16">
        <v>0</v>
      </c>
      <c r="Q12" s="14">
        <v>0</v>
      </c>
      <c r="R12" s="16">
        <v>0</v>
      </c>
    </row>
    <row r="13" spans="1:18" x14ac:dyDescent="0.25">
      <c r="A13" s="11" t="s">
        <v>145</v>
      </c>
      <c r="B13" s="13">
        <v>7161</v>
      </c>
      <c r="C13" s="14">
        <f>(6027/B13*100)</f>
        <v>84.1642228739003</v>
      </c>
      <c r="D13" s="15">
        <v>1134</v>
      </c>
      <c r="E13" s="14">
        <v>9.9718473599999999</v>
      </c>
      <c r="F13" s="16">
        <v>1.1438835199999999</v>
      </c>
      <c r="G13" s="14">
        <v>90.028152640000002</v>
      </c>
      <c r="H13" s="16">
        <v>1.1438835199999999</v>
      </c>
      <c r="I13" s="14" t="s">
        <v>139</v>
      </c>
      <c r="J13" s="16" t="s">
        <v>139</v>
      </c>
      <c r="K13" s="14">
        <v>0</v>
      </c>
      <c r="L13" s="16">
        <v>0</v>
      </c>
      <c r="M13" s="14">
        <v>0</v>
      </c>
      <c r="N13" s="16">
        <v>0</v>
      </c>
      <c r="O13" s="14">
        <v>0</v>
      </c>
      <c r="P13" s="16">
        <v>0</v>
      </c>
      <c r="Q13" s="14">
        <v>0</v>
      </c>
      <c r="R13" s="16">
        <v>0</v>
      </c>
    </row>
    <row r="14" spans="1:18" x14ac:dyDescent="0.25">
      <c r="A14" s="11" t="s">
        <v>146</v>
      </c>
      <c r="B14" s="13">
        <v>5587</v>
      </c>
      <c r="C14" s="14">
        <f>(4638/B14*100)</f>
        <v>83.014139967782356</v>
      </c>
      <c r="D14" s="15">
        <v>949</v>
      </c>
      <c r="E14" s="14">
        <v>13.4385069</v>
      </c>
      <c r="F14" s="16">
        <v>1.1245958300000001</v>
      </c>
      <c r="G14" s="14">
        <v>86.561493100000007</v>
      </c>
      <c r="H14" s="16">
        <v>1.1245958300000001</v>
      </c>
      <c r="I14" s="14" t="s">
        <v>139</v>
      </c>
      <c r="J14" s="16" t="s">
        <v>139</v>
      </c>
      <c r="K14" s="14">
        <v>0</v>
      </c>
      <c r="L14" s="16">
        <v>0</v>
      </c>
      <c r="M14" s="14">
        <v>0</v>
      </c>
      <c r="N14" s="16">
        <v>0</v>
      </c>
      <c r="O14" s="14">
        <v>0</v>
      </c>
      <c r="P14" s="16">
        <v>0</v>
      </c>
      <c r="Q14" s="14">
        <v>0</v>
      </c>
      <c r="R14" s="16">
        <v>0</v>
      </c>
    </row>
    <row r="15" spans="1:18" x14ac:dyDescent="0.25">
      <c r="A15" s="11" t="s">
        <v>147</v>
      </c>
      <c r="B15" s="13">
        <v>5882</v>
      </c>
      <c r="C15" s="14">
        <f>(4879/B15*100)</f>
        <v>82.947976878612721</v>
      </c>
      <c r="D15" s="15">
        <v>1003</v>
      </c>
      <c r="E15" s="14">
        <v>10.521111380000001</v>
      </c>
      <c r="F15" s="16">
        <v>1.0464522999999999</v>
      </c>
      <c r="G15" s="14">
        <v>89.478888620000006</v>
      </c>
      <c r="H15" s="16">
        <v>1.0464522999999999</v>
      </c>
      <c r="I15" s="14" t="s">
        <v>139</v>
      </c>
      <c r="J15" s="16" t="s">
        <v>139</v>
      </c>
      <c r="K15" s="14">
        <v>0</v>
      </c>
      <c r="L15" s="16">
        <v>0</v>
      </c>
      <c r="M15" s="14">
        <v>0</v>
      </c>
      <c r="N15" s="16">
        <v>0</v>
      </c>
      <c r="O15" s="14">
        <v>0</v>
      </c>
      <c r="P15" s="16">
        <v>0</v>
      </c>
      <c r="Q15" s="14">
        <v>0</v>
      </c>
      <c r="R15" s="16">
        <v>0</v>
      </c>
    </row>
    <row r="16" spans="1:18" x14ac:dyDescent="0.25">
      <c r="A16" s="11" t="s">
        <v>148</v>
      </c>
      <c r="B16" s="13">
        <v>6108</v>
      </c>
      <c r="C16" s="14">
        <f>(5065/B16*100)</f>
        <v>82.924034053700069</v>
      </c>
      <c r="D16" s="15">
        <v>1043</v>
      </c>
      <c r="E16" s="14">
        <v>16.662099730000001</v>
      </c>
      <c r="F16" s="16">
        <v>1.11467545</v>
      </c>
      <c r="G16" s="14">
        <v>83.337900270000006</v>
      </c>
      <c r="H16" s="16">
        <v>1.11467545</v>
      </c>
      <c r="I16" s="14" t="s">
        <v>139</v>
      </c>
      <c r="J16" s="16" t="s">
        <v>139</v>
      </c>
      <c r="K16" s="14">
        <v>0</v>
      </c>
      <c r="L16" s="16">
        <v>0</v>
      </c>
      <c r="M16" s="14">
        <v>0</v>
      </c>
      <c r="N16" s="16">
        <v>0</v>
      </c>
      <c r="O16" s="14">
        <v>0</v>
      </c>
      <c r="P16" s="16">
        <v>0</v>
      </c>
      <c r="Q16" s="14">
        <v>0</v>
      </c>
      <c r="R16" s="16">
        <v>0</v>
      </c>
    </row>
    <row r="17" spans="1:18" x14ac:dyDescent="0.25">
      <c r="A17" s="11" t="s">
        <v>149</v>
      </c>
      <c r="B17" s="13">
        <v>6504</v>
      </c>
      <c r="C17" s="14">
        <f>(5414/B17*100)</f>
        <v>83.241082410824106</v>
      </c>
      <c r="D17" s="15">
        <v>1090</v>
      </c>
      <c r="E17" s="14">
        <v>9.6394740999999993</v>
      </c>
      <c r="F17" s="16">
        <v>0.93328683999999995</v>
      </c>
      <c r="G17" s="14">
        <v>90.360525899999999</v>
      </c>
      <c r="H17" s="16">
        <v>0.93328683999999995</v>
      </c>
      <c r="I17" s="14" t="s">
        <v>139</v>
      </c>
      <c r="J17" s="16" t="s">
        <v>139</v>
      </c>
      <c r="K17" s="14">
        <v>0</v>
      </c>
      <c r="L17" s="16">
        <v>0</v>
      </c>
      <c r="M17" s="14">
        <v>0</v>
      </c>
      <c r="N17" s="16">
        <v>0</v>
      </c>
      <c r="O17" s="14">
        <v>0</v>
      </c>
      <c r="P17" s="16">
        <v>0</v>
      </c>
      <c r="Q17" s="14">
        <v>0</v>
      </c>
      <c r="R17" s="16">
        <v>0</v>
      </c>
    </row>
    <row r="18" spans="1:18" x14ac:dyDescent="0.25">
      <c r="A18" s="11" t="s">
        <v>150</v>
      </c>
      <c r="B18" s="13">
        <v>5532</v>
      </c>
      <c r="C18" s="14">
        <f>(4631/B18*100)</f>
        <v>83.712942877801879</v>
      </c>
      <c r="D18" s="15">
        <v>901</v>
      </c>
      <c r="E18" s="14">
        <v>15.918304170000001</v>
      </c>
      <c r="F18" s="16">
        <v>1.34850826</v>
      </c>
      <c r="G18" s="14">
        <v>84.081695830000001</v>
      </c>
      <c r="H18" s="16">
        <v>1.34850826</v>
      </c>
      <c r="I18" s="14" t="s">
        <v>139</v>
      </c>
      <c r="J18" s="16" t="s">
        <v>139</v>
      </c>
      <c r="K18" s="14">
        <v>0</v>
      </c>
      <c r="L18" s="16">
        <v>0</v>
      </c>
      <c r="M18" s="14">
        <v>0</v>
      </c>
      <c r="N18" s="16">
        <v>0</v>
      </c>
      <c r="O18" s="14">
        <v>0</v>
      </c>
      <c r="P18" s="16">
        <v>0</v>
      </c>
      <c r="Q18" s="14">
        <v>0</v>
      </c>
      <c r="R18" s="16">
        <v>0</v>
      </c>
    </row>
    <row r="19" spans="1:18" x14ac:dyDescent="0.25">
      <c r="A19" s="11" t="s">
        <v>151</v>
      </c>
      <c r="B19" s="13">
        <v>5658</v>
      </c>
      <c r="C19" s="14">
        <f>(4717/B19*100)</f>
        <v>83.368681512902086</v>
      </c>
      <c r="D19" s="15">
        <v>941</v>
      </c>
      <c r="E19" s="14">
        <v>13.14072606</v>
      </c>
      <c r="F19" s="16">
        <v>1.14867038</v>
      </c>
      <c r="G19" s="14">
        <v>86.859273939999994</v>
      </c>
      <c r="H19" s="16">
        <v>1.14867038</v>
      </c>
      <c r="I19" s="14" t="s">
        <v>139</v>
      </c>
      <c r="J19" s="16" t="s">
        <v>139</v>
      </c>
      <c r="K19" s="14">
        <v>0</v>
      </c>
      <c r="L19" s="16">
        <v>0</v>
      </c>
      <c r="M19" s="14">
        <v>0</v>
      </c>
      <c r="N19" s="16">
        <v>0</v>
      </c>
      <c r="O19" s="14">
        <v>0</v>
      </c>
      <c r="P19" s="16">
        <v>0</v>
      </c>
      <c r="Q19" s="14">
        <v>0</v>
      </c>
      <c r="R19" s="16">
        <v>0</v>
      </c>
    </row>
    <row r="20" spans="1:18" x14ac:dyDescent="0.25">
      <c r="A20" s="11" t="s">
        <v>152</v>
      </c>
      <c r="B20" s="13">
        <v>3371</v>
      </c>
      <c r="C20" s="14">
        <f>(2817/B20*100)</f>
        <v>83.565707505191327</v>
      </c>
      <c r="D20" s="15">
        <v>554</v>
      </c>
      <c r="E20" s="14">
        <v>14.725312649999999</v>
      </c>
      <c r="F20" s="16">
        <v>1.64349017</v>
      </c>
      <c r="G20" s="14">
        <v>85.274687349999994</v>
      </c>
      <c r="H20" s="16">
        <v>1.64349017</v>
      </c>
      <c r="I20" s="14" t="s">
        <v>139</v>
      </c>
      <c r="J20" s="16" t="s">
        <v>139</v>
      </c>
      <c r="K20" s="14">
        <v>0</v>
      </c>
      <c r="L20" s="16">
        <v>0</v>
      </c>
      <c r="M20" s="14">
        <v>0</v>
      </c>
      <c r="N20" s="16">
        <v>0</v>
      </c>
      <c r="O20" s="14">
        <v>0</v>
      </c>
      <c r="P20" s="16">
        <v>0</v>
      </c>
      <c r="Q20" s="14">
        <v>0</v>
      </c>
      <c r="R20" s="16">
        <v>0</v>
      </c>
    </row>
    <row r="21" spans="1:18" x14ac:dyDescent="0.25">
      <c r="A21" s="11" t="s">
        <v>153</v>
      </c>
      <c r="B21" s="17" t="s">
        <v>154</v>
      </c>
      <c r="C21" s="17" t="s">
        <v>154</v>
      </c>
      <c r="D21" s="18" t="s">
        <v>154</v>
      </c>
      <c r="E21" s="17" t="s">
        <v>154</v>
      </c>
      <c r="F21" s="18" t="s">
        <v>154</v>
      </c>
      <c r="G21" s="17" t="s">
        <v>154</v>
      </c>
      <c r="H21" s="18" t="s">
        <v>154</v>
      </c>
      <c r="I21" s="17" t="s">
        <v>154</v>
      </c>
      <c r="J21" s="18" t="s">
        <v>154</v>
      </c>
      <c r="K21" s="17" t="s">
        <v>154</v>
      </c>
      <c r="L21" s="18" t="s">
        <v>154</v>
      </c>
      <c r="M21" s="17" t="s">
        <v>154</v>
      </c>
      <c r="N21" s="18" t="s">
        <v>154</v>
      </c>
      <c r="O21" s="17" t="s">
        <v>154</v>
      </c>
      <c r="P21" s="18" t="s">
        <v>154</v>
      </c>
      <c r="Q21" s="17" t="s">
        <v>154</v>
      </c>
      <c r="R21" s="18" t="s">
        <v>154</v>
      </c>
    </row>
    <row r="22" spans="1:18" x14ac:dyDescent="0.25">
      <c r="A22" s="11" t="s">
        <v>155</v>
      </c>
      <c r="B22" s="13">
        <v>6598</v>
      </c>
      <c r="C22" s="14">
        <f>(5579/B22*100)</f>
        <v>84.555926038193391</v>
      </c>
      <c r="D22" s="15">
        <v>1019</v>
      </c>
      <c r="E22" s="14">
        <v>17.982808559999999</v>
      </c>
      <c r="F22" s="16">
        <v>1.3484891000000001</v>
      </c>
      <c r="G22" s="14">
        <v>82.017191440000005</v>
      </c>
      <c r="H22" s="16">
        <v>1.3484891000000001</v>
      </c>
      <c r="I22" s="14" t="s">
        <v>139</v>
      </c>
      <c r="J22" s="16" t="s">
        <v>139</v>
      </c>
      <c r="K22" s="14">
        <v>0</v>
      </c>
      <c r="L22" s="16">
        <v>0</v>
      </c>
      <c r="M22" s="14">
        <v>0</v>
      </c>
      <c r="N22" s="16">
        <v>0</v>
      </c>
      <c r="O22" s="14">
        <v>0</v>
      </c>
      <c r="P22" s="16">
        <v>0</v>
      </c>
      <c r="Q22" s="14">
        <v>0</v>
      </c>
      <c r="R22" s="16">
        <v>0</v>
      </c>
    </row>
    <row r="23" spans="1:18" x14ac:dyDescent="0.25">
      <c r="A23" s="11" t="s">
        <v>156</v>
      </c>
      <c r="B23" s="13">
        <v>11583</v>
      </c>
      <c r="C23" s="14">
        <f>(9622/B23*100)</f>
        <v>83.07001640334974</v>
      </c>
      <c r="D23" s="15">
        <v>1961</v>
      </c>
      <c r="E23" s="14">
        <v>16.887021560000001</v>
      </c>
      <c r="F23" s="16">
        <v>1.2436784000000001</v>
      </c>
      <c r="G23" s="14">
        <v>83.112978440000006</v>
      </c>
      <c r="H23" s="16">
        <v>1.2436784000000001</v>
      </c>
      <c r="I23" s="14" t="s">
        <v>139</v>
      </c>
      <c r="J23" s="16" t="s">
        <v>139</v>
      </c>
      <c r="K23" s="14">
        <v>0</v>
      </c>
      <c r="L23" s="16">
        <v>0</v>
      </c>
      <c r="M23" s="14">
        <v>0</v>
      </c>
      <c r="N23" s="16">
        <v>0</v>
      </c>
      <c r="O23" s="14">
        <v>0</v>
      </c>
      <c r="P23" s="16">
        <v>0</v>
      </c>
      <c r="Q23" s="14">
        <v>0</v>
      </c>
      <c r="R23" s="16">
        <v>0</v>
      </c>
    </row>
    <row r="24" spans="1:18" x14ac:dyDescent="0.25">
      <c r="A24" s="11" t="s">
        <v>157</v>
      </c>
      <c r="B24" s="13">
        <v>6647</v>
      </c>
      <c r="C24" s="14">
        <f>(5473/B24*100)</f>
        <v>82.337896795546868</v>
      </c>
      <c r="D24" s="15">
        <v>1174</v>
      </c>
      <c r="E24" s="14">
        <v>17.634910219999998</v>
      </c>
      <c r="F24" s="16">
        <v>1.1051395399999999</v>
      </c>
      <c r="G24" s="14">
        <v>82.365089780000005</v>
      </c>
      <c r="H24" s="16">
        <v>1.1051395399999999</v>
      </c>
      <c r="I24" s="14" t="s">
        <v>139</v>
      </c>
      <c r="J24" s="16" t="s">
        <v>139</v>
      </c>
      <c r="K24" s="14">
        <v>0</v>
      </c>
      <c r="L24" s="16">
        <v>0</v>
      </c>
      <c r="M24" s="14">
        <v>0</v>
      </c>
      <c r="N24" s="16">
        <v>0</v>
      </c>
      <c r="O24" s="14">
        <v>0</v>
      </c>
      <c r="P24" s="16">
        <v>0</v>
      </c>
      <c r="Q24" s="14">
        <v>0</v>
      </c>
      <c r="R24" s="16">
        <v>0</v>
      </c>
    </row>
    <row r="25" spans="1:18" x14ac:dyDescent="0.25">
      <c r="A25" s="11" t="s">
        <v>158</v>
      </c>
      <c r="B25" s="13">
        <v>5581</v>
      </c>
      <c r="C25" s="14">
        <f>(4597/B25*100)</f>
        <v>82.368751119870993</v>
      </c>
      <c r="D25" s="15">
        <v>984</v>
      </c>
      <c r="E25" s="14">
        <v>20.292442439999999</v>
      </c>
      <c r="F25" s="16">
        <v>1.3785725600000001</v>
      </c>
      <c r="G25" s="14">
        <v>79.707557559999998</v>
      </c>
      <c r="H25" s="16">
        <v>1.3785725600000001</v>
      </c>
      <c r="I25" s="14" t="s">
        <v>139</v>
      </c>
      <c r="J25" s="16" t="s">
        <v>139</v>
      </c>
      <c r="K25" s="14">
        <v>0</v>
      </c>
      <c r="L25" s="16">
        <v>0</v>
      </c>
      <c r="M25" s="14">
        <v>0</v>
      </c>
      <c r="N25" s="16">
        <v>0</v>
      </c>
      <c r="O25" s="14">
        <v>0</v>
      </c>
      <c r="P25" s="16">
        <v>0</v>
      </c>
      <c r="Q25" s="14">
        <v>0</v>
      </c>
      <c r="R25" s="16">
        <v>0</v>
      </c>
    </row>
    <row r="26" spans="1:18" x14ac:dyDescent="0.25">
      <c r="A26" s="11" t="s">
        <v>159</v>
      </c>
      <c r="B26" s="13">
        <v>4869</v>
      </c>
      <c r="C26" s="14">
        <f>(4038/B26*100)</f>
        <v>82.932840418977207</v>
      </c>
      <c r="D26" s="15">
        <v>831</v>
      </c>
      <c r="E26" s="14">
        <v>16.238968580000002</v>
      </c>
      <c r="F26" s="16">
        <v>1.2051825899999999</v>
      </c>
      <c r="G26" s="14">
        <v>83.761031419999995</v>
      </c>
      <c r="H26" s="16">
        <v>1.2051825899999999</v>
      </c>
      <c r="I26" s="14" t="s">
        <v>139</v>
      </c>
      <c r="J26" s="16" t="s">
        <v>139</v>
      </c>
      <c r="K26" s="14">
        <v>0</v>
      </c>
      <c r="L26" s="16">
        <v>0</v>
      </c>
      <c r="M26" s="14">
        <v>0</v>
      </c>
      <c r="N26" s="16">
        <v>0</v>
      </c>
      <c r="O26" s="14">
        <v>0</v>
      </c>
      <c r="P26" s="16">
        <v>0</v>
      </c>
      <c r="Q26" s="14">
        <v>0</v>
      </c>
      <c r="R26" s="16">
        <v>0</v>
      </c>
    </row>
    <row r="27" spans="1:18" x14ac:dyDescent="0.25">
      <c r="A27" s="11" t="s">
        <v>160</v>
      </c>
      <c r="B27" s="13">
        <v>5299</v>
      </c>
      <c r="C27" s="14">
        <f>(4418/B27*100)</f>
        <v>83.374221551236076</v>
      </c>
      <c r="D27" s="15">
        <v>881</v>
      </c>
      <c r="E27" s="14">
        <v>12.96103155</v>
      </c>
      <c r="F27" s="16">
        <v>1.0820780400000001</v>
      </c>
      <c r="G27" s="14">
        <v>87.038968449999999</v>
      </c>
      <c r="H27" s="16">
        <v>1.0820780400000001</v>
      </c>
      <c r="I27" s="14" t="s">
        <v>139</v>
      </c>
      <c r="J27" s="16" t="s">
        <v>139</v>
      </c>
      <c r="K27" s="14">
        <v>0</v>
      </c>
      <c r="L27" s="16">
        <v>0</v>
      </c>
      <c r="M27" s="14">
        <v>0</v>
      </c>
      <c r="N27" s="16">
        <v>0</v>
      </c>
      <c r="O27" s="14">
        <v>0</v>
      </c>
      <c r="P27" s="16">
        <v>0</v>
      </c>
      <c r="Q27" s="14">
        <v>0</v>
      </c>
      <c r="R27" s="16">
        <v>0</v>
      </c>
    </row>
    <row r="28" spans="1:18" x14ac:dyDescent="0.25">
      <c r="A28" s="11" t="s">
        <v>161</v>
      </c>
      <c r="B28" s="13">
        <v>7568</v>
      </c>
      <c r="C28" s="14">
        <f>(6380/B28*100)</f>
        <v>84.302325581395351</v>
      </c>
      <c r="D28" s="15">
        <v>1188</v>
      </c>
      <c r="E28" s="14">
        <v>17.497920709999999</v>
      </c>
      <c r="F28" s="16">
        <v>1.05800893</v>
      </c>
      <c r="G28" s="14">
        <v>82.502079289999998</v>
      </c>
      <c r="H28" s="16">
        <v>1.05800893</v>
      </c>
      <c r="I28" s="14" t="s">
        <v>139</v>
      </c>
      <c r="J28" s="16" t="s">
        <v>139</v>
      </c>
      <c r="K28" s="14">
        <v>0</v>
      </c>
      <c r="L28" s="16">
        <v>0</v>
      </c>
      <c r="M28" s="14">
        <v>0</v>
      </c>
      <c r="N28" s="16">
        <v>0</v>
      </c>
      <c r="O28" s="14">
        <v>0</v>
      </c>
      <c r="P28" s="16">
        <v>0</v>
      </c>
      <c r="Q28" s="14">
        <v>0</v>
      </c>
      <c r="R28" s="16">
        <v>0</v>
      </c>
    </row>
    <row r="29" spans="1:18" x14ac:dyDescent="0.25">
      <c r="A29" s="11" t="s">
        <v>162</v>
      </c>
      <c r="B29" s="13">
        <v>5385</v>
      </c>
      <c r="C29" s="14">
        <f>(4468/B29*100)</f>
        <v>82.971216341689882</v>
      </c>
      <c r="D29" s="15">
        <v>917</v>
      </c>
      <c r="E29" s="14">
        <v>11.206263229999999</v>
      </c>
      <c r="F29" s="16">
        <v>1.1463395599999999</v>
      </c>
      <c r="G29" s="14">
        <v>88.793736769999995</v>
      </c>
      <c r="H29" s="16">
        <v>1.1463395599999999</v>
      </c>
      <c r="I29" s="14" t="s">
        <v>139</v>
      </c>
      <c r="J29" s="16" t="s">
        <v>139</v>
      </c>
      <c r="K29" s="14">
        <v>0</v>
      </c>
      <c r="L29" s="16">
        <v>0</v>
      </c>
      <c r="M29" s="14">
        <v>0</v>
      </c>
      <c r="N29" s="16">
        <v>0</v>
      </c>
      <c r="O29" s="14">
        <v>0</v>
      </c>
      <c r="P29" s="16">
        <v>0</v>
      </c>
      <c r="Q29" s="14">
        <v>0</v>
      </c>
      <c r="R29" s="16">
        <v>0</v>
      </c>
    </row>
    <row r="30" spans="1:18" x14ac:dyDescent="0.25">
      <c r="A30" s="11" t="s">
        <v>163</v>
      </c>
      <c r="B30" s="13">
        <v>4520</v>
      </c>
      <c r="C30" s="14">
        <f>(3771/B30*100)</f>
        <v>83.429203539823007</v>
      </c>
      <c r="D30" s="15">
        <v>749</v>
      </c>
      <c r="E30" s="14">
        <v>8.8739001700000006</v>
      </c>
      <c r="F30" s="16">
        <v>1.0599456300000001</v>
      </c>
      <c r="G30" s="14">
        <v>91.126099830000001</v>
      </c>
      <c r="H30" s="16">
        <v>1.0599456300000001</v>
      </c>
      <c r="I30" s="14" t="s">
        <v>139</v>
      </c>
      <c r="J30" s="16" t="s">
        <v>139</v>
      </c>
      <c r="K30" s="14">
        <v>0</v>
      </c>
      <c r="L30" s="16">
        <v>0</v>
      </c>
      <c r="M30" s="14">
        <v>0</v>
      </c>
      <c r="N30" s="16">
        <v>0</v>
      </c>
      <c r="O30" s="14">
        <v>0</v>
      </c>
      <c r="P30" s="16">
        <v>0</v>
      </c>
      <c r="Q30" s="14">
        <v>0</v>
      </c>
      <c r="R30" s="16">
        <v>0</v>
      </c>
    </row>
    <row r="31" spans="1:18" x14ac:dyDescent="0.25">
      <c r="A31" s="11" t="s">
        <v>164</v>
      </c>
      <c r="B31" s="13">
        <v>5456</v>
      </c>
      <c r="C31" s="14">
        <f>(4500/B31*100)</f>
        <v>82.478005865102645</v>
      </c>
      <c r="D31" s="15">
        <v>956</v>
      </c>
      <c r="E31" s="14">
        <v>18.19651275</v>
      </c>
      <c r="F31" s="16">
        <v>1.30797608</v>
      </c>
      <c r="G31" s="14">
        <v>81.803487250000003</v>
      </c>
      <c r="H31" s="16">
        <v>1.30797608</v>
      </c>
      <c r="I31" s="14" t="s">
        <v>139</v>
      </c>
      <c r="J31" s="16" t="s">
        <v>139</v>
      </c>
      <c r="K31" s="14">
        <v>0</v>
      </c>
      <c r="L31" s="16">
        <v>0</v>
      </c>
      <c r="M31" s="14">
        <v>0</v>
      </c>
      <c r="N31" s="16">
        <v>0</v>
      </c>
      <c r="O31" s="14">
        <v>0</v>
      </c>
      <c r="P31" s="16">
        <v>0</v>
      </c>
      <c r="Q31" s="14">
        <v>0</v>
      </c>
      <c r="R31" s="16">
        <v>0</v>
      </c>
    </row>
    <row r="32" spans="1:18" x14ac:dyDescent="0.25">
      <c r="A32" s="11" t="s">
        <v>165</v>
      </c>
      <c r="B32" s="17" t="s">
        <v>154</v>
      </c>
      <c r="C32" s="17" t="s">
        <v>154</v>
      </c>
      <c r="D32" s="18" t="s">
        <v>154</v>
      </c>
      <c r="E32" s="17" t="s">
        <v>154</v>
      </c>
      <c r="F32" s="18" t="s">
        <v>154</v>
      </c>
      <c r="G32" s="17" t="s">
        <v>154</v>
      </c>
      <c r="H32" s="18" t="s">
        <v>154</v>
      </c>
      <c r="I32" s="17" t="s">
        <v>154</v>
      </c>
      <c r="J32" s="18" t="s">
        <v>154</v>
      </c>
      <c r="K32" s="17" t="s">
        <v>154</v>
      </c>
      <c r="L32" s="18" t="s">
        <v>154</v>
      </c>
      <c r="M32" s="17" t="s">
        <v>154</v>
      </c>
      <c r="N32" s="18" t="s">
        <v>154</v>
      </c>
      <c r="O32" s="17" t="s">
        <v>154</v>
      </c>
      <c r="P32" s="18" t="s">
        <v>154</v>
      </c>
      <c r="Q32" s="17" t="s">
        <v>154</v>
      </c>
      <c r="R32" s="18" t="s">
        <v>154</v>
      </c>
    </row>
    <row r="33" spans="1:18" x14ac:dyDescent="0.25">
      <c r="A33" s="11" t="s">
        <v>166</v>
      </c>
      <c r="B33" s="13">
        <v>7325</v>
      </c>
      <c r="C33" s="14">
        <f>(6087/B33*100)</f>
        <v>83.098976109215016</v>
      </c>
      <c r="D33" s="15">
        <v>1238</v>
      </c>
      <c r="E33" s="14">
        <v>9.9987778400000007</v>
      </c>
      <c r="F33" s="16">
        <v>0.96049112000000003</v>
      </c>
      <c r="G33" s="14">
        <v>90.001222159999998</v>
      </c>
      <c r="H33" s="16">
        <v>0.96049112000000003</v>
      </c>
      <c r="I33" s="14" t="s">
        <v>139</v>
      </c>
      <c r="J33" s="16" t="s">
        <v>139</v>
      </c>
      <c r="K33" s="14">
        <v>0</v>
      </c>
      <c r="L33" s="16">
        <v>0</v>
      </c>
      <c r="M33" s="14">
        <v>0</v>
      </c>
      <c r="N33" s="16">
        <v>0</v>
      </c>
      <c r="O33" s="14">
        <v>0</v>
      </c>
      <c r="P33" s="16">
        <v>0</v>
      </c>
      <c r="Q33" s="14">
        <v>0</v>
      </c>
      <c r="R33" s="16">
        <v>0</v>
      </c>
    </row>
    <row r="34" spans="1:18" x14ac:dyDescent="0.25">
      <c r="A34" s="11" t="s">
        <v>167</v>
      </c>
      <c r="B34" s="13">
        <v>6350</v>
      </c>
      <c r="C34" s="14">
        <f>(5330/B34*100)</f>
        <v>83.937007874015748</v>
      </c>
      <c r="D34" s="15">
        <v>1020</v>
      </c>
      <c r="E34" s="14">
        <v>18.58773626</v>
      </c>
      <c r="F34" s="16">
        <v>1.25832487</v>
      </c>
      <c r="G34" s="14">
        <v>81.41226374</v>
      </c>
      <c r="H34" s="16">
        <v>1.25832487</v>
      </c>
      <c r="I34" s="14" t="s">
        <v>139</v>
      </c>
      <c r="J34" s="16" t="s">
        <v>139</v>
      </c>
      <c r="K34" s="14">
        <v>0</v>
      </c>
      <c r="L34" s="16">
        <v>0</v>
      </c>
      <c r="M34" s="14">
        <v>0</v>
      </c>
      <c r="N34" s="16">
        <v>0</v>
      </c>
      <c r="O34" s="14">
        <v>0</v>
      </c>
      <c r="P34" s="16">
        <v>0</v>
      </c>
      <c r="Q34" s="14">
        <v>0</v>
      </c>
      <c r="R34" s="16">
        <v>0</v>
      </c>
    </row>
    <row r="35" spans="1:18" x14ac:dyDescent="0.25">
      <c r="A35" s="11" t="s">
        <v>168</v>
      </c>
      <c r="B35" s="13">
        <v>6406</v>
      </c>
      <c r="C35" s="14">
        <f>(5332/B35*100)</f>
        <v>83.234467686543866</v>
      </c>
      <c r="D35" s="15">
        <v>1074</v>
      </c>
      <c r="E35" s="14">
        <v>16.464064709999999</v>
      </c>
      <c r="F35" s="16">
        <v>1.39259277</v>
      </c>
      <c r="G35" s="14">
        <v>83.535935289999998</v>
      </c>
      <c r="H35" s="16">
        <v>1.39259277</v>
      </c>
      <c r="I35" s="14" t="s">
        <v>139</v>
      </c>
      <c r="J35" s="16" t="s">
        <v>139</v>
      </c>
      <c r="K35" s="14">
        <v>0</v>
      </c>
      <c r="L35" s="16">
        <v>0</v>
      </c>
      <c r="M35" s="14">
        <v>0</v>
      </c>
      <c r="N35" s="16">
        <v>0</v>
      </c>
      <c r="O35" s="14">
        <v>0</v>
      </c>
      <c r="P35" s="16">
        <v>0</v>
      </c>
      <c r="Q35" s="14">
        <v>0</v>
      </c>
      <c r="R35" s="16">
        <v>0</v>
      </c>
    </row>
    <row r="36" spans="1:18" x14ac:dyDescent="0.25">
      <c r="A36" s="11" t="s">
        <v>169</v>
      </c>
      <c r="B36" s="13">
        <v>6736</v>
      </c>
      <c r="C36" s="14">
        <f>(5607/B36*100)</f>
        <v>83.239311163895493</v>
      </c>
      <c r="D36" s="15">
        <v>1129</v>
      </c>
      <c r="E36" s="14">
        <v>13.60042565</v>
      </c>
      <c r="F36" s="16">
        <v>1.0995819600000001</v>
      </c>
      <c r="G36" s="14">
        <v>86.399574349999995</v>
      </c>
      <c r="H36" s="16">
        <v>1.0995819600000001</v>
      </c>
      <c r="I36" s="14" t="s">
        <v>139</v>
      </c>
      <c r="J36" s="16" t="s">
        <v>139</v>
      </c>
      <c r="K36" s="14">
        <v>0</v>
      </c>
      <c r="L36" s="16">
        <v>0</v>
      </c>
      <c r="M36" s="14">
        <v>0</v>
      </c>
      <c r="N36" s="16">
        <v>0</v>
      </c>
      <c r="O36" s="14">
        <v>0</v>
      </c>
      <c r="P36" s="16">
        <v>0</v>
      </c>
      <c r="Q36" s="14">
        <v>0</v>
      </c>
      <c r="R36" s="16">
        <v>0</v>
      </c>
    </row>
    <row r="37" spans="1:18" x14ac:dyDescent="0.25">
      <c r="A37" s="11" t="s">
        <v>170</v>
      </c>
      <c r="B37" s="13">
        <v>5458</v>
      </c>
      <c r="C37" s="14">
        <f>(4541/B37*100)</f>
        <v>83.198973983144015</v>
      </c>
      <c r="D37" s="15">
        <v>917</v>
      </c>
      <c r="E37" s="14">
        <v>14.121926090000001</v>
      </c>
      <c r="F37" s="16">
        <v>1.20566558</v>
      </c>
      <c r="G37" s="14">
        <v>85.878073909999998</v>
      </c>
      <c r="H37" s="16">
        <v>1.20566558</v>
      </c>
      <c r="I37" s="14" t="s">
        <v>139</v>
      </c>
      <c r="J37" s="16" t="s">
        <v>139</v>
      </c>
      <c r="K37" s="14">
        <v>0</v>
      </c>
      <c r="L37" s="16">
        <v>0</v>
      </c>
      <c r="M37" s="14">
        <v>0</v>
      </c>
      <c r="N37" s="16">
        <v>0</v>
      </c>
      <c r="O37" s="14">
        <v>0</v>
      </c>
      <c r="P37" s="16">
        <v>0</v>
      </c>
      <c r="Q37" s="14">
        <v>0</v>
      </c>
      <c r="R37" s="16">
        <v>0</v>
      </c>
    </row>
    <row r="38" spans="1:18" x14ac:dyDescent="0.25">
      <c r="A38" s="11" t="s">
        <v>171</v>
      </c>
      <c r="B38" s="17" t="s">
        <v>154</v>
      </c>
      <c r="C38" s="17" t="s">
        <v>154</v>
      </c>
      <c r="D38" s="18" t="s">
        <v>154</v>
      </c>
      <c r="E38" s="17" t="s">
        <v>154</v>
      </c>
      <c r="F38" s="18" t="s">
        <v>154</v>
      </c>
      <c r="G38" s="17" t="s">
        <v>154</v>
      </c>
      <c r="H38" s="18" t="s">
        <v>154</v>
      </c>
      <c r="I38" s="17" t="s">
        <v>154</v>
      </c>
      <c r="J38" s="18" t="s">
        <v>154</v>
      </c>
      <c r="K38" s="17" t="s">
        <v>154</v>
      </c>
      <c r="L38" s="18" t="s">
        <v>154</v>
      </c>
      <c r="M38" s="17" t="s">
        <v>154</v>
      </c>
      <c r="N38" s="18" t="s">
        <v>154</v>
      </c>
      <c r="O38" s="17" t="s">
        <v>154</v>
      </c>
      <c r="P38" s="18" t="s">
        <v>154</v>
      </c>
      <c r="Q38" s="17" t="s">
        <v>154</v>
      </c>
      <c r="R38" s="18" t="s">
        <v>154</v>
      </c>
    </row>
    <row r="39" spans="1:18" x14ac:dyDescent="0.25">
      <c r="A39" s="11" t="s">
        <v>172</v>
      </c>
      <c r="B39" s="13">
        <v>5895</v>
      </c>
      <c r="C39" s="14">
        <f>(4865/B39*100)</f>
        <v>82.527565733672603</v>
      </c>
      <c r="D39" s="15">
        <v>1030</v>
      </c>
      <c r="E39" s="14">
        <v>14.48158718</v>
      </c>
      <c r="F39" s="16">
        <v>1.2184212400000001</v>
      </c>
      <c r="G39" s="14">
        <v>85.518412819999995</v>
      </c>
      <c r="H39" s="16">
        <v>1.2184212400000001</v>
      </c>
      <c r="I39" s="14" t="s">
        <v>139</v>
      </c>
      <c r="J39" s="16" t="s">
        <v>139</v>
      </c>
      <c r="K39" s="14">
        <v>0</v>
      </c>
      <c r="L39" s="16">
        <v>0</v>
      </c>
      <c r="M39" s="14">
        <v>0</v>
      </c>
      <c r="N39" s="16">
        <v>0</v>
      </c>
      <c r="O39" s="14">
        <v>0</v>
      </c>
      <c r="P39" s="16">
        <v>0</v>
      </c>
      <c r="Q39" s="14">
        <v>0</v>
      </c>
      <c r="R39" s="16">
        <v>0</v>
      </c>
    </row>
    <row r="40" spans="1:18" x14ac:dyDescent="0.25">
      <c r="A40" s="11" t="s">
        <v>173</v>
      </c>
      <c r="B40" s="13">
        <v>14157</v>
      </c>
      <c r="C40" s="14">
        <f>(11680/B40*100)</f>
        <v>82.50335523062796</v>
      </c>
      <c r="D40" s="15">
        <v>2477</v>
      </c>
      <c r="E40" s="14">
        <v>10.28369899</v>
      </c>
      <c r="F40" s="16">
        <v>1.01259655</v>
      </c>
      <c r="G40" s="14">
        <v>89.716301009999995</v>
      </c>
      <c r="H40" s="16">
        <v>1.01259655</v>
      </c>
      <c r="I40" s="14" t="s">
        <v>139</v>
      </c>
      <c r="J40" s="16" t="s">
        <v>139</v>
      </c>
      <c r="K40" s="14">
        <v>0</v>
      </c>
      <c r="L40" s="16">
        <v>0</v>
      </c>
      <c r="M40" s="14">
        <v>0</v>
      </c>
      <c r="N40" s="16">
        <v>0</v>
      </c>
      <c r="O40" s="14">
        <v>0</v>
      </c>
      <c r="P40" s="16">
        <v>0</v>
      </c>
      <c r="Q40" s="14">
        <v>0</v>
      </c>
      <c r="R40" s="16">
        <v>0</v>
      </c>
    </row>
    <row r="41" spans="1:18" x14ac:dyDescent="0.25">
      <c r="A41" s="11" t="s">
        <v>174</v>
      </c>
      <c r="B41" s="13">
        <v>5712</v>
      </c>
      <c r="C41" s="14">
        <f>(4763/B41*100)</f>
        <v>83.385854341736703</v>
      </c>
      <c r="D41" s="15">
        <v>949</v>
      </c>
      <c r="E41" s="14">
        <v>10.819606869999999</v>
      </c>
      <c r="F41" s="16">
        <v>1.08609304</v>
      </c>
      <c r="G41" s="14">
        <v>89.180393129999999</v>
      </c>
      <c r="H41" s="16">
        <v>1.08609304</v>
      </c>
      <c r="I41" s="14" t="s">
        <v>139</v>
      </c>
      <c r="J41" s="16" t="s">
        <v>139</v>
      </c>
      <c r="K41" s="14">
        <v>0</v>
      </c>
      <c r="L41" s="16">
        <v>0</v>
      </c>
      <c r="M41" s="14">
        <v>0</v>
      </c>
      <c r="N41" s="16">
        <v>0</v>
      </c>
      <c r="O41" s="14">
        <v>0</v>
      </c>
      <c r="P41" s="16">
        <v>0</v>
      </c>
      <c r="Q41" s="14">
        <v>0</v>
      </c>
      <c r="R41" s="16">
        <v>0</v>
      </c>
    </row>
    <row r="42" spans="1:18" x14ac:dyDescent="0.25">
      <c r="A42" s="11" t="s">
        <v>175</v>
      </c>
      <c r="B42" s="13">
        <f>IF(COUNT(B7:B41) &gt; 0, AVERAGE(B7:B41), "\u2014")</f>
        <v>7266.90625</v>
      </c>
      <c r="C42" s="14">
        <f>IF(COUNT(C7:C41) &gt; 0, AVERAGE(C7:C41), "—")</f>
        <v>83.243101146252428</v>
      </c>
      <c r="D42" s="15">
        <f>IF(COUNT(D7:D41) &gt; 0, AVERAGE(D7:D41), "—")</f>
        <v>1218.28125</v>
      </c>
      <c r="E42" s="14">
        <f>IF(COUNT(E7:E41) &gt; 0, AVERAGE(E7:E41), "—")</f>
        <v>13.821730469062498</v>
      </c>
      <c r="F42" s="16">
        <f>IF(COUNT(F7:F41) &gt; 0, SQRT(SUMSQ(F7:F41)/(COUNT(F7:F41)*COUNT(F7:F41)) ), "—")</f>
        <v>0.20378435357178815</v>
      </c>
      <c r="G42" s="14">
        <f>IF(COUNT(G7:G41) &gt; 0, AVERAGE(G7:G41), "—")</f>
        <v>86.178269530937484</v>
      </c>
      <c r="H42" s="16">
        <f>IF(COUNT(H7:H41) &gt; 0, SQRT(SUMSQ(H7:H41)/(COUNT(H7:H41)*COUNT(H7:H41)) ), "—")</f>
        <v>0.20378435357178815</v>
      </c>
      <c r="I42" s="14" t="str">
        <f>IF(COUNT(I7:I41) &gt; 0, AVERAGE(I7:I41), "—")</f>
        <v>—</v>
      </c>
      <c r="J42" s="16" t="str">
        <f>IF(COUNT(J7:J41) &gt; 0, SQRT(SUMSQ(J7:J41)/(COUNT(J7:J41)*COUNT(J7:J41)) ), "—")</f>
        <v>—</v>
      </c>
      <c r="K42" s="14">
        <f>IF(COUNT(K7:K41) &gt; 0, AVERAGE(K7:K41), "—")</f>
        <v>0</v>
      </c>
      <c r="L42" s="16">
        <f>IF(COUNT(L7:L41) &gt; 0, SQRT(SUMSQ(L7:L41)/(COUNT(L7:L41)*COUNT(L7:L41)) ), "—")</f>
        <v>0</v>
      </c>
      <c r="M42" s="14">
        <f>IF(COUNT(M7:M41) &gt; 0, AVERAGE(M7:M41), "—")</f>
        <v>0</v>
      </c>
      <c r="N42" s="16">
        <f>IF(COUNT(N7:N41) &gt; 0, SQRT(SUMSQ(N7:N41)/(COUNT(N7:N41)*COUNT(N7:N41)) ), "—")</f>
        <v>0</v>
      </c>
      <c r="O42" s="14">
        <f>IF(COUNT(O7:O41) &gt; 0, AVERAGE(O7:O41), "—")</f>
        <v>0</v>
      </c>
      <c r="P42" s="16">
        <f>IF(COUNT(P7:P41) &gt; 0, SQRT(SUMSQ(P7:P41)/(COUNT(P7:P41)*COUNT(P7:P41)) ), "—")</f>
        <v>0</v>
      </c>
      <c r="Q42" s="14">
        <f>IF(COUNT(Q7:Q41) &gt; 0, AVERAGE(Q7:Q41), "—")</f>
        <v>0</v>
      </c>
      <c r="R42" s="16">
        <f>IF(COUNT(R7:R41) &gt; 0, SQRT(SUMSQ(R7:R41)/(COUNT(R7:R41)*COUNT(R7:R41)) ), "—")</f>
        <v>0</v>
      </c>
    </row>
    <row r="43" spans="1:18" x14ac:dyDescent="0.25">
      <c r="A43" s="9" t="s">
        <v>176</v>
      </c>
      <c r="B43" s="10"/>
      <c r="C43" s="10"/>
      <c r="D43" s="11"/>
      <c r="E43" s="10"/>
      <c r="F43" s="11"/>
      <c r="G43" s="10"/>
      <c r="H43" s="11"/>
      <c r="I43" s="10"/>
      <c r="J43" s="11"/>
      <c r="K43" s="10"/>
      <c r="L43" s="11"/>
      <c r="M43" s="10"/>
      <c r="N43" s="11"/>
      <c r="O43" s="10"/>
      <c r="P43" s="11"/>
      <c r="Q43" s="10"/>
      <c r="R43" s="12"/>
    </row>
    <row r="44" spans="1:18" x14ac:dyDescent="0.25">
      <c r="A44" s="11" t="s">
        <v>177</v>
      </c>
      <c r="B44" s="17" t="s">
        <v>154</v>
      </c>
      <c r="C44" s="17" t="s">
        <v>154</v>
      </c>
      <c r="D44" s="18" t="s">
        <v>154</v>
      </c>
      <c r="E44" s="17" t="s">
        <v>154</v>
      </c>
      <c r="F44" s="18" t="s">
        <v>154</v>
      </c>
      <c r="G44" s="17" t="s">
        <v>154</v>
      </c>
      <c r="H44" s="18" t="s">
        <v>154</v>
      </c>
      <c r="I44" s="17" t="s">
        <v>154</v>
      </c>
      <c r="J44" s="18" t="s">
        <v>154</v>
      </c>
      <c r="K44" s="17" t="s">
        <v>154</v>
      </c>
      <c r="L44" s="18" t="s">
        <v>154</v>
      </c>
      <c r="M44" s="17" t="s">
        <v>154</v>
      </c>
      <c r="N44" s="18" t="s">
        <v>154</v>
      </c>
      <c r="O44" s="17" t="s">
        <v>154</v>
      </c>
      <c r="P44" s="18" t="s">
        <v>154</v>
      </c>
      <c r="Q44" s="17" t="s">
        <v>154</v>
      </c>
      <c r="R44" s="18" t="s">
        <v>154</v>
      </c>
    </row>
    <row r="45" spans="1:18" x14ac:dyDescent="0.25">
      <c r="A45" s="11" t="s">
        <v>178</v>
      </c>
      <c r="B45" s="17" t="s">
        <v>154</v>
      </c>
      <c r="C45" s="17" t="s">
        <v>154</v>
      </c>
      <c r="D45" s="18" t="s">
        <v>154</v>
      </c>
      <c r="E45" s="17" t="s">
        <v>154</v>
      </c>
      <c r="F45" s="18" t="s">
        <v>154</v>
      </c>
      <c r="G45" s="17" t="s">
        <v>154</v>
      </c>
      <c r="H45" s="18" t="s">
        <v>154</v>
      </c>
      <c r="I45" s="17" t="s">
        <v>154</v>
      </c>
      <c r="J45" s="18" t="s">
        <v>154</v>
      </c>
      <c r="K45" s="17" t="s">
        <v>154</v>
      </c>
      <c r="L45" s="18" t="s">
        <v>154</v>
      </c>
      <c r="M45" s="17" t="s">
        <v>154</v>
      </c>
      <c r="N45" s="18" t="s">
        <v>154</v>
      </c>
      <c r="O45" s="17" t="s">
        <v>154</v>
      </c>
      <c r="P45" s="18" t="s">
        <v>154</v>
      </c>
      <c r="Q45" s="17" t="s">
        <v>154</v>
      </c>
      <c r="R45" s="18" t="s">
        <v>154</v>
      </c>
    </row>
    <row r="46" spans="1:18" x14ac:dyDescent="0.25">
      <c r="A46" s="11" t="s">
        <v>179</v>
      </c>
      <c r="B46" s="13">
        <v>23141</v>
      </c>
      <c r="C46" s="14">
        <f>(20079/B46*100)</f>
        <v>86.768073981245408</v>
      </c>
      <c r="D46" s="15">
        <v>3062</v>
      </c>
      <c r="E46" s="14">
        <v>20.891271629999999</v>
      </c>
      <c r="F46" s="16">
        <v>0.97174411000000005</v>
      </c>
      <c r="G46" s="14">
        <v>79.108728369999994</v>
      </c>
      <c r="H46" s="16">
        <v>0.97174411000000005</v>
      </c>
      <c r="I46" s="14" t="s">
        <v>139</v>
      </c>
      <c r="J46" s="16" t="s">
        <v>139</v>
      </c>
      <c r="K46" s="14">
        <v>0</v>
      </c>
      <c r="L46" s="16">
        <v>0</v>
      </c>
      <c r="M46" s="14">
        <v>0</v>
      </c>
      <c r="N46" s="16">
        <v>0</v>
      </c>
      <c r="O46" s="14">
        <v>0</v>
      </c>
      <c r="P46" s="16">
        <v>0</v>
      </c>
      <c r="Q46" s="14">
        <v>0</v>
      </c>
      <c r="R46" s="16">
        <v>0</v>
      </c>
    </row>
    <row r="47" spans="1:18" x14ac:dyDescent="0.25">
      <c r="A47" s="11" t="s">
        <v>180</v>
      </c>
      <c r="B47" s="13">
        <v>5928</v>
      </c>
      <c r="C47" s="14">
        <f>(4949/B47*100)</f>
        <v>83.485155195681514</v>
      </c>
      <c r="D47" s="15">
        <v>979</v>
      </c>
      <c r="E47" s="14">
        <v>15.287133089999999</v>
      </c>
      <c r="F47" s="16">
        <v>1.46838088</v>
      </c>
      <c r="G47" s="14">
        <v>84.712866910000002</v>
      </c>
      <c r="H47" s="16">
        <v>1.46838088</v>
      </c>
      <c r="I47" s="14" t="s">
        <v>139</v>
      </c>
      <c r="J47" s="16" t="s">
        <v>139</v>
      </c>
      <c r="K47" s="14">
        <v>0</v>
      </c>
      <c r="L47" s="16">
        <v>0</v>
      </c>
      <c r="M47" s="14">
        <v>0</v>
      </c>
      <c r="N47" s="16">
        <v>0</v>
      </c>
      <c r="O47" s="14">
        <v>0</v>
      </c>
      <c r="P47" s="16">
        <v>0</v>
      </c>
      <c r="Q47" s="14">
        <v>0</v>
      </c>
      <c r="R47" s="16">
        <v>0</v>
      </c>
    </row>
    <row r="48" spans="1:18" x14ac:dyDescent="0.25">
      <c r="A48" s="11" t="s">
        <v>181</v>
      </c>
      <c r="B48" s="13">
        <v>9841</v>
      </c>
      <c r="C48" s="14">
        <f>(8141/B48*100)</f>
        <v>82.725332791382982</v>
      </c>
      <c r="D48" s="15">
        <v>1700</v>
      </c>
      <c r="E48" s="14">
        <v>29.118815600000001</v>
      </c>
      <c r="F48" s="16">
        <v>1.58536736</v>
      </c>
      <c r="G48" s="14">
        <v>70.881184399999995</v>
      </c>
      <c r="H48" s="16">
        <v>1.58536736</v>
      </c>
      <c r="I48" s="14" t="s">
        <v>139</v>
      </c>
      <c r="J48" s="16" t="s">
        <v>139</v>
      </c>
      <c r="K48" s="14">
        <v>0</v>
      </c>
      <c r="L48" s="16">
        <v>0</v>
      </c>
      <c r="M48" s="14">
        <v>0</v>
      </c>
      <c r="N48" s="16">
        <v>0</v>
      </c>
      <c r="O48" s="14">
        <v>0</v>
      </c>
      <c r="P48" s="16">
        <v>0</v>
      </c>
      <c r="Q48" s="14">
        <v>0</v>
      </c>
      <c r="R48" s="16">
        <v>0</v>
      </c>
    </row>
    <row r="49" spans="1:18" x14ac:dyDescent="0.25">
      <c r="A49" s="11" t="s">
        <v>182</v>
      </c>
      <c r="B49" s="17" t="s">
        <v>154</v>
      </c>
      <c r="C49" s="17" t="s">
        <v>154</v>
      </c>
      <c r="D49" s="18" t="s">
        <v>154</v>
      </c>
      <c r="E49" s="17" t="s">
        <v>154</v>
      </c>
      <c r="F49" s="18" t="s">
        <v>154</v>
      </c>
      <c r="G49" s="17" t="s">
        <v>154</v>
      </c>
      <c r="H49" s="18" t="s">
        <v>154</v>
      </c>
      <c r="I49" s="17" t="s">
        <v>154</v>
      </c>
      <c r="J49" s="18" t="s">
        <v>154</v>
      </c>
      <c r="K49" s="17" t="s">
        <v>154</v>
      </c>
      <c r="L49" s="18" t="s">
        <v>154</v>
      </c>
      <c r="M49" s="17" t="s">
        <v>154</v>
      </c>
      <c r="N49" s="18" t="s">
        <v>154</v>
      </c>
      <c r="O49" s="17" t="s">
        <v>154</v>
      </c>
      <c r="P49" s="18" t="s">
        <v>154</v>
      </c>
      <c r="Q49" s="17" t="s">
        <v>154</v>
      </c>
      <c r="R49" s="18" t="s">
        <v>154</v>
      </c>
    </row>
    <row r="50" spans="1:18" x14ac:dyDescent="0.25">
      <c r="A50" s="11" t="s">
        <v>183</v>
      </c>
      <c r="B50" s="13">
        <v>11795</v>
      </c>
      <c r="C50" s="14">
        <f>(9899/B50*100)</f>
        <v>83.925392115303097</v>
      </c>
      <c r="D50" s="15">
        <v>1896</v>
      </c>
      <c r="E50" s="14">
        <v>19.85263913</v>
      </c>
      <c r="F50" s="16">
        <v>1.17151052</v>
      </c>
      <c r="G50" s="14">
        <v>80.14736087</v>
      </c>
      <c r="H50" s="16">
        <v>1.17151052</v>
      </c>
      <c r="I50" s="14" t="s">
        <v>139</v>
      </c>
      <c r="J50" s="16" t="s">
        <v>139</v>
      </c>
      <c r="K50" s="14">
        <v>0</v>
      </c>
      <c r="L50" s="16">
        <v>0</v>
      </c>
      <c r="M50" s="14">
        <v>0</v>
      </c>
      <c r="N50" s="16">
        <v>0</v>
      </c>
      <c r="O50" s="14">
        <v>0</v>
      </c>
      <c r="P50" s="16">
        <v>0</v>
      </c>
      <c r="Q50" s="14">
        <v>0</v>
      </c>
      <c r="R50" s="16">
        <v>0</v>
      </c>
    </row>
    <row r="51" spans="1:18" x14ac:dyDescent="0.25">
      <c r="A51" s="11" t="s">
        <v>184</v>
      </c>
      <c r="B51" s="13">
        <v>6866</v>
      </c>
      <c r="C51" s="14">
        <f>(5872/B51*100)</f>
        <v>85.522866297698812</v>
      </c>
      <c r="D51" s="15">
        <v>994</v>
      </c>
      <c r="E51" s="14">
        <v>18.46697734</v>
      </c>
      <c r="F51" s="16">
        <v>1.2823472300000001</v>
      </c>
      <c r="G51" s="14">
        <v>81.53302266</v>
      </c>
      <c r="H51" s="16">
        <v>1.2823472300000001</v>
      </c>
      <c r="I51" s="14" t="s">
        <v>139</v>
      </c>
      <c r="J51" s="16" t="s">
        <v>139</v>
      </c>
      <c r="K51" s="14">
        <v>0</v>
      </c>
      <c r="L51" s="16">
        <v>0</v>
      </c>
      <c r="M51" s="14">
        <v>0</v>
      </c>
      <c r="N51" s="16">
        <v>0</v>
      </c>
      <c r="O51" s="14">
        <v>0</v>
      </c>
      <c r="P51" s="16">
        <v>0</v>
      </c>
      <c r="Q51" s="14">
        <v>0</v>
      </c>
      <c r="R51" s="16">
        <v>0</v>
      </c>
    </row>
    <row r="52" spans="1:18" x14ac:dyDescent="0.25">
      <c r="A52" s="11" t="s">
        <v>185</v>
      </c>
      <c r="B52" s="13">
        <v>5809</v>
      </c>
      <c r="C52" s="14">
        <f>(4826/B52*100)</f>
        <v>83.077982441039765</v>
      </c>
      <c r="D52" s="15">
        <v>983</v>
      </c>
      <c r="E52" s="14">
        <v>17.258550499999998</v>
      </c>
      <c r="F52" s="16">
        <v>1.2752596199999999</v>
      </c>
      <c r="G52" s="14">
        <v>82.741449500000002</v>
      </c>
      <c r="H52" s="16">
        <v>1.2752596199999999</v>
      </c>
      <c r="I52" s="14" t="s">
        <v>139</v>
      </c>
      <c r="J52" s="16" t="s">
        <v>139</v>
      </c>
      <c r="K52" s="14">
        <v>0</v>
      </c>
      <c r="L52" s="16">
        <v>0</v>
      </c>
      <c r="M52" s="14">
        <v>0</v>
      </c>
      <c r="N52" s="16">
        <v>0</v>
      </c>
      <c r="O52" s="14">
        <v>0</v>
      </c>
      <c r="P52" s="16">
        <v>0</v>
      </c>
      <c r="Q52" s="14">
        <v>0</v>
      </c>
      <c r="R52" s="16">
        <v>0</v>
      </c>
    </row>
    <row r="53" spans="1:18" x14ac:dyDescent="0.25">
      <c r="A53" s="11" t="s">
        <v>186</v>
      </c>
      <c r="B53" s="13">
        <v>5571</v>
      </c>
      <c r="C53" s="14">
        <f>(4611/B53*100)</f>
        <v>82.767905223478735</v>
      </c>
      <c r="D53" s="15">
        <v>960</v>
      </c>
      <c r="E53" s="14">
        <v>20.818000900000001</v>
      </c>
      <c r="F53" s="16">
        <v>1.27747977</v>
      </c>
      <c r="G53" s="14">
        <v>79.181999099999999</v>
      </c>
      <c r="H53" s="16">
        <v>1.27747977</v>
      </c>
      <c r="I53" s="14" t="s">
        <v>139</v>
      </c>
      <c r="J53" s="16" t="s">
        <v>139</v>
      </c>
      <c r="K53" s="14">
        <v>0</v>
      </c>
      <c r="L53" s="16">
        <v>0</v>
      </c>
      <c r="M53" s="14">
        <v>0</v>
      </c>
      <c r="N53" s="16">
        <v>0</v>
      </c>
      <c r="O53" s="14">
        <v>0</v>
      </c>
      <c r="P53" s="16">
        <v>0</v>
      </c>
      <c r="Q53" s="14">
        <v>0</v>
      </c>
      <c r="R53" s="16">
        <v>0</v>
      </c>
    </row>
    <row r="54" spans="1:18" x14ac:dyDescent="0.25">
      <c r="A54" s="11" t="s">
        <v>187</v>
      </c>
      <c r="B54" s="17" t="s">
        <v>154</v>
      </c>
      <c r="C54" s="17" t="s">
        <v>154</v>
      </c>
      <c r="D54" s="18" t="s">
        <v>154</v>
      </c>
      <c r="E54" s="17" t="s">
        <v>154</v>
      </c>
      <c r="F54" s="18" t="s">
        <v>154</v>
      </c>
      <c r="G54" s="17" t="s">
        <v>154</v>
      </c>
      <c r="H54" s="18" t="s">
        <v>154</v>
      </c>
      <c r="I54" s="17" t="s">
        <v>154</v>
      </c>
      <c r="J54" s="18" t="s">
        <v>154</v>
      </c>
      <c r="K54" s="17" t="s">
        <v>154</v>
      </c>
      <c r="L54" s="18" t="s">
        <v>154</v>
      </c>
      <c r="M54" s="17" t="s">
        <v>154</v>
      </c>
      <c r="N54" s="18" t="s">
        <v>154</v>
      </c>
      <c r="O54" s="17" t="s">
        <v>154</v>
      </c>
      <c r="P54" s="18" t="s">
        <v>154</v>
      </c>
      <c r="Q54" s="17" t="s">
        <v>154</v>
      </c>
      <c r="R54" s="18" t="s">
        <v>154</v>
      </c>
    </row>
    <row r="55" spans="1:18" x14ac:dyDescent="0.25">
      <c r="A55" s="11" t="s">
        <v>188</v>
      </c>
      <c r="B55" s="17" t="s">
        <v>154</v>
      </c>
      <c r="C55" s="17" t="s">
        <v>154</v>
      </c>
      <c r="D55" s="18" t="s">
        <v>154</v>
      </c>
      <c r="E55" s="17" t="s">
        <v>154</v>
      </c>
      <c r="F55" s="18" t="s">
        <v>154</v>
      </c>
      <c r="G55" s="17" t="s">
        <v>154</v>
      </c>
      <c r="H55" s="18" t="s">
        <v>154</v>
      </c>
      <c r="I55" s="17" t="s">
        <v>154</v>
      </c>
      <c r="J55" s="18" t="s">
        <v>154</v>
      </c>
      <c r="K55" s="17" t="s">
        <v>154</v>
      </c>
      <c r="L55" s="18" t="s">
        <v>154</v>
      </c>
      <c r="M55" s="17" t="s">
        <v>154</v>
      </c>
      <c r="N55" s="18" t="s">
        <v>154</v>
      </c>
      <c r="O55" s="17" t="s">
        <v>154</v>
      </c>
      <c r="P55" s="18" t="s">
        <v>154</v>
      </c>
      <c r="Q55" s="17" t="s">
        <v>154</v>
      </c>
      <c r="R55" s="18" t="s">
        <v>154</v>
      </c>
    </row>
    <row r="56" spans="1:18" x14ac:dyDescent="0.25">
      <c r="A56" s="11" t="s">
        <v>189</v>
      </c>
      <c r="B56" s="13">
        <v>5359</v>
      </c>
      <c r="C56" s="14">
        <f>(4422/B56*100)</f>
        <v>82.515394663183429</v>
      </c>
      <c r="D56" s="15">
        <v>937</v>
      </c>
      <c r="E56" s="14">
        <v>13.49187938</v>
      </c>
      <c r="F56" s="16">
        <v>1.24889826</v>
      </c>
      <c r="G56" s="14">
        <v>86.50812062</v>
      </c>
      <c r="H56" s="16">
        <v>1.24889826</v>
      </c>
      <c r="I56" s="14" t="s">
        <v>139</v>
      </c>
      <c r="J56" s="16" t="s">
        <v>139</v>
      </c>
      <c r="K56" s="14">
        <v>0</v>
      </c>
      <c r="L56" s="16">
        <v>0</v>
      </c>
      <c r="M56" s="14">
        <v>0</v>
      </c>
      <c r="N56" s="16">
        <v>0</v>
      </c>
      <c r="O56" s="14">
        <v>0</v>
      </c>
      <c r="P56" s="16">
        <v>0</v>
      </c>
      <c r="Q56" s="14">
        <v>0</v>
      </c>
      <c r="R56" s="16">
        <v>0</v>
      </c>
    </row>
    <row r="57" spans="1:18" x14ac:dyDescent="0.25">
      <c r="A57" s="11" t="s">
        <v>190</v>
      </c>
      <c r="B57" s="17" t="s">
        <v>154</v>
      </c>
      <c r="C57" s="17" t="s">
        <v>154</v>
      </c>
      <c r="D57" s="18" t="s">
        <v>154</v>
      </c>
      <c r="E57" s="17" t="s">
        <v>154</v>
      </c>
      <c r="F57" s="18" t="s">
        <v>154</v>
      </c>
      <c r="G57" s="17" t="s">
        <v>154</v>
      </c>
      <c r="H57" s="18" t="s">
        <v>154</v>
      </c>
      <c r="I57" s="17" t="s">
        <v>154</v>
      </c>
      <c r="J57" s="18" t="s">
        <v>154</v>
      </c>
      <c r="K57" s="17" t="s">
        <v>154</v>
      </c>
      <c r="L57" s="18" t="s">
        <v>154</v>
      </c>
      <c r="M57" s="17" t="s">
        <v>154</v>
      </c>
      <c r="N57" s="18" t="s">
        <v>154</v>
      </c>
      <c r="O57" s="17" t="s">
        <v>154</v>
      </c>
      <c r="P57" s="18" t="s">
        <v>154</v>
      </c>
      <c r="Q57" s="17" t="s">
        <v>154</v>
      </c>
      <c r="R57" s="18" t="s">
        <v>154</v>
      </c>
    </row>
    <row r="58" spans="1:18" x14ac:dyDescent="0.25">
      <c r="A58" s="11" t="s">
        <v>191</v>
      </c>
      <c r="B58" s="17" t="s">
        <v>154</v>
      </c>
      <c r="C58" s="17" t="s">
        <v>154</v>
      </c>
      <c r="D58" s="18" t="s">
        <v>154</v>
      </c>
      <c r="E58" s="17" t="s">
        <v>154</v>
      </c>
      <c r="F58" s="18" t="s">
        <v>154</v>
      </c>
      <c r="G58" s="17" t="s">
        <v>154</v>
      </c>
      <c r="H58" s="18" t="s">
        <v>154</v>
      </c>
      <c r="I58" s="17" t="s">
        <v>154</v>
      </c>
      <c r="J58" s="18" t="s">
        <v>154</v>
      </c>
      <c r="K58" s="17" t="s">
        <v>154</v>
      </c>
      <c r="L58" s="18" t="s">
        <v>154</v>
      </c>
      <c r="M58" s="17" t="s">
        <v>154</v>
      </c>
      <c r="N58" s="18" t="s">
        <v>154</v>
      </c>
      <c r="O58" s="17" t="s">
        <v>154</v>
      </c>
      <c r="P58" s="18" t="s">
        <v>154</v>
      </c>
      <c r="Q58" s="17" t="s">
        <v>154</v>
      </c>
      <c r="R58" s="18" t="s">
        <v>154</v>
      </c>
    </row>
    <row r="59" spans="1:18" x14ac:dyDescent="0.25">
      <c r="A59" s="11" t="s">
        <v>192</v>
      </c>
      <c r="B59" s="17" t="s">
        <v>154</v>
      </c>
      <c r="C59" s="17" t="s">
        <v>154</v>
      </c>
      <c r="D59" s="18" t="s">
        <v>154</v>
      </c>
      <c r="E59" s="17" t="s">
        <v>154</v>
      </c>
      <c r="F59" s="18" t="s">
        <v>154</v>
      </c>
      <c r="G59" s="17" t="s">
        <v>154</v>
      </c>
      <c r="H59" s="18" t="s">
        <v>154</v>
      </c>
      <c r="I59" s="17" t="s">
        <v>154</v>
      </c>
      <c r="J59" s="18" t="s">
        <v>154</v>
      </c>
      <c r="K59" s="17" t="s">
        <v>154</v>
      </c>
      <c r="L59" s="18" t="s">
        <v>154</v>
      </c>
      <c r="M59" s="17" t="s">
        <v>154</v>
      </c>
      <c r="N59" s="18" t="s">
        <v>154</v>
      </c>
      <c r="O59" s="17" t="s">
        <v>154</v>
      </c>
      <c r="P59" s="18" t="s">
        <v>154</v>
      </c>
      <c r="Q59" s="17" t="s">
        <v>154</v>
      </c>
      <c r="R59" s="18" t="s">
        <v>154</v>
      </c>
    </row>
    <row r="60" spans="1:18" x14ac:dyDescent="0.25">
      <c r="A60" s="11" t="s">
        <v>193</v>
      </c>
      <c r="B60" s="17" t="s">
        <v>154</v>
      </c>
      <c r="C60" s="17" t="s">
        <v>154</v>
      </c>
      <c r="D60" s="18" t="s">
        <v>154</v>
      </c>
      <c r="E60" s="17" t="s">
        <v>154</v>
      </c>
      <c r="F60" s="18" t="s">
        <v>154</v>
      </c>
      <c r="G60" s="17" t="s">
        <v>154</v>
      </c>
      <c r="H60" s="18" t="s">
        <v>154</v>
      </c>
      <c r="I60" s="17" t="s">
        <v>154</v>
      </c>
      <c r="J60" s="18" t="s">
        <v>154</v>
      </c>
      <c r="K60" s="17" t="s">
        <v>154</v>
      </c>
      <c r="L60" s="18" t="s">
        <v>154</v>
      </c>
      <c r="M60" s="17" t="s">
        <v>154</v>
      </c>
      <c r="N60" s="18" t="s">
        <v>154</v>
      </c>
      <c r="O60" s="17" t="s">
        <v>154</v>
      </c>
      <c r="P60" s="18" t="s">
        <v>154</v>
      </c>
      <c r="Q60" s="17" t="s">
        <v>154</v>
      </c>
      <c r="R60" s="18" t="s">
        <v>154</v>
      </c>
    </row>
    <row r="61" spans="1:18" x14ac:dyDescent="0.25">
      <c r="A61" s="11" t="s">
        <v>194</v>
      </c>
      <c r="B61" s="13">
        <v>6525</v>
      </c>
      <c r="C61" s="14">
        <f>(5422/B61*100)</f>
        <v>83.095785440613028</v>
      </c>
      <c r="D61" s="15">
        <v>1103</v>
      </c>
      <c r="E61" s="14">
        <v>13.9914004</v>
      </c>
      <c r="F61" s="16">
        <v>1.0928477299999999</v>
      </c>
      <c r="G61" s="14">
        <v>86.008599599999997</v>
      </c>
      <c r="H61" s="16">
        <v>1.0928477299999999</v>
      </c>
      <c r="I61" s="14" t="s">
        <v>139</v>
      </c>
      <c r="J61" s="16" t="s">
        <v>139</v>
      </c>
      <c r="K61" s="14">
        <v>0</v>
      </c>
      <c r="L61" s="16">
        <v>0</v>
      </c>
      <c r="M61" s="14">
        <v>0</v>
      </c>
      <c r="N61" s="16">
        <v>0</v>
      </c>
      <c r="O61" s="14">
        <v>0</v>
      </c>
      <c r="P61" s="16">
        <v>0</v>
      </c>
      <c r="Q61" s="14">
        <v>0</v>
      </c>
      <c r="R61" s="16">
        <v>0</v>
      </c>
    </row>
    <row r="62" spans="1:18" x14ac:dyDescent="0.25">
      <c r="A62" s="11" t="s">
        <v>195</v>
      </c>
      <c r="B62" s="13">
        <v>4476</v>
      </c>
      <c r="C62" s="14">
        <f>(3726/B62*100)</f>
        <v>83.243967828418235</v>
      </c>
      <c r="D62" s="15">
        <v>750</v>
      </c>
      <c r="E62" s="14">
        <v>10.284439190000001</v>
      </c>
      <c r="F62" s="16">
        <v>1.0178856999999999</v>
      </c>
      <c r="G62" s="14">
        <v>89.715560809999999</v>
      </c>
      <c r="H62" s="16">
        <v>1.0178856999999999</v>
      </c>
      <c r="I62" s="14" t="s">
        <v>139</v>
      </c>
      <c r="J62" s="16" t="s">
        <v>139</v>
      </c>
      <c r="K62" s="14">
        <v>0</v>
      </c>
      <c r="L62" s="16">
        <v>0</v>
      </c>
      <c r="M62" s="14">
        <v>0</v>
      </c>
      <c r="N62" s="16">
        <v>0</v>
      </c>
      <c r="O62" s="14">
        <v>0</v>
      </c>
      <c r="P62" s="16">
        <v>0</v>
      </c>
      <c r="Q62" s="14">
        <v>0</v>
      </c>
      <c r="R62" s="16">
        <v>0</v>
      </c>
    </row>
    <row r="63" spans="1:18" x14ac:dyDescent="0.25">
      <c r="A63" s="11" t="s">
        <v>196</v>
      </c>
      <c r="B63" s="17" t="s">
        <v>154</v>
      </c>
      <c r="C63" s="17" t="s">
        <v>154</v>
      </c>
      <c r="D63" s="18" t="s">
        <v>154</v>
      </c>
      <c r="E63" s="17" t="s">
        <v>154</v>
      </c>
      <c r="F63" s="18" t="s">
        <v>154</v>
      </c>
      <c r="G63" s="17" t="s">
        <v>154</v>
      </c>
      <c r="H63" s="18" t="s">
        <v>154</v>
      </c>
      <c r="I63" s="17" t="s">
        <v>154</v>
      </c>
      <c r="J63" s="18" t="s">
        <v>154</v>
      </c>
      <c r="K63" s="17" t="s">
        <v>154</v>
      </c>
      <c r="L63" s="18" t="s">
        <v>154</v>
      </c>
      <c r="M63" s="17" t="s">
        <v>154</v>
      </c>
      <c r="N63" s="18" t="s">
        <v>154</v>
      </c>
      <c r="O63" s="17" t="s">
        <v>154</v>
      </c>
      <c r="P63" s="18" t="s">
        <v>154</v>
      </c>
      <c r="Q63" s="17" t="s">
        <v>154</v>
      </c>
      <c r="R63" s="18" t="s">
        <v>154</v>
      </c>
    </row>
    <row r="64" spans="1:18" x14ac:dyDescent="0.25">
      <c r="A64" s="11" t="s">
        <v>197</v>
      </c>
      <c r="B64" s="17" t="s">
        <v>154</v>
      </c>
      <c r="C64" s="17" t="s">
        <v>154</v>
      </c>
      <c r="D64" s="18" t="s">
        <v>154</v>
      </c>
      <c r="E64" s="17" t="s">
        <v>154</v>
      </c>
      <c r="F64" s="18" t="s">
        <v>154</v>
      </c>
      <c r="G64" s="17" t="s">
        <v>154</v>
      </c>
      <c r="H64" s="18" t="s">
        <v>154</v>
      </c>
      <c r="I64" s="17" t="s">
        <v>154</v>
      </c>
      <c r="J64" s="18" t="s">
        <v>154</v>
      </c>
      <c r="K64" s="17" t="s">
        <v>154</v>
      </c>
      <c r="L64" s="18" t="s">
        <v>154</v>
      </c>
      <c r="M64" s="17" t="s">
        <v>154</v>
      </c>
      <c r="N64" s="18" t="s">
        <v>154</v>
      </c>
      <c r="O64" s="17" t="s">
        <v>154</v>
      </c>
      <c r="P64" s="18" t="s">
        <v>154</v>
      </c>
      <c r="Q64" s="17" t="s">
        <v>154</v>
      </c>
      <c r="R64" s="18" t="s">
        <v>154</v>
      </c>
    </row>
    <row r="65" spans="1:18" x14ac:dyDescent="0.25">
      <c r="A65" s="11" t="s">
        <v>198</v>
      </c>
      <c r="B65" s="17" t="s">
        <v>154</v>
      </c>
      <c r="C65" s="17" t="s">
        <v>154</v>
      </c>
      <c r="D65" s="18" t="s">
        <v>154</v>
      </c>
      <c r="E65" s="17" t="s">
        <v>154</v>
      </c>
      <c r="F65" s="18" t="s">
        <v>154</v>
      </c>
      <c r="G65" s="17" t="s">
        <v>154</v>
      </c>
      <c r="H65" s="18" t="s">
        <v>154</v>
      </c>
      <c r="I65" s="17" t="s">
        <v>154</v>
      </c>
      <c r="J65" s="18" t="s">
        <v>154</v>
      </c>
      <c r="K65" s="17" t="s">
        <v>154</v>
      </c>
      <c r="L65" s="18" t="s">
        <v>154</v>
      </c>
      <c r="M65" s="17" t="s">
        <v>154</v>
      </c>
      <c r="N65" s="18" t="s">
        <v>154</v>
      </c>
      <c r="O65" s="17" t="s">
        <v>154</v>
      </c>
      <c r="P65" s="18" t="s">
        <v>154</v>
      </c>
      <c r="Q65" s="17" t="s">
        <v>154</v>
      </c>
      <c r="R65" s="18" t="s">
        <v>154</v>
      </c>
    </row>
    <row r="66" spans="1:18" x14ac:dyDescent="0.25">
      <c r="A66" s="11" t="s">
        <v>199</v>
      </c>
      <c r="B66" s="13">
        <v>5665</v>
      </c>
      <c r="C66" s="14">
        <f>(4731/B66*100)</f>
        <v>83.512797881729909</v>
      </c>
      <c r="D66" s="15">
        <v>934</v>
      </c>
      <c r="E66" s="14">
        <v>20.515725840000002</v>
      </c>
      <c r="F66" s="16">
        <v>1.33674202</v>
      </c>
      <c r="G66" s="14">
        <v>79.484274159999998</v>
      </c>
      <c r="H66" s="16">
        <v>1.33674202</v>
      </c>
      <c r="I66" s="14" t="s">
        <v>139</v>
      </c>
      <c r="J66" s="16" t="s">
        <v>139</v>
      </c>
      <c r="K66" s="14">
        <v>0</v>
      </c>
      <c r="L66" s="16">
        <v>0</v>
      </c>
      <c r="M66" s="14">
        <v>0</v>
      </c>
      <c r="N66" s="16">
        <v>0</v>
      </c>
      <c r="O66" s="14">
        <v>0</v>
      </c>
      <c r="P66" s="16">
        <v>0</v>
      </c>
      <c r="Q66" s="14">
        <v>0</v>
      </c>
      <c r="R66" s="16">
        <v>0</v>
      </c>
    </row>
    <row r="67" spans="1:18" x14ac:dyDescent="0.25">
      <c r="A67" s="11" t="s">
        <v>200</v>
      </c>
      <c r="B67" s="13">
        <v>6971</v>
      </c>
      <c r="C67" s="14">
        <f>(5956/B67*100)</f>
        <v>85.439678668770625</v>
      </c>
      <c r="D67" s="15">
        <v>1015</v>
      </c>
      <c r="E67" s="14">
        <v>27.255974550000001</v>
      </c>
      <c r="F67" s="16">
        <v>1.64847203</v>
      </c>
      <c r="G67" s="14">
        <v>72.744025449999995</v>
      </c>
      <c r="H67" s="16">
        <v>1.64847203</v>
      </c>
      <c r="I67" s="14" t="s">
        <v>139</v>
      </c>
      <c r="J67" s="16" t="s">
        <v>139</v>
      </c>
      <c r="K67" s="14">
        <v>0</v>
      </c>
      <c r="L67" s="16">
        <v>0</v>
      </c>
      <c r="M67" s="14">
        <v>0</v>
      </c>
      <c r="N67" s="16">
        <v>0</v>
      </c>
      <c r="O67" s="14">
        <v>0</v>
      </c>
      <c r="P67" s="16">
        <v>0</v>
      </c>
      <c r="Q67" s="14">
        <v>0</v>
      </c>
      <c r="R67" s="16">
        <v>0</v>
      </c>
    </row>
    <row r="68" spans="1:18" x14ac:dyDescent="0.25">
      <c r="A68" s="11" t="s">
        <v>201</v>
      </c>
      <c r="B68" s="17" t="s">
        <v>154</v>
      </c>
      <c r="C68" s="17" t="s">
        <v>154</v>
      </c>
      <c r="D68" s="18" t="s">
        <v>154</v>
      </c>
      <c r="E68" s="17" t="s">
        <v>154</v>
      </c>
      <c r="F68" s="18" t="s">
        <v>154</v>
      </c>
      <c r="G68" s="17" t="s">
        <v>154</v>
      </c>
      <c r="H68" s="18" t="s">
        <v>154</v>
      </c>
      <c r="I68" s="17" t="s">
        <v>154</v>
      </c>
      <c r="J68" s="18" t="s">
        <v>154</v>
      </c>
      <c r="K68" s="17" t="s">
        <v>154</v>
      </c>
      <c r="L68" s="18" t="s">
        <v>154</v>
      </c>
      <c r="M68" s="17" t="s">
        <v>154</v>
      </c>
      <c r="N68" s="18" t="s">
        <v>154</v>
      </c>
      <c r="O68" s="17" t="s">
        <v>154</v>
      </c>
      <c r="P68" s="18" t="s">
        <v>154</v>
      </c>
      <c r="Q68" s="17" t="s">
        <v>154</v>
      </c>
      <c r="R68" s="18" t="s">
        <v>154</v>
      </c>
    </row>
    <row r="69" spans="1:18" x14ac:dyDescent="0.25">
      <c r="A69" s="11" t="s">
        <v>202</v>
      </c>
      <c r="B69" s="17" t="s">
        <v>154</v>
      </c>
      <c r="C69" s="17" t="s">
        <v>154</v>
      </c>
      <c r="D69" s="18" t="s">
        <v>154</v>
      </c>
      <c r="E69" s="17" t="s">
        <v>154</v>
      </c>
      <c r="F69" s="18" t="s">
        <v>154</v>
      </c>
      <c r="G69" s="17" t="s">
        <v>154</v>
      </c>
      <c r="H69" s="18" t="s">
        <v>154</v>
      </c>
      <c r="I69" s="17" t="s">
        <v>154</v>
      </c>
      <c r="J69" s="18" t="s">
        <v>154</v>
      </c>
      <c r="K69" s="17" t="s">
        <v>154</v>
      </c>
      <c r="L69" s="18" t="s">
        <v>154</v>
      </c>
      <c r="M69" s="17" t="s">
        <v>154</v>
      </c>
      <c r="N69" s="18" t="s">
        <v>154</v>
      </c>
      <c r="O69" s="17" t="s">
        <v>154</v>
      </c>
      <c r="P69" s="18" t="s">
        <v>154</v>
      </c>
      <c r="Q69" s="17" t="s">
        <v>154</v>
      </c>
      <c r="R69" s="18" t="s">
        <v>154</v>
      </c>
    </row>
    <row r="70" spans="1:18" x14ac:dyDescent="0.25">
      <c r="A70" s="11" t="s">
        <v>203</v>
      </c>
      <c r="B70" s="13">
        <v>6036</v>
      </c>
      <c r="C70" s="14">
        <f>(5027/B70*100)</f>
        <v>83.283631544068911</v>
      </c>
      <c r="D70" s="15">
        <v>1009</v>
      </c>
      <c r="E70" s="14">
        <v>15.67410205</v>
      </c>
      <c r="F70" s="16">
        <v>1.26624442</v>
      </c>
      <c r="G70" s="14">
        <v>84.325897949999998</v>
      </c>
      <c r="H70" s="16">
        <v>1.26624442</v>
      </c>
      <c r="I70" s="14" t="s">
        <v>139</v>
      </c>
      <c r="J70" s="16" t="s">
        <v>139</v>
      </c>
      <c r="K70" s="14">
        <v>0</v>
      </c>
      <c r="L70" s="16">
        <v>0</v>
      </c>
      <c r="M70" s="14">
        <v>0</v>
      </c>
      <c r="N70" s="16">
        <v>0</v>
      </c>
      <c r="O70" s="14">
        <v>0</v>
      </c>
      <c r="P70" s="16">
        <v>0</v>
      </c>
      <c r="Q70" s="14">
        <v>0</v>
      </c>
      <c r="R70" s="16">
        <v>0</v>
      </c>
    </row>
    <row r="71" spans="1:18" x14ac:dyDescent="0.25">
      <c r="A71" s="11" t="s">
        <v>204</v>
      </c>
      <c r="B71" s="17" t="s">
        <v>154</v>
      </c>
      <c r="C71" s="17" t="s">
        <v>154</v>
      </c>
      <c r="D71" s="18" t="s">
        <v>154</v>
      </c>
      <c r="E71" s="17" t="s">
        <v>154</v>
      </c>
      <c r="F71" s="18" t="s">
        <v>154</v>
      </c>
      <c r="G71" s="17" t="s">
        <v>154</v>
      </c>
      <c r="H71" s="18" t="s">
        <v>154</v>
      </c>
      <c r="I71" s="17" t="s">
        <v>154</v>
      </c>
      <c r="J71" s="18" t="s">
        <v>154</v>
      </c>
      <c r="K71" s="17" t="s">
        <v>154</v>
      </c>
      <c r="L71" s="18" t="s">
        <v>154</v>
      </c>
      <c r="M71" s="17" t="s">
        <v>154</v>
      </c>
      <c r="N71" s="18" t="s">
        <v>154</v>
      </c>
      <c r="O71" s="17" t="s">
        <v>154</v>
      </c>
      <c r="P71" s="18" t="s">
        <v>154</v>
      </c>
      <c r="Q71" s="17" t="s">
        <v>154</v>
      </c>
      <c r="R71" s="18" t="s">
        <v>154</v>
      </c>
    </row>
    <row r="72" spans="1:18" x14ac:dyDescent="0.25">
      <c r="A72" s="11" t="s">
        <v>205</v>
      </c>
      <c r="B72" s="13">
        <v>7708</v>
      </c>
      <c r="C72" s="14">
        <f>(6393/B72*100)</f>
        <v>82.939802802283353</v>
      </c>
      <c r="D72" s="15">
        <v>1315</v>
      </c>
      <c r="E72" s="14">
        <v>11.02239318</v>
      </c>
      <c r="F72" s="16">
        <v>0.91205634999999996</v>
      </c>
      <c r="G72" s="14">
        <v>88.977606820000005</v>
      </c>
      <c r="H72" s="16">
        <v>0.91205634999999996</v>
      </c>
      <c r="I72" s="14" t="s">
        <v>139</v>
      </c>
      <c r="J72" s="16" t="s">
        <v>139</v>
      </c>
      <c r="K72" s="14">
        <v>0</v>
      </c>
      <c r="L72" s="16">
        <v>0</v>
      </c>
      <c r="M72" s="14">
        <v>0</v>
      </c>
      <c r="N72" s="16">
        <v>0</v>
      </c>
      <c r="O72" s="14">
        <v>0</v>
      </c>
      <c r="P72" s="16">
        <v>0</v>
      </c>
      <c r="Q72" s="14">
        <v>0</v>
      </c>
      <c r="R72" s="16">
        <v>0</v>
      </c>
    </row>
    <row r="73" spans="1:18" x14ac:dyDescent="0.25">
      <c r="A73" s="11" t="s">
        <v>206</v>
      </c>
      <c r="B73" s="13">
        <v>8249</v>
      </c>
      <c r="C73" s="14">
        <f>(6928/B73*100)</f>
        <v>83.9859376894169</v>
      </c>
      <c r="D73" s="15">
        <v>1321</v>
      </c>
      <c r="E73" s="14">
        <v>16.693243339999999</v>
      </c>
      <c r="F73" s="16">
        <v>1.2361610700000001</v>
      </c>
      <c r="G73" s="14">
        <v>83.306756660000005</v>
      </c>
      <c r="H73" s="16">
        <v>1.2361610700000001</v>
      </c>
      <c r="I73" s="14" t="s">
        <v>139</v>
      </c>
      <c r="J73" s="16" t="s">
        <v>139</v>
      </c>
      <c r="K73" s="14">
        <v>0</v>
      </c>
      <c r="L73" s="16">
        <v>0</v>
      </c>
      <c r="M73" s="14">
        <v>0</v>
      </c>
      <c r="N73" s="16">
        <v>0</v>
      </c>
      <c r="O73" s="14">
        <v>0</v>
      </c>
      <c r="P73" s="16">
        <v>0</v>
      </c>
      <c r="Q73" s="14">
        <v>0</v>
      </c>
      <c r="R73" s="16">
        <v>0</v>
      </c>
    </row>
    <row r="74" spans="1:18" x14ac:dyDescent="0.25">
      <c r="A74" s="11" t="s">
        <v>207</v>
      </c>
      <c r="B74" s="17" t="s">
        <v>154</v>
      </c>
      <c r="C74" s="17" t="s">
        <v>154</v>
      </c>
      <c r="D74" s="18" t="s">
        <v>154</v>
      </c>
      <c r="E74" s="17" t="s">
        <v>154</v>
      </c>
      <c r="F74" s="18" t="s">
        <v>154</v>
      </c>
      <c r="G74" s="17" t="s">
        <v>154</v>
      </c>
      <c r="H74" s="18" t="s">
        <v>154</v>
      </c>
      <c r="I74" s="17" t="s">
        <v>154</v>
      </c>
      <c r="J74" s="18" t="s">
        <v>154</v>
      </c>
      <c r="K74" s="17" t="s">
        <v>154</v>
      </c>
      <c r="L74" s="18" t="s">
        <v>154</v>
      </c>
      <c r="M74" s="17" t="s">
        <v>154</v>
      </c>
      <c r="N74" s="18" t="s">
        <v>154</v>
      </c>
      <c r="O74" s="17" t="s">
        <v>154</v>
      </c>
      <c r="P74" s="18" t="s">
        <v>154</v>
      </c>
      <c r="Q74" s="17" t="s">
        <v>154</v>
      </c>
      <c r="R74" s="18" t="s">
        <v>154</v>
      </c>
    </row>
    <row r="75" spans="1:18" x14ac:dyDescent="0.25">
      <c r="A75" s="11" t="s">
        <v>208</v>
      </c>
      <c r="B75" s="13">
        <v>5375</v>
      </c>
      <c r="C75" s="14">
        <f>(4579/B75*100)</f>
        <v>85.190697674418601</v>
      </c>
      <c r="D75" s="15">
        <v>796</v>
      </c>
      <c r="E75" s="14">
        <v>27.757318470000001</v>
      </c>
      <c r="F75" s="16">
        <v>1.5386171799999999</v>
      </c>
      <c r="G75" s="14">
        <v>72.242681529999999</v>
      </c>
      <c r="H75" s="16">
        <v>1.5386171799999999</v>
      </c>
      <c r="I75" s="14" t="s">
        <v>139</v>
      </c>
      <c r="J75" s="16" t="s">
        <v>139</v>
      </c>
      <c r="K75" s="14">
        <v>0</v>
      </c>
      <c r="L75" s="16">
        <v>0</v>
      </c>
      <c r="M75" s="14">
        <v>0</v>
      </c>
      <c r="N75" s="16">
        <v>0</v>
      </c>
      <c r="O75" s="14">
        <v>0</v>
      </c>
      <c r="P75" s="16">
        <v>0</v>
      </c>
      <c r="Q75" s="14">
        <v>0</v>
      </c>
      <c r="R75" s="16">
        <v>0</v>
      </c>
    </row>
    <row r="76" spans="1:18" x14ac:dyDescent="0.25">
      <c r="A76" s="11" t="s">
        <v>209</v>
      </c>
      <c r="B76" s="13">
        <v>14167</v>
      </c>
      <c r="C76" s="14">
        <f>(11736/B76*100)</f>
        <v>82.840403755205756</v>
      </c>
      <c r="D76" s="15">
        <v>2431</v>
      </c>
      <c r="E76" s="14">
        <v>24.173536989999999</v>
      </c>
      <c r="F76" s="16">
        <v>1.17591746</v>
      </c>
      <c r="G76" s="14">
        <v>75.826463009999998</v>
      </c>
      <c r="H76" s="16">
        <v>1.17591746</v>
      </c>
      <c r="I76" s="14" t="s">
        <v>139</v>
      </c>
      <c r="J76" s="16" t="s">
        <v>139</v>
      </c>
      <c r="K76" s="14">
        <v>0</v>
      </c>
      <c r="L76" s="16">
        <v>0</v>
      </c>
      <c r="M76" s="14">
        <v>0</v>
      </c>
      <c r="N76" s="16">
        <v>0</v>
      </c>
      <c r="O76" s="14">
        <v>0</v>
      </c>
      <c r="P76" s="16">
        <v>0</v>
      </c>
      <c r="Q76" s="14">
        <v>0</v>
      </c>
      <c r="R76" s="16">
        <v>0</v>
      </c>
    </row>
    <row r="77" spans="1:18" x14ac:dyDescent="0.25">
      <c r="A77" s="11" t="s">
        <v>210</v>
      </c>
      <c r="B77" s="13">
        <v>6062</v>
      </c>
      <c r="C77" s="14">
        <f>(5052/B77*100)</f>
        <v>83.338832068624214</v>
      </c>
      <c r="D77" s="15">
        <v>1010</v>
      </c>
      <c r="E77" s="14">
        <v>25.226056710000002</v>
      </c>
      <c r="F77" s="16">
        <v>1.53242243</v>
      </c>
      <c r="G77" s="14">
        <v>74.773943290000005</v>
      </c>
      <c r="H77" s="16">
        <v>1.53242243</v>
      </c>
      <c r="I77" s="14" t="s">
        <v>139</v>
      </c>
      <c r="J77" s="16" t="s">
        <v>139</v>
      </c>
      <c r="K77" s="14">
        <v>0</v>
      </c>
      <c r="L77" s="16">
        <v>0</v>
      </c>
      <c r="M77" s="14">
        <v>0</v>
      </c>
      <c r="N77" s="16">
        <v>0</v>
      </c>
      <c r="O77" s="14">
        <v>0</v>
      </c>
      <c r="P77" s="16">
        <v>0</v>
      </c>
      <c r="Q77" s="14">
        <v>0</v>
      </c>
      <c r="R77" s="16">
        <v>0</v>
      </c>
    </row>
    <row r="78" spans="1:18" x14ac:dyDescent="0.25">
      <c r="A78" s="11" t="s">
        <v>211</v>
      </c>
      <c r="B78" s="17" t="s">
        <v>154</v>
      </c>
      <c r="C78" s="17" t="s">
        <v>154</v>
      </c>
      <c r="D78" s="18" t="s">
        <v>154</v>
      </c>
      <c r="E78" s="17" t="s">
        <v>154</v>
      </c>
      <c r="F78" s="18" t="s">
        <v>154</v>
      </c>
      <c r="G78" s="17" t="s">
        <v>154</v>
      </c>
      <c r="H78" s="18" t="s">
        <v>154</v>
      </c>
      <c r="I78" s="17" t="s">
        <v>154</v>
      </c>
      <c r="J78" s="18" t="s">
        <v>154</v>
      </c>
      <c r="K78" s="17" t="s">
        <v>154</v>
      </c>
      <c r="L78" s="18" t="s">
        <v>154</v>
      </c>
      <c r="M78" s="17" t="s">
        <v>154</v>
      </c>
      <c r="N78" s="18" t="s">
        <v>154</v>
      </c>
      <c r="O78" s="17" t="s">
        <v>154</v>
      </c>
      <c r="P78" s="18" t="s">
        <v>154</v>
      </c>
      <c r="Q78" s="17" t="s">
        <v>154</v>
      </c>
      <c r="R78" s="18" t="s">
        <v>154</v>
      </c>
    </row>
    <row r="79" spans="1:18" ht="24.95" customHeight="1" x14ac:dyDescent="0.25">
      <c r="A79" s="11" t="s">
        <v>212</v>
      </c>
      <c r="B79" s="17" t="s">
        <v>154</v>
      </c>
      <c r="C79" s="17" t="s">
        <v>154</v>
      </c>
      <c r="D79" s="18" t="s">
        <v>154</v>
      </c>
      <c r="E79" s="17" t="s">
        <v>154</v>
      </c>
      <c r="F79" s="18" t="s">
        <v>154</v>
      </c>
      <c r="G79" s="17" t="s">
        <v>154</v>
      </c>
      <c r="H79" s="18" t="s">
        <v>154</v>
      </c>
      <c r="I79" s="17" t="s">
        <v>154</v>
      </c>
      <c r="J79" s="18" t="s">
        <v>154</v>
      </c>
      <c r="K79" s="17" t="s">
        <v>154</v>
      </c>
      <c r="L79" s="18" t="s">
        <v>154</v>
      </c>
      <c r="M79" s="17" t="s">
        <v>154</v>
      </c>
      <c r="N79" s="18" t="s">
        <v>154</v>
      </c>
      <c r="O79" s="17" t="s">
        <v>154</v>
      </c>
      <c r="P79" s="18" t="s">
        <v>154</v>
      </c>
      <c r="Q79" s="17" t="s">
        <v>154</v>
      </c>
      <c r="R79" s="18" t="s">
        <v>154</v>
      </c>
    </row>
    <row r="80" spans="1:18" x14ac:dyDescent="0.25">
      <c r="A80" s="11" t="s">
        <v>213</v>
      </c>
      <c r="B80" s="17" t="s">
        <v>154</v>
      </c>
      <c r="C80" s="17" t="s">
        <v>154</v>
      </c>
      <c r="D80" s="18" t="s">
        <v>154</v>
      </c>
      <c r="E80" s="17" t="s">
        <v>154</v>
      </c>
      <c r="F80" s="18" t="s">
        <v>154</v>
      </c>
      <c r="G80" s="17" t="s">
        <v>154</v>
      </c>
      <c r="H80" s="18" t="s">
        <v>154</v>
      </c>
      <c r="I80" s="17" t="s">
        <v>154</v>
      </c>
      <c r="J80" s="18" t="s">
        <v>154</v>
      </c>
      <c r="K80" s="17" t="s">
        <v>154</v>
      </c>
      <c r="L80" s="18" t="s">
        <v>154</v>
      </c>
      <c r="M80" s="17" t="s">
        <v>154</v>
      </c>
      <c r="N80" s="18" t="s">
        <v>154</v>
      </c>
      <c r="O80" s="17" t="s">
        <v>154</v>
      </c>
      <c r="P80" s="18" t="s">
        <v>154</v>
      </c>
      <c r="Q80" s="17" t="s">
        <v>154</v>
      </c>
      <c r="R80" s="18" t="s">
        <v>154</v>
      </c>
    </row>
    <row r="81" spans="1:18" x14ac:dyDescent="0.25">
      <c r="A81" s="19" t="s">
        <v>214</v>
      </c>
      <c r="B81" s="13">
        <v>8861</v>
      </c>
      <c r="C81" s="14">
        <f>(8516/B81*100)</f>
        <v>96.106534251213176</v>
      </c>
      <c r="D81" s="15">
        <v>345</v>
      </c>
      <c r="E81" s="14">
        <v>20.34273134</v>
      </c>
      <c r="F81" s="16">
        <v>2.4426522300000002</v>
      </c>
      <c r="G81" s="14">
        <v>79.65726866</v>
      </c>
      <c r="H81" s="16">
        <v>2.4426522300000002</v>
      </c>
      <c r="I81" s="14" t="s">
        <v>139</v>
      </c>
      <c r="J81" s="16" t="s">
        <v>139</v>
      </c>
      <c r="K81" s="14">
        <v>0</v>
      </c>
      <c r="L81" s="16">
        <v>0</v>
      </c>
      <c r="M81" s="14">
        <v>0</v>
      </c>
      <c r="N81" s="16">
        <v>0</v>
      </c>
      <c r="O81" s="14">
        <v>0</v>
      </c>
      <c r="P81" s="16">
        <v>0</v>
      </c>
      <c r="Q81" s="14">
        <v>0</v>
      </c>
      <c r="R81" s="16">
        <v>0</v>
      </c>
    </row>
    <row r="82" spans="1:18" x14ac:dyDescent="0.25">
      <c r="A82" s="20"/>
      <c r="B82" s="20" t="s">
        <v>215</v>
      </c>
      <c r="C82" s="20" t="s">
        <v>215</v>
      </c>
      <c r="D82" s="20" t="s">
        <v>215</v>
      </c>
      <c r="E82" s="20" t="s">
        <v>215</v>
      </c>
      <c r="F82" s="20" t="s">
        <v>215</v>
      </c>
      <c r="G82" s="20" t="s">
        <v>215</v>
      </c>
      <c r="H82" s="20" t="s">
        <v>215</v>
      </c>
      <c r="I82" s="20" t="s">
        <v>215</v>
      </c>
      <c r="J82" s="20" t="s">
        <v>215</v>
      </c>
      <c r="K82" s="20" t="s">
        <v>215</v>
      </c>
      <c r="L82" s="20" t="s">
        <v>215</v>
      </c>
      <c r="M82" s="20" t="s">
        <v>215</v>
      </c>
      <c r="N82" s="20" t="s">
        <v>215</v>
      </c>
      <c r="O82" s="20" t="s">
        <v>215</v>
      </c>
      <c r="P82" s="20" t="s">
        <v>215</v>
      </c>
      <c r="Q82" s="20" t="s">
        <v>215</v>
      </c>
      <c r="R82" s="20" t="s">
        <v>215</v>
      </c>
    </row>
    <row r="83" spans="1:18" x14ac:dyDescent="0.25">
      <c r="A83" s="3" t="s">
        <v>216</v>
      </c>
    </row>
    <row r="84" spans="1:18" x14ac:dyDescent="0.25">
      <c r="A84" s="22" t="s">
        <v>217</v>
      </c>
      <c r="B84" s="23"/>
      <c r="C84" s="23"/>
      <c r="D84" s="23"/>
      <c r="E84" s="23"/>
      <c r="F84" s="23"/>
      <c r="G84" s="23"/>
      <c r="H84" s="23"/>
      <c r="I84" s="23"/>
      <c r="J84" s="23"/>
      <c r="K84" s="23"/>
      <c r="L84" s="23"/>
      <c r="M84" s="23"/>
      <c r="N84" s="23"/>
      <c r="O84" s="23"/>
      <c r="P84" s="23"/>
      <c r="Q84" s="23"/>
      <c r="R84" s="23"/>
    </row>
    <row r="85" spans="1:18" x14ac:dyDescent="0.25">
      <c r="A85" s="22" t="s">
        <v>218</v>
      </c>
      <c r="B85" s="23"/>
      <c r="C85" s="23"/>
      <c r="D85" s="23"/>
      <c r="E85" s="23"/>
      <c r="F85" s="23"/>
      <c r="G85" s="23"/>
      <c r="H85" s="23"/>
      <c r="I85" s="23"/>
      <c r="J85" s="23"/>
      <c r="K85" s="23"/>
      <c r="L85" s="23"/>
      <c r="M85" s="23"/>
      <c r="N85" s="23"/>
      <c r="O85" s="23"/>
      <c r="P85" s="23"/>
      <c r="Q85" s="23"/>
      <c r="R85" s="23"/>
    </row>
    <row r="86" spans="1:18" ht="30" customHeight="1" x14ac:dyDescent="0.25">
      <c r="A86" s="22" t="s">
        <v>219</v>
      </c>
      <c r="B86" s="23"/>
      <c r="C86" s="23"/>
      <c r="D86" s="23"/>
      <c r="E86" s="23"/>
      <c r="F86" s="23"/>
      <c r="G86" s="23"/>
      <c r="H86" s="23"/>
      <c r="I86" s="23"/>
      <c r="J86" s="23"/>
      <c r="K86" s="23"/>
      <c r="L86" s="23"/>
      <c r="M86" s="23"/>
      <c r="N86" s="23"/>
      <c r="O86" s="23"/>
      <c r="P86" s="23"/>
      <c r="Q86" s="23"/>
      <c r="R86" s="23"/>
    </row>
    <row r="87" spans="1:18" ht="30" customHeight="1" x14ac:dyDescent="0.25">
      <c r="A87" s="22" t="s">
        <v>215</v>
      </c>
      <c r="B87" s="23"/>
      <c r="C87" s="23"/>
      <c r="D87" s="23"/>
      <c r="E87" s="23"/>
      <c r="F87" s="23"/>
      <c r="G87" s="23"/>
      <c r="H87" s="23"/>
      <c r="I87" s="23"/>
      <c r="J87" s="23"/>
      <c r="K87" s="23"/>
      <c r="L87" s="23"/>
      <c r="M87" s="23"/>
      <c r="N87" s="23"/>
      <c r="O87" s="23"/>
      <c r="P87" s="23"/>
      <c r="Q87" s="23"/>
      <c r="R87" s="23"/>
    </row>
    <row r="88" spans="1:18" ht="30" customHeight="1" x14ac:dyDescent="0.25">
      <c r="A88" s="22" t="s">
        <v>220</v>
      </c>
      <c r="B88" s="23"/>
      <c r="C88" s="23"/>
      <c r="D88" s="23"/>
      <c r="E88" s="23"/>
      <c r="F88" s="23"/>
      <c r="G88" s="23"/>
      <c r="H88" s="23"/>
      <c r="I88" s="23"/>
      <c r="J88" s="23"/>
      <c r="K88" s="23"/>
      <c r="L88" s="23"/>
      <c r="M88" s="23"/>
      <c r="N88" s="23"/>
      <c r="O88" s="23"/>
      <c r="P88" s="23"/>
      <c r="Q88" s="23"/>
      <c r="R88" s="23"/>
    </row>
    <row r="89" spans="1:18" ht="30" customHeight="1" x14ac:dyDescent="0.25">
      <c r="A89" s="22" t="s">
        <v>221</v>
      </c>
      <c r="B89" s="23"/>
      <c r="C89" s="23"/>
      <c r="D89" s="23"/>
      <c r="E89" s="23"/>
      <c r="F89" s="23"/>
      <c r="G89" s="23"/>
      <c r="H89" s="23"/>
      <c r="I89" s="23"/>
      <c r="J89" s="23"/>
      <c r="K89" s="23"/>
      <c r="L89" s="23"/>
      <c r="M89" s="23"/>
      <c r="N89" s="23"/>
      <c r="O89" s="23"/>
      <c r="P89" s="23"/>
      <c r="Q89" s="23"/>
      <c r="R89" s="23"/>
    </row>
    <row r="90" spans="1:18" ht="30" customHeight="1" x14ac:dyDescent="0.25">
      <c r="A90" s="22" t="s">
        <v>222</v>
      </c>
      <c r="B90" s="23"/>
      <c r="C90" s="23"/>
      <c r="D90" s="23"/>
      <c r="E90" s="23"/>
      <c r="F90" s="23"/>
      <c r="G90" s="23"/>
      <c r="H90" s="23"/>
      <c r="I90" s="23"/>
      <c r="J90" s="23"/>
      <c r="K90" s="23"/>
      <c r="L90" s="23"/>
      <c r="M90" s="23"/>
      <c r="N90" s="23"/>
      <c r="O90" s="23"/>
      <c r="P90" s="23"/>
      <c r="Q90" s="23"/>
      <c r="R90" s="23"/>
    </row>
    <row r="91" spans="1:18" ht="30" customHeight="1" x14ac:dyDescent="0.25">
      <c r="A91" s="22" t="s">
        <v>223</v>
      </c>
      <c r="B91" s="23"/>
      <c r="C91" s="23"/>
      <c r="D91" s="23"/>
      <c r="E91" s="23"/>
      <c r="F91" s="23"/>
      <c r="G91" s="23"/>
      <c r="H91" s="23"/>
      <c r="I91" s="23"/>
      <c r="J91" s="23"/>
      <c r="K91" s="23"/>
      <c r="L91" s="23"/>
      <c r="M91" s="23"/>
      <c r="N91" s="23"/>
      <c r="O91" s="23"/>
      <c r="P91" s="23"/>
      <c r="Q91" s="23"/>
      <c r="R91" s="23"/>
    </row>
    <row r="92" spans="1:18" ht="30" customHeight="1" x14ac:dyDescent="0.25">
      <c r="A92" s="22" t="s">
        <v>224</v>
      </c>
      <c r="B92" s="23"/>
      <c r="C92" s="23"/>
      <c r="D92" s="23"/>
      <c r="E92" s="23"/>
      <c r="F92" s="23"/>
      <c r="G92" s="23"/>
      <c r="H92" s="23"/>
      <c r="I92" s="23"/>
      <c r="J92" s="23"/>
      <c r="K92" s="23"/>
      <c r="L92" s="23"/>
      <c r="M92" s="23"/>
      <c r="N92" s="23"/>
      <c r="O92" s="23"/>
      <c r="P92" s="23"/>
      <c r="Q92" s="23"/>
      <c r="R92" s="23"/>
    </row>
    <row r="93" spans="1:18" ht="30" customHeight="1" x14ac:dyDescent="0.25">
      <c r="A93" s="22" t="s">
        <v>225</v>
      </c>
      <c r="B93" s="23"/>
      <c r="C93" s="23"/>
      <c r="D93" s="23"/>
      <c r="E93" s="23"/>
      <c r="F93" s="23"/>
      <c r="G93" s="23"/>
      <c r="H93" s="23"/>
      <c r="I93" s="23"/>
      <c r="J93" s="23"/>
      <c r="K93" s="23"/>
      <c r="L93" s="23"/>
      <c r="M93" s="23"/>
      <c r="N93" s="23"/>
      <c r="O93" s="23"/>
      <c r="P93" s="23"/>
      <c r="Q93" s="23"/>
      <c r="R93" s="23"/>
    </row>
    <row r="94" spans="1:18" ht="30" customHeight="1" x14ac:dyDescent="0.25">
      <c r="A94" s="22" t="s">
        <v>226</v>
      </c>
      <c r="B94" s="23"/>
      <c r="C94" s="23"/>
      <c r="D94" s="23"/>
      <c r="E94" s="23"/>
      <c r="F94" s="23"/>
      <c r="G94" s="23"/>
      <c r="H94" s="23"/>
      <c r="I94" s="23"/>
      <c r="J94" s="23"/>
      <c r="K94" s="23"/>
      <c r="L94" s="23"/>
      <c r="M94" s="23"/>
      <c r="N94" s="23"/>
      <c r="O94" s="23"/>
      <c r="P94" s="23"/>
      <c r="Q94" s="23"/>
      <c r="R94" s="23"/>
    </row>
    <row r="95" spans="1:18" ht="30" customHeight="1" x14ac:dyDescent="0.25">
      <c r="A95" s="22" t="s">
        <v>227</v>
      </c>
      <c r="B95" s="23"/>
      <c r="C95" s="23"/>
      <c r="D95" s="23"/>
      <c r="E95" s="23"/>
      <c r="F95" s="23"/>
      <c r="G95" s="23"/>
      <c r="H95" s="23"/>
      <c r="I95" s="23"/>
      <c r="J95" s="23"/>
      <c r="K95" s="23"/>
      <c r="L95" s="23"/>
      <c r="M95" s="23"/>
      <c r="N95" s="23"/>
      <c r="O95" s="23"/>
      <c r="P95" s="23"/>
      <c r="Q95" s="23"/>
      <c r="R95" s="23"/>
    </row>
    <row r="96" spans="1:18" ht="30" customHeight="1" x14ac:dyDescent="0.25">
      <c r="A96" s="22" t="s">
        <v>228</v>
      </c>
      <c r="B96" s="23"/>
      <c r="C96" s="23"/>
      <c r="D96" s="23"/>
      <c r="E96" s="23"/>
      <c r="F96" s="23"/>
      <c r="G96" s="23"/>
      <c r="H96" s="23"/>
      <c r="I96" s="23"/>
      <c r="J96" s="23"/>
      <c r="K96" s="23"/>
      <c r="L96" s="23"/>
      <c r="M96" s="23"/>
      <c r="N96" s="23"/>
      <c r="O96" s="23"/>
      <c r="P96" s="23"/>
      <c r="Q96" s="23"/>
      <c r="R96" s="23"/>
    </row>
  </sheetData>
  <mergeCells count="22">
    <mergeCell ref="O4:P4"/>
    <mergeCell ref="Q4:R4"/>
    <mergeCell ref="A1:R1"/>
    <mergeCell ref="A2:R2"/>
    <mergeCell ref="A84:R84"/>
    <mergeCell ref="E4:F4"/>
    <mergeCell ref="G4:H4"/>
    <mergeCell ref="I4:J4"/>
    <mergeCell ref="K4:L4"/>
    <mergeCell ref="M4:N4"/>
    <mergeCell ref="A85:R85"/>
    <mergeCell ref="A86:R86"/>
    <mergeCell ref="A87:R87"/>
    <mergeCell ref="A88:R88"/>
    <mergeCell ref="A89:R89"/>
    <mergeCell ref="A95:R95"/>
    <mergeCell ref="A96:R96"/>
    <mergeCell ref="A90:R90"/>
    <mergeCell ref="A91:R91"/>
    <mergeCell ref="A92:R92"/>
    <mergeCell ref="A93:R93"/>
    <mergeCell ref="A94:R94"/>
  </mergeCells>
  <pageMargins left="0.75" right="0.75" top="1" bottom="1" header="0.5" footer="0.5"/>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6"/>
  <dimension ref="A1:R96"/>
  <sheetViews>
    <sheetView zoomScale="80" workbookViewId="0">
      <pane xSplit="4" topLeftCell="E1" activePane="topRight" state="frozen"/>
      <selection sqref="A1:R1"/>
      <selection pane="topRight" sqref="A1:R1"/>
    </sheetView>
  </sheetViews>
  <sheetFormatPr defaultColWidth="11.42578125" defaultRowHeight="15" x14ac:dyDescent="0.25"/>
  <cols>
    <col min="1" max="1" width="50" customWidth="1"/>
  </cols>
  <sheetData>
    <row r="1" spans="1:18" x14ac:dyDescent="0.25">
      <c r="A1" s="26" t="s">
        <v>122</v>
      </c>
      <c r="B1" s="23"/>
      <c r="C1" s="23"/>
      <c r="D1" s="23"/>
      <c r="E1" s="23"/>
      <c r="F1" s="23"/>
      <c r="G1" s="23"/>
      <c r="H1" s="23"/>
      <c r="I1" s="23"/>
      <c r="J1" s="23"/>
      <c r="K1" s="23"/>
      <c r="L1" s="23"/>
      <c r="M1" s="23"/>
      <c r="N1" s="23"/>
      <c r="O1" s="23"/>
      <c r="P1" s="23"/>
      <c r="Q1" s="23"/>
      <c r="R1" s="23"/>
    </row>
    <row r="2" spans="1:18" x14ac:dyDescent="0.25">
      <c r="A2" s="27" t="s">
        <v>292</v>
      </c>
      <c r="B2" s="23"/>
      <c r="C2" s="23"/>
      <c r="D2" s="23"/>
      <c r="E2" s="23"/>
      <c r="F2" s="23"/>
      <c r="G2" s="23"/>
      <c r="H2" s="23"/>
      <c r="I2" s="23"/>
      <c r="J2" s="23"/>
      <c r="K2" s="23"/>
      <c r="L2" s="23"/>
      <c r="M2" s="23"/>
      <c r="N2" s="23"/>
      <c r="O2" s="23"/>
      <c r="P2" s="23"/>
      <c r="Q2" s="23"/>
      <c r="R2" s="23"/>
    </row>
    <row r="4" spans="1:18" ht="30" customHeight="1" x14ac:dyDescent="0.25">
      <c r="A4" s="4"/>
      <c r="B4" s="5" t="s">
        <v>123</v>
      </c>
      <c r="C4" s="5" t="s">
        <v>124</v>
      </c>
      <c r="D4" s="6" t="s">
        <v>123</v>
      </c>
      <c r="E4" s="24" t="s">
        <v>125</v>
      </c>
      <c r="F4" s="25"/>
      <c r="G4" s="24" t="s">
        <v>126</v>
      </c>
      <c r="H4" s="25"/>
      <c r="I4" s="24" t="s">
        <v>127</v>
      </c>
      <c r="J4" s="25"/>
      <c r="K4" s="24" t="s">
        <v>128</v>
      </c>
      <c r="L4" s="25"/>
      <c r="M4" s="24" t="s">
        <v>129</v>
      </c>
      <c r="N4" s="25"/>
      <c r="O4" s="24" t="s">
        <v>130</v>
      </c>
      <c r="P4" s="25"/>
      <c r="Q4" s="24" t="s">
        <v>131</v>
      </c>
      <c r="R4" s="25"/>
    </row>
    <row r="5" spans="1:18" x14ac:dyDescent="0.25">
      <c r="A5" s="7"/>
      <c r="B5" s="8" t="s">
        <v>132</v>
      </c>
      <c r="C5" s="8" t="s">
        <v>133</v>
      </c>
      <c r="D5" s="7" t="s">
        <v>134</v>
      </c>
      <c r="E5" s="8" t="s">
        <v>135</v>
      </c>
      <c r="F5" s="7" t="s">
        <v>136</v>
      </c>
      <c r="G5" s="8" t="s">
        <v>135</v>
      </c>
      <c r="H5" s="7" t="s">
        <v>136</v>
      </c>
      <c r="I5" s="8" t="s">
        <v>135</v>
      </c>
      <c r="J5" s="7" t="s">
        <v>136</v>
      </c>
      <c r="K5" s="8" t="s">
        <v>135</v>
      </c>
      <c r="L5" s="7" t="s">
        <v>136</v>
      </c>
      <c r="M5" s="8" t="s">
        <v>135</v>
      </c>
      <c r="N5" s="7" t="s">
        <v>136</v>
      </c>
      <c r="O5" s="8" t="s">
        <v>135</v>
      </c>
      <c r="P5" s="7" t="s">
        <v>136</v>
      </c>
      <c r="Q5" s="8" t="s">
        <v>135</v>
      </c>
      <c r="R5" s="7" t="s">
        <v>136</v>
      </c>
    </row>
    <row r="6" spans="1:18" x14ac:dyDescent="0.25">
      <c r="A6" s="9" t="s">
        <v>137</v>
      </c>
      <c r="B6" s="10"/>
      <c r="C6" s="10"/>
      <c r="D6" s="11"/>
      <c r="E6" s="10"/>
      <c r="F6" s="11"/>
      <c r="G6" s="10"/>
      <c r="H6" s="11"/>
      <c r="I6" s="10"/>
      <c r="J6" s="11"/>
      <c r="K6" s="10"/>
      <c r="L6" s="11"/>
      <c r="M6" s="10"/>
      <c r="N6" s="11"/>
      <c r="O6" s="10"/>
      <c r="P6" s="11"/>
      <c r="Q6" s="10"/>
      <c r="R6" s="12"/>
    </row>
    <row r="7" spans="1:18" x14ac:dyDescent="0.25">
      <c r="A7" s="11" t="s">
        <v>138</v>
      </c>
      <c r="B7" s="13">
        <v>14530</v>
      </c>
      <c r="C7" s="14">
        <f>(12149/B7*100)</f>
        <v>83.613214039917409</v>
      </c>
      <c r="D7" s="15">
        <v>2381</v>
      </c>
      <c r="E7" s="14">
        <v>48.459646380000002</v>
      </c>
      <c r="F7" s="16">
        <v>1.0894527700000001</v>
      </c>
      <c r="G7" s="14">
        <v>51.540353619999998</v>
      </c>
      <c r="H7" s="16">
        <v>1.0894527700000001</v>
      </c>
      <c r="I7" s="14" t="s">
        <v>139</v>
      </c>
      <c r="J7" s="16" t="s">
        <v>139</v>
      </c>
      <c r="K7" s="14">
        <v>0</v>
      </c>
      <c r="L7" s="16">
        <v>0</v>
      </c>
      <c r="M7" s="14">
        <v>0</v>
      </c>
      <c r="N7" s="16">
        <v>0</v>
      </c>
      <c r="O7" s="14">
        <v>0</v>
      </c>
      <c r="P7" s="16">
        <v>0</v>
      </c>
      <c r="Q7" s="14">
        <v>0</v>
      </c>
      <c r="R7" s="16">
        <v>0</v>
      </c>
    </row>
    <row r="8" spans="1:18" x14ac:dyDescent="0.25">
      <c r="A8" s="11" t="s">
        <v>140</v>
      </c>
      <c r="B8" s="13">
        <v>7007</v>
      </c>
      <c r="C8" s="14">
        <f>(5821/B8*100)</f>
        <v>83.074068788354509</v>
      </c>
      <c r="D8" s="15">
        <v>1186</v>
      </c>
      <c r="E8" s="14">
        <v>83.451394019999995</v>
      </c>
      <c r="F8" s="16">
        <v>1.05050227</v>
      </c>
      <c r="G8" s="14">
        <v>16.548605980000001</v>
      </c>
      <c r="H8" s="16">
        <v>1.05050227</v>
      </c>
      <c r="I8" s="14" t="s">
        <v>139</v>
      </c>
      <c r="J8" s="16" t="s">
        <v>139</v>
      </c>
      <c r="K8" s="14">
        <v>0</v>
      </c>
      <c r="L8" s="16">
        <v>0</v>
      </c>
      <c r="M8" s="14">
        <v>0</v>
      </c>
      <c r="N8" s="16">
        <v>0</v>
      </c>
      <c r="O8" s="14">
        <v>0</v>
      </c>
      <c r="P8" s="16">
        <v>0</v>
      </c>
      <c r="Q8" s="14">
        <v>0</v>
      </c>
      <c r="R8" s="16">
        <v>0</v>
      </c>
    </row>
    <row r="9" spans="1:18" x14ac:dyDescent="0.25">
      <c r="A9" s="11" t="s">
        <v>141</v>
      </c>
      <c r="B9" s="13">
        <v>9651</v>
      </c>
      <c r="C9" s="14">
        <f>(8080/B9*100)</f>
        <v>83.721894104237904</v>
      </c>
      <c r="D9" s="15">
        <v>1571</v>
      </c>
      <c r="E9" s="14">
        <v>74.631073259999994</v>
      </c>
      <c r="F9" s="16">
        <v>1.1354542999999999</v>
      </c>
      <c r="G9" s="14">
        <v>25.368926739999999</v>
      </c>
      <c r="H9" s="16">
        <v>1.1354542999999999</v>
      </c>
      <c r="I9" s="14" t="s">
        <v>139</v>
      </c>
      <c r="J9" s="16" t="s">
        <v>139</v>
      </c>
      <c r="K9" s="14">
        <v>0</v>
      </c>
      <c r="L9" s="16">
        <v>0</v>
      </c>
      <c r="M9" s="14">
        <v>0</v>
      </c>
      <c r="N9" s="16">
        <v>0</v>
      </c>
      <c r="O9" s="14">
        <v>0</v>
      </c>
      <c r="P9" s="16">
        <v>0</v>
      </c>
      <c r="Q9" s="14">
        <v>0</v>
      </c>
      <c r="R9" s="16">
        <v>0</v>
      </c>
    </row>
    <row r="10" spans="1:18" x14ac:dyDescent="0.25">
      <c r="A10" s="11" t="s">
        <v>142</v>
      </c>
      <c r="B10" s="13">
        <v>20058</v>
      </c>
      <c r="C10" s="14">
        <f>(16662/B10*100)</f>
        <v>83.069099611127726</v>
      </c>
      <c r="D10" s="15">
        <v>3396</v>
      </c>
      <c r="E10" s="14">
        <v>48.677181349999998</v>
      </c>
      <c r="F10" s="16">
        <v>1.2171941500000001</v>
      </c>
      <c r="G10" s="14">
        <v>51.322818650000002</v>
      </c>
      <c r="H10" s="16">
        <v>1.2171941500000001</v>
      </c>
      <c r="I10" s="14" t="s">
        <v>139</v>
      </c>
      <c r="J10" s="16" t="s">
        <v>139</v>
      </c>
      <c r="K10" s="14">
        <v>0</v>
      </c>
      <c r="L10" s="16">
        <v>0</v>
      </c>
      <c r="M10" s="14">
        <v>0</v>
      </c>
      <c r="N10" s="16">
        <v>0</v>
      </c>
      <c r="O10" s="14">
        <v>0</v>
      </c>
      <c r="P10" s="16">
        <v>0</v>
      </c>
      <c r="Q10" s="14">
        <v>0</v>
      </c>
      <c r="R10" s="16">
        <v>0</v>
      </c>
    </row>
    <row r="11" spans="1:18" x14ac:dyDescent="0.25">
      <c r="A11" s="11" t="s">
        <v>143</v>
      </c>
      <c r="B11" s="13">
        <v>7053</v>
      </c>
      <c r="C11" s="14">
        <f>(5867/B11*100)</f>
        <v>83.184460513256781</v>
      </c>
      <c r="D11" s="15">
        <v>1186</v>
      </c>
      <c r="E11" s="14">
        <v>85.701679279999993</v>
      </c>
      <c r="F11" s="16">
        <v>1.4040078199999999</v>
      </c>
      <c r="G11" s="14">
        <v>14.29832072</v>
      </c>
      <c r="H11" s="16">
        <v>1.4040078199999999</v>
      </c>
      <c r="I11" s="14" t="s">
        <v>139</v>
      </c>
      <c r="J11" s="16" t="s">
        <v>139</v>
      </c>
      <c r="K11" s="14">
        <v>0</v>
      </c>
      <c r="L11" s="16">
        <v>0</v>
      </c>
      <c r="M11" s="14">
        <v>0</v>
      </c>
      <c r="N11" s="16">
        <v>0</v>
      </c>
      <c r="O11" s="14">
        <v>0</v>
      </c>
      <c r="P11" s="16">
        <v>0</v>
      </c>
      <c r="Q11" s="14">
        <v>0</v>
      </c>
      <c r="R11" s="16">
        <v>0</v>
      </c>
    </row>
    <row r="12" spans="1:18" x14ac:dyDescent="0.25">
      <c r="A12" s="11" t="s">
        <v>144</v>
      </c>
      <c r="B12" s="13">
        <v>6894</v>
      </c>
      <c r="C12" s="14">
        <f>(5738/B12*100)</f>
        <v>83.231795764432832</v>
      </c>
      <c r="D12" s="15">
        <v>1156</v>
      </c>
      <c r="E12" s="14">
        <v>71.762605679999993</v>
      </c>
      <c r="F12" s="16">
        <v>1.39865522</v>
      </c>
      <c r="G12" s="14">
        <v>28.23739432</v>
      </c>
      <c r="H12" s="16">
        <v>1.39865522</v>
      </c>
      <c r="I12" s="14" t="s">
        <v>139</v>
      </c>
      <c r="J12" s="16" t="s">
        <v>139</v>
      </c>
      <c r="K12" s="14">
        <v>0</v>
      </c>
      <c r="L12" s="16">
        <v>0</v>
      </c>
      <c r="M12" s="14">
        <v>0</v>
      </c>
      <c r="N12" s="16">
        <v>0</v>
      </c>
      <c r="O12" s="14">
        <v>0</v>
      </c>
      <c r="P12" s="16">
        <v>0</v>
      </c>
      <c r="Q12" s="14">
        <v>0</v>
      </c>
      <c r="R12" s="16">
        <v>0</v>
      </c>
    </row>
    <row r="13" spans="1:18" x14ac:dyDescent="0.25">
      <c r="A13" s="11" t="s">
        <v>145</v>
      </c>
      <c r="B13" s="13">
        <v>7161</v>
      </c>
      <c r="C13" s="14">
        <f>(6027/B13*100)</f>
        <v>84.1642228739003</v>
      </c>
      <c r="D13" s="15">
        <v>1134</v>
      </c>
      <c r="E13" s="14">
        <v>64.83251491</v>
      </c>
      <c r="F13" s="16">
        <v>1.62523416</v>
      </c>
      <c r="G13" s="14">
        <v>35.16748509</v>
      </c>
      <c r="H13" s="16">
        <v>1.62523416</v>
      </c>
      <c r="I13" s="14" t="s">
        <v>139</v>
      </c>
      <c r="J13" s="16" t="s">
        <v>139</v>
      </c>
      <c r="K13" s="14">
        <v>0</v>
      </c>
      <c r="L13" s="16">
        <v>0</v>
      </c>
      <c r="M13" s="14">
        <v>0</v>
      </c>
      <c r="N13" s="16">
        <v>0</v>
      </c>
      <c r="O13" s="14">
        <v>0</v>
      </c>
      <c r="P13" s="16">
        <v>0</v>
      </c>
      <c r="Q13" s="14">
        <v>0</v>
      </c>
      <c r="R13" s="16">
        <v>0</v>
      </c>
    </row>
    <row r="14" spans="1:18" x14ac:dyDescent="0.25">
      <c r="A14" s="11" t="s">
        <v>146</v>
      </c>
      <c r="B14" s="13">
        <v>5587</v>
      </c>
      <c r="C14" s="14">
        <f>(4638/B14*100)</f>
        <v>83.014139967782356</v>
      </c>
      <c r="D14" s="15">
        <v>949</v>
      </c>
      <c r="E14" s="14">
        <v>69.223561979999999</v>
      </c>
      <c r="F14" s="16">
        <v>1.5649663</v>
      </c>
      <c r="G14" s="14">
        <v>30.776438020000001</v>
      </c>
      <c r="H14" s="16">
        <v>1.5649663</v>
      </c>
      <c r="I14" s="14" t="s">
        <v>139</v>
      </c>
      <c r="J14" s="16" t="s">
        <v>139</v>
      </c>
      <c r="K14" s="14">
        <v>0</v>
      </c>
      <c r="L14" s="16">
        <v>0</v>
      </c>
      <c r="M14" s="14">
        <v>0</v>
      </c>
      <c r="N14" s="16">
        <v>0</v>
      </c>
      <c r="O14" s="14">
        <v>0</v>
      </c>
      <c r="P14" s="16">
        <v>0</v>
      </c>
      <c r="Q14" s="14">
        <v>0</v>
      </c>
      <c r="R14" s="16">
        <v>0</v>
      </c>
    </row>
    <row r="15" spans="1:18" x14ac:dyDescent="0.25">
      <c r="A15" s="11" t="s">
        <v>147</v>
      </c>
      <c r="B15" s="13">
        <v>5882</v>
      </c>
      <c r="C15" s="14">
        <f>(4879/B15*100)</f>
        <v>82.947976878612721</v>
      </c>
      <c r="D15" s="15">
        <v>1003</v>
      </c>
      <c r="E15" s="14">
        <v>64.978520759999995</v>
      </c>
      <c r="F15" s="16">
        <v>1.5886786900000001</v>
      </c>
      <c r="G15" s="14">
        <v>35.021479239999998</v>
      </c>
      <c r="H15" s="16">
        <v>1.5886786900000001</v>
      </c>
      <c r="I15" s="14" t="s">
        <v>139</v>
      </c>
      <c r="J15" s="16" t="s">
        <v>139</v>
      </c>
      <c r="K15" s="14">
        <v>0</v>
      </c>
      <c r="L15" s="16">
        <v>0</v>
      </c>
      <c r="M15" s="14">
        <v>0</v>
      </c>
      <c r="N15" s="16">
        <v>0</v>
      </c>
      <c r="O15" s="14">
        <v>0</v>
      </c>
      <c r="P15" s="16">
        <v>0</v>
      </c>
      <c r="Q15" s="14">
        <v>0</v>
      </c>
      <c r="R15" s="16">
        <v>0</v>
      </c>
    </row>
    <row r="16" spans="1:18" x14ac:dyDescent="0.25">
      <c r="A16" s="11" t="s">
        <v>148</v>
      </c>
      <c r="B16" s="13">
        <v>6108</v>
      </c>
      <c r="C16" s="14">
        <f>(5065/B16*100)</f>
        <v>82.924034053700069</v>
      </c>
      <c r="D16" s="15">
        <v>1043</v>
      </c>
      <c r="E16" s="14">
        <v>72.314525570000001</v>
      </c>
      <c r="F16" s="16">
        <v>1.3670848600000001</v>
      </c>
      <c r="G16" s="14">
        <v>27.685474429999999</v>
      </c>
      <c r="H16" s="16">
        <v>1.3670848600000001</v>
      </c>
      <c r="I16" s="14" t="s">
        <v>139</v>
      </c>
      <c r="J16" s="16" t="s">
        <v>139</v>
      </c>
      <c r="K16" s="14">
        <v>0</v>
      </c>
      <c r="L16" s="16">
        <v>0</v>
      </c>
      <c r="M16" s="14">
        <v>0</v>
      </c>
      <c r="N16" s="16">
        <v>0</v>
      </c>
      <c r="O16" s="14">
        <v>0</v>
      </c>
      <c r="P16" s="16">
        <v>0</v>
      </c>
      <c r="Q16" s="14">
        <v>0</v>
      </c>
      <c r="R16" s="16">
        <v>0</v>
      </c>
    </row>
    <row r="17" spans="1:18" x14ac:dyDescent="0.25">
      <c r="A17" s="11" t="s">
        <v>149</v>
      </c>
      <c r="B17" s="13">
        <v>6504</v>
      </c>
      <c r="C17" s="14">
        <f>(5414/B17*100)</f>
        <v>83.241082410824106</v>
      </c>
      <c r="D17" s="15">
        <v>1090</v>
      </c>
      <c r="E17" s="14">
        <v>74.512619290000004</v>
      </c>
      <c r="F17" s="16">
        <v>1.3222853299999999</v>
      </c>
      <c r="G17" s="14">
        <v>25.48738071</v>
      </c>
      <c r="H17" s="16">
        <v>1.3222853299999999</v>
      </c>
      <c r="I17" s="14" t="s">
        <v>139</v>
      </c>
      <c r="J17" s="16" t="s">
        <v>139</v>
      </c>
      <c r="K17" s="14">
        <v>0</v>
      </c>
      <c r="L17" s="16">
        <v>0</v>
      </c>
      <c r="M17" s="14">
        <v>0</v>
      </c>
      <c r="N17" s="16">
        <v>0</v>
      </c>
      <c r="O17" s="14">
        <v>0</v>
      </c>
      <c r="P17" s="16">
        <v>0</v>
      </c>
      <c r="Q17" s="14">
        <v>0</v>
      </c>
      <c r="R17" s="16">
        <v>0</v>
      </c>
    </row>
    <row r="18" spans="1:18" x14ac:dyDescent="0.25">
      <c r="A18" s="11" t="s">
        <v>150</v>
      </c>
      <c r="B18" s="13">
        <v>5532</v>
      </c>
      <c r="C18" s="14">
        <f>(4631/B18*100)</f>
        <v>83.712942877801879</v>
      </c>
      <c r="D18" s="15">
        <v>901</v>
      </c>
      <c r="E18" s="14">
        <v>76.564860730000007</v>
      </c>
      <c r="F18" s="16">
        <v>1.6977051599999999</v>
      </c>
      <c r="G18" s="14">
        <v>23.435139270000001</v>
      </c>
      <c r="H18" s="16">
        <v>1.6977051599999999</v>
      </c>
      <c r="I18" s="14" t="s">
        <v>139</v>
      </c>
      <c r="J18" s="16" t="s">
        <v>139</v>
      </c>
      <c r="K18" s="14">
        <v>0</v>
      </c>
      <c r="L18" s="16">
        <v>0</v>
      </c>
      <c r="M18" s="14">
        <v>0</v>
      </c>
      <c r="N18" s="16">
        <v>0</v>
      </c>
      <c r="O18" s="14">
        <v>0</v>
      </c>
      <c r="P18" s="16">
        <v>0</v>
      </c>
      <c r="Q18" s="14">
        <v>0</v>
      </c>
      <c r="R18" s="16">
        <v>0</v>
      </c>
    </row>
    <row r="19" spans="1:18" x14ac:dyDescent="0.25">
      <c r="A19" s="11" t="s">
        <v>151</v>
      </c>
      <c r="B19" s="13">
        <v>5658</v>
      </c>
      <c r="C19" s="14">
        <f>(4717/B19*100)</f>
        <v>83.368681512902086</v>
      </c>
      <c r="D19" s="15">
        <v>941</v>
      </c>
      <c r="E19" s="14">
        <v>66.694484360000004</v>
      </c>
      <c r="F19" s="16">
        <v>1.5742605599999999</v>
      </c>
      <c r="G19" s="14">
        <v>33.305515640000003</v>
      </c>
      <c r="H19" s="16">
        <v>1.5742605599999999</v>
      </c>
      <c r="I19" s="14" t="s">
        <v>139</v>
      </c>
      <c r="J19" s="16" t="s">
        <v>139</v>
      </c>
      <c r="K19" s="14">
        <v>0</v>
      </c>
      <c r="L19" s="16">
        <v>0</v>
      </c>
      <c r="M19" s="14">
        <v>0</v>
      </c>
      <c r="N19" s="16">
        <v>0</v>
      </c>
      <c r="O19" s="14">
        <v>0</v>
      </c>
      <c r="P19" s="16">
        <v>0</v>
      </c>
      <c r="Q19" s="14">
        <v>0</v>
      </c>
      <c r="R19" s="16">
        <v>0</v>
      </c>
    </row>
    <row r="20" spans="1:18" x14ac:dyDescent="0.25">
      <c r="A20" s="11" t="s">
        <v>152</v>
      </c>
      <c r="B20" s="13">
        <v>3371</v>
      </c>
      <c r="C20" s="14">
        <f>(2817/B20*100)</f>
        <v>83.565707505191327</v>
      </c>
      <c r="D20" s="15">
        <v>554</v>
      </c>
      <c r="E20" s="14">
        <v>67.526460040000003</v>
      </c>
      <c r="F20" s="16">
        <v>1.9218781199999999</v>
      </c>
      <c r="G20" s="14">
        <v>32.473539959999997</v>
      </c>
      <c r="H20" s="16">
        <v>1.9218781199999999</v>
      </c>
      <c r="I20" s="14" t="s">
        <v>139</v>
      </c>
      <c r="J20" s="16" t="s">
        <v>139</v>
      </c>
      <c r="K20" s="14">
        <v>0</v>
      </c>
      <c r="L20" s="16">
        <v>0</v>
      </c>
      <c r="M20" s="14">
        <v>0</v>
      </c>
      <c r="N20" s="16">
        <v>0</v>
      </c>
      <c r="O20" s="14">
        <v>0</v>
      </c>
      <c r="P20" s="16">
        <v>0</v>
      </c>
      <c r="Q20" s="14">
        <v>0</v>
      </c>
      <c r="R20" s="16">
        <v>0</v>
      </c>
    </row>
    <row r="21" spans="1:18" x14ac:dyDescent="0.25">
      <c r="A21" s="11" t="s">
        <v>153</v>
      </c>
      <c r="B21" s="17" t="s">
        <v>154</v>
      </c>
      <c r="C21" s="17" t="s">
        <v>154</v>
      </c>
      <c r="D21" s="18" t="s">
        <v>154</v>
      </c>
      <c r="E21" s="17" t="s">
        <v>154</v>
      </c>
      <c r="F21" s="18" t="s">
        <v>154</v>
      </c>
      <c r="G21" s="17" t="s">
        <v>154</v>
      </c>
      <c r="H21" s="18" t="s">
        <v>154</v>
      </c>
      <c r="I21" s="17" t="s">
        <v>154</v>
      </c>
      <c r="J21" s="18" t="s">
        <v>154</v>
      </c>
      <c r="K21" s="17" t="s">
        <v>154</v>
      </c>
      <c r="L21" s="18" t="s">
        <v>154</v>
      </c>
      <c r="M21" s="17" t="s">
        <v>154</v>
      </c>
      <c r="N21" s="18" t="s">
        <v>154</v>
      </c>
      <c r="O21" s="17" t="s">
        <v>154</v>
      </c>
      <c r="P21" s="18" t="s">
        <v>154</v>
      </c>
      <c r="Q21" s="17" t="s">
        <v>154</v>
      </c>
      <c r="R21" s="18" t="s">
        <v>154</v>
      </c>
    </row>
    <row r="22" spans="1:18" x14ac:dyDescent="0.25">
      <c r="A22" s="11" t="s">
        <v>155</v>
      </c>
      <c r="B22" s="13">
        <v>6598</v>
      </c>
      <c r="C22" s="14">
        <f>(5579/B22*100)</f>
        <v>84.555926038193391</v>
      </c>
      <c r="D22" s="15">
        <v>1019</v>
      </c>
      <c r="E22" s="14">
        <v>63.700436609999997</v>
      </c>
      <c r="F22" s="16">
        <v>1.8985455499999999</v>
      </c>
      <c r="G22" s="14">
        <v>36.299563390000003</v>
      </c>
      <c r="H22" s="16">
        <v>1.8985455499999999</v>
      </c>
      <c r="I22" s="14" t="s">
        <v>139</v>
      </c>
      <c r="J22" s="16" t="s">
        <v>139</v>
      </c>
      <c r="K22" s="14">
        <v>0</v>
      </c>
      <c r="L22" s="16">
        <v>0</v>
      </c>
      <c r="M22" s="14">
        <v>0</v>
      </c>
      <c r="N22" s="16">
        <v>0</v>
      </c>
      <c r="O22" s="14">
        <v>0</v>
      </c>
      <c r="P22" s="16">
        <v>0</v>
      </c>
      <c r="Q22" s="14">
        <v>0</v>
      </c>
      <c r="R22" s="16">
        <v>0</v>
      </c>
    </row>
    <row r="23" spans="1:18" x14ac:dyDescent="0.25">
      <c r="A23" s="11" t="s">
        <v>156</v>
      </c>
      <c r="B23" s="13">
        <v>11583</v>
      </c>
      <c r="C23" s="14">
        <f>(9622/B23*100)</f>
        <v>83.07001640334974</v>
      </c>
      <c r="D23" s="15">
        <v>1961</v>
      </c>
      <c r="E23" s="14">
        <v>77.986458499999998</v>
      </c>
      <c r="F23" s="16">
        <v>1.55609362</v>
      </c>
      <c r="G23" s="14">
        <v>22.013541499999999</v>
      </c>
      <c r="H23" s="16">
        <v>1.55609362</v>
      </c>
      <c r="I23" s="14" t="s">
        <v>139</v>
      </c>
      <c r="J23" s="16" t="s">
        <v>139</v>
      </c>
      <c r="K23" s="14">
        <v>0</v>
      </c>
      <c r="L23" s="16">
        <v>0</v>
      </c>
      <c r="M23" s="14">
        <v>0</v>
      </c>
      <c r="N23" s="16">
        <v>0</v>
      </c>
      <c r="O23" s="14">
        <v>0</v>
      </c>
      <c r="P23" s="16">
        <v>0</v>
      </c>
      <c r="Q23" s="14">
        <v>0</v>
      </c>
      <c r="R23" s="16">
        <v>0</v>
      </c>
    </row>
    <row r="24" spans="1:18" x14ac:dyDescent="0.25">
      <c r="A24" s="11" t="s">
        <v>157</v>
      </c>
      <c r="B24" s="13">
        <v>6647</v>
      </c>
      <c r="C24" s="14">
        <f>(5473/B24*100)</f>
        <v>82.337896795546868</v>
      </c>
      <c r="D24" s="15">
        <v>1174</v>
      </c>
      <c r="E24" s="14">
        <v>73.069351260000005</v>
      </c>
      <c r="F24" s="16">
        <v>1.3665066699999999</v>
      </c>
      <c r="G24" s="14">
        <v>26.930648739999999</v>
      </c>
      <c r="H24" s="16">
        <v>1.3665066699999999</v>
      </c>
      <c r="I24" s="14" t="s">
        <v>139</v>
      </c>
      <c r="J24" s="16" t="s">
        <v>139</v>
      </c>
      <c r="K24" s="14">
        <v>0</v>
      </c>
      <c r="L24" s="16">
        <v>0</v>
      </c>
      <c r="M24" s="14">
        <v>0</v>
      </c>
      <c r="N24" s="16">
        <v>0</v>
      </c>
      <c r="O24" s="14">
        <v>0</v>
      </c>
      <c r="P24" s="16">
        <v>0</v>
      </c>
      <c r="Q24" s="14">
        <v>0</v>
      </c>
      <c r="R24" s="16">
        <v>0</v>
      </c>
    </row>
    <row r="25" spans="1:18" x14ac:dyDescent="0.25">
      <c r="A25" s="11" t="s">
        <v>158</v>
      </c>
      <c r="B25" s="13">
        <v>5581</v>
      </c>
      <c r="C25" s="14">
        <f>(4597/B25*100)</f>
        <v>82.368751119870993</v>
      </c>
      <c r="D25" s="15">
        <v>984</v>
      </c>
      <c r="E25" s="14">
        <v>47.695193869999997</v>
      </c>
      <c r="F25" s="16">
        <v>1.5818743099999999</v>
      </c>
      <c r="G25" s="14">
        <v>52.304806130000003</v>
      </c>
      <c r="H25" s="16">
        <v>1.5818743099999999</v>
      </c>
      <c r="I25" s="14" t="s">
        <v>139</v>
      </c>
      <c r="J25" s="16" t="s">
        <v>139</v>
      </c>
      <c r="K25" s="14">
        <v>0</v>
      </c>
      <c r="L25" s="16">
        <v>0</v>
      </c>
      <c r="M25" s="14">
        <v>0</v>
      </c>
      <c r="N25" s="16">
        <v>0</v>
      </c>
      <c r="O25" s="14">
        <v>0</v>
      </c>
      <c r="P25" s="16">
        <v>0</v>
      </c>
      <c r="Q25" s="14">
        <v>0</v>
      </c>
      <c r="R25" s="16">
        <v>0</v>
      </c>
    </row>
    <row r="26" spans="1:18" x14ac:dyDescent="0.25">
      <c r="A26" s="11" t="s">
        <v>159</v>
      </c>
      <c r="B26" s="13">
        <v>4869</v>
      </c>
      <c r="C26" s="14">
        <f>(4038/B26*100)</f>
        <v>82.932840418977207</v>
      </c>
      <c r="D26" s="15">
        <v>831</v>
      </c>
      <c r="E26" s="14">
        <v>70.191116160000007</v>
      </c>
      <c r="F26" s="16">
        <v>1.4452129</v>
      </c>
      <c r="G26" s="14">
        <v>29.80888384</v>
      </c>
      <c r="H26" s="16">
        <v>1.4452129</v>
      </c>
      <c r="I26" s="14" t="s">
        <v>139</v>
      </c>
      <c r="J26" s="16" t="s">
        <v>139</v>
      </c>
      <c r="K26" s="14">
        <v>0</v>
      </c>
      <c r="L26" s="16">
        <v>0</v>
      </c>
      <c r="M26" s="14">
        <v>0</v>
      </c>
      <c r="N26" s="16">
        <v>0</v>
      </c>
      <c r="O26" s="14">
        <v>0</v>
      </c>
      <c r="P26" s="16">
        <v>0</v>
      </c>
      <c r="Q26" s="14">
        <v>0</v>
      </c>
      <c r="R26" s="16">
        <v>0</v>
      </c>
    </row>
    <row r="27" spans="1:18" x14ac:dyDescent="0.25">
      <c r="A27" s="11" t="s">
        <v>160</v>
      </c>
      <c r="B27" s="13">
        <v>5299</v>
      </c>
      <c r="C27" s="14">
        <f>(4418/B27*100)</f>
        <v>83.374221551236076</v>
      </c>
      <c r="D27" s="15">
        <v>881</v>
      </c>
      <c r="E27" s="14">
        <v>75.471617640000005</v>
      </c>
      <c r="F27" s="16">
        <v>1.4452204799999999</v>
      </c>
      <c r="G27" s="14">
        <v>24.528382359999998</v>
      </c>
      <c r="H27" s="16">
        <v>1.4452204799999999</v>
      </c>
      <c r="I27" s="14" t="s">
        <v>139</v>
      </c>
      <c r="J27" s="16" t="s">
        <v>139</v>
      </c>
      <c r="K27" s="14">
        <v>0</v>
      </c>
      <c r="L27" s="16">
        <v>0</v>
      </c>
      <c r="M27" s="14">
        <v>0</v>
      </c>
      <c r="N27" s="16">
        <v>0</v>
      </c>
      <c r="O27" s="14">
        <v>0</v>
      </c>
      <c r="P27" s="16">
        <v>0</v>
      </c>
      <c r="Q27" s="14">
        <v>0</v>
      </c>
      <c r="R27" s="16">
        <v>0</v>
      </c>
    </row>
    <row r="28" spans="1:18" x14ac:dyDescent="0.25">
      <c r="A28" s="11" t="s">
        <v>161</v>
      </c>
      <c r="B28" s="13">
        <v>7568</v>
      </c>
      <c r="C28" s="14">
        <f>(6380/B28*100)</f>
        <v>84.302325581395351</v>
      </c>
      <c r="D28" s="15">
        <v>1188</v>
      </c>
      <c r="E28" s="14">
        <v>77.934879940000002</v>
      </c>
      <c r="F28" s="16">
        <v>1.45093958</v>
      </c>
      <c r="G28" s="14">
        <v>22.065120060000002</v>
      </c>
      <c r="H28" s="16">
        <v>1.45093958</v>
      </c>
      <c r="I28" s="14" t="s">
        <v>139</v>
      </c>
      <c r="J28" s="16" t="s">
        <v>139</v>
      </c>
      <c r="K28" s="14">
        <v>0</v>
      </c>
      <c r="L28" s="16">
        <v>0</v>
      </c>
      <c r="M28" s="14">
        <v>0</v>
      </c>
      <c r="N28" s="16">
        <v>0</v>
      </c>
      <c r="O28" s="14">
        <v>0</v>
      </c>
      <c r="P28" s="16">
        <v>0</v>
      </c>
      <c r="Q28" s="14">
        <v>0</v>
      </c>
      <c r="R28" s="16">
        <v>0</v>
      </c>
    </row>
    <row r="29" spans="1:18" x14ac:dyDescent="0.25">
      <c r="A29" s="11" t="s">
        <v>162</v>
      </c>
      <c r="B29" s="13">
        <v>5385</v>
      </c>
      <c r="C29" s="14">
        <f>(4468/B29*100)</f>
        <v>82.971216341689882</v>
      </c>
      <c r="D29" s="15">
        <v>917</v>
      </c>
      <c r="E29" s="14">
        <v>65.582827449999996</v>
      </c>
      <c r="F29" s="16">
        <v>1.53090444</v>
      </c>
      <c r="G29" s="14">
        <v>34.417172549999997</v>
      </c>
      <c r="H29" s="16">
        <v>1.53090444</v>
      </c>
      <c r="I29" s="14" t="s">
        <v>139</v>
      </c>
      <c r="J29" s="16" t="s">
        <v>139</v>
      </c>
      <c r="K29" s="14">
        <v>0</v>
      </c>
      <c r="L29" s="16">
        <v>0</v>
      </c>
      <c r="M29" s="14">
        <v>0</v>
      </c>
      <c r="N29" s="16">
        <v>0</v>
      </c>
      <c r="O29" s="14">
        <v>0</v>
      </c>
      <c r="P29" s="16">
        <v>0</v>
      </c>
      <c r="Q29" s="14">
        <v>0</v>
      </c>
      <c r="R29" s="16">
        <v>0</v>
      </c>
    </row>
    <row r="30" spans="1:18" x14ac:dyDescent="0.25">
      <c r="A30" s="11" t="s">
        <v>163</v>
      </c>
      <c r="B30" s="13">
        <v>4520</v>
      </c>
      <c r="C30" s="14">
        <f>(3771/B30*100)</f>
        <v>83.429203539823007</v>
      </c>
      <c r="D30" s="15">
        <v>749</v>
      </c>
      <c r="E30" s="14">
        <v>47.011118349999997</v>
      </c>
      <c r="F30" s="16">
        <v>1.9071389299999999</v>
      </c>
      <c r="G30" s="14">
        <v>52.988881650000003</v>
      </c>
      <c r="H30" s="16">
        <v>1.9071389299999999</v>
      </c>
      <c r="I30" s="14" t="s">
        <v>139</v>
      </c>
      <c r="J30" s="16" t="s">
        <v>139</v>
      </c>
      <c r="K30" s="14">
        <v>0</v>
      </c>
      <c r="L30" s="16">
        <v>0</v>
      </c>
      <c r="M30" s="14">
        <v>0</v>
      </c>
      <c r="N30" s="16">
        <v>0</v>
      </c>
      <c r="O30" s="14">
        <v>0</v>
      </c>
      <c r="P30" s="16">
        <v>0</v>
      </c>
      <c r="Q30" s="14">
        <v>0</v>
      </c>
      <c r="R30" s="16">
        <v>0</v>
      </c>
    </row>
    <row r="31" spans="1:18" x14ac:dyDescent="0.25">
      <c r="A31" s="11" t="s">
        <v>164</v>
      </c>
      <c r="B31" s="13">
        <v>5456</v>
      </c>
      <c r="C31" s="14">
        <f>(4500/B31*100)</f>
        <v>82.478005865102645</v>
      </c>
      <c r="D31" s="15">
        <v>956</v>
      </c>
      <c r="E31" s="14">
        <v>61.961745360000002</v>
      </c>
      <c r="F31" s="16">
        <v>1.6451091600000001</v>
      </c>
      <c r="G31" s="14">
        <v>38.038254639999998</v>
      </c>
      <c r="H31" s="16">
        <v>1.6451091600000001</v>
      </c>
      <c r="I31" s="14" t="s">
        <v>139</v>
      </c>
      <c r="J31" s="16" t="s">
        <v>139</v>
      </c>
      <c r="K31" s="14">
        <v>0</v>
      </c>
      <c r="L31" s="16">
        <v>0</v>
      </c>
      <c r="M31" s="14">
        <v>0</v>
      </c>
      <c r="N31" s="16">
        <v>0</v>
      </c>
      <c r="O31" s="14">
        <v>0</v>
      </c>
      <c r="P31" s="16">
        <v>0</v>
      </c>
      <c r="Q31" s="14">
        <v>0</v>
      </c>
      <c r="R31" s="16">
        <v>0</v>
      </c>
    </row>
    <row r="32" spans="1:18" x14ac:dyDescent="0.25">
      <c r="A32" s="11" t="s">
        <v>165</v>
      </c>
      <c r="B32" s="17" t="s">
        <v>154</v>
      </c>
      <c r="C32" s="17" t="s">
        <v>154</v>
      </c>
      <c r="D32" s="18" t="s">
        <v>154</v>
      </c>
      <c r="E32" s="17" t="s">
        <v>154</v>
      </c>
      <c r="F32" s="18" t="s">
        <v>154</v>
      </c>
      <c r="G32" s="17" t="s">
        <v>154</v>
      </c>
      <c r="H32" s="18" t="s">
        <v>154</v>
      </c>
      <c r="I32" s="17" t="s">
        <v>154</v>
      </c>
      <c r="J32" s="18" t="s">
        <v>154</v>
      </c>
      <c r="K32" s="17" t="s">
        <v>154</v>
      </c>
      <c r="L32" s="18" t="s">
        <v>154</v>
      </c>
      <c r="M32" s="17" t="s">
        <v>154</v>
      </c>
      <c r="N32" s="18" t="s">
        <v>154</v>
      </c>
      <c r="O32" s="17" t="s">
        <v>154</v>
      </c>
      <c r="P32" s="18" t="s">
        <v>154</v>
      </c>
      <c r="Q32" s="17" t="s">
        <v>154</v>
      </c>
      <c r="R32" s="18" t="s">
        <v>154</v>
      </c>
    </row>
    <row r="33" spans="1:18" x14ac:dyDescent="0.25">
      <c r="A33" s="11" t="s">
        <v>166</v>
      </c>
      <c r="B33" s="13">
        <v>7325</v>
      </c>
      <c r="C33" s="14">
        <f>(6087/B33*100)</f>
        <v>83.098976109215016</v>
      </c>
      <c r="D33" s="15">
        <v>1238</v>
      </c>
      <c r="E33" s="14">
        <v>75.554156550000002</v>
      </c>
      <c r="F33" s="16">
        <v>1.63968319</v>
      </c>
      <c r="G33" s="14">
        <v>24.445843450000002</v>
      </c>
      <c r="H33" s="16">
        <v>1.63968319</v>
      </c>
      <c r="I33" s="14" t="s">
        <v>139</v>
      </c>
      <c r="J33" s="16" t="s">
        <v>139</v>
      </c>
      <c r="K33" s="14">
        <v>0</v>
      </c>
      <c r="L33" s="16">
        <v>0</v>
      </c>
      <c r="M33" s="14">
        <v>0</v>
      </c>
      <c r="N33" s="16">
        <v>0</v>
      </c>
      <c r="O33" s="14">
        <v>0</v>
      </c>
      <c r="P33" s="16">
        <v>0</v>
      </c>
      <c r="Q33" s="14">
        <v>0</v>
      </c>
      <c r="R33" s="16">
        <v>0</v>
      </c>
    </row>
    <row r="34" spans="1:18" x14ac:dyDescent="0.25">
      <c r="A34" s="11" t="s">
        <v>167</v>
      </c>
      <c r="B34" s="13">
        <v>6350</v>
      </c>
      <c r="C34" s="14">
        <f>(5330/B34*100)</f>
        <v>83.937007874015748</v>
      </c>
      <c r="D34" s="15">
        <v>1020</v>
      </c>
      <c r="E34" s="14">
        <v>74.225285929999998</v>
      </c>
      <c r="F34" s="16">
        <v>1.1270174399999999</v>
      </c>
      <c r="G34" s="14">
        <v>25.774714070000002</v>
      </c>
      <c r="H34" s="16">
        <v>1.1270174399999999</v>
      </c>
      <c r="I34" s="14" t="s">
        <v>139</v>
      </c>
      <c r="J34" s="16" t="s">
        <v>139</v>
      </c>
      <c r="K34" s="14">
        <v>0</v>
      </c>
      <c r="L34" s="16">
        <v>0</v>
      </c>
      <c r="M34" s="14">
        <v>0</v>
      </c>
      <c r="N34" s="16">
        <v>0</v>
      </c>
      <c r="O34" s="14">
        <v>0</v>
      </c>
      <c r="P34" s="16">
        <v>0</v>
      </c>
      <c r="Q34" s="14">
        <v>0</v>
      </c>
      <c r="R34" s="16">
        <v>0</v>
      </c>
    </row>
    <row r="35" spans="1:18" x14ac:dyDescent="0.25">
      <c r="A35" s="11" t="s">
        <v>168</v>
      </c>
      <c r="B35" s="13">
        <v>6406</v>
      </c>
      <c r="C35" s="14">
        <f>(5332/B35*100)</f>
        <v>83.234467686543866</v>
      </c>
      <c r="D35" s="15">
        <v>1074</v>
      </c>
      <c r="E35" s="14">
        <v>76.573061980000006</v>
      </c>
      <c r="F35" s="16">
        <v>1.8463670999999999</v>
      </c>
      <c r="G35" s="14">
        <v>23.426938020000001</v>
      </c>
      <c r="H35" s="16">
        <v>1.8463670999999999</v>
      </c>
      <c r="I35" s="14" t="s">
        <v>139</v>
      </c>
      <c r="J35" s="16" t="s">
        <v>139</v>
      </c>
      <c r="K35" s="14">
        <v>0</v>
      </c>
      <c r="L35" s="16">
        <v>0</v>
      </c>
      <c r="M35" s="14">
        <v>0</v>
      </c>
      <c r="N35" s="16">
        <v>0</v>
      </c>
      <c r="O35" s="14">
        <v>0</v>
      </c>
      <c r="P35" s="16">
        <v>0</v>
      </c>
      <c r="Q35" s="14">
        <v>0</v>
      </c>
      <c r="R35" s="16">
        <v>0</v>
      </c>
    </row>
    <row r="36" spans="1:18" x14ac:dyDescent="0.25">
      <c r="A36" s="11" t="s">
        <v>169</v>
      </c>
      <c r="B36" s="13">
        <v>6736</v>
      </c>
      <c r="C36" s="14">
        <f>(5607/B36*100)</f>
        <v>83.239311163895493</v>
      </c>
      <c r="D36" s="15">
        <v>1129</v>
      </c>
      <c r="E36" s="14">
        <v>80.007066609999995</v>
      </c>
      <c r="F36" s="16">
        <v>1.21919036</v>
      </c>
      <c r="G36" s="14">
        <v>19.992933390000001</v>
      </c>
      <c r="H36" s="16">
        <v>1.21919036</v>
      </c>
      <c r="I36" s="14" t="s">
        <v>139</v>
      </c>
      <c r="J36" s="16" t="s">
        <v>139</v>
      </c>
      <c r="K36" s="14">
        <v>0</v>
      </c>
      <c r="L36" s="16">
        <v>0</v>
      </c>
      <c r="M36" s="14">
        <v>0</v>
      </c>
      <c r="N36" s="16">
        <v>0</v>
      </c>
      <c r="O36" s="14">
        <v>0</v>
      </c>
      <c r="P36" s="16">
        <v>0</v>
      </c>
      <c r="Q36" s="14">
        <v>0</v>
      </c>
      <c r="R36" s="16">
        <v>0</v>
      </c>
    </row>
    <row r="37" spans="1:18" x14ac:dyDescent="0.25">
      <c r="A37" s="11" t="s">
        <v>170</v>
      </c>
      <c r="B37" s="13">
        <v>5458</v>
      </c>
      <c r="C37" s="14">
        <f>(4541/B37*100)</f>
        <v>83.198973983144015</v>
      </c>
      <c r="D37" s="15">
        <v>917</v>
      </c>
      <c r="E37" s="14">
        <v>62.843195469999998</v>
      </c>
      <c r="F37" s="16">
        <v>1.60889981</v>
      </c>
      <c r="G37" s="14">
        <v>37.156804530000002</v>
      </c>
      <c r="H37" s="16">
        <v>1.60889981</v>
      </c>
      <c r="I37" s="14" t="s">
        <v>139</v>
      </c>
      <c r="J37" s="16" t="s">
        <v>139</v>
      </c>
      <c r="K37" s="14">
        <v>0</v>
      </c>
      <c r="L37" s="16">
        <v>0</v>
      </c>
      <c r="M37" s="14">
        <v>0</v>
      </c>
      <c r="N37" s="16">
        <v>0</v>
      </c>
      <c r="O37" s="14">
        <v>0</v>
      </c>
      <c r="P37" s="16">
        <v>0</v>
      </c>
      <c r="Q37" s="14">
        <v>0</v>
      </c>
      <c r="R37" s="16">
        <v>0</v>
      </c>
    </row>
    <row r="38" spans="1:18" x14ac:dyDescent="0.25">
      <c r="A38" s="11" t="s">
        <v>171</v>
      </c>
      <c r="B38" s="17" t="s">
        <v>154</v>
      </c>
      <c r="C38" s="17" t="s">
        <v>154</v>
      </c>
      <c r="D38" s="18" t="s">
        <v>154</v>
      </c>
      <c r="E38" s="17" t="s">
        <v>154</v>
      </c>
      <c r="F38" s="18" t="s">
        <v>154</v>
      </c>
      <c r="G38" s="17" t="s">
        <v>154</v>
      </c>
      <c r="H38" s="18" t="s">
        <v>154</v>
      </c>
      <c r="I38" s="17" t="s">
        <v>154</v>
      </c>
      <c r="J38" s="18" t="s">
        <v>154</v>
      </c>
      <c r="K38" s="17" t="s">
        <v>154</v>
      </c>
      <c r="L38" s="18" t="s">
        <v>154</v>
      </c>
      <c r="M38" s="17" t="s">
        <v>154</v>
      </c>
      <c r="N38" s="18" t="s">
        <v>154</v>
      </c>
      <c r="O38" s="17" t="s">
        <v>154</v>
      </c>
      <c r="P38" s="18" t="s">
        <v>154</v>
      </c>
      <c r="Q38" s="17" t="s">
        <v>154</v>
      </c>
      <c r="R38" s="18" t="s">
        <v>154</v>
      </c>
    </row>
    <row r="39" spans="1:18" x14ac:dyDescent="0.25">
      <c r="A39" s="11" t="s">
        <v>172</v>
      </c>
      <c r="B39" s="13">
        <v>5895</v>
      </c>
      <c r="C39" s="14">
        <f>(4865/B39*100)</f>
        <v>82.527565733672603</v>
      </c>
      <c r="D39" s="15">
        <v>1030</v>
      </c>
      <c r="E39" s="14">
        <v>82.092521099999999</v>
      </c>
      <c r="F39" s="16">
        <v>1.19325123</v>
      </c>
      <c r="G39" s="14">
        <v>17.907478900000001</v>
      </c>
      <c r="H39" s="16">
        <v>1.19325123</v>
      </c>
      <c r="I39" s="14" t="s">
        <v>139</v>
      </c>
      <c r="J39" s="16" t="s">
        <v>139</v>
      </c>
      <c r="K39" s="14">
        <v>0</v>
      </c>
      <c r="L39" s="16">
        <v>0</v>
      </c>
      <c r="M39" s="14">
        <v>0</v>
      </c>
      <c r="N39" s="16">
        <v>0</v>
      </c>
      <c r="O39" s="14">
        <v>0</v>
      </c>
      <c r="P39" s="16">
        <v>0</v>
      </c>
      <c r="Q39" s="14">
        <v>0</v>
      </c>
      <c r="R39" s="16">
        <v>0</v>
      </c>
    </row>
    <row r="40" spans="1:18" x14ac:dyDescent="0.25">
      <c r="A40" s="11" t="s">
        <v>173</v>
      </c>
      <c r="B40" s="13">
        <v>14157</v>
      </c>
      <c r="C40" s="14">
        <f>(11680/B40*100)</f>
        <v>82.50335523062796</v>
      </c>
      <c r="D40" s="15">
        <v>2477</v>
      </c>
      <c r="E40" s="14">
        <v>54.183850730000003</v>
      </c>
      <c r="F40" s="16">
        <v>1.47055077</v>
      </c>
      <c r="G40" s="14">
        <v>45.816149269999997</v>
      </c>
      <c r="H40" s="16">
        <v>1.47055077</v>
      </c>
      <c r="I40" s="14" t="s">
        <v>139</v>
      </c>
      <c r="J40" s="16" t="s">
        <v>139</v>
      </c>
      <c r="K40" s="14">
        <v>0</v>
      </c>
      <c r="L40" s="16">
        <v>0</v>
      </c>
      <c r="M40" s="14">
        <v>0</v>
      </c>
      <c r="N40" s="16">
        <v>0</v>
      </c>
      <c r="O40" s="14">
        <v>0</v>
      </c>
      <c r="P40" s="16">
        <v>0</v>
      </c>
      <c r="Q40" s="14">
        <v>0</v>
      </c>
      <c r="R40" s="16">
        <v>0</v>
      </c>
    </row>
    <row r="41" spans="1:18" x14ac:dyDescent="0.25">
      <c r="A41" s="11" t="s">
        <v>174</v>
      </c>
      <c r="B41" s="13">
        <v>5712</v>
      </c>
      <c r="C41" s="14">
        <f>(4763/B41*100)</f>
        <v>83.385854341736703</v>
      </c>
      <c r="D41" s="15">
        <v>949</v>
      </c>
      <c r="E41" s="14">
        <v>50.890404840000002</v>
      </c>
      <c r="F41" s="16">
        <v>1.7990884700000001</v>
      </c>
      <c r="G41" s="14">
        <v>49.109595159999998</v>
      </c>
      <c r="H41" s="16">
        <v>1.7990884700000001</v>
      </c>
      <c r="I41" s="14" t="s">
        <v>139</v>
      </c>
      <c r="J41" s="16" t="s">
        <v>139</v>
      </c>
      <c r="K41" s="14">
        <v>0</v>
      </c>
      <c r="L41" s="16">
        <v>0</v>
      </c>
      <c r="M41" s="14">
        <v>0</v>
      </c>
      <c r="N41" s="16">
        <v>0</v>
      </c>
      <c r="O41" s="14">
        <v>0</v>
      </c>
      <c r="P41" s="16">
        <v>0</v>
      </c>
      <c r="Q41" s="14">
        <v>0</v>
      </c>
      <c r="R41" s="16">
        <v>0</v>
      </c>
    </row>
    <row r="42" spans="1:18" x14ac:dyDescent="0.25">
      <c r="A42" s="11" t="s">
        <v>175</v>
      </c>
      <c r="B42" s="13">
        <f>IF(COUNT(B7:B41) &gt; 0, AVERAGE(B7:B41), "\u2014")</f>
        <v>7266.90625</v>
      </c>
      <c r="C42" s="14">
        <f>IF(COUNT(C7:C41) &gt; 0, AVERAGE(C7:C41), "—")</f>
        <v>83.243101146252428</v>
      </c>
      <c r="D42" s="15">
        <f>IF(COUNT(D7:D41) &gt; 0, AVERAGE(D7:D41), "—")</f>
        <v>1218.28125</v>
      </c>
      <c r="E42" s="14">
        <f>IF(COUNT(E7:E41) &gt; 0, AVERAGE(E7:E41), "—")</f>
        <v>68.322044248749989</v>
      </c>
      <c r="F42" s="16">
        <f>IF(COUNT(F7:F41) &gt; 0, SQRT(SUMSQ(F7:F41)/(COUNT(F7:F41)*COUNT(F7:F41)) ), "—")</f>
        <v>0.26682785632828099</v>
      </c>
      <c r="G42" s="14">
        <f>IF(COUNT(G7:G41) &gt; 0, AVERAGE(G7:G41), "—")</f>
        <v>31.67795575125</v>
      </c>
      <c r="H42" s="16">
        <f>IF(COUNT(H7:H41) &gt; 0, SQRT(SUMSQ(H7:H41)/(COUNT(H7:H41)*COUNT(H7:H41)) ), "—")</f>
        <v>0.26682785632828099</v>
      </c>
      <c r="I42" s="14" t="str">
        <f>IF(COUNT(I7:I41) &gt; 0, AVERAGE(I7:I41), "—")</f>
        <v>—</v>
      </c>
      <c r="J42" s="16" t="str">
        <f>IF(COUNT(J7:J41) &gt; 0, SQRT(SUMSQ(J7:J41)/(COUNT(J7:J41)*COUNT(J7:J41)) ), "—")</f>
        <v>—</v>
      </c>
      <c r="K42" s="14">
        <f>IF(COUNT(K7:K41) &gt; 0, AVERAGE(K7:K41), "—")</f>
        <v>0</v>
      </c>
      <c r="L42" s="16">
        <f>IF(COUNT(L7:L41) &gt; 0, SQRT(SUMSQ(L7:L41)/(COUNT(L7:L41)*COUNT(L7:L41)) ), "—")</f>
        <v>0</v>
      </c>
      <c r="M42" s="14">
        <f>IF(COUNT(M7:M41) &gt; 0, AVERAGE(M7:M41), "—")</f>
        <v>0</v>
      </c>
      <c r="N42" s="16">
        <f>IF(COUNT(N7:N41) &gt; 0, SQRT(SUMSQ(N7:N41)/(COUNT(N7:N41)*COUNT(N7:N41)) ), "—")</f>
        <v>0</v>
      </c>
      <c r="O42" s="14">
        <f>IF(COUNT(O7:O41) &gt; 0, AVERAGE(O7:O41), "—")</f>
        <v>0</v>
      </c>
      <c r="P42" s="16">
        <f>IF(COUNT(P7:P41) &gt; 0, SQRT(SUMSQ(P7:P41)/(COUNT(P7:P41)*COUNT(P7:P41)) ), "—")</f>
        <v>0</v>
      </c>
      <c r="Q42" s="14">
        <f>IF(COUNT(Q7:Q41) &gt; 0, AVERAGE(Q7:Q41), "—")</f>
        <v>0</v>
      </c>
      <c r="R42" s="16">
        <f>IF(COUNT(R7:R41) &gt; 0, SQRT(SUMSQ(R7:R41)/(COUNT(R7:R41)*COUNT(R7:R41)) ), "—")</f>
        <v>0</v>
      </c>
    </row>
    <row r="43" spans="1:18" x14ac:dyDescent="0.25">
      <c r="A43" s="9" t="s">
        <v>176</v>
      </c>
      <c r="B43" s="10"/>
      <c r="C43" s="10"/>
      <c r="D43" s="11"/>
      <c r="E43" s="10"/>
      <c r="F43" s="11"/>
      <c r="G43" s="10"/>
      <c r="H43" s="11"/>
      <c r="I43" s="10"/>
      <c r="J43" s="11"/>
      <c r="K43" s="10"/>
      <c r="L43" s="11"/>
      <c r="M43" s="10"/>
      <c r="N43" s="11"/>
      <c r="O43" s="10"/>
      <c r="P43" s="11"/>
      <c r="Q43" s="10"/>
      <c r="R43" s="12"/>
    </row>
    <row r="44" spans="1:18" x14ac:dyDescent="0.25">
      <c r="A44" s="11" t="s">
        <v>177</v>
      </c>
      <c r="B44" s="17" t="s">
        <v>154</v>
      </c>
      <c r="C44" s="17" t="s">
        <v>154</v>
      </c>
      <c r="D44" s="18" t="s">
        <v>154</v>
      </c>
      <c r="E44" s="17" t="s">
        <v>154</v>
      </c>
      <c r="F44" s="18" t="s">
        <v>154</v>
      </c>
      <c r="G44" s="17" t="s">
        <v>154</v>
      </c>
      <c r="H44" s="18" t="s">
        <v>154</v>
      </c>
      <c r="I44" s="17" t="s">
        <v>154</v>
      </c>
      <c r="J44" s="18" t="s">
        <v>154</v>
      </c>
      <c r="K44" s="17" t="s">
        <v>154</v>
      </c>
      <c r="L44" s="18" t="s">
        <v>154</v>
      </c>
      <c r="M44" s="17" t="s">
        <v>154</v>
      </c>
      <c r="N44" s="18" t="s">
        <v>154</v>
      </c>
      <c r="O44" s="17" t="s">
        <v>154</v>
      </c>
      <c r="P44" s="18" t="s">
        <v>154</v>
      </c>
      <c r="Q44" s="17" t="s">
        <v>154</v>
      </c>
      <c r="R44" s="18" t="s">
        <v>154</v>
      </c>
    </row>
    <row r="45" spans="1:18" x14ac:dyDescent="0.25">
      <c r="A45" s="11" t="s">
        <v>178</v>
      </c>
      <c r="B45" s="17" t="s">
        <v>154</v>
      </c>
      <c r="C45" s="17" t="s">
        <v>154</v>
      </c>
      <c r="D45" s="18" t="s">
        <v>154</v>
      </c>
      <c r="E45" s="17" t="s">
        <v>154</v>
      </c>
      <c r="F45" s="18" t="s">
        <v>154</v>
      </c>
      <c r="G45" s="17" t="s">
        <v>154</v>
      </c>
      <c r="H45" s="18" t="s">
        <v>154</v>
      </c>
      <c r="I45" s="17" t="s">
        <v>154</v>
      </c>
      <c r="J45" s="18" t="s">
        <v>154</v>
      </c>
      <c r="K45" s="17" t="s">
        <v>154</v>
      </c>
      <c r="L45" s="18" t="s">
        <v>154</v>
      </c>
      <c r="M45" s="17" t="s">
        <v>154</v>
      </c>
      <c r="N45" s="18" t="s">
        <v>154</v>
      </c>
      <c r="O45" s="17" t="s">
        <v>154</v>
      </c>
      <c r="P45" s="18" t="s">
        <v>154</v>
      </c>
      <c r="Q45" s="17" t="s">
        <v>154</v>
      </c>
      <c r="R45" s="18" t="s">
        <v>154</v>
      </c>
    </row>
    <row r="46" spans="1:18" x14ac:dyDescent="0.25">
      <c r="A46" s="11" t="s">
        <v>179</v>
      </c>
      <c r="B46" s="13">
        <v>23141</v>
      </c>
      <c r="C46" s="14">
        <f>(20079/B46*100)</f>
        <v>86.768073981245408</v>
      </c>
      <c r="D46" s="15">
        <v>3062</v>
      </c>
      <c r="E46" s="14">
        <v>80.201801529999997</v>
      </c>
      <c r="F46" s="16">
        <v>0.96770261000000002</v>
      </c>
      <c r="G46" s="14">
        <v>19.798198469999999</v>
      </c>
      <c r="H46" s="16">
        <v>0.96770261000000002</v>
      </c>
      <c r="I46" s="14" t="s">
        <v>139</v>
      </c>
      <c r="J46" s="16" t="s">
        <v>139</v>
      </c>
      <c r="K46" s="14">
        <v>0</v>
      </c>
      <c r="L46" s="16">
        <v>0</v>
      </c>
      <c r="M46" s="14">
        <v>0</v>
      </c>
      <c r="N46" s="16">
        <v>0</v>
      </c>
      <c r="O46" s="14">
        <v>0</v>
      </c>
      <c r="P46" s="16">
        <v>0</v>
      </c>
      <c r="Q46" s="14">
        <v>0</v>
      </c>
      <c r="R46" s="16">
        <v>0</v>
      </c>
    </row>
    <row r="47" spans="1:18" x14ac:dyDescent="0.25">
      <c r="A47" s="11" t="s">
        <v>180</v>
      </c>
      <c r="B47" s="13">
        <v>5928</v>
      </c>
      <c r="C47" s="14">
        <f>(4949/B47*100)</f>
        <v>83.485155195681514</v>
      </c>
      <c r="D47" s="15">
        <v>979</v>
      </c>
      <c r="E47" s="14">
        <v>76.692242219999997</v>
      </c>
      <c r="F47" s="16">
        <v>1.3500983099999999</v>
      </c>
      <c r="G47" s="14">
        <v>23.307757779999999</v>
      </c>
      <c r="H47" s="16">
        <v>1.3500983099999999</v>
      </c>
      <c r="I47" s="14" t="s">
        <v>139</v>
      </c>
      <c r="J47" s="16" t="s">
        <v>139</v>
      </c>
      <c r="K47" s="14">
        <v>0</v>
      </c>
      <c r="L47" s="16">
        <v>0</v>
      </c>
      <c r="M47" s="14">
        <v>0</v>
      </c>
      <c r="N47" s="16">
        <v>0</v>
      </c>
      <c r="O47" s="14">
        <v>0</v>
      </c>
      <c r="P47" s="16">
        <v>0</v>
      </c>
      <c r="Q47" s="14">
        <v>0</v>
      </c>
      <c r="R47" s="16">
        <v>0</v>
      </c>
    </row>
    <row r="48" spans="1:18" x14ac:dyDescent="0.25">
      <c r="A48" s="11" t="s">
        <v>181</v>
      </c>
      <c r="B48" s="13">
        <v>9841</v>
      </c>
      <c r="C48" s="14">
        <f>(8141/B48*100)</f>
        <v>82.725332791382982</v>
      </c>
      <c r="D48" s="15">
        <v>1700</v>
      </c>
      <c r="E48" s="14">
        <v>59.412972619999998</v>
      </c>
      <c r="F48" s="16">
        <v>1.79947313</v>
      </c>
      <c r="G48" s="14">
        <v>40.587027380000002</v>
      </c>
      <c r="H48" s="16">
        <v>1.79947313</v>
      </c>
      <c r="I48" s="14" t="s">
        <v>139</v>
      </c>
      <c r="J48" s="16" t="s">
        <v>139</v>
      </c>
      <c r="K48" s="14">
        <v>0</v>
      </c>
      <c r="L48" s="16">
        <v>0</v>
      </c>
      <c r="M48" s="14">
        <v>0</v>
      </c>
      <c r="N48" s="16">
        <v>0</v>
      </c>
      <c r="O48" s="14">
        <v>0</v>
      </c>
      <c r="P48" s="16">
        <v>0</v>
      </c>
      <c r="Q48" s="14">
        <v>0</v>
      </c>
      <c r="R48" s="16">
        <v>0</v>
      </c>
    </row>
    <row r="49" spans="1:18" x14ac:dyDescent="0.25">
      <c r="A49" s="11" t="s">
        <v>182</v>
      </c>
      <c r="B49" s="17" t="s">
        <v>154</v>
      </c>
      <c r="C49" s="17" t="s">
        <v>154</v>
      </c>
      <c r="D49" s="18" t="s">
        <v>154</v>
      </c>
      <c r="E49" s="17" t="s">
        <v>154</v>
      </c>
      <c r="F49" s="18" t="s">
        <v>154</v>
      </c>
      <c r="G49" s="17" t="s">
        <v>154</v>
      </c>
      <c r="H49" s="18" t="s">
        <v>154</v>
      </c>
      <c r="I49" s="17" t="s">
        <v>154</v>
      </c>
      <c r="J49" s="18" t="s">
        <v>154</v>
      </c>
      <c r="K49" s="17" t="s">
        <v>154</v>
      </c>
      <c r="L49" s="18" t="s">
        <v>154</v>
      </c>
      <c r="M49" s="17" t="s">
        <v>154</v>
      </c>
      <c r="N49" s="18" t="s">
        <v>154</v>
      </c>
      <c r="O49" s="17" t="s">
        <v>154</v>
      </c>
      <c r="P49" s="18" t="s">
        <v>154</v>
      </c>
      <c r="Q49" s="17" t="s">
        <v>154</v>
      </c>
      <c r="R49" s="18" t="s">
        <v>154</v>
      </c>
    </row>
    <row r="50" spans="1:18" x14ac:dyDescent="0.25">
      <c r="A50" s="11" t="s">
        <v>183</v>
      </c>
      <c r="B50" s="13">
        <v>11795</v>
      </c>
      <c r="C50" s="14">
        <f>(9899/B50*100)</f>
        <v>83.925392115303097</v>
      </c>
      <c r="D50" s="15">
        <v>1896</v>
      </c>
      <c r="E50" s="14">
        <v>80.47744265</v>
      </c>
      <c r="F50" s="16">
        <v>1.1336527199999999</v>
      </c>
      <c r="G50" s="14">
        <v>19.52255735</v>
      </c>
      <c r="H50" s="16">
        <v>1.1336527199999999</v>
      </c>
      <c r="I50" s="14" t="s">
        <v>139</v>
      </c>
      <c r="J50" s="16" t="s">
        <v>139</v>
      </c>
      <c r="K50" s="14">
        <v>0</v>
      </c>
      <c r="L50" s="16">
        <v>0</v>
      </c>
      <c r="M50" s="14">
        <v>0</v>
      </c>
      <c r="N50" s="16">
        <v>0</v>
      </c>
      <c r="O50" s="14">
        <v>0</v>
      </c>
      <c r="P50" s="16">
        <v>0</v>
      </c>
      <c r="Q50" s="14">
        <v>0</v>
      </c>
      <c r="R50" s="16">
        <v>0</v>
      </c>
    </row>
    <row r="51" spans="1:18" x14ac:dyDescent="0.25">
      <c r="A51" s="11" t="s">
        <v>184</v>
      </c>
      <c r="B51" s="13">
        <v>6866</v>
      </c>
      <c r="C51" s="14">
        <f>(5872/B51*100)</f>
        <v>85.522866297698812</v>
      </c>
      <c r="D51" s="15">
        <v>994</v>
      </c>
      <c r="E51" s="14">
        <v>83.617207039999997</v>
      </c>
      <c r="F51" s="16">
        <v>1.37836026</v>
      </c>
      <c r="G51" s="14">
        <v>16.38279296</v>
      </c>
      <c r="H51" s="16">
        <v>1.37836026</v>
      </c>
      <c r="I51" s="14" t="s">
        <v>139</v>
      </c>
      <c r="J51" s="16" t="s">
        <v>139</v>
      </c>
      <c r="K51" s="14">
        <v>0</v>
      </c>
      <c r="L51" s="16">
        <v>0</v>
      </c>
      <c r="M51" s="14">
        <v>0</v>
      </c>
      <c r="N51" s="16">
        <v>0</v>
      </c>
      <c r="O51" s="14">
        <v>0</v>
      </c>
      <c r="P51" s="16">
        <v>0</v>
      </c>
      <c r="Q51" s="14">
        <v>0</v>
      </c>
      <c r="R51" s="16">
        <v>0</v>
      </c>
    </row>
    <row r="52" spans="1:18" x14ac:dyDescent="0.25">
      <c r="A52" s="11" t="s">
        <v>185</v>
      </c>
      <c r="B52" s="13">
        <v>5809</v>
      </c>
      <c r="C52" s="14">
        <f>(4826/B52*100)</f>
        <v>83.077982441039765</v>
      </c>
      <c r="D52" s="15">
        <v>983</v>
      </c>
      <c r="E52" s="14">
        <v>78.504681509999998</v>
      </c>
      <c r="F52" s="16">
        <v>1.6355536399999999</v>
      </c>
      <c r="G52" s="14">
        <v>21.495318489999999</v>
      </c>
      <c r="H52" s="16">
        <v>1.6355536399999999</v>
      </c>
      <c r="I52" s="14" t="s">
        <v>139</v>
      </c>
      <c r="J52" s="16" t="s">
        <v>139</v>
      </c>
      <c r="K52" s="14">
        <v>0</v>
      </c>
      <c r="L52" s="16">
        <v>0</v>
      </c>
      <c r="M52" s="14">
        <v>0</v>
      </c>
      <c r="N52" s="16">
        <v>0</v>
      </c>
      <c r="O52" s="14">
        <v>0</v>
      </c>
      <c r="P52" s="16">
        <v>0</v>
      </c>
      <c r="Q52" s="14">
        <v>0</v>
      </c>
      <c r="R52" s="16">
        <v>0</v>
      </c>
    </row>
    <row r="53" spans="1:18" x14ac:dyDescent="0.25">
      <c r="A53" s="11" t="s">
        <v>186</v>
      </c>
      <c r="B53" s="13">
        <v>5571</v>
      </c>
      <c r="C53" s="14">
        <f>(4611/B53*100)</f>
        <v>82.767905223478735</v>
      </c>
      <c r="D53" s="15">
        <v>960</v>
      </c>
      <c r="E53" s="14">
        <v>71.848893020000006</v>
      </c>
      <c r="F53" s="16">
        <v>1.3010463800000001</v>
      </c>
      <c r="G53" s="14">
        <v>28.151106980000002</v>
      </c>
      <c r="H53" s="16">
        <v>1.3010463800000001</v>
      </c>
      <c r="I53" s="14" t="s">
        <v>139</v>
      </c>
      <c r="J53" s="16" t="s">
        <v>139</v>
      </c>
      <c r="K53" s="14">
        <v>0</v>
      </c>
      <c r="L53" s="16">
        <v>0</v>
      </c>
      <c r="M53" s="14">
        <v>0</v>
      </c>
      <c r="N53" s="16">
        <v>0</v>
      </c>
      <c r="O53" s="14">
        <v>0</v>
      </c>
      <c r="P53" s="16">
        <v>0</v>
      </c>
      <c r="Q53" s="14">
        <v>0</v>
      </c>
      <c r="R53" s="16">
        <v>0</v>
      </c>
    </row>
    <row r="54" spans="1:18" x14ac:dyDescent="0.25">
      <c r="A54" s="11" t="s">
        <v>187</v>
      </c>
      <c r="B54" s="17" t="s">
        <v>154</v>
      </c>
      <c r="C54" s="17" t="s">
        <v>154</v>
      </c>
      <c r="D54" s="18" t="s">
        <v>154</v>
      </c>
      <c r="E54" s="17" t="s">
        <v>154</v>
      </c>
      <c r="F54" s="18" t="s">
        <v>154</v>
      </c>
      <c r="G54" s="17" t="s">
        <v>154</v>
      </c>
      <c r="H54" s="18" t="s">
        <v>154</v>
      </c>
      <c r="I54" s="17" t="s">
        <v>154</v>
      </c>
      <c r="J54" s="18" t="s">
        <v>154</v>
      </c>
      <c r="K54" s="17" t="s">
        <v>154</v>
      </c>
      <c r="L54" s="18" t="s">
        <v>154</v>
      </c>
      <c r="M54" s="17" t="s">
        <v>154</v>
      </c>
      <c r="N54" s="18" t="s">
        <v>154</v>
      </c>
      <c r="O54" s="17" t="s">
        <v>154</v>
      </c>
      <c r="P54" s="18" t="s">
        <v>154</v>
      </c>
      <c r="Q54" s="17" t="s">
        <v>154</v>
      </c>
      <c r="R54" s="18" t="s">
        <v>154</v>
      </c>
    </row>
    <row r="55" spans="1:18" x14ac:dyDescent="0.25">
      <c r="A55" s="11" t="s">
        <v>188</v>
      </c>
      <c r="B55" s="17" t="s">
        <v>154</v>
      </c>
      <c r="C55" s="17" t="s">
        <v>154</v>
      </c>
      <c r="D55" s="18" t="s">
        <v>154</v>
      </c>
      <c r="E55" s="17" t="s">
        <v>154</v>
      </c>
      <c r="F55" s="18" t="s">
        <v>154</v>
      </c>
      <c r="G55" s="17" t="s">
        <v>154</v>
      </c>
      <c r="H55" s="18" t="s">
        <v>154</v>
      </c>
      <c r="I55" s="17" t="s">
        <v>154</v>
      </c>
      <c r="J55" s="18" t="s">
        <v>154</v>
      </c>
      <c r="K55" s="17" t="s">
        <v>154</v>
      </c>
      <c r="L55" s="18" t="s">
        <v>154</v>
      </c>
      <c r="M55" s="17" t="s">
        <v>154</v>
      </c>
      <c r="N55" s="18" t="s">
        <v>154</v>
      </c>
      <c r="O55" s="17" t="s">
        <v>154</v>
      </c>
      <c r="P55" s="18" t="s">
        <v>154</v>
      </c>
      <c r="Q55" s="17" t="s">
        <v>154</v>
      </c>
      <c r="R55" s="18" t="s">
        <v>154</v>
      </c>
    </row>
    <row r="56" spans="1:18" x14ac:dyDescent="0.25">
      <c r="A56" s="11" t="s">
        <v>189</v>
      </c>
      <c r="B56" s="13">
        <v>5359</v>
      </c>
      <c r="C56" s="14">
        <f>(4422/B56*100)</f>
        <v>82.515394663183429</v>
      </c>
      <c r="D56" s="15">
        <v>937</v>
      </c>
      <c r="E56" s="14">
        <v>51.406416020000002</v>
      </c>
      <c r="F56" s="16">
        <v>1.5531389099999999</v>
      </c>
      <c r="G56" s="14">
        <v>48.593583979999998</v>
      </c>
      <c r="H56" s="16">
        <v>1.5531389099999999</v>
      </c>
      <c r="I56" s="14" t="s">
        <v>139</v>
      </c>
      <c r="J56" s="16" t="s">
        <v>139</v>
      </c>
      <c r="K56" s="14">
        <v>0</v>
      </c>
      <c r="L56" s="16">
        <v>0</v>
      </c>
      <c r="M56" s="14">
        <v>0</v>
      </c>
      <c r="N56" s="16">
        <v>0</v>
      </c>
      <c r="O56" s="14">
        <v>0</v>
      </c>
      <c r="P56" s="16">
        <v>0</v>
      </c>
      <c r="Q56" s="14">
        <v>0</v>
      </c>
      <c r="R56" s="16">
        <v>0</v>
      </c>
    </row>
    <row r="57" spans="1:18" x14ac:dyDescent="0.25">
      <c r="A57" s="11" t="s">
        <v>190</v>
      </c>
      <c r="B57" s="17" t="s">
        <v>154</v>
      </c>
      <c r="C57" s="17" t="s">
        <v>154</v>
      </c>
      <c r="D57" s="18" t="s">
        <v>154</v>
      </c>
      <c r="E57" s="17" t="s">
        <v>154</v>
      </c>
      <c r="F57" s="18" t="s">
        <v>154</v>
      </c>
      <c r="G57" s="17" t="s">
        <v>154</v>
      </c>
      <c r="H57" s="18" t="s">
        <v>154</v>
      </c>
      <c r="I57" s="17" t="s">
        <v>154</v>
      </c>
      <c r="J57" s="18" t="s">
        <v>154</v>
      </c>
      <c r="K57" s="17" t="s">
        <v>154</v>
      </c>
      <c r="L57" s="18" t="s">
        <v>154</v>
      </c>
      <c r="M57" s="17" t="s">
        <v>154</v>
      </c>
      <c r="N57" s="18" t="s">
        <v>154</v>
      </c>
      <c r="O57" s="17" t="s">
        <v>154</v>
      </c>
      <c r="P57" s="18" t="s">
        <v>154</v>
      </c>
      <c r="Q57" s="17" t="s">
        <v>154</v>
      </c>
      <c r="R57" s="18" t="s">
        <v>154</v>
      </c>
    </row>
    <row r="58" spans="1:18" x14ac:dyDescent="0.25">
      <c r="A58" s="11" t="s">
        <v>191</v>
      </c>
      <c r="B58" s="17" t="s">
        <v>154</v>
      </c>
      <c r="C58" s="17" t="s">
        <v>154</v>
      </c>
      <c r="D58" s="18" t="s">
        <v>154</v>
      </c>
      <c r="E58" s="17" t="s">
        <v>154</v>
      </c>
      <c r="F58" s="18" t="s">
        <v>154</v>
      </c>
      <c r="G58" s="17" t="s">
        <v>154</v>
      </c>
      <c r="H58" s="18" t="s">
        <v>154</v>
      </c>
      <c r="I58" s="17" t="s">
        <v>154</v>
      </c>
      <c r="J58" s="18" t="s">
        <v>154</v>
      </c>
      <c r="K58" s="17" t="s">
        <v>154</v>
      </c>
      <c r="L58" s="18" t="s">
        <v>154</v>
      </c>
      <c r="M58" s="17" t="s">
        <v>154</v>
      </c>
      <c r="N58" s="18" t="s">
        <v>154</v>
      </c>
      <c r="O58" s="17" t="s">
        <v>154</v>
      </c>
      <c r="P58" s="18" t="s">
        <v>154</v>
      </c>
      <c r="Q58" s="17" t="s">
        <v>154</v>
      </c>
      <c r="R58" s="18" t="s">
        <v>154</v>
      </c>
    </row>
    <row r="59" spans="1:18" x14ac:dyDescent="0.25">
      <c r="A59" s="11" t="s">
        <v>192</v>
      </c>
      <c r="B59" s="17" t="s">
        <v>154</v>
      </c>
      <c r="C59" s="17" t="s">
        <v>154</v>
      </c>
      <c r="D59" s="18" t="s">
        <v>154</v>
      </c>
      <c r="E59" s="17" t="s">
        <v>154</v>
      </c>
      <c r="F59" s="18" t="s">
        <v>154</v>
      </c>
      <c r="G59" s="17" t="s">
        <v>154</v>
      </c>
      <c r="H59" s="18" t="s">
        <v>154</v>
      </c>
      <c r="I59" s="17" t="s">
        <v>154</v>
      </c>
      <c r="J59" s="18" t="s">
        <v>154</v>
      </c>
      <c r="K59" s="17" t="s">
        <v>154</v>
      </c>
      <c r="L59" s="18" t="s">
        <v>154</v>
      </c>
      <c r="M59" s="17" t="s">
        <v>154</v>
      </c>
      <c r="N59" s="18" t="s">
        <v>154</v>
      </c>
      <c r="O59" s="17" t="s">
        <v>154</v>
      </c>
      <c r="P59" s="18" t="s">
        <v>154</v>
      </c>
      <c r="Q59" s="17" t="s">
        <v>154</v>
      </c>
      <c r="R59" s="18" t="s">
        <v>154</v>
      </c>
    </row>
    <row r="60" spans="1:18" x14ac:dyDescent="0.25">
      <c r="A60" s="11" t="s">
        <v>193</v>
      </c>
      <c r="B60" s="17" t="s">
        <v>154</v>
      </c>
      <c r="C60" s="17" t="s">
        <v>154</v>
      </c>
      <c r="D60" s="18" t="s">
        <v>154</v>
      </c>
      <c r="E60" s="17" t="s">
        <v>154</v>
      </c>
      <c r="F60" s="18" t="s">
        <v>154</v>
      </c>
      <c r="G60" s="17" t="s">
        <v>154</v>
      </c>
      <c r="H60" s="18" t="s">
        <v>154</v>
      </c>
      <c r="I60" s="17" t="s">
        <v>154</v>
      </c>
      <c r="J60" s="18" t="s">
        <v>154</v>
      </c>
      <c r="K60" s="17" t="s">
        <v>154</v>
      </c>
      <c r="L60" s="18" t="s">
        <v>154</v>
      </c>
      <c r="M60" s="17" t="s">
        <v>154</v>
      </c>
      <c r="N60" s="18" t="s">
        <v>154</v>
      </c>
      <c r="O60" s="17" t="s">
        <v>154</v>
      </c>
      <c r="P60" s="18" t="s">
        <v>154</v>
      </c>
      <c r="Q60" s="17" t="s">
        <v>154</v>
      </c>
      <c r="R60" s="18" t="s">
        <v>154</v>
      </c>
    </row>
    <row r="61" spans="1:18" x14ac:dyDescent="0.25">
      <c r="A61" s="11" t="s">
        <v>194</v>
      </c>
      <c r="B61" s="13">
        <v>6525</v>
      </c>
      <c r="C61" s="14">
        <f>(5422/B61*100)</f>
        <v>83.095785440613028</v>
      </c>
      <c r="D61" s="15">
        <v>1103</v>
      </c>
      <c r="E61" s="14">
        <v>77.872189039999995</v>
      </c>
      <c r="F61" s="16">
        <v>1.29259671</v>
      </c>
      <c r="G61" s="14">
        <v>22.127810960000001</v>
      </c>
      <c r="H61" s="16">
        <v>1.29259671</v>
      </c>
      <c r="I61" s="14" t="s">
        <v>139</v>
      </c>
      <c r="J61" s="16" t="s">
        <v>139</v>
      </c>
      <c r="K61" s="14">
        <v>0</v>
      </c>
      <c r="L61" s="16">
        <v>0</v>
      </c>
      <c r="M61" s="14">
        <v>0</v>
      </c>
      <c r="N61" s="16">
        <v>0</v>
      </c>
      <c r="O61" s="14">
        <v>0</v>
      </c>
      <c r="P61" s="16">
        <v>0</v>
      </c>
      <c r="Q61" s="14">
        <v>0</v>
      </c>
      <c r="R61" s="16">
        <v>0</v>
      </c>
    </row>
    <row r="62" spans="1:18" x14ac:dyDescent="0.25">
      <c r="A62" s="11" t="s">
        <v>195</v>
      </c>
      <c r="B62" s="13">
        <v>4476</v>
      </c>
      <c r="C62" s="14">
        <f>(3726/B62*100)</f>
        <v>83.243967828418235</v>
      </c>
      <c r="D62" s="15">
        <v>750</v>
      </c>
      <c r="E62" s="14">
        <v>42.294337480000003</v>
      </c>
      <c r="F62" s="16">
        <v>1.8394628399999999</v>
      </c>
      <c r="G62" s="14">
        <v>57.705662519999997</v>
      </c>
      <c r="H62" s="16">
        <v>1.8394628399999999</v>
      </c>
      <c r="I62" s="14" t="s">
        <v>139</v>
      </c>
      <c r="J62" s="16" t="s">
        <v>139</v>
      </c>
      <c r="K62" s="14">
        <v>0</v>
      </c>
      <c r="L62" s="16">
        <v>0</v>
      </c>
      <c r="M62" s="14">
        <v>0</v>
      </c>
      <c r="N62" s="16">
        <v>0</v>
      </c>
      <c r="O62" s="14">
        <v>0</v>
      </c>
      <c r="P62" s="16">
        <v>0</v>
      </c>
      <c r="Q62" s="14">
        <v>0</v>
      </c>
      <c r="R62" s="16">
        <v>0</v>
      </c>
    </row>
    <row r="63" spans="1:18" x14ac:dyDescent="0.25">
      <c r="A63" s="11" t="s">
        <v>196</v>
      </c>
      <c r="B63" s="17" t="s">
        <v>154</v>
      </c>
      <c r="C63" s="17" t="s">
        <v>154</v>
      </c>
      <c r="D63" s="18" t="s">
        <v>154</v>
      </c>
      <c r="E63" s="17" t="s">
        <v>154</v>
      </c>
      <c r="F63" s="18" t="s">
        <v>154</v>
      </c>
      <c r="G63" s="17" t="s">
        <v>154</v>
      </c>
      <c r="H63" s="18" t="s">
        <v>154</v>
      </c>
      <c r="I63" s="17" t="s">
        <v>154</v>
      </c>
      <c r="J63" s="18" t="s">
        <v>154</v>
      </c>
      <c r="K63" s="17" t="s">
        <v>154</v>
      </c>
      <c r="L63" s="18" t="s">
        <v>154</v>
      </c>
      <c r="M63" s="17" t="s">
        <v>154</v>
      </c>
      <c r="N63" s="18" t="s">
        <v>154</v>
      </c>
      <c r="O63" s="17" t="s">
        <v>154</v>
      </c>
      <c r="P63" s="18" t="s">
        <v>154</v>
      </c>
      <c r="Q63" s="17" t="s">
        <v>154</v>
      </c>
      <c r="R63" s="18" t="s">
        <v>154</v>
      </c>
    </row>
    <row r="64" spans="1:18" x14ac:dyDescent="0.25">
      <c r="A64" s="11" t="s">
        <v>197</v>
      </c>
      <c r="B64" s="17" t="s">
        <v>154</v>
      </c>
      <c r="C64" s="17" t="s">
        <v>154</v>
      </c>
      <c r="D64" s="18" t="s">
        <v>154</v>
      </c>
      <c r="E64" s="17" t="s">
        <v>154</v>
      </c>
      <c r="F64" s="18" t="s">
        <v>154</v>
      </c>
      <c r="G64" s="17" t="s">
        <v>154</v>
      </c>
      <c r="H64" s="18" t="s">
        <v>154</v>
      </c>
      <c r="I64" s="17" t="s">
        <v>154</v>
      </c>
      <c r="J64" s="18" t="s">
        <v>154</v>
      </c>
      <c r="K64" s="17" t="s">
        <v>154</v>
      </c>
      <c r="L64" s="18" t="s">
        <v>154</v>
      </c>
      <c r="M64" s="17" t="s">
        <v>154</v>
      </c>
      <c r="N64" s="18" t="s">
        <v>154</v>
      </c>
      <c r="O64" s="17" t="s">
        <v>154</v>
      </c>
      <c r="P64" s="18" t="s">
        <v>154</v>
      </c>
      <c r="Q64" s="17" t="s">
        <v>154</v>
      </c>
      <c r="R64" s="18" t="s">
        <v>154</v>
      </c>
    </row>
    <row r="65" spans="1:18" x14ac:dyDescent="0.25">
      <c r="A65" s="11" t="s">
        <v>198</v>
      </c>
      <c r="B65" s="17" t="s">
        <v>154</v>
      </c>
      <c r="C65" s="17" t="s">
        <v>154</v>
      </c>
      <c r="D65" s="18" t="s">
        <v>154</v>
      </c>
      <c r="E65" s="17" t="s">
        <v>154</v>
      </c>
      <c r="F65" s="18" t="s">
        <v>154</v>
      </c>
      <c r="G65" s="17" t="s">
        <v>154</v>
      </c>
      <c r="H65" s="18" t="s">
        <v>154</v>
      </c>
      <c r="I65" s="17" t="s">
        <v>154</v>
      </c>
      <c r="J65" s="18" t="s">
        <v>154</v>
      </c>
      <c r="K65" s="17" t="s">
        <v>154</v>
      </c>
      <c r="L65" s="18" t="s">
        <v>154</v>
      </c>
      <c r="M65" s="17" t="s">
        <v>154</v>
      </c>
      <c r="N65" s="18" t="s">
        <v>154</v>
      </c>
      <c r="O65" s="17" t="s">
        <v>154</v>
      </c>
      <c r="P65" s="18" t="s">
        <v>154</v>
      </c>
      <c r="Q65" s="17" t="s">
        <v>154</v>
      </c>
      <c r="R65" s="18" t="s">
        <v>154</v>
      </c>
    </row>
    <row r="66" spans="1:18" x14ac:dyDescent="0.25">
      <c r="A66" s="11" t="s">
        <v>199</v>
      </c>
      <c r="B66" s="13">
        <v>5665</v>
      </c>
      <c r="C66" s="14">
        <f>(4731/B66*100)</f>
        <v>83.512797881729909</v>
      </c>
      <c r="D66" s="15">
        <v>934</v>
      </c>
      <c r="E66" s="14">
        <v>81.713665469999995</v>
      </c>
      <c r="F66" s="16">
        <v>1.13388709</v>
      </c>
      <c r="G66" s="14">
        <v>18.286334530000001</v>
      </c>
      <c r="H66" s="16">
        <v>1.13388709</v>
      </c>
      <c r="I66" s="14" t="s">
        <v>139</v>
      </c>
      <c r="J66" s="16" t="s">
        <v>139</v>
      </c>
      <c r="K66" s="14">
        <v>0</v>
      </c>
      <c r="L66" s="16">
        <v>0</v>
      </c>
      <c r="M66" s="14">
        <v>0</v>
      </c>
      <c r="N66" s="16">
        <v>0</v>
      </c>
      <c r="O66" s="14">
        <v>0</v>
      </c>
      <c r="P66" s="16">
        <v>0</v>
      </c>
      <c r="Q66" s="14">
        <v>0</v>
      </c>
      <c r="R66" s="16">
        <v>0</v>
      </c>
    </row>
    <row r="67" spans="1:18" x14ac:dyDescent="0.25">
      <c r="A67" s="11" t="s">
        <v>200</v>
      </c>
      <c r="B67" s="13">
        <v>6971</v>
      </c>
      <c r="C67" s="14">
        <f>(5956/B67*100)</f>
        <v>85.439678668770625</v>
      </c>
      <c r="D67" s="15">
        <v>1015</v>
      </c>
      <c r="E67" s="14">
        <v>81.671872269999994</v>
      </c>
      <c r="F67" s="16">
        <v>1.1792041900000001</v>
      </c>
      <c r="G67" s="14">
        <v>18.328127729999999</v>
      </c>
      <c r="H67" s="16">
        <v>1.1792041900000001</v>
      </c>
      <c r="I67" s="14" t="s">
        <v>139</v>
      </c>
      <c r="J67" s="16" t="s">
        <v>139</v>
      </c>
      <c r="K67" s="14">
        <v>0</v>
      </c>
      <c r="L67" s="16">
        <v>0</v>
      </c>
      <c r="M67" s="14">
        <v>0</v>
      </c>
      <c r="N67" s="16">
        <v>0</v>
      </c>
      <c r="O67" s="14">
        <v>0</v>
      </c>
      <c r="P67" s="16">
        <v>0</v>
      </c>
      <c r="Q67" s="14">
        <v>0</v>
      </c>
      <c r="R67" s="16">
        <v>0</v>
      </c>
    </row>
    <row r="68" spans="1:18" x14ac:dyDescent="0.25">
      <c r="A68" s="11" t="s">
        <v>201</v>
      </c>
      <c r="B68" s="17" t="s">
        <v>154</v>
      </c>
      <c r="C68" s="17" t="s">
        <v>154</v>
      </c>
      <c r="D68" s="18" t="s">
        <v>154</v>
      </c>
      <c r="E68" s="17" t="s">
        <v>154</v>
      </c>
      <c r="F68" s="18" t="s">
        <v>154</v>
      </c>
      <c r="G68" s="17" t="s">
        <v>154</v>
      </c>
      <c r="H68" s="18" t="s">
        <v>154</v>
      </c>
      <c r="I68" s="17" t="s">
        <v>154</v>
      </c>
      <c r="J68" s="18" t="s">
        <v>154</v>
      </c>
      <c r="K68" s="17" t="s">
        <v>154</v>
      </c>
      <c r="L68" s="18" t="s">
        <v>154</v>
      </c>
      <c r="M68" s="17" t="s">
        <v>154</v>
      </c>
      <c r="N68" s="18" t="s">
        <v>154</v>
      </c>
      <c r="O68" s="17" t="s">
        <v>154</v>
      </c>
      <c r="P68" s="18" t="s">
        <v>154</v>
      </c>
      <c r="Q68" s="17" t="s">
        <v>154</v>
      </c>
      <c r="R68" s="18" t="s">
        <v>154</v>
      </c>
    </row>
    <row r="69" spans="1:18" x14ac:dyDescent="0.25">
      <c r="A69" s="11" t="s">
        <v>202</v>
      </c>
      <c r="B69" s="17" t="s">
        <v>154</v>
      </c>
      <c r="C69" s="17" t="s">
        <v>154</v>
      </c>
      <c r="D69" s="18" t="s">
        <v>154</v>
      </c>
      <c r="E69" s="17" t="s">
        <v>154</v>
      </c>
      <c r="F69" s="18" t="s">
        <v>154</v>
      </c>
      <c r="G69" s="17" t="s">
        <v>154</v>
      </c>
      <c r="H69" s="18" t="s">
        <v>154</v>
      </c>
      <c r="I69" s="17" t="s">
        <v>154</v>
      </c>
      <c r="J69" s="18" t="s">
        <v>154</v>
      </c>
      <c r="K69" s="17" t="s">
        <v>154</v>
      </c>
      <c r="L69" s="18" t="s">
        <v>154</v>
      </c>
      <c r="M69" s="17" t="s">
        <v>154</v>
      </c>
      <c r="N69" s="18" t="s">
        <v>154</v>
      </c>
      <c r="O69" s="17" t="s">
        <v>154</v>
      </c>
      <c r="P69" s="18" t="s">
        <v>154</v>
      </c>
      <c r="Q69" s="17" t="s">
        <v>154</v>
      </c>
      <c r="R69" s="18" t="s">
        <v>154</v>
      </c>
    </row>
    <row r="70" spans="1:18" x14ac:dyDescent="0.25">
      <c r="A70" s="11" t="s">
        <v>203</v>
      </c>
      <c r="B70" s="13">
        <v>6036</v>
      </c>
      <c r="C70" s="14">
        <f>(5027/B70*100)</f>
        <v>83.283631544068911</v>
      </c>
      <c r="D70" s="15">
        <v>1009</v>
      </c>
      <c r="E70" s="14">
        <v>69.775183749999997</v>
      </c>
      <c r="F70" s="16">
        <v>1.7626366899999999</v>
      </c>
      <c r="G70" s="14">
        <v>30.22481625</v>
      </c>
      <c r="H70" s="16">
        <v>1.7626366899999999</v>
      </c>
      <c r="I70" s="14" t="s">
        <v>139</v>
      </c>
      <c r="J70" s="16" t="s">
        <v>139</v>
      </c>
      <c r="K70" s="14">
        <v>0</v>
      </c>
      <c r="L70" s="16">
        <v>0</v>
      </c>
      <c r="M70" s="14">
        <v>0</v>
      </c>
      <c r="N70" s="16">
        <v>0</v>
      </c>
      <c r="O70" s="14">
        <v>0</v>
      </c>
      <c r="P70" s="16">
        <v>0</v>
      </c>
      <c r="Q70" s="14">
        <v>0</v>
      </c>
      <c r="R70" s="16">
        <v>0</v>
      </c>
    </row>
    <row r="71" spans="1:18" x14ac:dyDescent="0.25">
      <c r="A71" s="11" t="s">
        <v>204</v>
      </c>
      <c r="B71" s="17" t="s">
        <v>154</v>
      </c>
      <c r="C71" s="17" t="s">
        <v>154</v>
      </c>
      <c r="D71" s="18" t="s">
        <v>154</v>
      </c>
      <c r="E71" s="17" t="s">
        <v>154</v>
      </c>
      <c r="F71" s="18" t="s">
        <v>154</v>
      </c>
      <c r="G71" s="17" t="s">
        <v>154</v>
      </c>
      <c r="H71" s="18" t="s">
        <v>154</v>
      </c>
      <c r="I71" s="17" t="s">
        <v>154</v>
      </c>
      <c r="J71" s="18" t="s">
        <v>154</v>
      </c>
      <c r="K71" s="17" t="s">
        <v>154</v>
      </c>
      <c r="L71" s="18" t="s">
        <v>154</v>
      </c>
      <c r="M71" s="17" t="s">
        <v>154</v>
      </c>
      <c r="N71" s="18" t="s">
        <v>154</v>
      </c>
      <c r="O71" s="17" t="s">
        <v>154</v>
      </c>
      <c r="P71" s="18" t="s">
        <v>154</v>
      </c>
      <c r="Q71" s="17" t="s">
        <v>154</v>
      </c>
      <c r="R71" s="18" t="s">
        <v>154</v>
      </c>
    </row>
    <row r="72" spans="1:18" x14ac:dyDescent="0.25">
      <c r="A72" s="11" t="s">
        <v>205</v>
      </c>
      <c r="B72" s="13">
        <v>7708</v>
      </c>
      <c r="C72" s="14">
        <f>(6393/B72*100)</f>
        <v>82.939802802283353</v>
      </c>
      <c r="D72" s="15">
        <v>1315</v>
      </c>
      <c r="E72" s="14">
        <v>52.032376139999997</v>
      </c>
      <c r="F72" s="16">
        <v>1.4082579900000001</v>
      </c>
      <c r="G72" s="14">
        <v>47.967623860000003</v>
      </c>
      <c r="H72" s="16">
        <v>1.4082579900000001</v>
      </c>
      <c r="I72" s="14" t="s">
        <v>139</v>
      </c>
      <c r="J72" s="16" t="s">
        <v>139</v>
      </c>
      <c r="K72" s="14">
        <v>0</v>
      </c>
      <c r="L72" s="16">
        <v>0</v>
      </c>
      <c r="M72" s="14">
        <v>0</v>
      </c>
      <c r="N72" s="16">
        <v>0</v>
      </c>
      <c r="O72" s="14">
        <v>0</v>
      </c>
      <c r="P72" s="16">
        <v>0</v>
      </c>
      <c r="Q72" s="14">
        <v>0</v>
      </c>
      <c r="R72" s="16">
        <v>0</v>
      </c>
    </row>
    <row r="73" spans="1:18" x14ac:dyDescent="0.25">
      <c r="A73" s="11" t="s">
        <v>206</v>
      </c>
      <c r="B73" s="13">
        <v>8249</v>
      </c>
      <c r="C73" s="14">
        <f>(6928/B73*100)</f>
        <v>83.9859376894169</v>
      </c>
      <c r="D73" s="15">
        <v>1321</v>
      </c>
      <c r="E73" s="14">
        <v>70.146128009999998</v>
      </c>
      <c r="F73" s="16">
        <v>1.53969171</v>
      </c>
      <c r="G73" s="14">
        <v>29.853871989999998</v>
      </c>
      <c r="H73" s="16">
        <v>1.53969171</v>
      </c>
      <c r="I73" s="14" t="s">
        <v>139</v>
      </c>
      <c r="J73" s="16" t="s">
        <v>139</v>
      </c>
      <c r="K73" s="14">
        <v>0</v>
      </c>
      <c r="L73" s="16">
        <v>0</v>
      </c>
      <c r="M73" s="14">
        <v>0</v>
      </c>
      <c r="N73" s="16">
        <v>0</v>
      </c>
      <c r="O73" s="14">
        <v>0</v>
      </c>
      <c r="P73" s="16">
        <v>0</v>
      </c>
      <c r="Q73" s="14">
        <v>0</v>
      </c>
      <c r="R73" s="16">
        <v>0</v>
      </c>
    </row>
    <row r="74" spans="1:18" x14ac:dyDescent="0.25">
      <c r="A74" s="11" t="s">
        <v>207</v>
      </c>
      <c r="B74" s="17" t="s">
        <v>154</v>
      </c>
      <c r="C74" s="17" t="s">
        <v>154</v>
      </c>
      <c r="D74" s="18" t="s">
        <v>154</v>
      </c>
      <c r="E74" s="17" t="s">
        <v>154</v>
      </c>
      <c r="F74" s="18" t="s">
        <v>154</v>
      </c>
      <c r="G74" s="17" t="s">
        <v>154</v>
      </c>
      <c r="H74" s="18" t="s">
        <v>154</v>
      </c>
      <c r="I74" s="17" t="s">
        <v>154</v>
      </c>
      <c r="J74" s="18" t="s">
        <v>154</v>
      </c>
      <c r="K74" s="17" t="s">
        <v>154</v>
      </c>
      <c r="L74" s="18" t="s">
        <v>154</v>
      </c>
      <c r="M74" s="17" t="s">
        <v>154</v>
      </c>
      <c r="N74" s="18" t="s">
        <v>154</v>
      </c>
      <c r="O74" s="17" t="s">
        <v>154</v>
      </c>
      <c r="P74" s="18" t="s">
        <v>154</v>
      </c>
      <c r="Q74" s="17" t="s">
        <v>154</v>
      </c>
      <c r="R74" s="18" t="s">
        <v>154</v>
      </c>
    </row>
    <row r="75" spans="1:18" x14ac:dyDescent="0.25">
      <c r="A75" s="11" t="s">
        <v>208</v>
      </c>
      <c r="B75" s="13">
        <v>5375</v>
      </c>
      <c r="C75" s="14">
        <f>(4579/B75*100)</f>
        <v>85.190697674418601</v>
      </c>
      <c r="D75" s="15">
        <v>796</v>
      </c>
      <c r="E75" s="14">
        <v>78.495511550000003</v>
      </c>
      <c r="F75" s="16">
        <v>1.4398062300000001</v>
      </c>
      <c r="G75" s="14">
        <v>21.50448845</v>
      </c>
      <c r="H75" s="16">
        <v>1.4398062300000001</v>
      </c>
      <c r="I75" s="14" t="s">
        <v>139</v>
      </c>
      <c r="J75" s="16" t="s">
        <v>139</v>
      </c>
      <c r="K75" s="14">
        <v>0</v>
      </c>
      <c r="L75" s="16">
        <v>0</v>
      </c>
      <c r="M75" s="14">
        <v>0</v>
      </c>
      <c r="N75" s="16">
        <v>0</v>
      </c>
      <c r="O75" s="14">
        <v>0</v>
      </c>
      <c r="P75" s="16">
        <v>0</v>
      </c>
      <c r="Q75" s="14">
        <v>0</v>
      </c>
      <c r="R75" s="16">
        <v>0</v>
      </c>
    </row>
    <row r="76" spans="1:18" x14ac:dyDescent="0.25">
      <c r="A76" s="11" t="s">
        <v>209</v>
      </c>
      <c r="B76" s="13">
        <v>14167</v>
      </c>
      <c r="C76" s="14">
        <f>(11736/B76*100)</f>
        <v>82.840403755205756</v>
      </c>
      <c r="D76" s="15">
        <v>2431</v>
      </c>
      <c r="E76" s="14">
        <v>66.26738795</v>
      </c>
      <c r="F76" s="16">
        <v>1.2896518699999999</v>
      </c>
      <c r="G76" s="14">
        <v>33.73261205</v>
      </c>
      <c r="H76" s="16">
        <v>1.2896518699999999</v>
      </c>
      <c r="I76" s="14" t="s">
        <v>139</v>
      </c>
      <c r="J76" s="16" t="s">
        <v>139</v>
      </c>
      <c r="K76" s="14">
        <v>0</v>
      </c>
      <c r="L76" s="16">
        <v>0</v>
      </c>
      <c r="M76" s="14">
        <v>0</v>
      </c>
      <c r="N76" s="16">
        <v>0</v>
      </c>
      <c r="O76" s="14">
        <v>0</v>
      </c>
      <c r="P76" s="16">
        <v>0</v>
      </c>
      <c r="Q76" s="14">
        <v>0</v>
      </c>
      <c r="R76" s="16">
        <v>0</v>
      </c>
    </row>
    <row r="77" spans="1:18" x14ac:dyDescent="0.25">
      <c r="A77" s="11" t="s">
        <v>210</v>
      </c>
      <c r="B77" s="13">
        <v>6062</v>
      </c>
      <c r="C77" s="14">
        <f>(5052/B77*100)</f>
        <v>83.338832068624214</v>
      </c>
      <c r="D77" s="15">
        <v>1010</v>
      </c>
      <c r="E77" s="14">
        <v>87.567326730000005</v>
      </c>
      <c r="F77" s="16">
        <v>1.0043791900000001</v>
      </c>
      <c r="G77" s="14">
        <v>12.43267327</v>
      </c>
      <c r="H77" s="16">
        <v>1.0043791900000001</v>
      </c>
      <c r="I77" s="14" t="s">
        <v>139</v>
      </c>
      <c r="J77" s="16" t="s">
        <v>139</v>
      </c>
      <c r="K77" s="14">
        <v>0</v>
      </c>
      <c r="L77" s="16">
        <v>0</v>
      </c>
      <c r="M77" s="14">
        <v>0</v>
      </c>
      <c r="N77" s="16">
        <v>0</v>
      </c>
      <c r="O77" s="14">
        <v>0</v>
      </c>
      <c r="P77" s="16">
        <v>0</v>
      </c>
      <c r="Q77" s="14">
        <v>0</v>
      </c>
      <c r="R77" s="16">
        <v>0</v>
      </c>
    </row>
    <row r="78" spans="1:18" x14ac:dyDescent="0.25">
      <c r="A78" s="11" t="s">
        <v>211</v>
      </c>
      <c r="B78" s="17" t="s">
        <v>154</v>
      </c>
      <c r="C78" s="17" t="s">
        <v>154</v>
      </c>
      <c r="D78" s="18" t="s">
        <v>154</v>
      </c>
      <c r="E78" s="17" t="s">
        <v>154</v>
      </c>
      <c r="F78" s="18" t="s">
        <v>154</v>
      </c>
      <c r="G78" s="17" t="s">
        <v>154</v>
      </c>
      <c r="H78" s="18" t="s">
        <v>154</v>
      </c>
      <c r="I78" s="17" t="s">
        <v>154</v>
      </c>
      <c r="J78" s="18" t="s">
        <v>154</v>
      </c>
      <c r="K78" s="17" t="s">
        <v>154</v>
      </c>
      <c r="L78" s="18" t="s">
        <v>154</v>
      </c>
      <c r="M78" s="17" t="s">
        <v>154</v>
      </c>
      <c r="N78" s="18" t="s">
        <v>154</v>
      </c>
      <c r="O78" s="17" t="s">
        <v>154</v>
      </c>
      <c r="P78" s="18" t="s">
        <v>154</v>
      </c>
      <c r="Q78" s="17" t="s">
        <v>154</v>
      </c>
      <c r="R78" s="18" t="s">
        <v>154</v>
      </c>
    </row>
    <row r="79" spans="1:18" ht="24.95" customHeight="1" x14ac:dyDescent="0.25">
      <c r="A79" s="11" t="s">
        <v>212</v>
      </c>
      <c r="B79" s="17" t="s">
        <v>154</v>
      </c>
      <c r="C79" s="17" t="s">
        <v>154</v>
      </c>
      <c r="D79" s="18" t="s">
        <v>154</v>
      </c>
      <c r="E79" s="17" t="s">
        <v>154</v>
      </c>
      <c r="F79" s="18" t="s">
        <v>154</v>
      </c>
      <c r="G79" s="17" t="s">
        <v>154</v>
      </c>
      <c r="H79" s="18" t="s">
        <v>154</v>
      </c>
      <c r="I79" s="17" t="s">
        <v>154</v>
      </c>
      <c r="J79" s="18" t="s">
        <v>154</v>
      </c>
      <c r="K79" s="17" t="s">
        <v>154</v>
      </c>
      <c r="L79" s="18" t="s">
        <v>154</v>
      </c>
      <c r="M79" s="17" t="s">
        <v>154</v>
      </c>
      <c r="N79" s="18" t="s">
        <v>154</v>
      </c>
      <c r="O79" s="17" t="s">
        <v>154</v>
      </c>
      <c r="P79" s="18" t="s">
        <v>154</v>
      </c>
      <c r="Q79" s="17" t="s">
        <v>154</v>
      </c>
      <c r="R79" s="18" t="s">
        <v>154</v>
      </c>
    </row>
    <row r="80" spans="1:18" x14ac:dyDescent="0.25">
      <c r="A80" s="11" t="s">
        <v>213</v>
      </c>
      <c r="B80" s="17" t="s">
        <v>154</v>
      </c>
      <c r="C80" s="17" t="s">
        <v>154</v>
      </c>
      <c r="D80" s="18" t="s">
        <v>154</v>
      </c>
      <c r="E80" s="17" t="s">
        <v>154</v>
      </c>
      <c r="F80" s="18" t="s">
        <v>154</v>
      </c>
      <c r="G80" s="17" t="s">
        <v>154</v>
      </c>
      <c r="H80" s="18" t="s">
        <v>154</v>
      </c>
      <c r="I80" s="17" t="s">
        <v>154</v>
      </c>
      <c r="J80" s="18" t="s">
        <v>154</v>
      </c>
      <c r="K80" s="17" t="s">
        <v>154</v>
      </c>
      <c r="L80" s="18" t="s">
        <v>154</v>
      </c>
      <c r="M80" s="17" t="s">
        <v>154</v>
      </c>
      <c r="N80" s="18" t="s">
        <v>154</v>
      </c>
      <c r="O80" s="17" t="s">
        <v>154</v>
      </c>
      <c r="P80" s="18" t="s">
        <v>154</v>
      </c>
      <c r="Q80" s="17" t="s">
        <v>154</v>
      </c>
      <c r="R80" s="18" t="s">
        <v>154</v>
      </c>
    </row>
    <row r="81" spans="1:18" x14ac:dyDescent="0.25">
      <c r="A81" s="19" t="s">
        <v>214</v>
      </c>
      <c r="B81" s="13">
        <v>8861</v>
      </c>
      <c r="C81" s="14">
        <f>(8516/B81*100)</f>
        <v>96.106534251213176</v>
      </c>
      <c r="D81" s="15">
        <v>345</v>
      </c>
      <c r="E81" s="14">
        <v>57.961125010000003</v>
      </c>
      <c r="F81" s="16">
        <v>2.65969283</v>
      </c>
      <c r="G81" s="14">
        <v>42.038874989999997</v>
      </c>
      <c r="H81" s="16">
        <v>2.65969283</v>
      </c>
      <c r="I81" s="14" t="s">
        <v>139</v>
      </c>
      <c r="J81" s="16" t="s">
        <v>139</v>
      </c>
      <c r="K81" s="14">
        <v>0</v>
      </c>
      <c r="L81" s="16">
        <v>0</v>
      </c>
      <c r="M81" s="14">
        <v>0</v>
      </c>
      <c r="N81" s="16">
        <v>0</v>
      </c>
      <c r="O81" s="14">
        <v>0</v>
      </c>
      <c r="P81" s="16">
        <v>0</v>
      </c>
      <c r="Q81" s="14">
        <v>0</v>
      </c>
      <c r="R81" s="16">
        <v>0</v>
      </c>
    </row>
    <row r="82" spans="1:18" x14ac:dyDescent="0.25">
      <c r="A82" s="20"/>
      <c r="B82" s="20" t="s">
        <v>215</v>
      </c>
      <c r="C82" s="20" t="s">
        <v>215</v>
      </c>
      <c r="D82" s="20" t="s">
        <v>215</v>
      </c>
      <c r="E82" s="20" t="s">
        <v>215</v>
      </c>
      <c r="F82" s="20" t="s">
        <v>215</v>
      </c>
      <c r="G82" s="20" t="s">
        <v>215</v>
      </c>
      <c r="H82" s="20" t="s">
        <v>215</v>
      </c>
      <c r="I82" s="20" t="s">
        <v>215</v>
      </c>
      <c r="J82" s="20" t="s">
        <v>215</v>
      </c>
      <c r="K82" s="20" t="s">
        <v>215</v>
      </c>
      <c r="L82" s="20" t="s">
        <v>215</v>
      </c>
      <c r="M82" s="20" t="s">
        <v>215</v>
      </c>
      <c r="N82" s="20" t="s">
        <v>215</v>
      </c>
      <c r="O82" s="20" t="s">
        <v>215</v>
      </c>
      <c r="P82" s="20" t="s">
        <v>215</v>
      </c>
      <c r="Q82" s="20" t="s">
        <v>215</v>
      </c>
      <c r="R82" s="20" t="s">
        <v>215</v>
      </c>
    </row>
    <row r="83" spans="1:18" x14ac:dyDescent="0.25">
      <c r="A83" s="3" t="s">
        <v>216</v>
      </c>
    </row>
    <row r="84" spans="1:18" x14ac:dyDescent="0.25">
      <c r="A84" s="22" t="s">
        <v>217</v>
      </c>
      <c r="B84" s="23"/>
      <c r="C84" s="23"/>
      <c r="D84" s="23"/>
      <c r="E84" s="23"/>
      <c r="F84" s="23"/>
      <c r="G84" s="23"/>
      <c r="H84" s="23"/>
      <c r="I84" s="23"/>
      <c r="J84" s="23"/>
      <c r="K84" s="23"/>
      <c r="L84" s="23"/>
      <c r="M84" s="23"/>
      <c r="N84" s="23"/>
      <c r="O84" s="23"/>
      <c r="P84" s="23"/>
      <c r="Q84" s="23"/>
      <c r="R84" s="23"/>
    </row>
    <row r="85" spans="1:18" x14ac:dyDescent="0.25">
      <c r="A85" s="22" t="s">
        <v>218</v>
      </c>
      <c r="B85" s="23"/>
      <c r="C85" s="23"/>
      <c r="D85" s="23"/>
      <c r="E85" s="23"/>
      <c r="F85" s="23"/>
      <c r="G85" s="23"/>
      <c r="H85" s="23"/>
      <c r="I85" s="23"/>
      <c r="J85" s="23"/>
      <c r="K85" s="23"/>
      <c r="L85" s="23"/>
      <c r="M85" s="23"/>
      <c r="N85" s="23"/>
      <c r="O85" s="23"/>
      <c r="P85" s="23"/>
      <c r="Q85" s="23"/>
      <c r="R85" s="23"/>
    </row>
    <row r="86" spans="1:18" ht="30" customHeight="1" x14ac:dyDescent="0.25">
      <c r="A86" s="22" t="s">
        <v>219</v>
      </c>
      <c r="B86" s="23"/>
      <c r="C86" s="23"/>
      <c r="D86" s="23"/>
      <c r="E86" s="23"/>
      <c r="F86" s="23"/>
      <c r="G86" s="23"/>
      <c r="H86" s="23"/>
      <c r="I86" s="23"/>
      <c r="J86" s="23"/>
      <c r="K86" s="23"/>
      <c r="L86" s="23"/>
      <c r="M86" s="23"/>
      <c r="N86" s="23"/>
      <c r="O86" s="23"/>
      <c r="P86" s="23"/>
      <c r="Q86" s="23"/>
      <c r="R86" s="23"/>
    </row>
    <row r="87" spans="1:18" ht="30" customHeight="1" x14ac:dyDescent="0.25">
      <c r="A87" s="22" t="s">
        <v>215</v>
      </c>
      <c r="B87" s="23"/>
      <c r="C87" s="23"/>
      <c r="D87" s="23"/>
      <c r="E87" s="23"/>
      <c r="F87" s="23"/>
      <c r="G87" s="23"/>
      <c r="H87" s="23"/>
      <c r="I87" s="23"/>
      <c r="J87" s="23"/>
      <c r="K87" s="23"/>
      <c r="L87" s="23"/>
      <c r="M87" s="23"/>
      <c r="N87" s="23"/>
      <c r="O87" s="23"/>
      <c r="P87" s="23"/>
      <c r="Q87" s="23"/>
      <c r="R87" s="23"/>
    </row>
    <row r="88" spans="1:18" ht="30" customHeight="1" x14ac:dyDescent="0.25">
      <c r="A88" s="22" t="s">
        <v>220</v>
      </c>
      <c r="B88" s="23"/>
      <c r="C88" s="23"/>
      <c r="D88" s="23"/>
      <c r="E88" s="23"/>
      <c r="F88" s="23"/>
      <c r="G88" s="23"/>
      <c r="H88" s="23"/>
      <c r="I88" s="23"/>
      <c r="J88" s="23"/>
      <c r="K88" s="23"/>
      <c r="L88" s="23"/>
      <c r="M88" s="23"/>
      <c r="N88" s="23"/>
      <c r="O88" s="23"/>
      <c r="P88" s="23"/>
      <c r="Q88" s="23"/>
      <c r="R88" s="23"/>
    </row>
    <row r="89" spans="1:18" ht="30" customHeight="1" x14ac:dyDescent="0.25">
      <c r="A89" s="22" t="s">
        <v>221</v>
      </c>
      <c r="B89" s="23"/>
      <c r="C89" s="23"/>
      <c r="D89" s="23"/>
      <c r="E89" s="23"/>
      <c r="F89" s="23"/>
      <c r="G89" s="23"/>
      <c r="H89" s="23"/>
      <c r="I89" s="23"/>
      <c r="J89" s="23"/>
      <c r="K89" s="23"/>
      <c r="L89" s="23"/>
      <c r="M89" s="23"/>
      <c r="N89" s="23"/>
      <c r="O89" s="23"/>
      <c r="P89" s="23"/>
      <c r="Q89" s="23"/>
      <c r="R89" s="23"/>
    </row>
    <row r="90" spans="1:18" ht="30" customHeight="1" x14ac:dyDescent="0.25">
      <c r="A90" s="22" t="s">
        <v>222</v>
      </c>
      <c r="B90" s="23"/>
      <c r="C90" s="23"/>
      <c r="D90" s="23"/>
      <c r="E90" s="23"/>
      <c r="F90" s="23"/>
      <c r="G90" s="23"/>
      <c r="H90" s="23"/>
      <c r="I90" s="23"/>
      <c r="J90" s="23"/>
      <c r="K90" s="23"/>
      <c r="L90" s="23"/>
      <c r="M90" s="23"/>
      <c r="N90" s="23"/>
      <c r="O90" s="23"/>
      <c r="P90" s="23"/>
      <c r="Q90" s="23"/>
      <c r="R90" s="23"/>
    </row>
    <row r="91" spans="1:18" ht="30" customHeight="1" x14ac:dyDescent="0.25">
      <c r="A91" s="22" t="s">
        <v>223</v>
      </c>
      <c r="B91" s="23"/>
      <c r="C91" s="23"/>
      <c r="D91" s="23"/>
      <c r="E91" s="23"/>
      <c r="F91" s="23"/>
      <c r="G91" s="23"/>
      <c r="H91" s="23"/>
      <c r="I91" s="23"/>
      <c r="J91" s="23"/>
      <c r="K91" s="23"/>
      <c r="L91" s="23"/>
      <c r="M91" s="23"/>
      <c r="N91" s="23"/>
      <c r="O91" s="23"/>
      <c r="P91" s="23"/>
      <c r="Q91" s="23"/>
      <c r="R91" s="23"/>
    </row>
    <row r="92" spans="1:18" ht="30" customHeight="1" x14ac:dyDescent="0.25">
      <c r="A92" s="22" t="s">
        <v>224</v>
      </c>
      <c r="B92" s="23"/>
      <c r="C92" s="23"/>
      <c r="D92" s="23"/>
      <c r="E92" s="23"/>
      <c r="F92" s="23"/>
      <c r="G92" s="23"/>
      <c r="H92" s="23"/>
      <c r="I92" s="23"/>
      <c r="J92" s="23"/>
      <c r="K92" s="23"/>
      <c r="L92" s="23"/>
      <c r="M92" s="23"/>
      <c r="N92" s="23"/>
      <c r="O92" s="23"/>
      <c r="P92" s="23"/>
      <c r="Q92" s="23"/>
      <c r="R92" s="23"/>
    </row>
    <row r="93" spans="1:18" ht="30" customHeight="1" x14ac:dyDescent="0.25">
      <c r="A93" s="22" t="s">
        <v>225</v>
      </c>
      <c r="B93" s="23"/>
      <c r="C93" s="23"/>
      <c r="D93" s="23"/>
      <c r="E93" s="23"/>
      <c r="F93" s="23"/>
      <c r="G93" s="23"/>
      <c r="H93" s="23"/>
      <c r="I93" s="23"/>
      <c r="J93" s="23"/>
      <c r="K93" s="23"/>
      <c r="L93" s="23"/>
      <c r="M93" s="23"/>
      <c r="N93" s="23"/>
      <c r="O93" s="23"/>
      <c r="P93" s="23"/>
      <c r="Q93" s="23"/>
      <c r="R93" s="23"/>
    </row>
    <row r="94" spans="1:18" ht="30" customHeight="1" x14ac:dyDescent="0.25">
      <c r="A94" s="22" t="s">
        <v>226</v>
      </c>
      <c r="B94" s="23"/>
      <c r="C94" s="23"/>
      <c r="D94" s="23"/>
      <c r="E94" s="23"/>
      <c r="F94" s="23"/>
      <c r="G94" s="23"/>
      <c r="H94" s="23"/>
      <c r="I94" s="23"/>
      <c r="J94" s="23"/>
      <c r="K94" s="23"/>
      <c r="L94" s="23"/>
      <c r="M94" s="23"/>
      <c r="N94" s="23"/>
      <c r="O94" s="23"/>
      <c r="P94" s="23"/>
      <c r="Q94" s="23"/>
      <c r="R94" s="23"/>
    </row>
    <row r="95" spans="1:18" ht="30" customHeight="1" x14ac:dyDescent="0.25">
      <c r="A95" s="22" t="s">
        <v>227</v>
      </c>
      <c r="B95" s="23"/>
      <c r="C95" s="23"/>
      <c r="D95" s="23"/>
      <c r="E95" s="23"/>
      <c r="F95" s="23"/>
      <c r="G95" s="23"/>
      <c r="H95" s="23"/>
      <c r="I95" s="23"/>
      <c r="J95" s="23"/>
      <c r="K95" s="23"/>
      <c r="L95" s="23"/>
      <c r="M95" s="23"/>
      <c r="N95" s="23"/>
      <c r="O95" s="23"/>
      <c r="P95" s="23"/>
      <c r="Q95" s="23"/>
      <c r="R95" s="23"/>
    </row>
    <row r="96" spans="1:18" ht="30" customHeight="1" x14ac:dyDescent="0.25">
      <c r="A96" s="22" t="s">
        <v>228</v>
      </c>
      <c r="B96" s="23"/>
      <c r="C96" s="23"/>
      <c r="D96" s="23"/>
      <c r="E96" s="23"/>
      <c r="F96" s="23"/>
      <c r="G96" s="23"/>
      <c r="H96" s="23"/>
      <c r="I96" s="23"/>
      <c r="J96" s="23"/>
      <c r="K96" s="23"/>
      <c r="L96" s="23"/>
      <c r="M96" s="23"/>
      <c r="N96" s="23"/>
      <c r="O96" s="23"/>
      <c r="P96" s="23"/>
      <c r="Q96" s="23"/>
      <c r="R96" s="23"/>
    </row>
  </sheetData>
  <mergeCells count="22">
    <mergeCell ref="O4:P4"/>
    <mergeCell ref="Q4:R4"/>
    <mergeCell ref="A1:R1"/>
    <mergeCell ref="A2:R2"/>
    <mergeCell ref="A84:R84"/>
    <mergeCell ref="E4:F4"/>
    <mergeCell ref="G4:H4"/>
    <mergeCell ref="I4:J4"/>
    <mergeCell ref="K4:L4"/>
    <mergeCell ref="M4:N4"/>
    <mergeCell ref="A85:R85"/>
    <mergeCell ref="A86:R86"/>
    <mergeCell ref="A87:R87"/>
    <mergeCell ref="A88:R88"/>
    <mergeCell ref="A89:R89"/>
    <mergeCell ref="A95:R95"/>
    <mergeCell ref="A96:R96"/>
    <mergeCell ref="A90:R90"/>
    <mergeCell ref="A91:R91"/>
    <mergeCell ref="A92:R92"/>
    <mergeCell ref="A93:R93"/>
    <mergeCell ref="A94:R94"/>
  </mergeCells>
  <pageMargins left="0.75" right="0.75" top="1" bottom="1" header="0.5" footer="0.5"/>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7"/>
  <dimension ref="A1:R96"/>
  <sheetViews>
    <sheetView zoomScale="80" workbookViewId="0">
      <pane xSplit="4" topLeftCell="E1" activePane="topRight" state="frozen"/>
      <selection sqref="A1:R1"/>
      <selection pane="topRight" sqref="A1:R1"/>
    </sheetView>
  </sheetViews>
  <sheetFormatPr defaultColWidth="11.42578125" defaultRowHeight="15" x14ac:dyDescent="0.25"/>
  <cols>
    <col min="1" max="1" width="50" customWidth="1"/>
  </cols>
  <sheetData>
    <row r="1" spans="1:18" x14ac:dyDescent="0.25">
      <c r="A1" s="26" t="s">
        <v>122</v>
      </c>
      <c r="B1" s="23"/>
      <c r="C1" s="23"/>
      <c r="D1" s="23"/>
      <c r="E1" s="23"/>
      <c r="F1" s="23"/>
      <c r="G1" s="23"/>
      <c r="H1" s="23"/>
      <c r="I1" s="23"/>
      <c r="J1" s="23"/>
      <c r="K1" s="23"/>
      <c r="L1" s="23"/>
      <c r="M1" s="23"/>
      <c r="N1" s="23"/>
      <c r="O1" s="23"/>
      <c r="P1" s="23"/>
      <c r="Q1" s="23"/>
      <c r="R1" s="23"/>
    </row>
    <row r="2" spans="1:18" x14ac:dyDescent="0.25">
      <c r="A2" s="27" t="s">
        <v>293</v>
      </c>
      <c r="B2" s="23"/>
      <c r="C2" s="23"/>
      <c r="D2" s="23"/>
      <c r="E2" s="23"/>
      <c r="F2" s="23"/>
      <c r="G2" s="23"/>
      <c r="H2" s="23"/>
      <c r="I2" s="23"/>
      <c r="J2" s="23"/>
      <c r="K2" s="23"/>
      <c r="L2" s="23"/>
      <c r="M2" s="23"/>
      <c r="N2" s="23"/>
      <c r="O2" s="23"/>
      <c r="P2" s="23"/>
      <c r="Q2" s="23"/>
      <c r="R2" s="23"/>
    </row>
    <row r="4" spans="1:18" ht="30" customHeight="1" x14ac:dyDescent="0.25">
      <c r="A4" s="4"/>
      <c r="B4" s="5" t="s">
        <v>123</v>
      </c>
      <c r="C4" s="5" t="s">
        <v>124</v>
      </c>
      <c r="D4" s="6" t="s">
        <v>123</v>
      </c>
      <c r="E4" s="24" t="s">
        <v>125</v>
      </c>
      <c r="F4" s="25"/>
      <c r="G4" s="24" t="s">
        <v>126</v>
      </c>
      <c r="H4" s="25"/>
      <c r="I4" s="24" t="s">
        <v>127</v>
      </c>
      <c r="J4" s="25"/>
      <c r="K4" s="24" t="s">
        <v>128</v>
      </c>
      <c r="L4" s="25"/>
      <c r="M4" s="24" t="s">
        <v>129</v>
      </c>
      <c r="N4" s="25"/>
      <c r="O4" s="24" t="s">
        <v>130</v>
      </c>
      <c r="P4" s="25"/>
      <c r="Q4" s="24" t="s">
        <v>131</v>
      </c>
      <c r="R4" s="25"/>
    </row>
    <row r="5" spans="1:18" x14ac:dyDescent="0.25">
      <c r="A5" s="7"/>
      <c r="B5" s="8" t="s">
        <v>132</v>
      </c>
      <c r="C5" s="8" t="s">
        <v>133</v>
      </c>
      <c r="D5" s="7" t="s">
        <v>134</v>
      </c>
      <c r="E5" s="8" t="s">
        <v>135</v>
      </c>
      <c r="F5" s="7" t="s">
        <v>136</v>
      </c>
      <c r="G5" s="8" t="s">
        <v>135</v>
      </c>
      <c r="H5" s="7" t="s">
        <v>136</v>
      </c>
      <c r="I5" s="8" t="s">
        <v>135</v>
      </c>
      <c r="J5" s="7" t="s">
        <v>136</v>
      </c>
      <c r="K5" s="8" t="s">
        <v>135</v>
      </c>
      <c r="L5" s="7" t="s">
        <v>136</v>
      </c>
      <c r="M5" s="8" t="s">
        <v>135</v>
      </c>
      <c r="N5" s="7" t="s">
        <v>136</v>
      </c>
      <c r="O5" s="8" t="s">
        <v>135</v>
      </c>
      <c r="P5" s="7" t="s">
        <v>136</v>
      </c>
      <c r="Q5" s="8" t="s">
        <v>135</v>
      </c>
      <c r="R5" s="7" t="s">
        <v>136</v>
      </c>
    </row>
    <row r="6" spans="1:18" x14ac:dyDescent="0.25">
      <c r="A6" s="9" t="s">
        <v>137</v>
      </c>
      <c r="B6" s="10"/>
      <c r="C6" s="10"/>
      <c r="D6" s="11"/>
      <c r="E6" s="10"/>
      <c r="F6" s="11"/>
      <c r="G6" s="10"/>
      <c r="H6" s="11"/>
      <c r="I6" s="10"/>
      <c r="J6" s="11"/>
      <c r="K6" s="10"/>
      <c r="L6" s="11"/>
      <c r="M6" s="10"/>
      <c r="N6" s="11"/>
      <c r="O6" s="10"/>
      <c r="P6" s="11"/>
      <c r="Q6" s="10"/>
      <c r="R6" s="12"/>
    </row>
    <row r="7" spans="1:18" x14ac:dyDescent="0.25">
      <c r="A7" s="11" t="s">
        <v>138</v>
      </c>
      <c r="B7" s="13">
        <v>14530</v>
      </c>
      <c r="C7" s="14">
        <f>(12149/B7*100)</f>
        <v>83.613214039917409</v>
      </c>
      <c r="D7" s="15">
        <v>2381</v>
      </c>
      <c r="E7" s="14">
        <v>33.671860119999998</v>
      </c>
      <c r="F7" s="16">
        <v>1.09068593</v>
      </c>
      <c r="G7" s="14">
        <v>66.328139879999995</v>
      </c>
      <c r="H7" s="16">
        <v>1.09068593</v>
      </c>
      <c r="I7" s="14" t="s">
        <v>139</v>
      </c>
      <c r="J7" s="16" t="s">
        <v>139</v>
      </c>
      <c r="K7" s="14">
        <v>0</v>
      </c>
      <c r="L7" s="16">
        <v>0</v>
      </c>
      <c r="M7" s="14">
        <v>0</v>
      </c>
      <c r="N7" s="16">
        <v>0</v>
      </c>
      <c r="O7" s="14">
        <v>0</v>
      </c>
      <c r="P7" s="16">
        <v>0</v>
      </c>
      <c r="Q7" s="14">
        <v>0</v>
      </c>
      <c r="R7" s="16">
        <v>0</v>
      </c>
    </row>
    <row r="8" spans="1:18" x14ac:dyDescent="0.25">
      <c r="A8" s="11" t="s">
        <v>140</v>
      </c>
      <c r="B8" s="13">
        <v>7007</v>
      </c>
      <c r="C8" s="14">
        <f>(5821/B8*100)</f>
        <v>83.074068788354509</v>
      </c>
      <c r="D8" s="15">
        <v>1186</v>
      </c>
      <c r="E8" s="14">
        <v>49.875563579999998</v>
      </c>
      <c r="F8" s="16">
        <v>1.6584506299999999</v>
      </c>
      <c r="G8" s="14">
        <v>50.124436420000002</v>
      </c>
      <c r="H8" s="16">
        <v>1.6584506299999999</v>
      </c>
      <c r="I8" s="14" t="s">
        <v>139</v>
      </c>
      <c r="J8" s="16" t="s">
        <v>139</v>
      </c>
      <c r="K8" s="14">
        <v>0</v>
      </c>
      <c r="L8" s="16">
        <v>0</v>
      </c>
      <c r="M8" s="14">
        <v>0</v>
      </c>
      <c r="N8" s="16">
        <v>0</v>
      </c>
      <c r="O8" s="14">
        <v>0</v>
      </c>
      <c r="P8" s="16">
        <v>0</v>
      </c>
      <c r="Q8" s="14">
        <v>0</v>
      </c>
      <c r="R8" s="16">
        <v>0</v>
      </c>
    </row>
    <row r="9" spans="1:18" x14ac:dyDescent="0.25">
      <c r="A9" s="11" t="s">
        <v>141</v>
      </c>
      <c r="B9" s="13">
        <v>9651</v>
      </c>
      <c r="C9" s="14">
        <f>(8080/B9*100)</f>
        <v>83.721894104237904</v>
      </c>
      <c r="D9" s="15">
        <v>1571</v>
      </c>
      <c r="E9" s="14">
        <v>37.806756280000002</v>
      </c>
      <c r="F9" s="16">
        <v>1.20202283</v>
      </c>
      <c r="G9" s="14">
        <v>62.193243719999998</v>
      </c>
      <c r="H9" s="16">
        <v>1.20202283</v>
      </c>
      <c r="I9" s="14" t="s">
        <v>139</v>
      </c>
      <c r="J9" s="16" t="s">
        <v>139</v>
      </c>
      <c r="K9" s="14">
        <v>0</v>
      </c>
      <c r="L9" s="16">
        <v>0</v>
      </c>
      <c r="M9" s="14">
        <v>0</v>
      </c>
      <c r="N9" s="16">
        <v>0</v>
      </c>
      <c r="O9" s="14">
        <v>0</v>
      </c>
      <c r="P9" s="16">
        <v>0</v>
      </c>
      <c r="Q9" s="14">
        <v>0</v>
      </c>
      <c r="R9" s="16">
        <v>0</v>
      </c>
    </row>
    <row r="10" spans="1:18" x14ac:dyDescent="0.25">
      <c r="A10" s="11" t="s">
        <v>142</v>
      </c>
      <c r="B10" s="13">
        <v>20058</v>
      </c>
      <c r="C10" s="14">
        <f>(16662/B10*100)</f>
        <v>83.069099611127726</v>
      </c>
      <c r="D10" s="15">
        <v>3396</v>
      </c>
      <c r="E10" s="14">
        <v>29.833565350000001</v>
      </c>
      <c r="F10" s="16">
        <v>1.1196781899999999</v>
      </c>
      <c r="G10" s="14">
        <v>70.166434649999999</v>
      </c>
      <c r="H10" s="16">
        <v>1.1196781899999999</v>
      </c>
      <c r="I10" s="14" t="s">
        <v>139</v>
      </c>
      <c r="J10" s="16" t="s">
        <v>139</v>
      </c>
      <c r="K10" s="14">
        <v>0</v>
      </c>
      <c r="L10" s="16">
        <v>0</v>
      </c>
      <c r="M10" s="14">
        <v>0</v>
      </c>
      <c r="N10" s="16">
        <v>0</v>
      </c>
      <c r="O10" s="14">
        <v>0</v>
      </c>
      <c r="P10" s="16">
        <v>0</v>
      </c>
      <c r="Q10" s="14">
        <v>0</v>
      </c>
      <c r="R10" s="16">
        <v>0</v>
      </c>
    </row>
    <row r="11" spans="1:18" x14ac:dyDescent="0.25">
      <c r="A11" s="11" t="s">
        <v>143</v>
      </c>
      <c r="B11" s="13">
        <v>7053</v>
      </c>
      <c r="C11" s="14">
        <f>(5867/B11*100)</f>
        <v>83.184460513256781</v>
      </c>
      <c r="D11" s="15">
        <v>1186</v>
      </c>
      <c r="E11" s="14">
        <v>50.900854899999999</v>
      </c>
      <c r="F11" s="16">
        <v>1.2942060900000001</v>
      </c>
      <c r="G11" s="14">
        <v>49.099145100000001</v>
      </c>
      <c r="H11" s="16">
        <v>1.2942060900000001</v>
      </c>
      <c r="I11" s="14" t="s">
        <v>139</v>
      </c>
      <c r="J11" s="16" t="s">
        <v>139</v>
      </c>
      <c r="K11" s="14">
        <v>0</v>
      </c>
      <c r="L11" s="16">
        <v>0</v>
      </c>
      <c r="M11" s="14">
        <v>0</v>
      </c>
      <c r="N11" s="16">
        <v>0</v>
      </c>
      <c r="O11" s="14">
        <v>0</v>
      </c>
      <c r="P11" s="16">
        <v>0</v>
      </c>
      <c r="Q11" s="14">
        <v>0</v>
      </c>
      <c r="R11" s="16">
        <v>0</v>
      </c>
    </row>
    <row r="12" spans="1:18" x14ac:dyDescent="0.25">
      <c r="A12" s="11" t="s">
        <v>144</v>
      </c>
      <c r="B12" s="13">
        <v>6894</v>
      </c>
      <c r="C12" s="14">
        <f>(5738/B12*100)</f>
        <v>83.231795764432832</v>
      </c>
      <c r="D12" s="15">
        <v>1156</v>
      </c>
      <c r="E12" s="14">
        <v>56.108247200000001</v>
      </c>
      <c r="F12" s="16">
        <v>1.4129757700000001</v>
      </c>
      <c r="G12" s="14">
        <v>43.891752799999999</v>
      </c>
      <c r="H12" s="16">
        <v>1.4129757700000001</v>
      </c>
      <c r="I12" s="14" t="s">
        <v>139</v>
      </c>
      <c r="J12" s="16" t="s">
        <v>139</v>
      </c>
      <c r="K12" s="14">
        <v>0</v>
      </c>
      <c r="L12" s="16">
        <v>0</v>
      </c>
      <c r="M12" s="14">
        <v>0</v>
      </c>
      <c r="N12" s="16">
        <v>0</v>
      </c>
      <c r="O12" s="14">
        <v>0</v>
      </c>
      <c r="P12" s="16">
        <v>0</v>
      </c>
      <c r="Q12" s="14">
        <v>0</v>
      </c>
      <c r="R12" s="16">
        <v>0</v>
      </c>
    </row>
    <row r="13" spans="1:18" x14ac:dyDescent="0.25">
      <c r="A13" s="11" t="s">
        <v>145</v>
      </c>
      <c r="B13" s="13">
        <v>7161</v>
      </c>
      <c r="C13" s="14">
        <f>(6027/B13*100)</f>
        <v>84.1642228739003</v>
      </c>
      <c r="D13" s="15">
        <v>1134</v>
      </c>
      <c r="E13" s="14">
        <v>39.77437973</v>
      </c>
      <c r="F13" s="16">
        <v>1.65767273</v>
      </c>
      <c r="G13" s="14">
        <v>60.22562027</v>
      </c>
      <c r="H13" s="16">
        <v>1.65767273</v>
      </c>
      <c r="I13" s="14" t="s">
        <v>139</v>
      </c>
      <c r="J13" s="16" t="s">
        <v>139</v>
      </c>
      <c r="K13" s="14">
        <v>0</v>
      </c>
      <c r="L13" s="16">
        <v>0</v>
      </c>
      <c r="M13" s="14">
        <v>0</v>
      </c>
      <c r="N13" s="16">
        <v>0</v>
      </c>
      <c r="O13" s="14">
        <v>0</v>
      </c>
      <c r="P13" s="16">
        <v>0</v>
      </c>
      <c r="Q13" s="14">
        <v>0</v>
      </c>
      <c r="R13" s="16">
        <v>0</v>
      </c>
    </row>
    <row r="14" spans="1:18" x14ac:dyDescent="0.25">
      <c r="A14" s="11" t="s">
        <v>146</v>
      </c>
      <c r="B14" s="13">
        <v>5587</v>
      </c>
      <c r="C14" s="14">
        <f>(4638/B14*100)</f>
        <v>83.014139967782356</v>
      </c>
      <c r="D14" s="15">
        <v>949</v>
      </c>
      <c r="E14" s="14">
        <v>34.643703940000002</v>
      </c>
      <c r="F14" s="16">
        <v>1.79712111</v>
      </c>
      <c r="G14" s="14">
        <v>65.356296060000005</v>
      </c>
      <c r="H14" s="16">
        <v>1.79712111</v>
      </c>
      <c r="I14" s="14" t="s">
        <v>139</v>
      </c>
      <c r="J14" s="16" t="s">
        <v>139</v>
      </c>
      <c r="K14" s="14">
        <v>0</v>
      </c>
      <c r="L14" s="16">
        <v>0</v>
      </c>
      <c r="M14" s="14">
        <v>0</v>
      </c>
      <c r="N14" s="16">
        <v>0</v>
      </c>
      <c r="O14" s="14">
        <v>0</v>
      </c>
      <c r="P14" s="16">
        <v>0</v>
      </c>
      <c r="Q14" s="14">
        <v>0</v>
      </c>
      <c r="R14" s="16">
        <v>0</v>
      </c>
    </row>
    <row r="15" spans="1:18" x14ac:dyDescent="0.25">
      <c r="A15" s="11" t="s">
        <v>147</v>
      </c>
      <c r="B15" s="13">
        <v>5882</v>
      </c>
      <c r="C15" s="14">
        <f>(4879/B15*100)</f>
        <v>82.947976878612721</v>
      </c>
      <c r="D15" s="15">
        <v>1003</v>
      </c>
      <c r="E15" s="14">
        <v>24.947809360000001</v>
      </c>
      <c r="F15" s="16">
        <v>1.2610751</v>
      </c>
      <c r="G15" s="14">
        <v>75.052190640000006</v>
      </c>
      <c r="H15" s="16">
        <v>1.2610751</v>
      </c>
      <c r="I15" s="14" t="s">
        <v>139</v>
      </c>
      <c r="J15" s="16" t="s">
        <v>139</v>
      </c>
      <c r="K15" s="14">
        <v>0</v>
      </c>
      <c r="L15" s="16">
        <v>0</v>
      </c>
      <c r="M15" s="14">
        <v>0</v>
      </c>
      <c r="N15" s="16">
        <v>0</v>
      </c>
      <c r="O15" s="14">
        <v>0</v>
      </c>
      <c r="P15" s="16">
        <v>0</v>
      </c>
      <c r="Q15" s="14">
        <v>0</v>
      </c>
      <c r="R15" s="16">
        <v>0</v>
      </c>
    </row>
    <row r="16" spans="1:18" x14ac:dyDescent="0.25">
      <c r="A16" s="11" t="s">
        <v>148</v>
      </c>
      <c r="B16" s="13">
        <v>6108</v>
      </c>
      <c r="C16" s="14">
        <f>(5065/B16*100)</f>
        <v>82.924034053700069</v>
      </c>
      <c r="D16" s="15">
        <v>1043</v>
      </c>
      <c r="E16" s="14">
        <v>36.04312651</v>
      </c>
      <c r="F16" s="16">
        <v>1.54592196</v>
      </c>
      <c r="G16" s="14">
        <v>63.95687349</v>
      </c>
      <c r="H16" s="16">
        <v>1.54592196</v>
      </c>
      <c r="I16" s="14" t="s">
        <v>139</v>
      </c>
      <c r="J16" s="16" t="s">
        <v>139</v>
      </c>
      <c r="K16" s="14">
        <v>0</v>
      </c>
      <c r="L16" s="16">
        <v>0</v>
      </c>
      <c r="M16" s="14">
        <v>0</v>
      </c>
      <c r="N16" s="16">
        <v>0</v>
      </c>
      <c r="O16" s="14">
        <v>0</v>
      </c>
      <c r="P16" s="16">
        <v>0</v>
      </c>
      <c r="Q16" s="14">
        <v>0</v>
      </c>
      <c r="R16" s="16">
        <v>0</v>
      </c>
    </row>
    <row r="17" spans="1:18" x14ac:dyDescent="0.25">
      <c r="A17" s="11" t="s">
        <v>149</v>
      </c>
      <c r="B17" s="13">
        <v>6504</v>
      </c>
      <c r="C17" s="14">
        <f>(5414/B17*100)</f>
        <v>83.241082410824106</v>
      </c>
      <c r="D17" s="15">
        <v>1090</v>
      </c>
      <c r="E17" s="14">
        <v>47.742869859999999</v>
      </c>
      <c r="F17" s="16">
        <v>1.6756734200000001</v>
      </c>
      <c r="G17" s="14">
        <v>52.257130140000001</v>
      </c>
      <c r="H17" s="16">
        <v>1.6756734200000001</v>
      </c>
      <c r="I17" s="14" t="s">
        <v>139</v>
      </c>
      <c r="J17" s="16" t="s">
        <v>139</v>
      </c>
      <c r="K17" s="14">
        <v>0</v>
      </c>
      <c r="L17" s="16">
        <v>0</v>
      </c>
      <c r="M17" s="14">
        <v>0</v>
      </c>
      <c r="N17" s="16">
        <v>0</v>
      </c>
      <c r="O17" s="14">
        <v>0</v>
      </c>
      <c r="P17" s="16">
        <v>0</v>
      </c>
      <c r="Q17" s="14">
        <v>0</v>
      </c>
      <c r="R17" s="16">
        <v>0</v>
      </c>
    </row>
    <row r="18" spans="1:18" x14ac:dyDescent="0.25">
      <c r="A18" s="11" t="s">
        <v>150</v>
      </c>
      <c r="B18" s="13">
        <v>5532</v>
      </c>
      <c r="C18" s="14">
        <f>(4631/B18*100)</f>
        <v>83.712942877801879</v>
      </c>
      <c r="D18" s="15">
        <v>901</v>
      </c>
      <c r="E18" s="14">
        <v>49.968521889999998</v>
      </c>
      <c r="F18" s="16">
        <v>1.96629509</v>
      </c>
      <c r="G18" s="14">
        <v>50.031478110000002</v>
      </c>
      <c r="H18" s="16">
        <v>1.96629509</v>
      </c>
      <c r="I18" s="14" t="s">
        <v>139</v>
      </c>
      <c r="J18" s="16" t="s">
        <v>139</v>
      </c>
      <c r="K18" s="14">
        <v>0</v>
      </c>
      <c r="L18" s="16">
        <v>0</v>
      </c>
      <c r="M18" s="14">
        <v>0</v>
      </c>
      <c r="N18" s="16">
        <v>0</v>
      </c>
      <c r="O18" s="14">
        <v>0</v>
      </c>
      <c r="P18" s="16">
        <v>0</v>
      </c>
      <c r="Q18" s="14">
        <v>0</v>
      </c>
      <c r="R18" s="16">
        <v>0</v>
      </c>
    </row>
    <row r="19" spans="1:18" x14ac:dyDescent="0.25">
      <c r="A19" s="11" t="s">
        <v>151</v>
      </c>
      <c r="B19" s="13">
        <v>5658</v>
      </c>
      <c r="C19" s="14">
        <f>(4717/B19*100)</f>
        <v>83.368681512902086</v>
      </c>
      <c r="D19" s="15">
        <v>941</v>
      </c>
      <c r="E19" s="14">
        <v>49.209646200000002</v>
      </c>
      <c r="F19" s="16">
        <v>1.8410331799999999</v>
      </c>
      <c r="G19" s="14">
        <v>50.790353799999998</v>
      </c>
      <c r="H19" s="16">
        <v>1.8410331799999999</v>
      </c>
      <c r="I19" s="14" t="s">
        <v>139</v>
      </c>
      <c r="J19" s="16" t="s">
        <v>139</v>
      </c>
      <c r="K19" s="14">
        <v>0</v>
      </c>
      <c r="L19" s="16">
        <v>0</v>
      </c>
      <c r="M19" s="14">
        <v>0</v>
      </c>
      <c r="N19" s="16">
        <v>0</v>
      </c>
      <c r="O19" s="14">
        <v>0</v>
      </c>
      <c r="P19" s="16">
        <v>0</v>
      </c>
      <c r="Q19" s="14">
        <v>0</v>
      </c>
      <c r="R19" s="16">
        <v>0</v>
      </c>
    </row>
    <row r="20" spans="1:18" x14ac:dyDescent="0.25">
      <c r="A20" s="11" t="s">
        <v>152</v>
      </c>
      <c r="B20" s="13">
        <v>3371</v>
      </c>
      <c r="C20" s="14">
        <f>(2817/B20*100)</f>
        <v>83.565707505191327</v>
      </c>
      <c r="D20" s="15">
        <v>554</v>
      </c>
      <c r="E20" s="14">
        <v>47.943563019999999</v>
      </c>
      <c r="F20" s="16">
        <v>2.3483810900000002</v>
      </c>
      <c r="G20" s="14">
        <v>52.056436980000001</v>
      </c>
      <c r="H20" s="16">
        <v>2.3483810900000002</v>
      </c>
      <c r="I20" s="14" t="s">
        <v>139</v>
      </c>
      <c r="J20" s="16" t="s">
        <v>139</v>
      </c>
      <c r="K20" s="14">
        <v>0</v>
      </c>
      <c r="L20" s="16">
        <v>0</v>
      </c>
      <c r="M20" s="14">
        <v>0</v>
      </c>
      <c r="N20" s="16">
        <v>0</v>
      </c>
      <c r="O20" s="14">
        <v>0</v>
      </c>
      <c r="P20" s="16">
        <v>0</v>
      </c>
      <c r="Q20" s="14">
        <v>0</v>
      </c>
      <c r="R20" s="16">
        <v>0</v>
      </c>
    </row>
    <row r="21" spans="1:18" x14ac:dyDescent="0.25">
      <c r="A21" s="11" t="s">
        <v>153</v>
      </c>
      <c r="B21" s="17" t="s">
        <v>154</v>
      </c>
      <c r="C21" s="17" t="s">
        <v>154</v>
      </c>
      <c r="D21" s="18" t="s">
        <v>154</v>
      </c>
      <c r="E21" s="17" t="s">
        <v>154</v>
      </c>
      <c r="F21" s="18" t="s">
        <v>154</v>
      </c>
      <c r="G21" s="17" t="s">
        <v>154</v>
      </c>
      <c r="H21" s="18" t="s">
        <v>154</v>
      </c>
      <c r="I21" s="17" t="s">
        <v>154</v>
      </c>
      <c r="J21" s="18" t="s">
        <v>154</v>
      </c>
      <c r="K21" s="17" t="s">
        <v>154</v>
      </c>
      <c r="L21" s="18" t="s">
        <v>154</v>
      </c>
      <c r="M21" s="17" t="s">
        <v>154</v>
      </c>
      <c r="N21" s="18" t="s">
        <v>154</v>
      </c>
      <c r="O21" s="17" t="s">
        <v>154</v>
      </c>
      <c r="P21" s="18" t="s">
        <v>154</v>
      </c>
      <c r="Q21" s="17" t="s">
        <v>154</v>
      </c>
      <c r="R21" s="18" t="s">
        <v>154</v>
      </c>
    </row>
    <row r="22" spans="1:18" x14ac:dyDescent="0.25">
      <c r="A22" s="11" t="s">
        <v>155</v>
      </c>
      <c r="B22" s="13">
        <v>6598</v>
      </c>
      <c r="C22" s="14">
        <f>(5579/B22*100)</f>
        <v>84.555926038193391</v>
      </c>
      <c r="D22" s="15">
        <v>1019</v>
      </c>
      <c r="E22" s="14">
        <v>45.093501949999997</v>
      </c>
      <c r="F22" s="16">
        <v>1.9559013300000001</v>
      </c>
      <c r="G22" s="14">
        <v>54.906498050000003</v>
      </c>
      <c r="H22" s="16">
        <v>1.9559013300000001</v>
      </c>
      <c r="I22" s="14" t="s">
        <v>139</v>
      </c>
      <c r="J22" s="16" t="s">
        <v>139</v>
      </c>
      <c r="K22" s="14">
        <v>0</v>
      </c>
      <c r="L22" s="16">
        <v>0</v>
      </c>
      <c r="M22" s="14">
        <v>0</v>
      </c>
      <c r="N22" s="16">
        <v>0</v>
      </c>
      <c r="O22" s="14">
        <v>0</v>
      </c>
      <c r="P22" s="16">
        <v>0</v>
      </c>
      <c r="Q22" s="14">
        <v>0</v>
      </c>
      <c r="R22" s="16">
        <v>0</v>
      </c>
    </row>
    <row r="23" spans="1:18" x14ac:dyDescent="0.25">
      <c r="A23" s="11" t="s">
        <v>156</v>
      </c>
      <c r="B23" s="13">
        <v>11583</v>
      </c>
      <c r="C23" s="14">
        <f>(9622/B23*100)</f>
        <v>83.07001640334974</v>
      </c>
      <c r="D23" s="15">
        <v>1961</v>
      </c>
      <c r="E23" s="14">
        <v>40.931845979999999</v>
      </c>
      <c r="F23" s="16">
        <v>1.6630896500000001</v>
      </c>
      <c r="G23" s="14">
        <v>59.068154020000001</v>
      </c>
      <c r="H23" s="16">
        <v>1.6630896500000001</v>
      </c>
      <c r="I23" s="14" t="s">
        <v>139</v>
      </c>
      <c r="J23" s="16" t="s">
        <v>139</v>
      </c>
      <c r="K23" s="14">
        <v>0</v>
      </c>
      <c r="L23" s="16">
        <v>0</v>
      </c>
      <c r="M23" s="14">
        <v>0</v>
      </c>
      <c r="N23" s="16">
        <v>0</v>
      </c>
      <c r="O23" s="14">
        <v>0</v>
      </c>
      <c r="P23" s="16">
        <v>0</v>
      </c>
      <c r="Q23" s="14">
        <v>0</v>
      </c>
      <c r="R23" s="16">
        <v>0</v>
      </c>
    </row>
    <row r="24" spans="1:18" x14ac:dyDescent="0.25">
      <c r="A24" s="11" t="s">
        <v>157</v>
      </c>
      <c r="B24" s="13">
        <v>6647</v>
      </c>
      <c r="C24" s="14">
        <f>(5473/B24*100)</f>
        <v>82.337896795546868</v>
      </c>
      <c r="D24" s="15">
        <v>1174</v>
      </c>
      <c r="E24" s="14">
        <v>35.776158430000002</v>
      </c>
      <c r="F24" s="16">
        <v>1.35438635</v>
      </c>
      <c r="G24" s="14">
        <v>64.223841570000005</v>
      </c>
      <c r="H24" s="16">
        <v>1.35438635</v>
      </c>
      <c r="I24" s="14" t="s">
        <v>139</v>
      </c>
      <c r="J24" s="16" t="s">
        <v>139</v>
      </c>
      <c r="K24" s="14">
        <v>0</v>
      </c>
      <c r="L24" s="16">
        <v>0</v>
      </c>
      <c r="M24" s="14">
        <v>0</v>
      </c>
      <c r="N24" s="16">
        <v>0</v>
      </c>
      <c r="O24" s="14">
        <v>0</v>
      </c>
      <c r="P24" s="16">
        <v>0</v>
      </c>
      <c r="Q24" s="14">
        <v>0</v>
      </c>
      <c r="R24" s="16">
        <v>0</v>
      </c>
    </row>
    <row r="25" spans="1:18" x14ac:dyDescent="0.25">
      <c r="A25" s="11" t="s">
        <v>158</v>
      </c>
      <c r="B25" s="13">
        <v>5581</v>
      </c>
      <c r="C25" s="14">
        <f>(4597/B25*100)</f>
        <v>82.368751119870993</v>
      </c>
      <c r="D25" s="15">
        <v>984</v>
      </c>
      <c r="E25" s="14">
        <v>29.685241390000002</v>
      </c>
      <c r="F25" s="16">
        <v>1.5330666500000001</v>
      </c>
      <c r="G25" s="14">
        <v>70.314758609999998</v>
      </c>
      <c r="H25" s="16">
        <v>1.5330666500000001</v>
      </c>
      <c r="I25" s="14" t="s">
        <v>139</v>
      </c>
      <c r="J25" s="16" t="s">
        <v>139</v>
      </c>
      <c r="K25" s="14">
        <v>0</v>
      </c>
      <c r="L25" s="16">
        <v>0</v>
      </c>
      <c r="M25" s="14">
        <v>0</v>
      </c>
      <c r="N25" s="16">
        <v>0</v>
      </c>
      <c r="O25" s="14">
        <v>0</v>
      </c>
      <c r="P25" s="16">
        <v>0</v>
      </c>
      <c r="Q25" s="14">
        <v>0</v>
      </c>
      <c r="R25" s="16">
        <v>0</v>
      </c>
    </row>
    <row r="26" spans="1:18" x14ac:dyDescent="0.25">
      <c r="A26" s="11" t="s">
        <v>159</v>
      </c>
      <c r="B26" s="13">
        <v>4869</v>
      </c>
      <c r="C26" s="14">
        <f>(4038/B26*100)</f>
        <v>82.932840418977207</v>
      </c>
      <c r="D26" s="15">
        <v>831</v>
      </c>
      <c r="E26" s="14">
        <v>54.596352000000003</v>
      </c>
      <c r="F26" s="16">
        <v>1.80442301</v>
      </c>
      <c r="G26" s="14">
        <v>45.403647999999997</v>
      </c>
      <c r="H26" s="16">
        <v>1.80442301</v>
      </c>
      <c r="I26" s="14" t="s">
        <v>139</v>
      </c>
      <c r="J26" s="16" t="s">
        <v>139</v>
      </c>
      <c r="K26" s="14">
        <v>0</v>
      </c>
      <c r="L26" s="16">
        <v>0</v>
      </c>
      <c r="M26" s="14">
        <v>0</v>
      </c>
      <c r="N26" s="16">
        <v>0</v>
      </c>
      <c r="O26" s="14">
        <v>0</v>
      </c>
      <c r="P26" s="16">
        <v>0</v>
      </c>
      <c r="Q26" s="14">
        <v>0</v>
      </c>
      <c r="R26" s="16">
        <v>0</v>
      </c>
    </row>
    <row r="27" spans="1:18" x14ac:dyDescent="0.25">
      <c r="A27" s="11" t="s">
        <v>160</v>
      </c>
      <c r="B27" s="13">
        <v>5299</v>
      </c>
      <c r="C27" s="14">
        <f>(4418/B27*100)</f>
        <v>83.374221551236076</v>
      </c>
      <c r="D27" s="15">
        <v>881</v>
      </c>
      <c r="E27" s="14">
        <v>53.257057760000002</v>
      </c>
      <c r="F27" s="16">
        <v>1.5568487099999999</v>
      </c>
      <c r="G27" s="14">
        <v>46.742942239999998</v>
      </c>
      <c r="H27" s="16">
        <v>1.5568487099999999</v>
      </c>
      <c r="I27" s="14" t="s">
        <v>139</v>
      </c>
      <c r="J27" s="16" t="s">
        <v>139</v>
      </c>
      <c r="K27" s="14">
        <v>0</v>
      </c>
      <c r="L27" s="16">
        <v>0</v>
      </c>
      <c r="M27" s="14">
        <v>0</v>
      </c>
      <c r="N27" s="16">
        <v>0</v>
      </c>
      <c r="O27" s="14">
        <v>0</v>
      </c>
      <c r="P27" s="16">
        <v>0</v>
      </c>
      <c r="Q27" s="14">
        <v>0</v>
      </c>
      <c r="R27" s="16">
        <v>0</v>
      </c>
    </row>
    <row r="28" spans="1:18" x14ac:dyDescent="0.25">
      <c r="A28" s="11" t="s">
        <v>161</v>
      </c>
      <c r="B28" s="13">
        <v>7568</v>
      </c>
      <c r="C28" s="14">
        <f>(6380/B28*100)</f>
        <v>84.302325581395351</v>
      </c>
      <c r="D28" s="15">
        <v>1188</v>
      </c>
      <c r="E28" s="14">
        <v>48.976155779999999</v>
      </c>
      <c r="F28" s="16">
        <v>1.72546617</v>
      </c>
      <c r="G28" s="14">
        <v>51.023844220000001</v>
      </c>
      <c r="H28" s="16">
        <v>1.72546617</v>
      </c>
      <c r="I28" s="14" t="s">
        <v>139</v>
      </c>
      <c r="J28" s="16" t="s">
        <v>139</v>
      </c>
      <c r="K28" s="14">
        <v>0</v>
      </c>
      <c r="L28" s="16">
        <v>0</v>
      </c>
      <c r="M28" s="14">
        <v>0</v>
      </c>
      <c r="N28" s="16">
        <v>0</v>
      </c>
      <c r="O28" s="14">
        <v>0</v>
      </c>
      <c r="P28" s="16">
        <v>0</v>
      </c>
      <c r="Q28" s="14">
        <v>0</v>
      </c>
      <c r="R28" s="16">
        <v>0</v>
      </c>
    </row>
    <row r="29" spans="1:18" x14ac:dyDescent="0.25">
      <c r="A29" s="11" t="s">
        <v>162</v>
      </c>
      <c r="B29" s="13">
        <v>5385</v>
      </c>
      <c r="C29" s="14">
        <f>(4468/B29*100)</f>
        <v>82.971216341689882</v>
      </c>
      <c r="D29" s="15">
        <v>917</v>
      </c>
      <c r="E29" s="14">
        <v>37.584359659999997</v>
      </c>
      <c r="F29" s="16">
        <v>1.4778335600000001</v>
      </c>
      <c r="G29" s="14">
        <v>62.415640340000003</v>
      </c>
      <c r="H29" s="16">
        <v>1.4778335600000001</v>
      </c>
      <c r="I29" s="14" t="s">
        <v>139</v>
      </c>
      <c r="J29" s="16" t="s">
        <v>139</v>
      </c>
      <c r="K29" s="14">
        <v>0</v>
      </c>
      <c r="L29" s="16">
        <v>0</v>
      </c>
      <c r="M29" s="14">
        <v>0</v>
      </c>
      <c r="N29" s="16">
        <v>0</v>
      </c>
      <c r="O29" s="14">
        <v>0</v>
      </c>
      <c r="P29" s="16">
        <v>0</v>
      </c>
      <c r="Q29" s="14">
        <v>0</v>
      </c>
      <c r="R29" s="16">
        <v>0</v>
      </c>
    </row>
    <row r="30" spans="1:18" x14ac:dyDescent="0.25">
      <c r="A30" s="11" t="s">
        <v>163</v>
      </c>
      <c r="B30" s="13">
        <v>4520</v>
      </c>
      <c r="C30" s="14">
        <f>(3771/B30*100)</f>
        <v>83.429203539823007</v>
      </c>
      <c r="D30" s="15">
        <v>749</v>
      </c>
      <c r="E30" s="14">
        <v>31.89220229</v>
      </c>
      <c r="F30" s="16">
        <v>1.6087418499999999</v>
      </c>
      <c r="G30" s="14">
        <v>68.10779771</v>
      </c>
      <c r="H30" s="16">
        <v>1.6087418499999999</v>
      </c>
      <c r="I30" s="14" t="s">
        <v>139</v>
      </c>
      <c r="J30" s="16" t="s">
        <v>139</v>
      </c>
      <c r="K30" s="14">
        <v>0</v>
      </c>
      <c r="L30" s="16">
        <v>0</v>
      </c>
      <c r="M30" s="14">
        <v>0</v>
      </c>
      <c r="N30" s="16">
        <v>0</v>
      </c>
      <c r="O30" s="14">
        <v>0</v>
      </c>
      <c r="P30" s="16">
        <v>0</v>
      </c>
      <c r="Q30" s="14">
        <v>0</v>
      </c>
      <c r="R30" s="16">
        <v>0</v>
      </c>
    </row>
    <row r="31" spans="1:18" x14ac:dyDescent="0.25">
      <c r="A31" s="11" t="s">
        <v>164</v>
      </c>
      <c r="B31" s="13">
        <v>5456</v>
      </c>
      <c r="C31" s="14">
        <f>(4500/B31*100)</f>
        <v>82.478005865102645</v>
      </c>
      <c r="D31" s="15">
        <v>956</v>
      </c>
      <c r="E31" s="14">
        <v>37.874398620000001</v>
      </c>
      <c r="F31" s="16">
        <v>1.7769663499999999</v>
      </c>
      <c r="G31" s="14">
        <v>62.125601379999999</v>
      </c>
      <c r="H31" s="16">
        <v>1.7769663499999999</v>
      </c>
      <c r="I31" s="14" t="s">
        <v>139</v>
      </c>
      <c r="J31" s="16" t="s">
        <v>139</v>
      </c>
      <c r="K31" s="14">
        <v>0</v>
      </c>
      <c r="L31" s="16">
        <v>0</v>
      </c>
      <c r="M31" s="14">
        <v>0</v>
      </c>
      <c r="N31" s="16">
        <v>0</v>
      </c>
      <c r="O31" s="14">
        <v>0</v>
      </c>
      <c r="P31" s="16">
        <v>0</v>
      </c>
      <c r="Q31" s="14">
        <v>0</v>
      </c>
      <c r="R31" s="16">
        <v>0</v>
      </c>
    </row>
    <row r="32" spans="1:18" x14ac:dyDescent="0.25">
      <c r="A32" s="11" t="s">
        <v>165</v>
      </c>
      <c r="B32" s="17" t="s">
        <v>154</v>
      </c>
      <c r="C32" s="17" t="s">
        <v>154</v>
      </c>
      <c r="D32" s="18" t="s">
        <v>154</v>
      </c>
      <c r="E32" s="17" t="s">
        <v>154</v>
      </c>
      <c r="F32" s="18" t="s">
        <v>154</v>
      </c>
      <c r="G32" s="17" t="s">
        <v>154</v>
      </c>
      <c r="H32" s="18" t="s">
        <v>154</v>
      </c>
      <c r="I32" s="17" t="s">
        <v>154</v>
      </c>
      <c r="J32" s="18" t="s">
        <v>154</v>
      </c>
      <c r="K32" s="17" t="s">
        <v>154</v>
      </c>
      <c r="L32" s="18" t="s">
        <v>154</v>
      </c>
      <c r="M32" s="17" t="s">
        <v>154</v>
      </c>
      <c r="N32" s="18" t="s">
        <v>154</v>
      </c>
      <c r="O32" s="17" t="s">
        <v>154</v>
      </c>
      <c r="P32" s="18" t="s">
        <v>154</v>
      </c>
      <c r="Q32" s="17" t="s">
        <v>154</v>
      </c>
      <c r="R32" s="18" t="s">
        <v>154</v>
      </c>
    </row>
    <row r="33" spans="1:18" x14ac:dyDescent="0.25">
      <c r="A33" s="11" t="s">
        <v>166</v>
      </c>
      <c r="B33" s="13">
        <v>7325</v>
      </c>
      <c r="C33" s="14">
        <f>(6087/B33*100)</f>
        <v>83.098976109215016</v>
      </c>
      <c r="D33" s="15">
        <v>1238</v>
      </c>
      <c r="E33" s="14">
        <v>42.585803630000001</v>
      </c>
      <c r="F33" s="16">
        <v>1.5082745099999999</v>
      </c>
      <c r="G33" s="14">
        <v>57.414196369999999</v>
      </c>
      <c r="H33" s="16">
        <v>1.5082745099999999</v>
      </c>
      <c r="I33" s="14" t="s">
        <v>139</v>
      </c>
      <c r="J33" s="16" t="s">
        <v>139</v>
      </c>
      <c r="K33" s="14">
        <v>0</v>
      </c>
      <c r="L33" s="16">
        <v>0</v>
      </c>
      <c r="M33" s="14">
        <v>0</v>
      </c>
      <c r="N33" s="16">
        <v>0</v>
      </c>
      <c r="O33" s="14">
        <v>0</v>
      </c>
      <c r="P33" s="16">
        <v>0</v>
      </c>
      <c r="Q33" s="14">
        <v>0</v>
      </c>
      <c r="R33" s="16">
        <v>0</v>
      </c>
    </row>
    <row r="34" spans="1:18" x14ac:dyDescent="0.25">
      <c r="A34" s="11" t="s">
        <v>167</v>
      </c>
      <c r="B34" s="13">
        <v>6350</v>
      </c>
      <c r="C34" s="14">
        <f>(5330/B34*100)</f>
        <v>83.937007874015748</v>
      </c>
      <c r="D34" s="15">
        <v>1020</v>
      </c>
      <c r="E34" s="14">
        <v>59.689699529999999</v>
      </c>
      <c r="F34" s="16">
        <v>1.8033021600000001</v>
      </c>
      <c r="G34" s="14">
        <v>40.310300470000001</v>
      </c>
      <c r="H34" s="16">
        <v>1.8033021600000001</v>
      </c>
      <c r="I34" s="14" t="s">
        <v>139</v>
      </c>
      <c r="J34" s="16" t="s">
        <v>139</v>
      </c>
      <c r="K34" s="14">
        <v>0</v>
      </c>
      <c r="L34" s="16">
        <v>0</v>
      </c>
      <c r="M34" s="14">
        <v>0</v>
      </c>
      <c r="N34" s="16">
        <v>0</v>
      </c>
      <c r="O34" s="14">
        <v>0</v>
      </c>
      <c r="P34" s="16">
        <v>0</v>
      </c>
      <c r="Q34" s="14">
        <v>0</v>
      </c>
      <c r="R34" s="16">
        <v>0</v>
      </c>
    </row>
    <row r="35" spans="1:18" x14ac:dyDescent="0.25">
      <c r="A35" s="11" t="s">
        <v>168</v>
      </c>
      <c r="B35" s="13">
        <v>6406</v>
      </c>
      <c r="C35" s="14">
        <f>(5332/B35*100)</f>
        <v>83.234467686543866</v>
      </c>
      <c r="D35" s="15">
        <v>1074</v>
      </c>
      <c r="E35" s="14">
        <v>40.812879610000003</v>
      </c>
      <c r="F35" s="16">
        <v>1.72264101</v>
      </c>
      <c r="G35" s="14">
        <v>59.187120389999997</v>
      </c>
      <c r="H35" s="16">
        <v>1.72264101</v>
      </c>
      <c r="I35" s="14" t="s">
        <v>139</v>
      </c>
      <c r="J35" s="16" t="s">
        <v>139</v>
      </c>
      <c r="K35" s="14">
        <v>0</v>
      </c>
      <c r="L35" s="16">
        <v>0</v>
      </c>
      <c r="M35" s="14">
        <v>0</v>
      </c>
      <c r="N35" s="16">
        <v>0</v>
      </c>
      <c r="O35" s="14">
        <v>0</v>
      </c>
      <c r="P35" s="16">
        <v>0</v>
      </c>
      <c r="Q35" s="14">
        <v>0</v>
      </c>
      <c r="R35" s="16">
        <v>0</v>
      </c>
    </row>
    <row r="36" spans="1:18" x14ac:dyDescent="0.25">
      <c r="A36" s="11" t="s">
        <v>169</v>
      </c>
      <c r="B36" s="13">
        <v>6736</v>
      </c>
      <c r="C36" s="14">
        <f>(5607/B36*100)</f>
        <v>83.239311163895493</v>
      </c>
      <c r="D36" s="15">
        <v>1129</v>
      </c>
      <c r="E36" s="14">
        <v>48.867585200000001</v>
      </c>
      <c r="F36" s="16">
        <v>1.77716904</v>
      </c>
      <c r="G36" s="14">
        <v>51.132414799999999</v>
      </c>
      <c r="H36" s="16">
        <v>1.77716904</v>
      </c>
      <c r="I36" s="14" t="s">
        <v>139</v>
      </c>
      <c r="J36" s="16" t="s">
        <v>139</v>
      </c>
      <c r="K36" s="14">
        <v>0</v>
      </c>
      <c r="L36" s="16">
        <v>0</v>
      </c>
      <c r="M36" s="14">
        <v>0</v>
      </c>
      <c r="N36" s="16">
        <v>0</v>
      </c>
      <c r="O36" s="14">
        <v>0</v>
      </c>
      <c r="P36" s="16">
        <v>0</v>
      </c>
      <c r="Q36" s="14">
        <v>0</v>
      </c>
      <c r="R36" s="16">
        <v>0</v>
      </c>
    </row>
    <row r="37" spans="1:18" x14ac:dyDescent="0.25">
      <c r="A37" s="11" t="s">
        <v>170</v>
      </c>
      <c r="B37" s="13">
        <v>5458</v>
      </c>
      <c r="C37" s="14">
        <f>(4541/B37*100)</f>
        <v>83.198973983144015</v>
      </c>
      <c r="D37" s="15">
        <v>917</v>
      </c>
      <c r="E37" s="14">
        <v>56.709634360000003</v>
      </c>
      <c r="F37" s="16">
        <v>1.61225569</v>
      </c>
      <c r="G37" s="14">
        <v>43.290365639999997</v>
      </c>
      <c r="H37" s="16">
        <v>1.61225569</v>
      </c>
      <c r="I37" s="14" t="s">
        <v>139</v>
      </c>
      <c r="J37" s="16" t="s">
        <v>139</v>
      </c>
      <c r="K37" s="14">
        <v>0</v>
      </c>
      <c r="L37" s="16">
        <v>0</v>
      </c>
      <c r="M37" s="14">
        <v>0</v>
      </c>
      <c r="N37" s="16">
        <v>0</v>
      </c>
      <c r="O37" s="14">
        <v>0</v>
      </c>
      <c r="P37" s="16">
        <v>0</v>
      </c>
      <c r="Q37" s="14">
        <v>0</v>
      </c>
      <c r="R37" s="16">
        <v>0</v>
      </c>
    </row>
    <row r="38" spans="1:18" x14ac:dyDescent="0.25">
      <c r="A38" s="11" t="s">
        <v>171</v>
      </c>
      <c r="B38" s="17" t="s">
        <v>154</v>
      </c>
      <c r="C38" s="17" t="s">
        <v>154</v>
      </c>
      <c r="D38" s="18" t="s">
        <v>154</v>
      </c>
      <c r="E38" s="17" t="s">
        <v>154</v>
      </c>
      <c r="F38" s="18" t="s">
        <v>154</v>
      </c>
      <c r="G38" s="17" t="s">
        <v>154</v>
      </c>
      <c r="H38" s="18" t="s">
        <v>154</v>
      </c>
      <c r="I38" s="17" t="s">
        <v>154</v>
      </c>
      <c r="J38" s="18" t="s">
        <v>154</v>
      </c>
      <c r="K38" s="17" t="s">
        <v>154</v>
      </c>
      <c r="L38" s="18" t="s">
        <v>154</v>
      </c>
      <c r="M38" s="17" t="s">
        <v>154</v>
      </c>
      <c r="N38" s="18" t="s">
        <v>154</v>
      </c>
      <c r="O38" s="17" t="s">
        <v>154</v>
      </c>
      <c r="P38" s="18" t="s">
        <v>154</v>
      </c>
      <c r="Q38" s="17" t="s">
        <v>154</v>
      </c>
      <c r="R38" s="18" t="s">
        <v>154</v>
      </c>
    </row>
    <row r="39" spans="1:18" x14ac:dyDescent="0.25">
      <c r="A39" s="11" t="s">
        <v>172</v>
      </c>
      <c r="B39" s="13">
        <v>5895</v>
      </c>
      <c r="C39" s="14">
        <f>(4865/B39*100)</f>
        <v>82.527565733672603</v>
      </c>
      <c r="D39" s="15">
        <v>1030</v>
      </c>
      <c r="E39" s="14">
        <v>50.507107980000001</v>
      </c>
      <c r="F39" s="16">
        <v>2.2222860899999999</v>
      </c>
      <c r="G39" s="14">
        <v>49.492892019999999</v>
      </c>
      <c r="H39" s="16">
        <v>2.2222860899999999</v>
      </c>
      <c r="I39" s="14" t="s">
        <v>139</v>
      </c>
      <c r="J39" s="16" t="s">
        <v>139</v>
      </c>
      <c r="K39" s="14">
        <v>0</v>
      </c>
      <c r="L39" s="16">
        <v>0</v>
      </c>
      <c r="M39" s="14">
        <v>0</v>
      </c>
      <c r="N39" s="16">
        <v>0</v>
      </c>
      <c r="O39" s="14">
        <v>0</v>
      </c>
      <c r="P39" s="16">
        <v>0</v>
      </c>
      <c r="Q39" s="14">
        <v>0</v>
      </c>
      <c r="R39" s="16">
        <v>0</v>
      </c>
    </row>
    <row r="40" spans="1:18" x14ac:dyDescent="0.25">
      <c r="A40" s="11" t="s">
        <v>173</v>
      </c>
      <c r="B40" s="13">
        <v>14157</v>
      </c>
      <c r="C40" s="14">
        <f>(11680/B40*100)</f>
        <v>82.50335523062796</v>
      </c>
      <c r="D40" s="15">
        <v>2477</v>
      </c>
      <c r="E40" s="14">
        <v>31.663077940000001</v>
      </c>
      <c r="F40" s="16">
        <v>1.63931815</v>
      </c>
      <c r="G40" s="14">
        <v>68.336922060000006</v>
      </c>
      <c r="H40" s="16">
        <v>1.63931815</v>
      </c>
      <c r="I40" s="14" t="s">
        <v>139</v>
      </c>
      <c r="J40" s="16" t="s">
        <v>139</v>
      </c>
      <c r="K40" s="14">
        <v>0</v>
      </c>
      <c r="L40" s="16">
        <v>0</v>
      </c>
      <c r="M40" s="14">
        <v>0</v>
      </c>
      <c r="N40" s="16">
        <v>0</v>
      </c>
      <c r="O40" s="14">
        <v>0</v>
      </c>
      <c r="P40" s="16">
        <v>0</v>
      </c>
      <c r="Q40" s="14">
        <v>0</v>
      </c>
      <c r="R40" s="16">
        <v>0</v>
      </c>
    </row>
    <row r="41" spans="1:18" x14ac:dyDescent="0.25">
      <c r="A41" s="11" t="s">
        <v>174</v>
      </c>
      <c r="B41" s="13">
        <v>5712</v>
      </c>
      <c r="C41" s="14">
        <f>(4763/B41*100)</f>
        <v>83.385854341736703</v>
      </c>
      <c r="D41" s="15">
        <v>949</v>
      </c>
      <c r="E41" s="14">
        <v>32.291442969999999</v>
      </c>
      <c r="F41" s="16">
        <v>1.4879351199999999</v>
      </c>
      <c r="G41" s="14">
        <v>67.708557029999994</v>
      </c>
      <c r="H41" s="16">
        <v>1.4879351199999999</v>
      </c>
      <c r="I41" s="14" t="s">
        <v>139</v>
      </c>
      <c r="J41" s="16" t="s">
        <v>139</v>
      </c>
      <c r="K41" s="14">
        <v>0</v>
      </c>
      <c r="L41" s="16">
        <v>0</v>
      </c>
      <c r="M41" s="14">
        <v>0</v>
      </c>
      <c r="N41" s="16">
        <v>0</v>
      </c>
      <c r="O41" s="14">
        <v>0</v>
      </c>
      <c r="P41" s="16">
        <v>0</v>
      </c>
      <c r="Q41" s="14">
        <v>0</v>
      </c>
      <c r="R41" s="16">
        <v>0</v>
      </c>
    </row>
    <row r="42" spans="1:18" x14ac:dyDescent="0.25">
      <c r="A42" s="11" t="s">
        <v>175</v>
      </c>
      <c r="B42" s="13">
        <f>IF(COUNT(B7:B41) &gt; 0, AVERAGE(B7:B41), "\u2014")</f>
        <v>7266.90625</v>
      </c>
      <c r="C42" s="14">
        <f>IF(COUNT(C7:C41) &gt; 0, AVERAGE(C7:C41), "—")</f>
        <v>83.243101146252428</v>
      </c>
      <c r="D42" s="15">
        <f>IF(COUNT(D7:D41) &gt; 0, AVERAGE(D7:D41), "—")</f>
        <v>1218.28125</v>
      </c>
      <c r="E42" s="14">
        <f>IF(COUNT(E7:E41) &gt; 0, AVERAGE(E7:E41), "—")</f>
        <v>42.727030406875002</v>
      </c>
      <c r="F42" s="16">
        <f>IF(COUNT(F7:F41) &gt; 0, SQRT(SUMSQ(F7:F41)/(COUNT(F7:F41)*COUNT(F7:F41)) ), "—")</f>
        <v>0.29198404543891193</v>
      </c>
      <c r="G42" s="14">
        <f>IF(COUNT(G7:G41) &gt; 0, AVERAGE(G7:G41), "—")</f>
        <v>57.272969593124998</v>
      </c>
      <c r="H42" s="16">
        <f>IF(COUNT(H7:H41) &gt; 0, SQRT(SUMSQ(H7:H41)/(COUNT(H7:H41)*COUNT(H7:H41)) ), "—")</f>
        <v>0.29198404543891193</v>
      </c>
      <c r="I42" s="14" t="str">
        <f>IF(COUNT(I7:I41) &gt; 0, AVERAGE(I7:I41), "—")</f>
        <v>—</v>
      </c>
      <c r="J42" s="16" t="str">
        <f>IF(COUNT(J7:J41) &gt; 0, SQRT(SUMSQ(J7:J41)/(COUNT(J7:J41)*COUNT(J7:J41)) ), "—")</f>
        <v>—</v>
      </c>
      <c r="K42" s="14">
        <f>IF(COUNT(K7:K41) &gt; 0, AVERAGE(K7:K41), "—")</f>
        <v>0</v>
      </c>
      <c r="L42" s="16">
        <f>IF(COUNT(L7:L41) &gt; 0, SQRT(SUMSQ(L7:L41)/(COUNT(L7:L41)*COUNT(L7:L41)) ), "—")</f>
        <v>0</v>
      </c>
      <c r="M42" s="14">
        <f>IF(COUNT(M7:M41) &gt; 0, AVERAGE(M7:M41), "—")</f>
        <v>0</v>
      </c>
      <c r="N42" s="16">
        <f>IF(COUNT(N7:N41) &gt; 0, SQRT(SUMSQ(N7:N41)/(COUNT(N7:N41)*COUNT(N7:N41)) ), "—")</f>
        <v>0</v>
      </c>
      <c r="O42" s="14">
        <f>IF(COUNT(O7:O41) &gt; 0, AVERAGE(O7:O41), "—")</f>
        <v>0</v>
      </c>
      <c r="P42" s="16">
        <f>IF(COUNT(P7:P41) &gt; 0, SQRT(SUMSQ(P7:P41)/(COUNT(P7:P41)*COUNT(P7:P41)) ), "—")</f>
        <v>0</v>
      </c>
      <c r="Q42" s="14">
        <f>IF(COUNT(Q7:Q41) &gt; 0, AVERAGE(Q7:Q41), "—")</f>
        <v>0</v>
      </c>
      <c r="R42" s="16">
        <f>IF(COUNT(R7:R41) &gt; 0, SQRT(SUMSQ(R7:R41)/(COUNT(R7:R41)*COUNT(R7:R41)) ), "—")</f>
        <v>0</v>
      </c>
    </row>
    <row r="43" spans="1:18" x14ac:dyDescent="0.25">
      <c r="A43" s="9" t="s">
        <v>176</v>
      </c>
      <c r="B43" s="10"/>
      <c r="C43" s="10"/>
      <c r="D43" s="11"/>
      <c r="E43" s="10"/>
      <c r="F43" s="11"/>
      <c r="G43" s="10"/>
      <c r="H43" s="11"/>
      <c r="I43" s="10"/>
      <c r="J43" s="11"/>
      <c r="K43" s="10"/>
      <c r="L43" s="11"/>
      <c r="M43" s="10"/>
      <c r="N43" s="11"/>
      <c r="O43" s="10"/>
      <c r="P43" s="11"/>
      <c r="Q43" s="10"/>
      <c r="R43" s="12"/>
    </row>
    <row r="44" spans="1:18" x14ac:dyDescent="0.25">
      <c r="A44" s="11" t="s">
        <v>177</v>
      </c>
      <c r="B44" s="17" t="s">
        <v>154</v>
      </c>
      <c r="C44" s="17" t="s">
        <v>154</v>
      </c>
      <c r="D44" s="18" t="s">
        <v>154</v>
      </c>
      <c r="E44" s="17" t="s">
        <v>154</v>
      </c>
      <c r="F44" s="18" t="s">
        <v>154</v>
      </c>
      <c r="G44" s="17" t="s">
        <v>154</v>
      </c>
      <c r="H44" s="18" t="s">
        <v>154</v>
      </c>
      <c r="I44" s="17" t="s">
        <v>154</v>
      </c>
      <c r="J44" s="18" t="s">
        <v>154</v>
      </c>
      <c r="K44" s="17" t="s">
        <v>154</v>
      </c>
      <c r="L44" s="18" t="s">
        <v>154</v>
      </c>
      <c r="M44" s="17" t="s">
        <v>154</v>
      </c>
      <c r="N44" s="18" t="s">
        <v>154</v>
      </c>
      <c r="O44" s="17" t="s">
        <v>154</v>
      </c>
      <c r="P44" s="18" t="s">
        <v>154</v>
      </c>
      <c r="Q44" s="17" t="s">
        <v>154</v>
      </c>
      <c r="R44" s="18" t="s">
        <v>154</v>
      </c>
    </row>
    <row r="45" spans="1:18" x14ac:dyDescent="0.25">
      <c r="A45" s="11" t="s">
        <v>178</v>
      </c>
      <c r="B45" s="17" t="s">
        <v>154</v>
      </c>
      <c r="C45" s="17" t="s">
        <v>154</v>
      </c>
      <c r="D45" s="18" t="s">
        <v>154</v>
      </c>
      <c r="E45" s="17" t="s">
        <v>154</v>
      </c>
      <c r="F45" s="18" t="s">
        <v>154</v>
      </c>
      <c r="G45" s="17" t="s">
        <v>154</v>
      </c>
      <c r="H45" s="18" t="s">
        <v>154</v>
      </c>
      <c r="I45" s="17" t="s">
        <v>154</v>
      </c>
      <c r="J45" s="18" t="s">
        <v>154</v>
      </c>
      <c r="K45" s="17" t="s">
        <v>154</v>
      </c>
      <c r="L45" s="18" t="s">
        <v>154</v>
      </c>
      <c r="M45" s="17" t="s">
        <v>154</v>
      </c>
      <c r="N45" s="18" t="s">
        <v>154</v>
      </c>
      <c r="O45" s="17" t="s">
        <v>154</v>
      </c>
      <c r="P45" s="18" t="s">
        <v>154</v>
      </c>
      <c r="Q45" s="17" t="s">
        <v>154</v>
      </c>
      <c r="R45" s="18" t="s">
        <v>154</v>
      </c>
    </row>
    <row r="46" spans="1:18" x14ac:dyDescent="0.25">
      <c r="A46" s="11" t="s">
        <v>179</v>
      </c>
      <c r="B46" s="13">
        <v>23141</v>
      </c>
      <c r="C46" s="14">
        <f>(20079/B46*100)</f>
        <v>86.768073981245408</v>
      </c>
      <c r="D46" s="15">
        <v>3062</v>
      </c>
      <c r="E46" s="14">
        <v>61.133632179999999</v>
      </c>
      <c r="F46" s="16">
        <v>1.2822432100000001</v>
      </c>
      <c r="G46" s="14">
        <v>38.866367820000001</v>
      </c>
      <c r="H46" s="16">
        <v>1.2822432100000001</v>
      </c>
      <c r="I46" s="14" t="s">
        <v>139</v>
      </c>
      <c r="J46" s="16" t="s">
        <v>139</v>
      </c>
      <c r="K46" s="14">
        <v>0</v>
      </c>
      <c r="L46" s="16">
        <v>0</v>
      </c>
      <c r="M46" s="14">
        <v>0</v>
      </c>
      <c r="N46" s="16">
        <v>0</v>
      </c>
      <c r="O46" s="14">
        <v>0</v>
      </c>
      <c r="P46" s="16">
        <v>0</v>
      </c>
      <c r="Q46" s="14">
        <v>0</v>
      </c>
      <c r="R46" s="16">
        <v>0</v>
      </c>
    </row>
    <row r="47" spans="1:18" x14ac:dyDescent="0.25">
      <c r="A47" s="11" t="s">
        <v>180</v>
      </c>
      <c r="B47" s="13">
        <v>5928</v>
      </c>
      <c r="C47" s="14">
        <f>(4949/B47*100)</f>
        <v>83.485155195681514</v>
      </c>
      <c r="D47" s="15">
        <v>979</v>
      </c>
      <c r="E47" s="14">
        <v>52.253774579999998</v>
      </c>
      <c r="F47" s="16">
        <v>1.95271737</v>
      </c>
      <c r="G47" s="14">
        <v>47.746225420000002</v>
      </c>
      <c r="H47" s="16">
        <v>1.95271737</v>
      </c>
      <c r="I47" s="14" t="s">
        <v>139</v>
      </c>
      <c r="J47" s="16" t="s">
        <v>139</v>
      </c>
      <c r="K47" s="14">
        <v>0</v>
      </c>
      <c r="L47" s="16">
        <v>0</v>
      </c>
      <c r="M47" s="14">
        <v>0</v>
      </c>
      <c r="N47" s="16">
        <v>0</v>
      </c>
      <c r="O47" s="14">
        <v>0</v>
      </c>
      <c r="P47" s="16">
        <v>0</v>
      </c>
      <c r="Q47" s="14">
        <v>0</v>
      </c>
      <c r="R47" s="16">
        <v>0</v>
      </c>
    </row>
    <row r="48" spans="1:18" x14ac:dyDescent="0.25">
      <c r="A48" s="11" t="s">
        <v>181</v>
      </c>
      <c r="B48" s="13">
        <v>9841</v>
      </c>
      <c r="C48" s="14">
        <f>(8141/B48*100)</f>
        <v>82.725332791382982</v>
      </c>
      <c r="D48" s="15">
        <v>1700</v>
      </c>
      <c r="E48" s="14">
        <v>52.790494219999999</v>
      </c>
      <c r="F48" s="16">
        <v>1.6621667499999999</v>
      </c>
      <c r="G48" s="14">
        <v>47.209505780000001</v>
      </c>
      <c r="H48" s="16">
        <v>1.6621667499999999</v>
      </c>
      <c r="I48" s="14" t="s">
        <v>139</v>
      </c>
      <c r="J48" s="16" t="s">
        <v>139</v>
      </c>
      <c r="K48" s="14">
        <v>0</v>
      </c>
      <c r="L48" s="16">
        <v>0</v>
      </c>
      <c r="M48" s="14">
        <v>0</v>
      </c>
      <c r="N48" s="16">
        <v>0</v>
      </c>
      <c r="O48" s="14">
        <v>0</v>
      </c>
      <c r="P48" s="16">
        <v>0</v>
      </c>
      <c r="Q48" s="14">
        <v>0</v>
      </c>
      <c r="R48" s="16">
        <v>0</v>
      </c>
    </row>
    <row r="49" spans="1:18" x14ac:dyDescent="0.25">
      <c r="A49" s="11" t="s">
        <v>182</v>
      </c>
      <c r="B49" s="17" t="s">
        <v>154</v>
      </c>
      <c r="C49" s="17" t="s">
        <v>154</v>
      </c>
      <c r="D49" s="18" t="s">
        <v>154</v>
      </c>
      <c r="E49" s="17" t="s">
        <v>154</v>
      </c>
      <c r="F49" s="18" t="s">
        <v>154</v>
      </c>
      <c r="G49" s="17" t="s">
        <v>154</v>
      </c>
      <c r="H49" s="18" t="s">
        <v>154</v>
      </c>
      <c r="I49" s="17" t="s">
        <v>154</v>
      </c>
      <c r="J49" s="18" t="s">
        <v>154</v>
      </c>
      <c r="K49" s="17" t="s">
        <v>154</v>
      </c>
      <c r="L49" s="18" t="s">
        <v>154</v>
      </c>
      <c r="M49" s="17" t="s">
        <v>154</v>
      </c>
      <c r="N49" s="18" t="s">
        <v>154</v>
      </c>
      <c r="O49" s="17" t="s">
        <v>154</v>
      </c>
      <c r="P49" s="18" t="s">
        <v>154</v>
      </c>
      <c r="Q49" s="17" t="s">
        <v>154</v>
      </c>
      <c r="R49" s="18" t="s">
        <v>154</v>
      </c>
    </row>
    <row r="50" spans="1:18" x14ac:dyDescent="0.25">
      <c r="A50" s="11" t="s">
        <v>183</v>
      </c>
      <c r="B50" s="13">
        <v>11795</v>
      </c>
      <c r="C50" s="14">
        <f>(9899/B50*100)</f>
        <v>83.925392115303097</v>
      </c>
      <c r="D50" s="15">
        <v>1896</v>
      </c>
      <c r="E50" s="14">
        <v>50.787865480000001</v>
      </c>
      <c r="F50" s="16">
        <v>1.42998706</v>
      </c>
      <c r="G50" s="14">
        <v>49.212134519999999</v>
      </c>
      <c r="H50" s="16">
        <v>1.42998706</v>
      </c>
      <c r="I50" s="14" t="s">
        <v>139</v>
      </c>
      <c r="J50" s="16" t="s">
        <v>139</v>
      </c>
      <c r="K50" s="14">
        <v>0</v>
      </c>
      <c r="L50" s="16">
        <v>0</v>
      </c>
      <c r="M50" s="14">
        <v>0</v>
      </c>
      <c r="N50" s="16">
        <v>0</v>
      </c>
      <c r="O50" s="14">
        <v>0</v>
      </c>
      <c r="P50" s="16">
        <v>0</v>
      </c>
      <c r="Q50" s="14">
        <v>0</v>
      </c>
      <c r="R50" s="16">
        <v>0</v>
      </c>
    </row>
    <row r="51" spans="1:18" x14ac:dyDescent="0.25">
      <c r="A51" s="11" t="s">
        <v>184</v>
      </c>
      <c r="B51" s="13">
        <v>6866</v>
      </c>
      <c r="C51" s="14">
        <f>(5872/B51*100)</f>
        <v>85.522866297698812</v>
      </c>
      <c r="D51" s="15">
        <v>994</v>
      </c>
      <c r="E51" s="14">
        <v>56.187017709999999</v>
      </c>
      <c r="F51" s="16">
        <v>1.8080950899999999</v>
      </c>
      <c r="G51" s="14">
        <v>43.812982290000001</v>
      </c>
      <c r="H51" s="16">
        <v>1.8080950899999999</v>
      </c>
      <c r="I51" s="14" t="s">
        <v>139</v>
      </c>
      <c r="J51" s="16" t="s">
        <v>139</v>
      </c>
      <c r="K51" s="14">
        <v>0</v>
      </c>
      <c r="L51" s="16">
        <v>0</v>
      </c>
      <c r="M51" s="14">
        <v>0</v>
      </c>
      <c r="N51" s="16">
        <v>0</v>
      </c>
      <c r="O51" s="14">
        <v>0</v>
      </c>
      <c r="P51" s="16">
        <v>0</v>
      </c>
      <c r="Q51" s="14">
        <v>0</v>
      </c>
      <c r="R51" s="16">
        <v>0</v>
      </c>
    </row>
    <row r="52" spans="1:18" x14ac:dyDescent="0.25">
      <c r="A52" s="11" t="s">
        <v>185</v>
      </c>
      <c r="B52" s="13">
        <v>5809</v>
      </c>
      <c r="C52" s="14">
        <f>(4826/B52*100)</f>
        <v>83.077982441039765</v>
      </c>
      <c r="D52" s="15">
        <v>983</v>
      </c>
      <c r="E52" s="14">
        <v>41.751128860000001</v>
      </c>
      <c r="F52" s="16">
        <v>1.82560773</v>
      </c>
      <c r="G52" s="14">
        <v>58.248871139999999</v>
      </c>
      <c r="H52" s="16">
        <v>1.82560773</v>
      </c>
      <c r="I52" s="14" t="s">
        <v>139</v>
      </c>
      <c r="J52" s="16" t="s">
        <v>139</v>
      </c>
      <c r="K52" s="14">
        <v>0</v>
      </c>
      <c r="L52" s="16">
        <v>0</v>
      </c>
      <c r="M52" s="14">
        <v>0</v>
      </c>
      <c r="N52" s="16">
        <v>0</v>
      </c>
      <c r="O52" s="14">
        <v>0</v>
      </c>
      <c r="P52" s="16">
        <v>0</v>
      </c>
      <c r="Q52" s="14">
        <v>0</v>
      </c>
      <c r="R52" s="16">
        <v>0</v>
      </c>
    </row>
    <row r="53" spans="1:18" x14ac:dyDescent="0.25">
      <c r="A53" s="11" t="s">
        <v>186</v>
      </c>
      <c r="B53" s="13">
        <v>5571</v>
      </c>
      <c r="C53" s="14">
        <f>(4611/B53*100)</f>
        <v>82.767905223478735</v>
      </c>
      <c r="D53" s="15">
        <v>960</v>
      </c>
      <c r="E53" s="14">
        <v>56.261515879999997</v>
      </c>
      <c r="F53" s="16">
        <v>1.60530858</v>
      </c>
      <c r="G53" s="14">
        <v>43.738484120000003</v>
      </c>
      <c r="H53" s="16">
        <v>1.60530858</v>
      </c>
      <c r="I53" s="14" t="s">
        <v>139</v>
      </c>
      <c r="J53" s="16" t="s">
        <v>139</v>
      </c>
      <c r="K53" s="14">
        <v>0</v>
      </c>
      <c r="L53" s="16">
        <v>0</v>
      </c>
      <c r="M53" s="14">
        <v>0</v>
      </c>
      <c r="N53" s="16">
        <v>0</v>
      </c>
      <c r="O53" s="14">
        <v>0</v>
      </c>
      <c r="P53" s="16">
        <v>0</v>
      </c>
      <c r="Q53" s="14">
        <v>0</v>
      </c>
      <c r="R53" s="16">
        <v>0</v>
      </c>
    </row>
    <row r="54" spans="1:18" x14ac:dyDescent="0.25">
      <c r="A54" s="11" t="s">
        <v>187</v>
      </c>
      <c r="B54" s="17" t="s">
        <v>154</v>
      </c>
      <c r="C54" s="17" t="s">
        <v>154</v>
      </c>
      <c r="D54" s="18" t="s">
        <v>154</v>
      </c>
      <c r="E54" s="17" t="s">
        <v>154</v>
      </c>
      <c r="F54" s="18" t="s">
        <v>154</v>
      </c>
      <c r="G54" s="17" t="s">
        <v>154</v>
      </c>
      <c r="H54" s="18" t="s">
        <v>154</v>
      </c>
      <c r="I54" s="17" t="s">
        <v>154</v>
      </c>
      <c r="J54" s="18" t="s">
        <v>154</v>
      </c>
      <c r="K54" s="17" t="s">
        <v>154</v>
      </c>
      <c r="L54" s="18" t="s">
        <v>154</v>
      </c>
      <c r="M54" s="17" t="s">
        <v>154</v>
      </c>
      <c r="N54" s="18" t="s">
        <v>154</v>
      </c>
      <c r="O54" s="17" t="s">
        <v>154</v>
      </c>
      <c r="P54" s="18" t="s">
        <v>154</v>
      </c>
      <c r="Q54" s="17" t="s">
        <v>154</v>
      </c>
      <c r="R54" s="18" t="s">
        <v>154</v>
      </c>
    </row>
    <row r="55" spans="1:18" x14ac:dyDescent="0.25">
      <c r="A55" s="11" t="s">
        <v>188</v>
      </c>
      <c r="B55" s="17" t="s">
        <v>154</v>
      </c>
      <c r="C55" s="17" t="s">
        <v>154</v>
      </c>
      <c r="D55" s="18" t="s">
        <v>154</v>
      </c>
      <c r="E55" s="17" t="s">
        <v>154</v>
      </c>
      <c r="F55" s="18" t="s">
        <v>154</v>
      </c>
      <c r="G55" s="17" t="s">
        <v>154</v>
      </c>
      <c r="H55" s="18" t="s">
        <v>154</v>
      </c>
      <c r="I55" s="17" t="s">
        <v>154</v>
      </c>
      <c r="J55" s="18" t="s">
        <v>154</v>
      </c>
      <c r="K55" s="17" t="s">
        <v>154</v>
      </c>
      <c r="L55" s="18" t="s">
        <v>154</v>
      </c>
      <c r="M55" s="17" t="s">
        <v>154</v>
      </c>
      <c r="N55" s="18" t="s">
        <v>154</v>
      </c>
      <c r="O55" s="17" t="s">
        <v>154</v>
      </c>
      <c r="P55" s="18" t="s">
        <v>154</v>
      </c>
      <c r="Q55" s="17" t="s">
        <v>154</v>
      </c>
      <c r="R55" s="18" t="s">
        <v>154</v>
      </c>
    </row>
    <row r="56" spans="1:18" x14ac:dyDescent="0.25">
      <c r="A56" s="11" t="s">
        <v>189</v>
      </c>
      <c r="B56" s="13">
        <v>5359</v>
      </c>
      <c r="C56" s="14">
        <f>(4422/B56*100)</f>
        <v>82.515394663183429</v>
      </c>
      <c r="D56" s="15">
        <v>937</v>
      </c>
      <c r="E56" s="14">
        <v>56.251448529999998</v>
      </c>
      <c r="F56" s="16">
        <v>1.5417048600000001</v>
      </c>
      <c r="G56" s="14">
        <v>43.748551470000002</v>
      </c>
      <c r="H56" s="16">
        <v>1.5417048600000001</v>
      </c>
      <c r="I56" s="14" t="s">
        <v>139</v>
      </c>
      <c r="J56" s="16" t="s">
        <v>139</v>
      </c>
      <c r="K56" s="14">
        <v>0</v>
      </c>
      <c r="L56" s="16">
        <v>0</v>
      </c>
      <c r="M56" s="14">
        <v>0</v>
      </c>
      <c r="N56" s="16">
        <v>0</v>
      </c>
      <c r="O56" s="14">
        <v>0</v>
      </c>
      <c r="P56" s="16">
        <v>0</v>
      </c>
      <c r="Q56" s="14">
        <v>0</v>
      </c>
      <c r="R56" s="16">
        <v>0</v>
      </c>
    </row>
    <row r="57" spans="1:18" x14ac:dyDescent="0.25">
      <c r="A57" s="11" t="s">
        <v>190</v>
      </c>
      <c r="B57" s="17" t="s">
        <v>154</v>
      </c>
      <c r="C57" s="17" t="s">
        <v>154</v>
      </c>
      <c r="D57" s="18" t="s">
        <v>154</v>
      </c>
      <c r="E57" s="17" t="s">
        <v>154</v>
      </c>
      <c r="F57" s="18" t="s">
        <v>154</v>
      </c>
      <c r="G57" s="17" t="s">
        <v>154</v>
      </c>
      <c r="H57" s="18" t="s">
        <v>154</v>
      </c>
      <c r="I57" s="17" t="s">
        <v>154</v>
      </c>
      <c r="J57" s="18" t="s">
        <v>154</v>
      </c>
      <c r="K57" s="17" t="s">
        <v>154</v>
      </c>
      <c r="L57" s="18" t="s">
        <v>154</v>
      </c>
      <c r="M57" s="17" t="s">
        <v>154</v>
      </c>
      <c r="N57" s="18" t="s">
        <v>154</v>
      </c>
      <c r="O57" s="17" t="s">
        <v>154</v>
      </c>
      <c r="P57" s="18" t="s">
        <v>154</v>
      </c>
      <c r="Q57" s="17" t="s">
        <v>154</v>
      </c>
      <c r="R57" s="18" t="s">
        <v>154</v>
      </c>
    </row>
    <row r="58" spans="1:18" x14ac:dyDescent="0.25">
      <c r="A58" s="11" t="s">
        <v>191</v>
      </c>
      <c r="B58" s="17" t="s">
        <v>154</v>
      </c>
      <c r="C58" s="17" t="s">
        <v>154</v>
      </c>
      <c r="D58" s="18" t="s">
        <v>154</v>
      </c>
      <c r="E58" s="17" t="s">
        <v>154</v>
      </c>
      <c r="F58" s="18" t="s">
        <v>154</v>
      </c>
      <c r="G58" s="17" t="s">
        <v>154</v>
      </c>
      <c r="H58" s="18" t="s">
        <v>154</v>
      </c>
      <c r="I58" s="17" t="s">
        <v>154</v>
      </c>
      <c r="J58" s="18" t="s">
        <v>154</v>
      </c>
      <c r="K58" s="17" t="s">
        <v>154</v>
      </c>
      <c r="L58" s="18" t="s">
        <v>154</v>
      </c>
      <c r="M58" s="17" t="s">
        <v>154</v>
      </c>
      <c r="N58" s="18" t="s">
        <v>154</v>
      </c>
      <c r="O58" s="17" t="s">
        <v>154</v>
      </c>
      <c r="P58" s="18" t="s">
        <v>154</v>
      </c>
      <c r="Q58" s="17" t="s">
        <v>154</v>
      </c>
      <c r="R58" s="18" t="s">
        <v>154</v>
      </c>
    </row>
    <row r="59" spans="1:18" x14ac:dyDescent="0.25">
      <c r="A59" s="11" t="s">
        <v>192</v>
      </c>
      <c r="B59" s="17" t="s">
        <v>154</v>
      </c>
      <c r="C59" s="17" t="s">
        <v>154</v>
      </c>
      <c r="D59" s="18" t="s">
        <v>154</v>
      </c>
      <c r="E59" s="17" t="s">
        <v>154</v>
      </c>
      <c r="F59" s="18" t="s">
        <v>154</v>
      </c>
      <c r="G59" s="17" t="s">
        <v>154</v>
      </c>
      <c r="H59" s="18" t="s">
        <v>154</v>
      </c>
      <c r="I59" s="17" t="s">
        <v>154</v>
      </c>
      <c r="J59" s="18" t="s">
        <v>154</v>
      </c>
      <c r="K59" s="17" t="s">
        <v>154</v>
      </c>
      <c r="L59" s="18" t="s">
        <v>154</v>
      </c>
      <c r="M59" s="17" t="s">
        <v>154</v>
      </c>
      <c r="N59" s="18" t="s">
        <v>154</v>
      </c>
      <c r="O59" s="17" t="s">
        <v>154</v>
      </c>
      <c r="P59" s="18" t="s">
        <v>154</v>
      </c>
      <c r="Q59" s="17" t="s">
        <v>154</v>
      </c>
      <c r="R59" s="18" t="s">
        <v>154</v>
      </c>
    </row>
    <row r="60" spans="1:18" x14ac:dyDescent="0.25">
      <c r="A60" s="11" t="s">
        <v>193</v>
      </c>
      <c r="B60" s="17" t="s">
        <v>154</v>
      </c>
      <c r="C60" s="17" t="s">
        <v>154</v>
      </c>
      <c r="D60" s="18" t="s">
        <v>154</v>
      </c>
      <c r="E60" s="17" t="s">
        <v>154</v>
      </c>
      <c r="F60" s="18" t="s">
        <v>154</v>
      </c>
      <c r="G60" s="17" t="s">
        <v>154</v>
      </c>
      <c r="H60" s="18" t="s">
        <v>154</v>
      </c>
      <c r="I60" s="17" t="s">
        <v>154</v>
      </c>
      <c r="J60" s="18" t="s">
        <v>154</v>
      </c>
      <c r="K60" s="17" t="s">
        <v>154</v>
      </c>
      <c r="L60" s="18" t="s">
        <v>154</v>
      </c>
      <c r="M60" s="17" t="s">
        <v>154</v>
      </c>
      <c r="N60" s="18" t="s">
        <v>154</v>
      </c>
      <c r="O60" s="17" t="s">
        <v>154</v>
      </c>
      <c r="P60" s="18" t="s">
        <v>154</v>
      </c>
      <c r="Q60" s="17" t="s">
        <v>154</v>
      </c>
      <c r="R60" s="18" t="s">
        <v>154</v>
      </c>
    </row>
    <row r="61" spans="1:18" x14ac:dyDescent="0.25">
      <c r="A61" s="11" t="s">
        <v>194</v>
      </c>
      <c r="B61" s="13">
        <v>6525</v>
      </c>
      <c r="C61" s="14">
        <f>(5422/B61*100)</f>
        <v>83.095785440613028</v>
      </c>
      <c r="D61" s="15">
        <v>1103</v>
      </c>
      <c r="E61" s="14">
        <v>47.95374898</v>
      </c>
      <c r="F61" s="16">
        <v>1.6086030899999999</v>
      </c>
      <c r="G61" s="14">
        <v>52.04625102</v>
      </c>
      <c r="H61" s="16">
        <v>1.6086030899999999</v>
      </c>
      <c r="I61" s="14" t="s">
        <v>139</v>
      </c>
      <c r="J61" s="16" t="s">
        <v>139</v>
      </c>
      <c r="K61" s="14">
        <v>0</v>
      </c>
      <c r="L61" s="16">
        <v>0</v>
      </c>
      <c r="M61" s="14">
        <v>0</v>
      </c>
      <c r="N61" s="16">
        <v>0</v>
      </c>
      <c r="O61" s="14">
        <v>0</v>
      </c>
      <c r="P61" s="16">
        <v>0</v>
      </c>
      <c r="Q61" s="14">
        <v>0</v>
      </c>
      <c r="R61" s="16">
        <v>0</v>
      </c>
    </row>
    <row r="62" spans="1:18" x14ac:dyDescent="0.25">
      <c r="A62" s="11" t="s">
        <v>195</v>
      </c>
      <c r="B62" s="13">
        <v>4476</v>
      </c>
      <c r="C62" s="14">
        <f>(3726/B62*100)</f>
        <v>83.243967828418235</v>
      </c>
      <c r="D62" s="15">
        <v>750</v>
      </c>
      <c r="E62" s="14">
        <v>60.01634628</v>
      </c>
      <c r="F62" s="16">
        <v>1.74375575</v>
      </c>
      <c r="G62" s="14">
        <v>39.98365372</v>
      </c>
      <c r="H62" s="16">
        <v>1.74375575</v>
      </c>
      <c r="I62" s="14" t="s">
        <v>139</v>
      </c>
      <c r="J62" s="16" t="s">
        <v>139</v>
      </c>
      <c r="K62" s="14">
        <v>0</v>
      </c>
      <c r="L62" s="16">
        <v>0</v>
      </c>
      <c r="M62" s="14">
        <v>0</v>
      </c>
      <c r="N62" s="16">
        <v>0</v>
      </c>
      <c r="O62" s="14">
        <v>0</v>
      </c>
      <c r="P62" s="16">
        <v>0</v>
      </c>
      <c r="Q62" s="14">
        <v>0</v>
      </c>
      <c r="R62" s="16">
        <v>0</v>
      </c>
    </row>
    <row r="63" spans="1:18" x14ac:dyDescent="0.25">
      <c r="A63" s="11" t="s">
        <v>196</v>
      </c>
      <c r="B63" s="17" t="s">
        <v>154</v>
      </c>
      <c r="C63" s="17" t="s">
        <v>154</v>
      </c>
      <c r="D63" s="18" t="s">
        <v>154</v>
      </c>
      <c r="E63" s="17" t="s">
        <v>154</v>
      </c>
      <c r="F63" s="18" t="s">
        <v>154</v>
      </c>
      <c r="G63" s="17" t="s">
        <v>154</v>
      </c>
      <c r="H63" s="18" t="s">
        <v>154</v>
      </c>
      <c r="I63" s="17" t="s">
        <v>154</v>
      </c>
      <c r="J63" s="18" t="s">
        <v>154</v>
      </c>
      <c r="K63" s="17" t="s">
        <v>154</v>
      </c>
      <c r="L63" s="18" t="s">
        <v>154</v>
      </c>
      <c r="M63" s="17" t="s">
        <v>154</v>
      </c>
      <c r="N63" s="18" t="s">
        <v>154</v>
      </c>
      <c r="O63" s="17" t="s">
        <v>154</v>
      </c>
      <c r="P63" s="18" t="s">
        <v>154</v>
      </c>
      <c r="Q63" s="17" t="s">
        <v>154</v>
      </c>
      <c r="R63" s="18" t="s">
        <v>154</v>
      </c>
    </row>
    <row r="64" spans="1:18" x14ac:dyDescent="0.25">
      <c r="A64" s="11" t="s">
        <v>197</v>
      </c>
      <c r="B64" s="17" t="s">
        <v>154</v>
      </c>
      <c r="C64" s="17" t="s">
        <v>154</v>
      </c>
      <c r="D64" s="18" t="s">
        <v>154</v>
      </c>
      <c r="E64" s="17" t="s">
        <v>154</v>
      </c>
      <c r="F64" s="18" t="s">
        <v>154</v>
      </c>
      <c r="G64" s="17" t="s">
        <v>154</v>
      </c>
      <c r="H64" s="18" t="s">
        <v>154</v>
      </c>
      <c r="I64" s="17" t="s">
        <v>154</v>
      </c>
      <c r="J64" s="18" t="s">
        <v>154</v>
      </c>
      <c r="K64" s="17" t="s">
        <v>154</v>
      </c>
      <c r="L64" s="18" t="s">
        <v>154</v>
      </c>
      <c r="M64" s="17" t="s">
        <v>154</v>
      </c>
      <c r="N64" s="18" t="s">
        <v>154</v>
      </c>
      <c r="O64" s="17" t="s">
        <v>154</v>
      </c>
      <c r="P64" s="18" t="s">
        <v>154</v>
      </c>
      <c r="Q64" s="17" t="s">
        <v>154</v>
      </c>
      <c r="R64" s="18" t="s">
        <v>154</v>
      </c>
    </row>
    <row r="65" spans="1:18" x14ac:dyDescent="0.25">
      <c r="A65" s="11" t="s">
        <v>198</v>
      </c>
      <c r="B65" s="17" t="s">
        <v>154</v>
      </c>
      <c r="C65" s="17" t="s">
        <v>154</v>
      </c>
      <c r="D65" s="18" t="s">
        <v>154</v>
      </c>
      <c r="E65" s="17" t="s">
        <v>154</v>
      </c>
      <c r="F65" s="18" t="s">
        <v>154</v>
      </c>
      <c r="G65" s="17" t="s">
        <v>154</v>
      </c>
      <c r="H65" s="18" t="s">
        <v>154</v>
      </c>
      <c r="I65" s="17" t="s">
        <v>154</v>
      </c>
      <c r="J65" s="18" t="s">
        <v>154</v>
      </c>
      <c r="K65" s="17" t="s">
        <v>154</v>
      </c>
      <c r="L65" s="18" t="s">
        <v>154</v>
      </c>
      <c r="M65" s="17" t="s">
        <v>154</v>
      </c>
      <c r="N65" s="18" t="s">
        <v>154</v>
      </c>
      <c r="O65" s="17" t="s">
        <v>154</v>
      </c>
      <c r="P65" s="18" t="s">
        <v>154</v>
      </c>
      <c r="Q65" s="17" t="s">
        <v>154</v>
      </c>
      <c r="R65" s="18" t="s">
        <v>154</v>
      </c>
    </row>
    <row r="66" spans="1:18" x14ac:dyDescent="0.25">
      <c r="A66" s="11" t="s">
        <v>199</v>
      </c>
      <c r="B66" s="13">
        <v>5665</v>
      </c>
      <c r="C66" s="14">
        <f>(4731/B66*100)</f>
        <v>83.512797881729909</v>
      </c>
      <c r="D66" s="15">
        <v>934</v>
      </c>
      <c r="E66" s="14">
        <v>57.493273330000001</v>
      </c>
      <c r="F66" s="16">
        <v>1.6420079299999999</v>
      </c>
      <c r="G66" s="14">
        <v>42.506726669999999</v>
      </c>
      <c r="H66" s="16">
        <v>1.6420079299999999</v>
      </c>
      <c r="I66" s="14" t="s">
        <v>139</v>
      </c>
      <c r="J66" s="16" t="s">
        <v>139</v>
      </c>
      <c r="K66" s="14">
        <v>0</v>
      </c>
      <c r="L66" s="16">
        <v>0</v>
      </c>
      <c r="M66" s="14">
        <v>0</v>
      </c>
      <c r="N66" s="16">
        <v>0</v>
      </c>
      <c r="O66" s="14">
        <v>0</v>
      </c>
      <c r="P66" s="16">
        <v>0</v>
      </c>
      <c r="Q66" s="14">
        <v>0</v>
      </c>
      <c r="R66" s="16">
        <v>0</v>
      </c>
    </row>
    <row r="67" spans="1:18" x14ac:dyDescent="0.25">
      <c r="A67" s="11" t="s">
        <v>200</v>
      </c>
      <c r="B67" s="13">
        <v>6971</v>
      </c>
      <c r="C67" s="14">
        <f>(5956/B67*100)</f>
        <v>85.439678668770625</v>
      </c>
      <c r="D67" s="15">
        <v>1015</v>
      </c>
      <c r="E67" s="14">
        <v>49.819296909999998</v>
      </c>
      <c r="F67" s="16">
        <v>1.5556714599999999</v>
      </c>
      <c r="G67" s="14">
        <v>50.180703090000002</v>
      </c>
      <c r="H67" s="16">
        <v>1.5556714599999999</v>
      </c>
      <c r="I67" s="14" t="s">
        <v>139</v>
      </c>
      <c r="J67" s="16" t="s">
        <v>139</v>
      </c>
      <c r="K67" s="14">
        <v>0</v>
      </c>
      <c r="L67" s="16">
        <v>0</v>
      </c>
      <c r="M67" s="14">
        <v>0</v>
      </c>
      <c r="N67" s="16">
        <v>0</v>
      </c>
      <c r="O67" s="14">
        <v>0</v>
      </c>
      <c r="P67" s="16">
        <v>0</v>
      </c>
      <c r="Q67" s="14">
        <v>0</v>
      </c>
      <c r="R67" s="16">
        <v>0</v>
      </c>
    </row>
    <row r="68" spans="1:18" x14ac:dyDescent="0.25">
      <c r="A68" s="11" t="s">
        <v>201</v>
      </c>
      <c r="B68" s="17" t="s">
        <v>154</v>
      </c>
      <c r="C68" s="17" t="s">
        <v>154</v>
      </c>
      <c r="D68" s="18" t="s">
        <v>154</v>
      </c>
      <c r="E68" s="17" t="s">
        <v>154</v>
      </c>
      <c r="F68" s="18" t="s">
        <v>154</v>
      </c>
      <c r="G68" s="17" t="s">
        <v>154</v>
      </c>
      <c r="H68" s="18" t="s">
        <v>154</v>
      </c>
      <c r="I68" s="17" t="s">
        <v>154</v>
      </c>
      <c r="J68" s="18" t="s">
        <v>154</v>
      </c>
      <c r="K68" s="17" t="s">
        <v>154</v>
      </c>
      <c r="L68" s="18" t="s">
        <v>154</v>
      </c>
      <c r="M68" s="17" t="s">
        <v>154</v>
      </c>
      <c r="N68" s="18" t="s">
        <v>154</v>
      </c>
      <c r="O68" s="17" t="s">
        <v>154</v>
      </c>
      <c r="P68" s="18" t="s">
        <v>154</v>
      </c>
      <c r="Q68" s="17" t="s">
        <v>154</v>
      </c>
      <c r="R68" s="18" t="s">
        <v>154</v>
      </c>
    </row>
    <row r="69" spans="1:18" x14ac:dyDescent="0.25">
      <c r="A69" s="11" t="s">
        <v>202</v>
      </c>
      <c r="B69" s="17" t="s">
        <v>154</v>
      </c>
      <c r="C69" s="17" t="s">
        <v>154</v>
      </c>
      <c r="D69" s="18" t="s">
        <v>154</v>
      </c>
      <c r="E69" s="17" t="s">
        <v>154</v>
      </c>
      <c r="F69" s="18" t="s">
        <v>154</v>
      </c>
      <c r="G69" s="17" t="s">
        <v>154</v>
      </c>
      <c r="H69" s="18" t="s">
        <v>154</v>
      </c>
      <c r="I69" s="17" t="s">
        <v>154</v>
      </c>
      <c r="J69" s="18" t="s">
        <v>154</v>
      </c>
      <c r="K69" s="17" t="s">
        <v>154</v>
      </c>
      <c r="L69" s="18" t="s">
        <v>154</v>
      </c>
      <c r="M69" s="17" t="s">
        <v>154</v>
      </c>
      <c r="N69" s="18" t="s">
        <v>154</v>
      </c>
      <c r="O69" s="17" t="s">
        <v>154</v>
      </c>
      <c r="P69" s="18" t="s">
        <v>154</v>
      </c>
      <c r="Q69" s="17" t="s">
        <v>154</v>
      </c>
      <c r="R69" s="18" t="s">
        <v>154</v>
      </c>
    </row>
    <row r="70" spans="1:18" x14ac:dyDescent="0.25">
      <c r="A70" s="11" t="s">
        <v>203</v>
      </c>
      <c r="B70" s="13">
        <v>6036</v>
      </c>
      <c r="C70" s="14">
        <f>(5027/B70*100)</f>
        <v>83.283631544068911</v>
      </c>
      <c r="D70" s="15">
        <v>1009</v>
      </c>
      <c r="E70" s="14">
        <v>59.727630560000001</v>
      </c>
      <c r="F70" s="16">
        <v>1.82600629</v>
      </c>
      <c r="G70" s="14">
        <v>40.272369439999999</v>
      </c>
      <c r="H70" s="16">
        <v>1.82600629</v>
      </c>
      <c r="I70" s="14" t="s">
        <v>139</v>
      </c>
      <c r="J70" s="16" t="s">
        <v>139</v>
      </c>
      <c r="K70" s="14">
        <v>0</v>
      </c>
      <c r="L70" s="16">
        <v>0</v>
      </c>
      <c r="M70" s="14">
        <v>0</v>
      </c>
      <c r="N70" s="16">
        <v>0</v>
      </c>
      <c r="O70" s="14">
        <v>0</v>
      </c>
      <c r="P70" s="16">
        <v>0</v>
      </c>
      <c r="Q70" s="14">
        <v>0</v>
      </c>
      <c r="R70" s="16">
        <v>0</v>
      </c>
    </row>
    <row r="71" spans="1:18" x14ac:dyDescent="0.25">
      <c r="A71" s="11" t="s">
        <v>204</v>
      </c>
      <c r="B71" s="17" t="s">
        <v>154</v>
      </c>
      <c r="C71" s="17" t="s">
        <v>154</v>
      </c>
      <c r="D71" s="18" t="s">
        <v>154</v>
      </c>
      <c r="E71" s="17" t="s">
        <v>154</v>
      </c>
      <c r="F71" s="18" t="s">
        <v>154</v>
      </c>
      <c r="G71" s="17" t="s">
        <v>154</v>
      </c>
      <c r="H71" s="18" t="s">
        <v>154</v>
      </c>
      <c r="I71" s="17" t="s">
        <v>154</v>
      </c>
      <c r="J71" s="18" t="s">
        <v>154</v>
      </c>
      <c r="K71" s="17" t="s">
        <v>154</v>
      </c>
      <c r="L71" s="18" t="s">
        <v>154</v>
      </c>
      <c r="M71" s="17" t="s">
        <v>154</v>
      </c>
      <c r="N71" s="18" t="s">
        <v>154</v>
      </c>
      <c r="O71" s="17" t="s">
        <v>154</v>
      </c>
      <c r="P71" s="18" t="s">
        <v>154</v>
      </c>
      <c r="Q71" s="17" t="s">
        <v>154</v>
      </c>
      <c r="R71" s="18" t="s">
        <v>154</v>
      </c>
    </row>
    <row r="72" spans="1:18" x14ac:dyDescent="0.25">
      <c r="A72" s="11" t="s">
        <v>205</v>
      </c>
      <c r="B72" s="13">
        <v>7708</v>
      </c>
      <c r="C72" s="14">
        <f>(6393/B72*100)</f>
        <v>82.939802802283353</v>
      </c>
      <c r="D72" s="15">
        <v>1315</v>
      </c>
      <c r="E72" s="14">
        <v>57.17723178</v>
      </c>
      <c r="F72" s="16">
        <v>1.31170181</v>
      </c>
      <c r="G72" s="14">
        <v>42.82276822</v>
      </c>
      <c r="H72" s="16">
        <v>1.31170181</v>
      </c>
      <c r="I72" s="14" t="s">
        <v>139</v>
      </c>
      <c r="J72" s="16" t="s">
        <v>139</v>
      </c>
      <c r="K72" s="14">
        <v>0</v>
      </c>
      <c r="L72" s="16">
        <v>0</v>
      </c>
      <c r="M72" s="14">
        <v>0</v>
      </c>
      <c r="N72" s="16">
        <v>0</v>
      </c>
      <c r="O72" s="14">
        <v>0</v>
      </c>
      <c r="P72" s="16">
        <v>0</v>
      </c>
      <c r="Q72" s="14">
        <v>0</v>
      </c>
      <c r="R72" s="16">
        <v>0</v>
      </c>
    </row>
    <row r="73" spans="1:18" x14ac:dyDescent="0.25">
      <c r="A73" s="11" t="s">
        <v>206</v>
      </c>
      <c r="B73" s="13">
        <v>8249</v>
      </c>
      <c r="C73" s="14">
        <f>(6928/B73*100)</f>
        <v>83.9859376894169</v>
      </c>
      <c r="D73" s="15">
        <v>1321</v>
      </c>
      <c r="E73" s="14">
        <v>80.293651980000007</v>
      </c>
      <c r="F73" s="16">
        <v>1.2686054600000001</v>
      </c>
      <c r="G73" s="14">
        <v>19.70634802</v>
      </c>
      <c r="H73" s="16">
        <v>1.2686054600000001</v>
      </c>
      <c r="I73" s="14" t="s">
        <v>139</v>
      </c>
      <c r="J73" s="16" t="s">
        <v>139</v>
      </c>
      <c r="K73" s="14">
        <v>0</v>
      </c>
      <c r="L73" s="16">
        <v>0</v>
      </c>
      <c r="M73" s="14">
        <v>0</v>
      </c>
      <c r="N73" s="16">
        <v>0</v>
      </c>
      <c r="O73" s="14">
        <v>0</v>
      </c>
      <c r="P73" s="16">
        <v>0</v>
      </c>
      <c r="Q73" s="14">
        <v>0</v>
      </c>
      <c r="R73" s="16">
        <v>0</v>
      </c>
    </row>
    <row r="74" spans="1:18" x14ac:dyDescent="0.25">
      <c r="A74" s="11" t="s">
        <v>207</v>
      </c>
      <c r="B74" s="17" t="s">
        <v>154</v>
      </c>
      <c r="C74" s="17" t="s">
        <v>154</v>
      </c>
      <c r="D74" s="18" t="s">
        <v>154</v>
      </c>
      <c r="E74" s="17" t="s">
        <v>154</v>
      </c>
      <c r="F74" s="18" t="s">
        <v>154</v>
      </c>
      <c r="G74" s="17" t="s">
        <v>154</v>
      </c>
      <c r="H74" s="18" t="s">
        <v>154</v>
      </c>
      <c r="I74" s="17" t="s">
        <v>154</v>
      </c>
      <c r="J74" s="18" t="s">
        <v>154</v>
      </c>
      <c r="K74" s="17" t="s">
        <v>154</v>
      </c>
      <c r="L74" s="18" t="s">
        <v>154</v>
      </c>
      <c r="M74" s="17" t="s">
        <v>154</v>
      </c>
      <c r="N74" s="18" t="s">
        <v>154</v>
      </c>
      <c r="O74" s="17" t="s">
        <v>154</v>
      </c>
      <c r="P74" s="18" t="s">
        <v>154</v>
      </c>
      <c r="Q74" s="17" t="s">
        <v>154</v>
      </c>
      <c r="R74" s="18" t="s">
        <v>154</v>
      </c>
    </row>
    <row r="75" spans="1:18" x14ac:dyDescent="0.25">
      <c r="A75" s="11" t="s">
        <v>208</v>
      </c>
      <c r="B75" s="13">
        <v>5375</v>
      </c>
      <c r="C75" s="14">
        <f>(4579/B75*100)</f>
        <v>85.190697674418601</v>
      </c>
      <c r="D75" s="15">
        <v>796</v>
      </c>
      <c r="E75" s="14">
        <v>57.451829230000001</v>
      </c>
      <c r="F75" s="16">
        <v>1.66449175</v>
      </c>
      <c r="G75" s="14">
        <v>42.548170769999999</v>
      </c>
      <c r="H75" s="16">
        <v>1.66449175</v>
      </c>
      <c r="I75" s="14" t="s">
        <v>139</v>
      </c>
      <c r="J75" s="16" t="s">
        <v>139</v>
      </c>
      <c r="K75" s="14">
        <v>0</v>
      </c>
      <c r="L75" s="16">
        <v>0</v>
      </c>
      <c r="M75" s="14">
        <v>0</v>
      </c>
      <c r="N75" s="16">
        <v>0</v>
      </c>
      <c r="O75" s="14">
        <v>0</v>
      </c>
      <c r="P75" s="16">
        <v>0</v>
      </c>
      <c r="Q75" s="14">
        <v>0</v>
      </c>
      <c r="R75" s="16">
        <v>0</v>
      </c>
    </row>
    <row r="76" spans="1:18" x14ac:dyDescent="0.25">
      <c r="A76" s="11" t="s">
        <v>209</v>
      </c>
      <c r="B76" s="13">
        <v>14167</v>
      </c>
      <c r="C76" s="14">
        <f>(11736/B76*100)</f>
        <v>82.840403755205756</v>
      </c>
      <c r="D76" s="15">
        <v>2431</v>
      </c>
      <c r="E76" s="14">
        <v>52.010866069999999</v>
      </c>
      <c r="F76" s="16">
        <v>1.33632689</v>
      </c>
      <c r="G76" s="14">
        <v>47.989133930000001</v>
      </c>
      <c r="H76" s="16">
        <v>1.33632689</v>
      </c>
      <c r="I76" s="14" t="s">
        <v>139</v>
      </c>
      <c r="J76" s="16" t="s">
        <v>139</v>
      </c>
      <c r="K76" s="14">
        <v>0</v>
      </c>
      <c r="L76" s="16">
        <v>0</v>
      </c>
      <c r="M76" s="14">
        <v>0</v>
      </c>
      <c r="N76" s="16">
        <v>0</v>
      </c>
      <c r="O76" s="14">
        <v>0</v>
      </c>
      <c r="P76" s="16">
        <v>0</v>
      </c>
      <c r="Q76" s="14">
        <v>0</v>
      </c>
      <c r="R76" s="16">
        <v>0</v>
      </c>
    </row>
    <row r="77" spans="1:18" x14ac:dyDescent="0.25">
      <c r="A77" s="11" t="s">
        <v>210</v>
      </c>
      <c r="B77" s="13">
        <v>6062</v>
      </c>
      <c r="C77" s="14">
        <f>(5052/B77*100)</f>
        <v>83.338832068624214</v>
      </c>
      <c r="D77" s="15">
        <v>1010</v>
      </c>
      <c r="E77" s="14">
        <v>52.665018660000001</v>
      </c>
      <c r="F77" s="16">
        <v>1.5456690799999999</v>
      </c>
      <c r="G77" s="14">
        <v>47.334981339999999</v>
      </c>
      <c r="H77" s="16">
        <v>1.5456690799999999</v>
      </c>
      <c r="I77" s="14" t="s">
        <v>139</v>
      </c>
      <c r="J77" s="16" t="s">
        <v>139</v>
      </c>
      <c r="K77" s="14">
        <v>0</v>
      </c>
      <c r="L77" s="16">
        <v>0</v>
      </c>
      <c r="M77" s="14">
        <v>0</v>
      </c>
      <c r="N77" s="16">
        <v>0</v>
      </c>
      <c r="O77" s="14">
        <v>0</v>
      </c>
      <c r="P77" s="16">
        <v>0</v>
      </c>
      <c r="Q77" s="14">
        <v>0</v>
      </c>
      <c r="R77" s="16">
        <v>0</v>
      </c>
    </row>
    <row r="78" spans="1:18" x14ac:dyDescent="0.25">
      <c r="A78" s="11" t="s">
        <v>211</v>
      </c>
      <c r="B78" s="17" t="s">
        <v>154</v>
      </c>
      <c r="C78" s="17" t="s">
        <v>154</v>
      </c>
      <c r="D78" s="18" t="s">
        <v>154</v>
      </c>
      <c r="E78" s="17" t="s">
        <v>154</v>
      </c>
      <c r="F78" s="18" t="s">
        <v>154</v>
      </c>
      <c r="G78" s="17" t="s">
        <v>154</v>
      </c>
      <c r="H78" s="18" t="s">
        <v>154</v>
      </c>
      <c r="I78" s="17" t="s">
        <v>154</v>
      </c>
      <c r="J78" s="18" t="s">
        <v>154</v>
      </c>
      <c r="K78" s="17" t="s">
        <v>154</v>
      </c>
      <c r="L78" s="18" t="s">
        <v>154</v>
      </c>
      <c r="M78" s="17" t="s">
        <v>154</v>
      </c>
      <c r="N78" s="18" t="s">
        <v>154</v>
      </c>
      <c r="O78" s="17" t="s">
        <v>154</v>
      </c>
      <c r="P78" s="18" t="s">
        <v>154</v>
      </c>
      <c r="Q78" s="17" t="s">
        <v>154</v>
      </c>
      <c r="R78" s="18" t="s">
        <v>154</v>
      </c>
    </row>
    <row r="79" spans="1:18" ht="24.95" customHeight="1" x14ac:dyDescent="0.25">
      <c r="A79" s="11" t="s">
        <v>212</v>
      </c>
      <c r="B79" s="17" t="s">
        <v>154</v>
      </c>
      <c r="C79" s="17" t="s">
        <v>154</v>
      </c>
      <c r="D79" s="18" t="s">
        <v>154</v>
      </c>
      <c r="E79" s="17" t="s">
        <v>154</v>
      </c>
      <c r="F79" s="18" t="s">
        <v>154</v>
      </c>
      <c r="G79" s="17" t="s">
        <v>154</v>
      </c>
      <c r="H79" s="18" t="s">
        <v>154</v>
      </c>
      <c r="I79" s="17" t="s">
        <v>154</v>
      </c>
      <c r="J79" s="18" t="s">
        <v>154</v>
      </c>
      <c r="K79" s="17" t="s">
        <v>154</v>
      </c>
      <c r="L79" s="18" t="s">
        <v>154</v>
      </c>
      <c r="M79" s="17" t="s">
        <v>154</v>
      </c>
      <c r="N79" s="18" t="s">
        <v>154</v>
      </c>
      <c r="O79" s="17" t="s">
        <v>154</v>
      </c>
      <c r="P79" s="18" t="s">
        <v>154</v>
      </c>
      <c r="Q79" s="17" t="s">
        <v>154</v>
      </c>
      <c r="R79" s="18" t="s">
        <v>154</v>
      </c>
    </row>
    <row r="80" spans="1:18" x14ac:dyDescent="0.25">
      <c r="A80" s="11" t="s">
        <v>213</v>
      </c>
      <c r="B80" s="17" t="s">
        <v>154</v>
      </c>
      <c r="C80" s="17" t="s">
        <v>154</v>
      </c>
      <c r="D80" s="18" t="s">
        <v>154</v>
      </c>
      <c r="E80" s="17" t="s">
        <v>154</v>
      </c>
      <c r="F80" s="18" t="s">
        <v>154</v>
      </c>
      <c r="G80" s="17" t="s">
        <v>154</v>
      </c>
      <c r="H80" s="18" t="s">
        <v>154</v>
      </c>
      <c r="I80" s="17" t="s">
        <v>154</v>
      </c>
      <c r="J80" s="18" t="s">
        <v>154</v>
      </c>
      <c r="K80" s="17" t="s">
        <v>154</v>
      </c>
      <c r="L80" s="18" t="s">
        <v>154</v>
      </c>
      <c r="M80" s="17" t="s">
        <v>154</v>
      </c>
      <c r="N80" s="18" t="s">
        <v>154</v>
      </c>
      <c r="O80" s="17" t="s">
        <v>154</v>
      </c>
      <c r="P80" s="18" t="s">
        <v>154</v>
      </c>
      <c r="Q80" s="17" t="s">
        <v>154</v>
      </c>
      <c r="R80" s="18" t="s">
        <v>154</v>
      </c>
    </row>
    <row r="81" spans="1:18" x14ac:dyDescent="0.25">
      <c r="A81" s="19" t="s">
        <v>214</v>
      </c>
      <c r="B81" s="13">
        <v>8861</v>
      </c>
      <c r="C81" s="14">
        <f>(8516/B81*100)</f>
        <v>96.106534251213176</v>
      </c>
      <c r="D81" s="15">
        <v>345</v>
      </c>
      <c r="E81" s="14">
        <v>49.65830914</v>
      </c>
      <c r="F81" s="16">
        <v>2.9119664599999999</v>
      </c>
      <c r="G81" s="14">
        <v>50.34169086</v>
      </c>
      <c r="H81" s="16">
        <v>2.9119664599999999</v>
      </c>
      <c r="I81" s="14" t="s">
        <v>139</v>
      </c>
      <c r="J81" s="16" t="s">
        <v>139</v>
      </c>
      <c r="K81" s="14">
        <v>0</v>
      </c>
      <c r="L81" s="16">
        <v>0</v>
      </c>
      <c r="M81" s="14">
        <v>0</v>
      </c>
      <c r="N81" s="16">
        <v>0</v>
      </c>
      <c r="O81" s="14">
        <v>0</v>
      </c>
      <c r="P81" s="16">
        <v>0</v>
      </c>
      <c r="Q81" s="14">
        <v>0</v>
      </c>
      <c r="R81" s="16">
        <v>0</v>
      </c>
    </row>
    <row r="82" spans="1:18" x14ac:dyDescent="0.25">
      <c r="A82" s="20"/>
      <c r="B82" s="20" t="s">
        <v>215</v>
      </c>
      <c r="C82" s="20" t="s">
        <v>215</v>
      </c>
      <c r="D82" s="20" t="s">
        <v>215</v>
      </c>
      <c r="E82" s="20" t="s">
        <v>215</v>
      </c>
      <c r="F82" s="20" t="s">
        <v>215</v>
      </c>
      <c r="G82" s="20" t="s">
        <v>215</v>
      </c>
      <c r="H82" s="20" t="s">
        <v>215</v>
      </c>
      <c r="I82" s="20" t="s">
        <v>215</v>
      </c>
      <c r="J82" s="20" t="s">
        <v>215</v>
      </c>
      <c r="K82" s="20" t="s">
        <v>215</v>
      </c>
      <c r="L82" s="20" t="s">
        <v>215</v>
      </c>
      <c r="M82" s="20" t="s">
        <v>215</v>
      </c>
      <c r="N82" s="20" t="s">
        <v>215</v>
      </c>
      <c r="O82" s="20" t="s">
        <v>215</v>
      </c>
      <c r="P82" s="20" t="s">
        <v>215</v>
      </c>
      <c r="Q82" s="20" t="s">
        <v>215</v>
      </c>
      <c r="R82" s="20" t="s">
        <v>215</v>
      </c>
    </row>
    <row r="83" spans="1:18" x14ac:dyDescent="0.25">
      <c r="A83" s="3" t="s">
        <v>216</v>
      </c>
    </row>
    <row r="84" spans="1:18" x14ac:dyDescent="0.25">
      <c r="A84" s="22" t="s">
        <v>217</v>
      </c>
      <c r="B84" s="23"/>
      <c r="C84" s="23"/>
      <c r="D84" s="23"/>
      <c r="E84" s="23"/>
      <c r="F84" s="23"/>
      <c r="G84" s="23"/>
      <c r="H84" s="23"/>
      <c r="I84" s="23"/>
      <c r="J84" s="23"/>
      <c r="K84" s="23"/>
      <c r="L84" s="23"/>
      <c r="M84" s="23"/>
      <c r="N84" s="23"/>
      <c r="O84" s="23"/>
      <c r="P84" s="23"/>
      <c r="Q84" s="23"/>
      <c r="R84" s="23"/>
    </row>
    <row r="85" spans="1:18" x14ac:dyDescent="0.25">
      <c r="A85" s="22" t="s">
        <v>218</v>
      </c>
      <c r="B85" s="23"/>
      <c r="C85" s="23"/>
      <c r="D85" s="23"/>
      <c r="E85" s="23"/>
      <c r="F85" s="23"/>
      <c r="G85" s="23"/>
      <c r="H85" s="23"/>
      <c r="I85" s="23"/>
      <c r="J85" s="23"/>
      <c r="K85" s="23"/>
      <c r="L85" s="23"/>
      <c r="M85" s="23"/>
      <c r="N85" s="23"/>
      <c r="O85" s="23"/>
      <c r="P85" s="23"/>
      <c r="Q85" s="23"/>
      <c r="R85" s="23"/>
    </row>
    <row r="86" spans="1:18" ht="30" customHeight="1" x14ac:dyDescent="0.25">
      <c r="A86" s="22" t="s">
        <v>219</v>
      </c>
      <c r="B86" s="23"/>
      <c r="C86" s="23"/>
      <c r="D86" s="23"/>
      <c r="E86" s="23"/>
      <c r="F86" s="23"/>
      <c r="G86" s="23"/>
      <c r="H86" s="23"/>
      <c r="I86" s="23"/>
      <c r="J86" s="23"/>
      <c r="K86" s="23"/>
      <c r="L86" s="23"/>
      <c r="M86" s="23"/>
      <c r="N86" s="23"/>
      <c r="O86" s="23"/>
      <c r="P86" s="23"/>
      <c r="Q86" s="23"/>
      <c r="R86" s="23"/>
    </row>
    <row r="87" spans="1:18" ht="30" customHeight="1" x14ac:dyDescent="0.25">
      <c r="A87" s="22" t="s">
        <v>215</v>
      </c>
      <c r="B87" s="23"/>
      <c r="C87" s="23"/>
      <c r="D87" s="23"/>
      <c r="E87" s="23"/>
      <c r="F87" s="23"/>
      <c r="G87" s="23"/>
      <c r="H87" s="23"/>
      <c r="I87" s="23"/>
      <c r="J87" s="23"/>
      <c r="K87" s="23"/>
      <c r="L87" s="23"/>
      <c r="M87" s="23"/>
      <c r="N87" s="23"/>
      <c r="O87" s="23"/>
      <c r="P87" s="23"/>
      <c r="Q87" s="23"/>
      <c r="R87" s="23"/>
    </row>
    <row r="88" spans="1:18" ht="30" customHeight="1" x14ac:dyDescent="0.25">
      <c r="A88" s="22" t="s">
        <v>220</v>
      </c>
      <c r="B88" s="23"/>
      <c r="C88" s="23"/>
      <c r="D88" s="23"/>
      <c r="E88" s="23"/>
      <c r="F88" s="23"/>
      <c r="G88" s="23"/>
      <c r="H88" s="23"/>
      <c r="I88" s="23"/>
      <c r="J88" s="23"/>
      <c r="K88" s="23"/>
      <c r="L88" s="23"/>
      <c r="M88" s="23"/>
      <c r="N88" s="23"/>
      <c r="O88" s="23"/>
      <c r="P88" s="23"/>
      <c r="Q88" s="23"/>
      <c r="R88" s="23"/>
    </row>
    <row r="89" spans="1:18" ht="30" customHeight="1" x14ac:dyDescent="0.25">
      <c r="A89" s="22" t="s">
        <v>221</v>
      </c>
      <c r="B89" s="23"/>
      <c r="C89" s="23"/>
      <c r="D89" s="23"/>
      <c r="E89" s="23"/>
      <c r="F89" s="23"/>
      <c r="G89" s="23"/>
      <c r="H89" s="23"/>
      <c r="I89" s="23"/>
      <c r="J89" s="23"/>
      <c r="K89" s="23"/>
      <c r="L89" s="23"/>
      <c r="M89" s="23"/>
      <c r="N89" s="23"/>
      <c r="O89" s="23"/>
      <c r="P89" s="23"/>
      <c r="Q89" s="23"/>
      <c r="R89" s="23"/>
    </row>
    <row r="90" spans="1:18" ht="30" customHeight="1" x14ac:dyDescent="0.25">
      <c r="A90" s="22" t="s">
        <v>222</v>
      </c>
      <c r="B90" s="23"/>
      <c r="C90" s="23"/>
      <c r="D90" s="23"/>
      <c r="E90" s="23"/>
      <c r="F90" s="23"/>
      <c r="G90" s="23"/>
      <c r="H90" s="23"/>
      <c r="I90" s="23"/>
      <c r="J90" s="23"/>
      <c r="K90" s="23"/>
      <c r="L90" s="23"/>
      <c r="M90" s="23"/>
      <c r="N90" s="23"/>
      <c r="O90" s="23"/>
      <c r="P90" s="23"/>
      <c r="Q90" s="23"/>
      <c r="R90" s="23"/>
    </row>
    <row r="91" spans="1:18" ht="30" customHeight="1" x14ac:dyDescent="0.25">
      <c r="A91" s="22" t="s">
        <v>223</v>
      </c>
      <c r="B91" s="23"/>
      <c r="C91" s="23"/>
      <c r="D91" s="23"/>
      <c r="E91" s="23"/>
      <c r="F91" s="23"/>
      <c r="G91" s="23"/>
      <c r="H91" s="23"/>
      <c r="I91" s="23"/>
      <c r="J91" s="23"/>
      <c r="K91" s="23"/>
      <c r="L91" s="23"/>
      <c r="M91" s="23"/>
      <c r="N91" s="23"/>
      <c r="O91" s="23"/>
      <c r="P91" s="23"/>
      <c r="Q91" s="23"/>
      <c r="R91" s="23"/>
    </row>
    <row r="92" spans="1:18" ht="30" customHeight="1" x14ac:dyDescent="0.25">
      <c r="A92" s="22" t="s">
        <v>224</v>
      </c>
      <c r="B92" s="23"/>
      <c r="C92" s="23"/>
      <c r="D92" s="23"/>
      <c r="E92" s="23"/>
      <c r="F92" s="23"/>
      <c r="G92" s="23"/>
      <c r="H92" s="23"/>
      <c r="I92" s="23"/>
      <c r="J92" s="23"/>
      <c r="K92" s="23"/>
      <c r="L92" s="23"/>
      <c r="M92" s="23"/>
      <c r="N92" s="23"/>
      <c r="O92" s="23"/>
      <c r="P92" s="23"/>
      <c r="Q92" s="23"/>
      <c r="R92" s="23"/>
    </row>
    <row r="93" spans="1:18" ht="30" customHeight="1" x14ac:dyDescent="0.25">
      <c r="A93" s="22" t="s">
        <v>225</v>
      </c>
      <c r="B93" s="23"/>
      <c r="C93" s="23"/>
      <c r="D93" s="23"/>
      <c r="E93" s="23"/>
      <c r="F93" s="23"/>
      <c r="G93" s="23"/>
      <c r="H93" s="23"/>
      <c r="I93" s="23"/>
      <c r="J93" s="23"/>
      <c r="K93" s="23"/>
      <c r="L93" s="23"/>
      <c r="M93" s="23"/>
      <c r="N93" s="23"/>
      <c r="O93" s="23"/>
      <c r="P93" s="23"/>
      <c r="Q93" s="23"/>
      <c r="R93" s="23"/>
    </row>
    <row r="94" spans="1:18" ht="30" customHeight="1" x14ac:dyDescent="0.25">
      <c r="A94" s="22" t="s">
        <v>226</v>
      </c>
      <c r="B94" s="23"/>
      <c r="C94" s="23"/>
      <c r="D94" s="23"/>
      <c r="E94" s="23"/>
      <c r="F94" s="23"/>
      <c r="G94" s="23"/>
      <c r="H94" s="23"/>
      <c r="I94" s="23"/>
      <c r="J94" s="23"/>
      <c r="K94" s="23"/>
      <c r="L94" s="23"/>
      <c r="M94" s="23"/>
      <c r="N94" s="23"/>
      <c r="O94" s="23"/>
      <c r="P94" s="23"/>
      <c r="Q94" s="23"/>
      <c r="R94" s="23"/>
    </row>
    <row r="95" spans="1:18" ht="30" customHeight="1" x14ac:dyDescent="0.25">
      <c r="A95" s="22" t="s">
        <v>227</v>
      </c>
      <c r="B95" s="23"/>
      <c r="C95" s="23"/>
      <c r="D95" s="23"/>
      <c r="E95" s="23"/>
      <c r="F95" s="23"/>
      <c r="G95" s="23"/>
      <c r="H95" s="23"/>
      <c r="I95" s="23"/>
      <c r="J95" s="23"/>
      <c r="K95" s="23"/>
      <c r="L95" s="23"/>
      <c r="M95" s="23"/>
      <c r="N95" s="23"/>
      <c r="O95" s="23"/>
      <c r="P95" s="23"/>
      <c r="Q95" s="23"/>
      <c r="R95" s="23"/>
    </row>
    <row r="96" spans="1:18" ht="30" customHeight="1" x14ac:dyDescent="0.25">
      <c r="A96" s="22" t="s">
        <v>228</v>
      </c>
      <c r="B96" s="23"/>
      <c r="C96" s="23"/>
      <c r="D96" s="23"/>
      <c r="E96" s="23"/>
      <c r="F96" s="23"/>
      <c r="G96" s="23"/>
      <c r="H96" s="23"/>
      <c r="I96" s="23"/>
      <c r="J96" s="23"/>
      <c r="K96" s="23"/>
      <c r="L96" s="23"/>
      <c r="M96" s="23"/>
      <c r="N96" s="23"/>
      <c r="O96" s="23"/>
      <c r="P96" s="23"/>
      <c r="Q96" s="23"/>
      <c r="R96" s="23"/>
    </row>
  </sheetData>
  <mergeCells count="22">
    <mergeCell ref="O4:P4"/>
    <mergeCell ref="Q4:R4"/>
    <mergeCell ref="A1:R1"/>
    <mergeCell ref="A2:R2"/>
    <mergeCell ref="A84:R84"/>
    <mergeCell ref="E4:F4"/>
    <mergeCell ref="G4:H4"/>
    <mergeCell ref="I4:J4"/>
    <mergeCell ref="K4:L4"/>
    <mergeCell ref="M4:N4"/>
    <mergeCell ref="A85:R85"/>
    <mergeCell ref="A86:R86"/>
    <mergeCell ref="A87:R87"/>
    <mergeCell ref="A88:R88"/>
    <mergeCell ref="A89:R89"/>
    <mergeCell ref="A95:R95"/>
    <mergeCell ref="A96:R96"/>
    <mergeCell ref="A90:R90"/>
    <mergeCell ref="A91:R91"/>
    <mergeCell ref="A92:R92"/>
    <mergeCell ref="A93:R93"/>
    <mergeCell ref="A94:R94"/>
  </mergeCells>
  <pageMargins left="0.75" right="0.75" top="1" bottom="1" header="0.5" footer="0.5"/>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8"/>
  <dimension ref="A1:R96"/>
  <sheetViews>
    <sheetView zoomScale="80" workbookViewId="0">
      <pane xSplit="4" topLeftCell="E1" activePane="topRight" state="frozen"/>
      <selection sqref="A1:R1"/>
      <selection pane="topRight" sqref="A1:R1"/>
    </sheetView>
  </sheetViews>
  <sheetFormatPr defaultColWidth="11.42578125" defaultRowHeight="15" x14ac:dyDescent="0.25"/>
  <cols>
    <col min="1" max="1" width="50" customWidth="1"/>
  </cols>
  <sheetData>
    <row r="1" spans="1:18" x14ac:dyDescent="0.25">
      <c r="A1" s="26" t="s">
        <v>122</v>
      </c>
      <c r="B1" s="23"/>
      <c r="C1" s="23"/>
      <c r="D1" s="23"/>
      <c r="E1" s="23"/>
      <c r="F1" s="23"/>
      <c r="G1" s="23"/>
      <c r="H1" s="23"/>
      <c r="I1" s="23"/>
      <c r="J1" s="23"/>
      <c r="K1" s="23"/>
      <c r="L1" s="23"/>
      <c r="M1" s="23"/>
      <c r="N1" s="23"/>
      <c r="O1" s="23"/>
      <c r="P1" s="23"/>
      <c r="Q1" s="23"/>
      <c r="R1" s="23"/>
    </row>
    <row r="2" spans="1:18" x14ac:dyDescent="0.25">
      <c r="A2" s="27" t="s">
        <v>294</v>
      </c>
      <c r="B2" s="23"/>
      <c r="C2" s="23"/>
      <c r="D2" s="23"/>
      <c r="E2" s="23"/>
      <c r="F2" s="23"/>
      <c r="G2" s="23"/>
      <c r="H2" s="23"/>
      <c r="I2" s="23"/>
      <c r="J2" s="23"/>
      <c r="K2" s="23"/>
      <c r="L2" s="23"/>
      <c r="M2" s="23"/>
      <c r="N2" s="23"/>
      <c r="O2" s="23"/>
      <c r="P2" s="23"/>
      <c r="Q2" s="23"/>
      <c r="R2" s="23"/>
    </row>
    <row r="4" spans="1:18" ht="30" customHeight="1" x14ac:dyDescent="0.25">
      <c r="A4" s="4"/>
      <c r="B4" s="5" t="s">
        <v>123</v>
      </c>
      <c r="C4" s="5" t="s">
        <v>124</v>
      </c>
      <c r="D4" s="6" t="s">
        <v>123</v>
      </c>
      <c r="E4" s="24" t="s">
        <v>125</v>
      </c>
      <c r="F4" s="25"/>
      <c r="G4" s="24" t="s">
        <v>126</v>
      </c>
      <c r="H4" s="25"/>
      <c r="I4" s="24" t="s">
        <v>127</v>
      </c>
      <c r="J4" s="25"/>
      <c r="K4" s="24" t="s">
        <v>128</v>
      </c>
      <c r="L4" s="25"/>
      <c r="M4" s="24" t="s">
        <v>129</v>
      </c>
      <c r="N4" s="25"/>
      <c r="O4" s="24" t="s">
        <v>130</v>
      </c>
      <c r="P4" s="25"/>
      <c r="Q4" s="24" t="s">
        <v>131</v>
      </c>
      <c r="R4" s="25"/>
    </row>
    <row r="5" spans="1:18" x14ac:dyDescent="0.25">
      <c r="A5" s="7"/>
      <c r="B5" s="8" t="s">
        <v>132</v>
      </c>
      <c r="C5" s="8" t="s">
        <v>133</v>
      </c>
      <c r="D5" s="7" t="s">
        <v>134</v>
      </c>
      <c r="E5" s="8" t="s">
        <v>135</v>
      </c>
      <c r="F5" s="7" t="s">
        <v>136</v>
      </c>
      <c r="G5" s="8" t="s">
        <v>135</v>
      </c>
      <c r="H5" s="7" t="s">
        <v>136</v>
      </c>
      <c r="I5" s="8" t="s">
        <v>135</v>
      </c>
      <c r="J5" s="7" t="s">
        <v>136</v>
      </c>
      <c r="K5" s="8" t="s">
        <v>135</v>
      </c>
      <c r="L5" s="7" t="s">
        <v>136</v>
      </c>
      <c r="M5" s="8" t="s">
        <v>135</v>
      </c>
      <c r="N5" s="7" t="s">
        <v>136</v>
      </c>
      <c r="O5" s="8" t="s">
        <v>135</v>
      </c>
      <c r="P5" s="7" t="s">
        <v>136</v>
      </c>
      <c r="Q5" s="8" t="s">
        <v>135</v>
      </c>
      <c r="R5" s="7" t="s">
        <v>136</v>
      </c>
    </row>
    <row r="6" spans="1:18" x14ac:dyDescent="0.25">
      <c r="A6" s="9" t="s">
        <v>137</v>
      </c>
      <c r="B6" s="10"/>
      <c r="C6" s="10"/>
      <c r="D6" s="11"/>
      <c r="E6" s="10"/>
      <c r="F6" s="11"/>
      <c r="G6" s="10"/>
      <c r="H6" s="11"/>
      <c r="I6" s="10"/>
      <c r="J6" s="11"/>
      <c r="K6" s="10"/>
      <c r="L6" s="11"/>
      <c r="M6" s="10"/>
      <c r="N6" s="11"/>
      <c r="O6" s="10"/>
      <c r="P6" s="11"/>
      <c r="Q6" s="10"/>
      <c r="R6" s="12"/>
    </row>
    <row r="7" spans="1:18" x14ac:dyDescent="0.25">
      <c r="A7" s="11" t="s">
        <v>138</v>
      </c>
      <c r="B7" s="13">
        <v>14530</v>
      </c>
      <c r="C7" s="14">
        <f>(12149/B7*100)</f>
        <v>83.613214039917409</v>
      </c>
      <c r="D7" s="15">
        <v>2381</v>
      </c>
      <c r="E7" s="14">
        <v>27.035782269999999</v>
      </c>
      <c r="F7" s="16">
        <v>0.99353427000000005</v>
      </c>
      <c r="G7" s="14">
        <v>72.964217730000001</v>
      </c>
      <c r="H7" s="16">
        <v>0.99353427000000005</v>
      </c>
      <c r="I7" s="14" t="s">
        <v>139</v>
      </c>
      <c r="J7" s="16" t="s">
        <v>139</v>
      </c>
      <c r="K7" s="14">
        <v>0</v>
      </c>
      <c r="L7" s="16">
        <v>0</v>
      </c>
      <c r="M7" s="14">
        <v>0</v>
      </c>
      <c r="N7" s="16">
        <v>0</v>
      </c>
      <c r="O7" s="14">
        <v>0</v>
      </c>
      <c r="P7" s="16">
        <v>0</v>
      </c>
      <c r="Q7" s="14">
        <v>0</v>
      </c>
      <c r="R7" s="16">
        <v>0</v>
      </c>
    </row>
    <row r="8" spans="1:18" x14ac:dyDescent="0.25">
      <c r="A8" s="11" t="s">
        <v>140</v>
      </c>
      <c r="B8" s="13">
        <v>7007</v>
      </c>
      <c r="C8" s="14">
        <f>(5821/B8*100)</f>
        <v>83.074068788354509</v>
      </c>
      <c r="D8" s="15">
        <v>1186</v>
      </c>
      <c r="E8" s="14">
        <v>41.71228215</v>
      </c>
      <c r="F8" s="16">
        <v>1.6012958100000001</v>
      </c>
      <c r="G8" s="14">
        <v>58.28771785</v>
      </c>
      <c r="H8" s="16">
        <v>1.6012958100000001</v>
      </c>
      <c r="I8" s="14" t="s">
        <v>139</v>
      </c>
      <c r="J8" s="16" t="s">
        <v>139</v>
      </c>
      <c r="K8" s="14">
        <v>0</v>
      </c>
      <c r="L8" s="16">
        <v>0</v>
      </c>
      <c r="M8" s="14">
        <v>0</v>
      </c>
      <c r="N8" s="16">
        <v>0</v>
      </c>
      <c r="O8" s="14">
        <v>0</v>
      </c>
      <c r="P8" s="16">
        <v>0</v>
      </c>
      <c r="Q8" s="14">
        <v>0</v>
      </c>
      <c r="R8" s="16">
        <v>0</v>
      </c>
    </row>
    <row r="9" spans="1:18" x14ac:dyDescent="0.25">
      <c r="A9" s="11" t="s">
        <v>141</v>
      </c>
      <c r="B9" s="13">
        <v>9651</v>
      </c>
      <c r="C9" s="14">
        <f>(8080/B9*100)</f>
        <v>83.721894104237904</v>
      </c>
      <c r="D9" s="15">
        <v>1571</v>
      </c>
      <c r="E9" s="14">
        <v>37.611787309999997</v>
      </c>
      <c r="F9" s="16">
        <v>1.1739593699999999</v>
      </c>
      <c r="G9" s="14">
        <v>62.388212690000003</v>
      </c>
      <c r="H9" s="16">
        <v>1.1739593699999999</v>
      </c>
      <c r="I9" s="14" t="s">
        <v>139</v>
      </c>
      <c r="J9" s="16" t="s">
        <v>139</v>
      </c>
      <c r="K9" s="14">
        <v>0</v>
      </c>
      <c r="L9" s="16">
        <v>0</v>
      </c>
      <c r="M9" s="14">
        <v>0</v>
      </c>
      <c r="N9" s="16">
        <v>0</v>
      </c>
      <c r="O9" s="14">
        <v>0</v>
      </c>
      <c r="P9" s="16">
        <v>0</v>
      </c>
      <c r="Q9" s="14">
        <v>0</v>
      </c>
      <c r="R9" s="16">
        <v>0</v>
      </c>
    </row>
    <row r="10" spans="1:18" x14ac:dyDescent="0.25">
      <c r="A10" s="11" t="s">
        <v>142</v>
      </c>
      <c r="B10" s="13">
        <v>20058</v>
      </c>
      <c r="C10" s="14">
        <f>(16662/B10*100)</f>
        <v>83.069099611127726</v>
      </c>
      <c r="D10" s="15">
        <v>3396</v>
      </c>
      <c r="E10" s="14">
        <v>24.520843630000002</v>
      </c>
      <c r="F10" s="16">
        <v>1.07630965</v>
      </c>
      <c r="G10" s="14">
        <v>75.479156369999998</v>
      </c>
      <c r="H10" s="16">
        <v>1.07630965</v>
      </c>
      <c r="I10" s="14" t="s">
        <v>139</v>
      </c>
      <c r="J10" s="16" t="s">
        <v>139</v>
      </c>
      <c r="K10" s="14">
        <v>0</v>
      </c>
      <c r="L10" s="16">
        <v>0</v>
      </c>
      <c r="M10" s="14">
        <v>0</v>
      </c>
      <c r="N10" s="16">
        <v>0</v>
      </c>
      <c r="O10" s="14">
        <v>0</v>
      </c>
      <c r="P10" s="16">
        <v>0</v>
      </c>
      <c r="Q10" s="14">
        <v>0</v>
      </c>
      <c r="R10" s="16">
        <v>0</v>
      </c>
    </row>
    <row r="11" spans="1:18" x14ac:dyDescent="0.25">
      <c r="A11" s="11" t="s">
        <v>143</v>
      </c>
      <c r="B11" s="13">
        <v>7053</v>
      </c>
      <c r="C11" s="14">
        <f>(5867/B11*100)</f>
        <v>83.184460513256781</v>
      </c>
      <c r="D11" s="15">
        <v>1186</v>
      </c>
      <c r="E11" s="14">
        <v>40.71085574</v>
      </c>
      <c r="F11" s="16">
        <v>1.7503191199999999</v>
      </c>
      <c r="G11" s="14">
        <v>59.28914426</v>
      </c>
      <c r="H11" s="16">
        <v>1.7503191199999999</v>
      </c>
      <c r="I11" s="14" t="s">
        <v>139</v>
      </c>
      <c r="J11" s="16" t="s">
        <v>139</v>
      </c>
      <c r="K11" s="14">
        <v>0</v>
      </c>
      <c r="L11" s="16">
        <v>0</v>
      </c>
      <c r="M11" s="14">
        <v>0</v>
      </c>
      <c r="N11" s="16">
        <v>0</v>
      </c>
      <c r="O11" s="14">
        <v>0</v>
      </c>
      <c r="P11" s="16">
        <v>0</v>
      </c>
      <c r="Q11" s="14">
        <v>0</v>
      </c>
      <c r="R11" s="16">
        <v>0</v>
      </c>
    </row>
    <row r="12" spans="1:18" x14ac:dyDescent="0.25">
      <c r="A12" s="11" t="s">
        <v>144</v>
      </c>
      <c r="B12" s="13">
        <v>6894</v>
      </c>
      <c r="C12" s="14">
        <f>(5738/B12*100)</f>
        <v>83.231795764432832</v>
      </c>
      <c r="D12" s="15">
        <v>1156</v>
      </c>
      <c r="E12" s="14">
        <v>34.880916050000003</v>
      </c>
      <c r="F12" s="16">
        <v>1.7609249199999999</v>
      </c>
      <c r="G12" s="14">
        <v>65.119083950000004</v>
      </c>
      <c r="H12" s="16">
        <v>1.7609249199999999</v>
      </c>
      <c r="I12" s="14" t="s">
        <v>139</v>
      </c>
      <c r="J12" s="16" t="s">
        <v>139</v>
      </c>
      <c r="K12" s="14">
        <v>0</v>
      </c>
      <c r="L12" s="16">
        <v>0</v>
      </c>
      <c r="M12" s="14">
        <v>0</v>
      </c>
      <c r="N12" s="16">
        <v>0</v>
      </c>
      <c r="O12" s="14">
        <v>0</v>
      </c>
      <c r="P12" s="16">
        <v>0</v>
      </c>
      <c r="Q12" s="14">
        <v>0</v>
      </c>
      <c r="R12" s="16">
        <v>0</v>
      </c>
    </row>
    <row r="13" spans="1:18" x14ac:dyDescent="0.25">
      <c r="A13" s="11" t="s">
        <v>145</v>
      </c>
      <c r="B13" s="13">
        <v>7161</v>
      </c>
      <c r="C13" s="14">
        <f>(6027/B13*100)</f>
        <v>84.1642228739003</v>
      </c>
      <c r="D13" s="15">
        <v>1134</v>
      </c>
      <c r="E13" s="14">
        <v>22.874818770000001</v>
      </c>
      <c r="F13" s="16">
        <v>1.5277457999999999</v>
      </c>
      <c r="G13" s="14">
        <v>77.125181229999995</v>
      </c>
      <c r="H13" s="16">
        <v>1.5277457999999999</v>
      </c>
      <c r="I13" s="14" t="s">
        <v>139</v>
      </c>
      <c r="J13" s="16" t="s">
        <v>139</v>
      </c>
      <c r="K13" s="14">
        <v>0</v>
      </c>
      <c r="L13" s="16">
        <v>0</v>
      </c>
      <c r="M13" s="14">
        <v>0</v>
      </c>
      <c r="N13" s="16">
        <v>0</v>
      </c>
      <c r="O13" s="14">
        <v>0</v>
      </c>
      <c r="P13" s="16">
        <v>0</v>
      </c>
      <c r="Q13" s="14">
        <v>0</v>
      </c>
      <c r="R13" s="16">
        <v>0</v>
      </c>
    </row>
    <row r="14" spans="1:18" x14ac:dyDescent="0.25">
      <c r="A14" s="11" t="s">
        <v>146</v>
      </c>
      <c r="B14" s="13">
        <v>5587</v>
      </c>
      <c r="C14" s="14">
        <f>(4638/B14*100)</f>
        <v>83.014139967782356</v>
      </c>
      <c r="D14" s="15">
        <v>949</v>
      </c>
      <c r="E14" s="14">
        <v>26.722435010000002</v>
      </c>
      <c r="F14" s="16">
        <v>1.5867226699999999</v>
      </c>
      <c r="G14" s="14">
        <v>73.277564990000002</v>
      </c>
      <c r="H14" s="16">
        <v>1.5867226699999999</v>
      </c>
      <c r="I14" s="14" t="s">
        <v>139</v>
      </c>
      <c r="J14" s="16" t="s">
        <v>139</v>
      </c>
      <c r="K14" s="14">
        <v>0</v>
      </c>
      <c r="L14" s="16">
        <v>0</v>
      </c>
      <c r="M14" s="14">
        <v>0</v>
      </c>
      <c r="N14" s="16">
        <v>0</v>
      </c>
      <c r="O14" s="14">
        <v>0</v>
      </c>
      <c r="P14" s="16">
        <v>0</v>
      </c>
      <c r="Q14" s="14">
        <v>0</v>
      </c>
      <c r="R14" s="16">
        <v>0</v>
      </c>
    </row>
    <row r="15" spans="1:18" x14ac:dyDescent="0.25">
      <c r="A15" s="11" t="s">
        <v>147</v>
      </c>
      <c r="B15" s="13">
        <v>5882</v>
      </c>
      <c r="C15" s="14">
        <f>(4879/B15*100)</f>
        <v>82.947976878612721</v>
      </c>
      <c r="D15" s="15">
        <v>1003</v>
      </c>
      <c r="E15" s="14">
        <v>23.142986709999999</v>
      </c>
      <c r="F15" s="16">
        <v>1.4392085400000001</v>
      </c>
      <c r="G15" s="14">
        <v>76.857013289999998</v>
      </c>
      <c r="H15" s="16">
        <v>1.4392085400000001</v>
      </c>
      <c r="I15" s="14" t="s">
        <v>139</v>
      </c>
      <c r="J15" s="16" t="s">
        <v>139</v>
      </c>
      <c r="K15" s="14">
        <v>0</v>
      </c>
      <c r="L15" s="16">
        <v>0</v>
      </c>
      <c r="M15" s="14">
        <v>0</v>
      </c>
      <c r="N15" s="16">
        <v>0</v>
      </c>
      <c r="O15" s="14">
        <v>0</v>
      </c>
      <c r="P15" s="16">
        <v>0</v>
      </c>
      <c r="Q15" s="14">
        <v>0</v>
      </c>
      <c r="R15" s="16">
        <v>0</v>
      </c>
    </row>
    <row r="16" spans="1:18" x14ac:dyDescent="0.25">
      <c r="A16" s="11" t="s">
        <v>148</v>
      </c>
      <c r="B16" s="13">
        <v>6108</v>
      </c>
      <c r="C16" s="14">
        <f>(5065/B16*100)</f>
        <v>82.924034053700069</v>
      </c>
      <c r="D16" s="15">
        <v>1043</v>
      </c>
      <c r="E16" s="14">
        <v>34.852615759999999</v>
      </c>
      <c r="F16" s="16">
        <v>1.43078215</v>
      </c>
      <c r="G16" s="14">
        <v>65.147384239999994</v>
      </c>
      <c r="H16" s="16">
        <v>1.43078215</v>
      </c>
      <c r="I16" s="14" t="s">
        <v>139</v>
      </c>
      <c r="J16" s="16" t="s">
        <v>139</v>
      </c>
      <c r="K16" s="14">
        <v>0</v>
      </c>
      <c r="L16" s="16">
        <v>0</v>
      </c>
      <c r="M16" s="14">
        <v>0</v>
      </c>
      <c r="N16" s="16">
        <v>0</v>
      </c>
      <c r="O16" s="14">
        <v>0</v>
      </c>
      <c r="P16" s="16">
        <v>0</v>
      </c>
      <c r="Q16" s="14">
        <v>0</v>
      </c>
      <c r="R16" s="16">
        <v>0</v>
      </c>
    </row>
    <row r="17" spans="1:18" x14ac:dyDescent="0.25">
      <c r="A17" s="11" t="s">
        <v>149</v>
      </c>
      <c r="B17" s="13">
        <v>6504</v>
      </c>
      <c r="C17" s="14">
        <f>(5414/B17*100)</f>
        <v>83.241082410824106</v>
      </c>
      <c r="D17" s="15">
        <v>1090</v>
      </c>
      <c r="E17" s="14">
        <v>39.581579300000001</v>
      </c>
      <c r="F17" s="16">
        <v>1.6238334299999999</v>
      </c>
      <c r="G17" s="14">
        <v>60.418420699999999</v>
      </c>
      <c r="H17" s="16">
        <v>1.6238334299999999</v>
      </c>
      <c r="I17" s="14" t="s">
        <v>139</v>
      </c>
      <c r="J17" s="16" t="s">
        <v>139</v>
      </c>
      <c r="K17" s="14">
        <v>0</v>
      </c>
      <c r="L17" s="16">
        <v>0</v>
      </c>
      <c r="M17" s="14">
        <v>0</v>
      </c>
      <c r="N17" s="16">
        <v>0</v>
      </c>
      <c r="O17" s="14">
        <v>0</v>
      </c>
      <c r="P17" s="16">
        <v>0</v>
      </c>
      <c r="Q17" s="14">
        <v>0</v>
      </c>
      <c r="R17" s="16">
        <v>0</v>
      </c>
    </row>
    <row r="18" spans="1:18" x14ac:dyDescent="0.25">
      <c r="A18" s="11" t="s">
        <v>150</v>
      </c>
      <c r="B18" s="13">
        <v>5532</v>
      </c>
      <c r="C18" s="14">
        <f>(4631/B18*100)</f>
        <v>83.712942877801879</v>
      </c>
      <c r="D18" s="15">
        <v>901</v>
      </c>
      <c r="E18" s="14">
        <v>37.13501591</v>
      </c>
      <c r="F18" s="16">
        <v>2.2088919699999998</v>
      </c>
      <c r="G18" s="14">
        <v>62.86498409</v>
      </c>
      <c r="H18" s="16">
        <v>2.2088919699999998</v>
      </c>
      <c r="I18" s="14" t="s">
        <v>139</v>
      </c>
      <c r="J18" s="16" t="s">
        <v>139</v>
      </c>
      <c r="K18" s="14">
        <v>0</v>
      </c>
      <c r="L18" s="16">
        <v>0</v>
      </c>
      <c r="M18" s="14">
        <v>0</v>
      </c>
      <c r="N18" s="16">
        <v>0</v>
      </c>
      <c r="O18" s="14">
        <v>0</v>
      </c>
      <c r="P18" s="16">
        <v>0</v>
      </c>
      <c r="Q18" s="14">
        <v>0</v>
      </c>
      <c r="R18" s="16">
        <v>0</v>
      </c>
    </row>
    <row r="19" spans="1:18" x14ac:dyDescent="0.25">
      <c r="A19" s="11" t="s">
        <v>151</v>
      </c>
      <c r="B19" s="13">
        <v>5658</v>
      </c>
      <c r="C19" s="14">
        <f>(4717/B19*100)</f>
        <v>83.368681512902086</v>
      </c>
      <c r="D19" s="15">
        <v>941</v>
      </c>
      <c r="E19" s="14">
        <v>36.376238110000003</v>
      </c>
      <c r="F19" s="16">
        <v>1.80147195</v>
      </c>
      <c r="G19" s="14">
        <v>63.623761889999997</v>
      </c>
      <c r="H19" s="16">
        <v>1.80147195</v>
      </c>
      <c r="I19" s="14" t="s">
        <v>139</v>
      </c>
      <c r="J19" s="16" t="s">
        <v>139</v>
      </c>
      <c r="K19" s="14">
        <v>0</v>
      </c>
      <c r="L19" s="16">
        <v>0</v>
      </c>
      <c r="M19" s="14">
        <v>0</v>
      </c>
      <c r="N19" s="16">
        <v>0</v>
      </c>
      <c r="O19" s="14">
        <v>0</v>
      </c>
      <c r="P19" s="16">
        <v>0</v>
      </c>
      <c r="Q19" s="14">
        <v>0</v>
      </c>
      <c r="R19" s="16">
        <v>0</v>
      </c>
    </row>
    <row r="20" spans="1:18" x14ac:dyDescent="0.25">
      <c r="A20" s="11" t="s">
        <v>152</v>
      </c>
      <c r="B20" s="13">
        <v>3371</v>
      </c>
      <c r="C20" s="14">
        <f>(2817/B20*100)</f>
        <v>83.565707505191327</v>
      </c>
      <c r="D20" s="15">
        <v>554</v>
      </c>
      <c r="E20" s="14">
        <v>37.293002819999998</v>
      </c>
      <c r="F20" s="16">
        <v>2.13168391</v>
      </c>
      <c r="G20" s="14">
        <v>62.706997180000002</v>
      </c>
      <c r="H20" s="16">
        <v>2.13168391</v>
      </c>
      <c r="I20" s="14" t="s">
        <v>139</v>
      </c>
      <c r="J20" s="16" t="s">
        <v>139</v>
      </c>
      <c r="K20" s="14">
        <v>0</v>
      </c>
      <c r="L20" s="16">
        <v>0</v>
      </c>
      <c r="M20" s="14">
        <v>0</v>
      </c>
      <c r="N20" s="16">
        <v>0</v>
      </c>
      <c r="O20" s="14">
        <v>0</v>
      </c>
      <c r="P20" s="16">
        <v>0</v>
      </c>
      <c r="Q20" s="14">
        <v>0</v>
      </c>
      <c r="R20" s="16">
        <v>0</v>
      </c>
    </row>
    <row r="21" spans="1:18" x14ac:dyDescent="0.25">
      <c r="A21" s="11" t="s">
        <v>153</v>
      </c>
      <c r="B21" s="17" t="s">
        <v>154</v>
      </c>
      <c r="C21" s="17" t="s">
        <v>154</v>
      </c>
      <c r="D21" s="18" t="s">
        <v>154</v>
      </c>
      <c r="E21" s="17" t="s">
        <v>154</v>
      </c>
      <c r="F21" s="18" t="s">
        <v>154</v>
      </c>
      <c r="G21" s="17" t="s">
        <v>154</v>
      </c>
      <c r="H21" s="18" t="s">
        <v>154</v>
      </c>
      <c r="I21" s="17" t="s">
        <v>154</v>
      </c>
      <c r="J21" s="18" t="s">
        <v>154</v>
      </c>
      <c r="K21" s="17" t="s">
        <v>154</v>
      </c>
      <c r="L21" s="18" t="s">
        <v>154</v>
      </c>
      <c r="M21" s="17" t="s">
        <v>154</v>
      </c>
      <c r="N21" s="18" t="s">
        <v>154</v>
      </c>
      <c r="O21" s="17" t="s">
        <v>154</v>
      </c>
      <c r="P21" s="18" t="s">
        <v>154</v>
      </c>
      <c r="Q21" s="17" t="s">
        <v>154</v>
      </c>
      <c r="R21" s="18" t="s">
        <v>154</v>
      </c>
    </row>
    <row r="22" spans="1:18" x14ac:dyDescent="0.25">
      <c r="A22" s="11" t="s">
        <v>155</v>
      </c>
      <c r="B22" s="13">
        <v>6598</v>
      </c>
      <c r="C22" s="14">
        <f>(5579/B22*100)</f>
        <v>84.555926038193391</v>
      </c>
      <c r="D22" s="15">
        <v>1019</v>
      </c>
      <c r="E22" s="14">
        <v>34.810833840000001</v>
      </c>
      <c r="F22" s="16">
        <v>2.05314825</v>
      </c>
      <c r="G22" s="14">
        <v>65.189166159999999</v>
      </c>
      <c r="H22" s="16">
        <v>2.05314825</v>
      </c>
      <c r="I22" s="14" t="s">
        <v>139</v>
      </c>
      <c r="J22" s="16" t="s">
        <v>139</v>
      </c>
      <c r="K22" s="14">
        <v>0</v>
      </c>
      <c r="L22" s="16">
        <v>0</v>
      </c>
      <c r="M22" s="14">
        <v>0</v>
      </c>
      <c r="N22" s="16">
        <v>0</v>
      </c>
      <c r="O22" s="14">
        <v>0</v>
      </c>
      <c r="P22" s="16">
        <v>0</v>
      </c>
      <c r="Q22" s="14">
        <v>0</v>
      </c>
      <c r="R22" s="16">
        <v>0</v>
      </c>
    </row>
    <row r="23" spans="1:18" x14ac:dyDescent="0.25">
      <c r="A23" s="11" t="s">
        <v>156</v>
      </c>
      <c r="B23" s="13">
        <v>11583</v>
      </c>
      <c r="C23" s="14">
        <f>(9622/B23*100)</f>
        <v>83.07001640334974</v>
      </c>
      <c r="D23" s="15">
        <v>1961</v>
      </c>
      <c r="E23" s="14">
        <v>30.451777289999999</v>
      </c>
      <c r="F23" s="16">
        <v>1.15628792</v>
      </c>
      <c r="G23" s="14">
        <v>69.548222710000005</v>
      </c>
      <c r="H23" s="16">
        <v>1.15628792</v>
      </c>
      <c r="I23" s="14" t="s">
        <v>139</v>
      </c>
      <c r="J23" s="16" t="s">
        <v>139</v>
      </c>
      <c r="K23" s="14">
        <v>0</v>
      </c>
      <c r="L23" s="16">
        <v>0</v>
      </c>
      <c r="M23" s="14">
        <v>0</v>
      </c>
      <c r="N23" s="16">
        <v>0</v>
      </c>
      <c r="O23" s="14">
        <v>0</v>
      </c>
      <c r="P23" s="16">
        <v>0</v>
      </c>
      <c r="Q23" s="14">
        <v>0</v>
      </c>
      <c r="R23" s="16">
        <v>0</v>
      </c>
    </row>
    <row r="24" spans="1:18" x14ac:dyDescent="0.25">
      <c r="A24" s="11" t="s">
        <v>157</v>
      </c>
      <c r="B24" s="13">
        <v>6647</v>
      </c>
      <c r="C24" s="14">
        <f>(5473/B24*100)</f>
        <v>82.337896795546868</v>
      </c>
      <c r="D24" s="15">
        <v>1174</v>
      </c>
      <c r="E24" s="14">
        <v>27.092092139999998</v>
      </c>
      <c r="F24" s="16">
        <v>1.4189541400000001</v>
      </c>
      <c r="G24" s="14">
        <v>72.907907859999995</v>
      </c>
      <c r="H24" s="16">
        <v>1.4189541400000001</v>
      </c>
      <c r="I24" s="14" t="s">
        <v>139</v>
      </c>
      <c r="J24" s="16" t="s">
        <v>139</v>
      </c>
      <c r="K24" s="14">
        <v>0</v>
      </c>
      <c r="L24" s="16">
        <v>0</v>
      </c>
      <c r="M24" s="14">
        <v>0</v>
      </c>
      <c r="N24" s="16">
        <v>0</v>
      </c>
      <c r="O24" s="14">
        <v>0</v>
      </c>
      <c r="P24" s="16">
        <v>0</v>
      </c>
      <c r="Q24" s="14">
        <v>0</v>
      </c>
      <c r="R24" s="16">
        <v>0</v>
      </c>
    </row>
    <row r="25" spans="1:18" x14ac:dyDescent="0.25">
      <c r="A25" s="11" t="s">
        <v>158</v>
      </c>
      <c r="B25" s="13">
        <v>5581</v>
      </c>
      <c r="C25" s="14">
        <f>(4597/B25*100)</f>
        <v>82.368751119870993</v>
      </c>
      <c r="D25" s="15">
        <v>984</v>
      </c>
      <c r="E25" s="14">
        <v>17.914995560000001</v>
      </c>
      <c r="F25" s="16">
        <v>1.2808819</v>
      </c>
      <c r="G25" s="14">
        <v>82.085004440000006</v>
      </c>
      <c r="H25" s="16">
        <v>1.2808819</v>
      </c>
      <c r="I25" s="14" t="s">
        <v>139</v>
      </c>
      <c r="J25" s="16" t="s">
        <v>139</v>
      </c>
      <c r="K25" s="14">
        <v>0</v>
      </c>
      <c r="L25" s="16">
        <v>0</v>
      </c>
      <c r="M25" s="14">
        <v>0</v>
      </c>
      <c r="N25" s="16">
        <v>0</v>
      </c>
      <c r="O25" s="14">
        <v>0</v>
      </c>
      <c r="P25" s="16">
        <v>0</v>
      </c>
      <c r="Q25" s="14">
        <v>0</v>
      </c>
      <c r="R25" s="16">
        <v>0</v>
      </c>
    </row>
    <row r="26" spans="1:18" x14ac:dyDescent="0.25">
      <c r="A26" s="11" t="s">
        <v>159</v>
      </c>
      <c r="B26" s="13">
        <v>4869</v>
      </c>
      <c r="C26" s="14">
        <f>(4038/B26*100)</f>
        <v>82.932840418977207</v>
      </c>
      <c r="D26" s="15">
        <v>831</v>
      </c>
      <c r="E26" s="14">
        <v>41.13897206</v>
      </c>
      <c r="F26" s="16">
        <v>1.86304622</v>
      </c>
      <c r="G26" s="14">
        <v>58.86102794</v>
      </c>
      <c r="H26" s="16">
        <v>1.86304622</v>
      </c>
      <c r="I26" s="14" t="s">
        <v>139</v>
      </c>
      <c r="J26" s="16" t="s">
        <v>139</v>
      </c>
      <c r="K26" s="14">
        <v>0</v>
      </c>
      <c r="L26" s="16">
        <v>0</v>
      </c>
      <c r="M26" s="14">
        <v>0</v>
      </c>
      <c r="N26" s="16">
        <v>0</v>
      </c>
      <c r="O26" s="14">
        <v>0</v>
      </c>
      <c r="P26" s="16">
        <v>0</v>
      </c>
      <c r="Q26" s="14">
        <v>0</v>
      </c>
      <c r="R26" s="16">
        <v>0</v>
      </c>
    </row>
    <row r="27" spans="1:18" x14ac:dyDescent="0.25">
      <c r="A27" s="11" t="s">
        <v>160</v>
      </c>
      <c r="B27" s="13">
        <v>5299</v>
      </c>
      <c r="C27" s="14">
        <f>(4418/B27*100)</f>
        <v>83.374221551236076</v>
      </c>
      <c r="D27" s="15">
        <v>881</v>
      </c>
      <c r="E27" s="14">
        <v>43.265837300000001</v>
      </c>
      <c r="F27" s="16">
        <v>1.8311667700000001</v>
      </c>
      <c r="G27" s="14">
        <v>56.734162699999999</v>
      </c>
      <c r="H27" s="16">
        <v>1.8311667700000001</v>
      </c>
      <c r="I27" s="14" t="s">
        <v>139</v>
      </c>
      <c r="J27" s="16" t="s">
        <v>139</v>
      </c>
      <c r="K27" s="14">
        <v>0</v>
      </c>
      <c r="L27" s="16">
        <v>0</v>
      </c>
      <c r="M27" s="14">
        <v>0</v>
      </c>
      <c r="N27" s="16">
        <v>0</v>
      </c>
      <c r="O27" s="14">
        <v>0</v>
      </c>
      <c r="P27" s="16">
        <v>0</v>
      </c>
      <c r="Q27" s="14">
        <v>0</v>
      </c>
      <c r="R27" s="16">
        <v>0</v>
      </c>
    </row>
    <row r="28" spans="1:18" x14ac:dyDescent="0.25">
      <c r="A28" s="11" t="s">
        <v>161</v>
      </c>
      <c r="B28" s="13">
        <v>7568</v>
      </c>
      <c r="C28" s="14">
        <f>(6380/B28*100)</f>
        <v>84.302325581395351</v>
      </c>
      <c r="D28" s="15">
        <v>1188</v>
      </c>
      <c r="E28" s="14">
        <v>41.992226649999999</v>
      </c>
      <c r="F28" s="16">
        <v>1.5223894099999999</v>
      </c>
      <c r="G28" s="14">
        <v>58.007773350000001</v>
      </c>
      <c r="H28" s="16">
        <v>1.5223894099999999</v>
      </c>
      <c r="I28" s="14" t="s">
        <v>139</v>
      </c>
      <c r="J28" s="16" t="s">
        <v>139</v>
      </c>
      <c r="K28" s="14">
        <v>0</v>
      </c>
      <c r="L28" s="16">
        <v>0</v>
      </c>
      <c r="M28" s="14">
        <v>0</v>
      </c>
      <c r="N28" s="16">
        <v>0</v>
      </c>
      <c r="O28" s="14">
        <v>0</v>
      </c>
      <c r="P28" s="16">
        <v>0</v>
      </c>
      <c r="Q28" s="14">
        <v>0</v>
      </c>
      <c r="R28" s="16">
        <v>0</v>
      </c>
    </row>
    <row r="29" spans="1:18" x14ac:dyDescent="0.25">
      <c r="A29" s="11" t="s">
        <v>162</v>
      </c>
      <c r="B29" s="13">
        <v>5385</v>
      </c>
      <c r="C29" s="14">
        <f>(4468/B29*100)</f>
        <v>82.971216341689882</v>
      </c>
      <c r="D29" s="15">
        <v>917</v>
      </c>
      <c r="E29" s="14">
        <v>34.790343040000003</v>
      </c>
      <c r="F29" s="16">
        <v>1.3241072899999999</v>
      </c>
      <c r="G29" s="14">
        <v>65.209656960000004</v>
      </c>
      <c r="H29" s="16">
        <v>1.3241072899999999</v>
      </c>
      <c r="I29" s="14" t="s">
        <v>139</v>
      </c>
      <c r="J29" s="16" t="s">
        <v>139</v>
      </c>
      <c r="K29" s="14">
        <v>0</v>
      </c>
      <c r="L29" s="16">
        <v>0</v>
      </c>
      <c r="M29" s="14">
        <v>0</v>
      </c>
      <c r="N29" s="16">
        <v>0</v>
      </c>
      <c r="O29" s="14">
        <v>0</v>
      </c>
      <c r="P29" s="16">
        <v>0</v>
      </c>
      <c r="Q29" s="14">
        <v>0</v>
      </c>
      <c r="R29" s="16">
        <v>0</v>
      </c>
    </row>
    <row r="30" spans="1:18" x14ac:dyDescent="0.25">
      <c r="A30" s="11" t="s">
        <v>163</v>
      </c>
      <c r="B30" s="13">
        <v>4520</v>
      </c>
      <c r="C30" s="14">
        <f>(3771/B30*100)</f>
        <v>83.429203539823007</v>
      </c>
      <c r="D30" s="15">
        <v>749</v>
      </c>
      <c r="E30" s="14">
        <v>24.093020209999999</v>
      </c>
      <c r="F30" s="16">
        <v>1.45423467</v>
      </c>
      <c r="G30" s="14">
        <v>75.906979789999994</v>
      </c>
      <c r="H30" s="16">
        <v>1.45423467</v>
      </c>
      <c r="I30" s="14" t="s">
        <v>139</v>
      </c>
      <c r="J30" s="16" t="s">
        <v>139</v>
      </c>
      <c r="K30" s="14">
        <v>0</v>
      </c>
      <c r="L30" s="16">
        <v>0</v>
      </c>
      <c r="M30" s="14">
        <v>0</v>
      </c>
      <c r="N30" s="16">
        <v>0</v>
      </c>
      <c r="O30" s="14">
        <v>0</v>
      </c>
      <c r="P30" s="16">
        <v>0</v>
      </c>
      <c r="Q30" s="14">
        <v>0</v>
      </c>
      <c r="R30" s="16">
        <v>0</v>
      </c>
    </row>
    <row r="31" spans="1:18" x14ac:dyDescent="0.25">
      <c r="A31" s="11" t="s">
        <v>164</v>
      </c>
      <c r="B31" s="13">
        <v>5456</v>
      </c>
      <c r="C31" s="14">
        <f>(4500/B31*100)</f>
        <v>82.478005865102645</v>
      </c>
      <c r="D31" s="15">
        <v>956</v>
      </c>
      <c r="E31" s="14">
        <v>31.039275060000001</v>
      </c>
      <c r="F31" s="16">
        <v>1.42205881</v>
      </c>
      <c r="G31" s="14">
        <v>68.960724940000006</v>
      </c>
      <c r="H31" s="16">
        <v>1.42205881</v>
      </c>
      <c r="I31" s="14" t="s">
        <v>139</v>
      </c>
      <c r="J31" s="16" t="s">
        <v>139</v>
      </c>
      <c r="K31" s="14">
        <v>0</v>
      </c>
      <c r="L31" s="16">
        <v>0</v>
      </c>
      <c r="M31" s="14">
        <v>0</v>
      </c>
      <c r="N31" s="16">
        <v>0</v>
      </c>
      <c r="O31" s="14">
        <v>0</v>
      </c>
      <c r="P31" s="16">
        <v>0</v>
      </c>
      <c r="Q31" s="14">
        <v>0</v>
      </c>
      <c r="R31" s="16">
        <v>0</v>
      </c>
    </row>
    <row r="32" spans="1:18" x14ac:dyDescent="0.25">
      <c r="A32" s="11" t="s">
        <v>165</v>
      </c>
      <c r="B32" s="17" t="s">
        <v>154</v>
      </c>
      <c r="C32" s="17" t="s">
        <v>154</v>
      </c>
      <c r="D32" s="18" t="s">
        <v>154</v>
      </c>
      <c r="E32" s="17" t="s">
        <v>154</v>
      </c>
      <c r="F32" s="18" t="s">
        <v>154</v>
      </c>
      <c r="G32" s="17" t="s">
        <v>154</v>
      </c>
      <c r="H32" s="18" t="s">
        <v>154</v>
      </c>
      <c r="I32" s="17" t="s">
        <v>154</v>
      </c>
      <c r="J32" s="18" t="s">
        <v>154</v>
      </c>
      <c r="K32" s="17" t="s">
        <v>154</v>
      </c>
      <c r="L32" s="18" t="s">
        <v>154</v>
      </c>
      <c r="M32" s="17" t="s">
        <v>154</v>
      </c>
      <c r="N32" s="18" t="s">
        <v>154</v>
      </c>
      <c r="O32" s="17" t="s">
        <v>154</v>
      </c>
      <c r="P32" s="18" t="s">
        <v>154</v>
      </c>
      <c r="Q32" s="17" t="s">
        <v>154</v>
      </c>
      <c r="R32" s="18" t="s">
        <v>154</v>
      </c>
    </row>
    <row r="33" spans="1:18" x14ac:dyDescent="0.25">
      <c r="A33" s="11" t="s">
        <v>166</v>
      </c>
      <c r="B33" s="13">
        <v>7325</v>
      </c>
      <c r="C33" s="14">
        <f>(6087/B33*100)</f>
        <v>83.098976109215016</v>
      </c>
      <c r="D33" s="15">
        <v>1238</v>
      </c>
      <c r="E33" s="14">
        <v>34.212952319999999</v>
      </c>
      <c r="F33" s="16">
        <v>1.5482993899999999</v>
      </c>
      <c r="G33" s="14">
        <v>65.787047680000001</v>
      </c>
      <c r="H33" s="16">
        <v>1.5482993899999999</v>
      </c>
      <c r="I33" s="14" t="s">
        <v>139</v>
      </c>
      <c r="J33" s="16" t="s">
        <v>139</v>
      </c>
      <c r="K33" s="14">
        <v>0</v>
      </c>
      <c r="L33" s="16">
        <v>0</v>
      </c>
      <c r="M33" s="14">
        <v>0</v>
      </c>
      <c r="N33" s="16">
        <v>0</v>
      </c>
      <c r="O33" s="14">
        <v>0</v>
      </c>
      <c r="P33" s="16">
        <v>0</v>
      </c>
      <c r="Q33" s="14">
        <v>0</v>
      </c>
      <c r="R33" s="16">
        <v>0</v>
      </c>
    </row>
    <row r="34" spans="1:18" x14ac:dyDescent="0.25">
      <c r="A34" s="11" t="s">
        <v>167</v>
      </c>
      <c r="B34" s="13">
        <v>6350</v>
      </c>
      <c r="C34" s="14">
        <f>(5330/B34*100)</f>
        <v>83.937007874015748</v>
      </c>
      <c r="D34" s="15">
        <v>1020</v>
      </c>
      <c r="E34" s="14">
        <v>45.118537510000003</v>
      </c>
      <c r="F34" s="16">
        <v>1.8378205299999999</v>
      </c>
      <c r="G34" s="14">
        <v>54.881462489999997</v>
      </c>
      <c r="H34" s="16">
        <v>1.8378205299999999</v>
      </c>
      <c r="I34" s="14" t="s">
        <v>139</v>
      </c>
      <c r="J34" s="16" t="s">
        <v>139</v>
      </c>
      <c r="K34" s="14">
        <v>0</v>
      </c>
      <c r="L34" s="16">
        <v>0</v>
      </c>
      <c r="M34" s="14">
        <v>0</v>
      </c>
      <c r="N34" s="16">
        <v>0</v>
      </c>
      <c r="O34" s="14">
        <v>0</v>
      </c>
      <c r="P34" s="16">
        <v>0</v>
      </c>
      <c r="Q34" s="14">
        <v>0</v>
      </c>
      <c r="R34" s="16">
        <v>0</v>
      </c>
    </row>
    <row r="35" spans="1:18" x14ac:dyDescent="0.25">
      <c r="A35" s="11" t="s">
        <v>168</v>
      </c>
      <c r="B35" s="13">
        <v>6406</v>
      </c>
      <c r="C35" s="14">
        <f>(5332/B35*100)</f>
        <v>83.234467686543866</v>
      </c>
      <c r="D35" s="15">
        <v>1074</v>
      </c>
      <c r="E35" s="14">
        <v>43.648365660000003</v>
      </c>
      <c r="F35" s="16">
        <v>2.0707432799999999</v>
      </c>
      <c r="G35" s="14">
        <v>56.351634339999997</v>
      </c>
      <c r="H35" s="16">
        <v>2.0707432799999999</v>
      </c>
      <c r="I35" s="14" t="s">
        <v>139</v>
      </c>
      <c r="J35" s="16" t="s">
        <v>139</v>
      </c>
      <c r="K35" s="14">
        <v>0</v>
      </c>
      <c r="L35" s="16">
        <v>0</v>
      </c>
      <c r="M35" s="14">
        <v>0</v>
      </c>
      <c r="N35" s="16">
        <v>0</v>
      </c>
      <c r="O35" s="14">
        <v>0</v>
      </c>
      <c r="P35" s="16">
        <v>0</v>
      </c>
      <c r="Q35" s="14">
        <v>0</v>
      </c>
      <c r="R35" s="16">
        <v>0</v>
      </c>
    </row>
    <row r="36" spans="1:18" x14ac:dyDescent="0.25">
      <c r="A36" s="11" t="s">
        <v>169</v>
      </c>
      <c r="B36" s="13">
        <v>6736</v>
      </c>
      <c r="C36" s="14">
        <f>(5607/B36*100)</f>
        <v>83.239311163895493</v>
      </c>
      <c r="D36" s="15">
        <v>1129</v>
      </c>
      <c r="E36" s="14">
        <v>30.594431419999999</v>
      </c>
      <c r="F36" s="16">
        <v>1.5374149500000001</v>
      </c>
      <c r="G36" s="14">
        <v>69.405568579999994</v>
      </c>
      <c r="H36" s="16">
        <v>1.5374149500000001</v>
      </c>
      <c r="I36" s="14" t="s">
        <v>139</v>
      </c>
      <c r="J36" s="16" t="s">
        <v>139</v>
      </c>
      <c r="K36" s="14">
        <v>0</v>
      </c>
      <c r="L36" s="16">
        <v>0</v>
      </c>
      <c r="M36" s="14">
        <v>0</v>
      </c>
      <c r="N36" s="16">
        <v>0</v>
      </c>
      <c r="O36" s="14">
        <v>0</v>
      </c>
      <c r="P36" s="16">
        <v>0</v>
      </c>
      <c r="Q36" s="14">
        <v>0</v>
      </c>
      <c r="R36" s="16">
        <v>0</v>
      </c>
    </row>
    <row r="37" spans="1:18" x14ac:dyDescent="0.25">
      <c r="A37" s="11" t="s">
        <v>170</v>
      </c>
      <c r="B37" s="13">
        <v>5458</v>
      </c>
      <c r="C37" s="14">
        <f>(4541/B37*100)</f>
        <v>83.198973983144015</v>
      </c>
      <c r="D37" s="15">
        <v>917</v>
      </c>
      <c r="E37" s="14">
        <v>34.996425739999999</v>
      </c>
      <c r="F37" s="16">
        <v>1.80425385</v>
      </c>
      <c r="G37" s="14">
        <v>65.003574259999994</v>
      </c>
      <c r="H37" s="16">
        <v>1.80425385</v>
      </c>
      <c r="I37" s="14" t="s">
        <v>139</v>
      </c>
      <c r="J37" s="16" t="s">
        <v>139</v>
      </c>
      <c r="K37" s="14">
        <v>0</v>
      </c>
      <c r="L37" s="16">
        <v>0</v>
      </c>
      <c r="M37" s="14">
        <v>0</v>
      </c>
      <c r="N37" s="16">
        <v>0</v>
      </c>
      <c r="O37" s="14">
        <v>0</v>
      </c>
      <c r="P37" s="16">
        <v>0</v>
      </c>
      <c r="Q37" s="14">
        <v>0</v>
      </c>
      <c r="R37" s="16">
        <v>0</v>
      </c>
    </row>
    <row r="38" spans="1:18" x14ac:dyDescent="0.25">
      <c r="A38" s="11" t="s">
        <v>171</v>
      </c>
      <c r="B38" s="17" t="s">
        <v>154</v>
      </c>
      <c r="C38" s="17" t="s">
        <v>154</v>
      </c>
      <c r="D38" s="18" t="s">
        <v>154</v>
      </c>
      <c r="E38" s="17" t="s">
        <v>154</v>
      </c>
      <c r="F38" s="18" t="s">
        <v>154</v>
      </c>
      <c r="G38" s="17" t="s">
        <v>154</v>
      </c>
      <c r="H38" s="18" t="s">
        <v>154</v>
      </c>
      <c r="I38" s="17" t="s">
        <v>154</v>
      </c>
      <c r="J38" s="18" t="s">
        <v>154</v>
      </c>
      <c r="K38" s="17" t="s">
        <v>154</v>
      </c>
      <c r="L38" s="18" t="s">
        <v>154</v>
      </c>
      <c r="M38" s="17" t="s">
        <v>154</v>
      </c>
      <c r="N38" s="18" t="s">
        <v>154</v>
      </c>
      <c r="O38" s="17" t="s">
        <v>154</v>
      </c>
      <c r="P38" s="18" t="s">
        <v>154</v>
      </c>
      <c r="Q38" s="17" t="s">
        <v>154</v>
      </c>
      <c r="R38" s="18" t="s">
        <v>154</v>
      </c>
    </row>
    <row r="39" spans="1:18" x14ac:dyDescent="0.25">
      <c r="A39" s="11" t="s">
        <v>172</v>
      </c>
      <c r="B39" s="13">
        <v>5895</v>
      </c>
      <c r="C39" s="14">
        <f>(4865/B39*100)</f>
        <v>82.527565733672603</v>
      </c>
      <c r="D39" s="15">
        <v>1030</v>
      </c>
      <c r="E39" s="14">
        <v>43.538081579999997</v>
      </c>
      <c r="F39" s="16">
        <v>1.65261375</v>
      </c>
      <c r="G39" s="14">
        <v>56.461918420000003</v>
      </c>
      <c r="H39" s="16">
        <v>1.65261375</v>
      </c>
      <c r="I39" s="14" t="s">
        <v>139</v>
      </c>
      <c r="J39" s="16" t="s">
        <v>139</v>
      </c>
      <c r="K39" s="14">
        <v>0</v>
      </c>
      <c r="L39" s="16">
        <v>0</v>
      </c>
      <c r="M39" s="14">
        <v>0</v>
      </c>
      <c r="N39" s="16">
        <v>0</v>
      </c>
      <c r="O39" s="14">
        <v>0</v>
      </c>
      <c r="P39" s="16">
        <v>0</v>
      </c>
      <c r="Q39" s="14">
        <v>0</v>
      </c>
      <c r="R39" s="16">
        <v>0</v>
      </c>
    </row>
    <row r="40" spans="1:18" x14ac:dyDescent="0.25">
      <c r="A40" s="11" t="s">
        <v>173</v>
      </c>
      <c r="B40" s="13">
        <v>14157</v>
      </c>
      <c r="C40" s="14">
        <f>(11680/B40*100)</f>
        <v>82.50335523062796</v>
      </c>
      <c r="D40" s="15">
        <v>2477</v>
      </c>
      <c r="E40" s="14">
        <v>27.638753210000001</v>
      </c>
      <c r="F40" s="16">
        <v>1.19460692</v>
      </c>
      <c r="G40" s="14">
        <v>72.361246789999996</v>
      </c>
      <c r="H40" s="16">
        <v>1.19460692</v>
      </c>
      <c r="I40" s="14" t="s">
        <v>139</v>
      </c>
      <c r="J40" s="16" t="s">
        <v>139</v>
      </c>
      <c r="K40" s="14">
        <v>0</v>
      </c>
      <c r="L40" s="16">
        <v>0</v>
      </c>
      <c r="M40" s="14">
        <v>0</v>
      </c>
      <c r="N40" s="16">
        <v>0</v>
      </c>
      <c r="O40" s="14">
        <v>0</v>
      </c>
      <c r="P40" s="16">
        <v>0</v>
      </c>
      <c r="Q40" s="14">
        <v>0</v>
      </c>
      <c r="R40" s="16">
        <v>0</v>
      </c>
    </row>
    <row r="41" spans="1:18" x14ac:dyDescent="0.25">
      <c r="A41" s="11" t="s">
        <v>174</v>
      </c>
      <c r="B41" s="13">
        <v>5712</v>
      </c>
      <c r="C41" s="14">
        <f>(4763/B41*100)</f>
        <v>83.385854341736703</v>
      </c>
      <c r="D41" s="15">
        <v>949</v>
      </c>
      <c r="E41" s="14">
        <v>26.647022400000001</v>
      </c>
      <c r="F41" s="16">
        <v>1.5692376400000001</v>
      </c>
      <c r="G41" s="14">
        <v>73.352977600000003</v>
      </c>
      <c r="H41" s="16">
        <v>1.5692376400000001</v>
      </c>
      <c r="I41" s="14" t="s">
        <v>139</v>
      </c>
      <c r="J41" s="16" t="s">
        <v>139</v>
      </c>
      <c r="K41" s="14">
        <v>0</v>
      </c>
      <c r="L41" s="16">
        <v>0</v>
      </c>
      <c r="M41" s="14">
        <v>0</v>
      </c>
      <c r="N41" s="16">
        <v>0</v>
      </c>
      <c r="O41" s="14">
        <v>0</v>
      </c>
      <c r="P41" s="16">
        <v>0</v>
      </c>
      <c r="Q41" s="14">
        <v>0</v>
      </c>
      <c r="R41" s="16">
        <v>0</v>
      </c>
    </row>
    <row r="42" spans="1:18" x14ac:dyDescent="0.25">
      <c r="A42" s="11" t="s">
        <v>175</v>
      </c>
      <c r="B42" s="13">
        <f>IF(COUNT(B7:B41) &gt; 0, AVERAGE(B7:B41), "\u2014")</f>
        <v>7266.90625</v>
      </c>
      <c r="C42" s="14">
        <f>IF(COUNT(C7:C41) &gt; 0, AVERAGE(C7:C41), "—")</f>
        <v>83.243101146252428</v>
      </c>
      <c r="D42" s="15">
        <f>IF(COUNT(D7:D41) &gt; 0, AVERAGE(D7:D41), "—")</f>
        <v>1218.28125</v>
      </c>
      <c r="E42" s="14">
        <f>IF(COUNT(E7:E41) &gt; 0, AVERAGE(E7:E41), "—")</f>
        <v>33.669846954062493</v>
      </c>
      <c r="F42" s="16">
        <f>IF(COUNT(F7:F41) &gt; 0, SQRT(SUMSQ(F7:F41)/(COUNT(F7:F41)*COUNT(F7:F41)) ), "—")</f>
        <v>0.28481940179391352</v>
      </c>
      <c r="G42" s="14">
        <f>IF(COUNT(G7:G41) &gt; 0, AVERAGE(G7:G41), "—")</f>
        <v>66.330153045937507</v>
      </c>
      <c r="H42" s="16">
        <f>IF(COUNT(H7:H41) &gt; 0, SQRT(SUMSQ(H7:H41)/(COUNT(H7:H41)*COUNT(H7:H41)) ), "—")</f>
        <v>0.28481940179391352</v>
      </c>
      <c r="I42" s="14" t="str">
        <f>IF(COUNT(I7:I41) &gt; 0, AVERAGE(I7:I41), "—")</f>
        <v>—</v>
      </c>
      <c r="J42" s="16" t="str">
        <f>IF(COUNT(J7:J41) &gt; 0, SQRT(SUMSQ(J7:J41)/(COUNT(J7:J41)*COUNT(J7:J41)) ), "—")</f>
        <v>—</v>
      </c>
      <c r="K42" s="14">
        <f>IF(COUNT(K7:K41) &gt; 0, AVERAGE(K7:K41), "—")</f>
        <v>0</v>
      </c>
      <c r="L42" s="16">
        <f>IF(COUNT(L7:L41) &gt; 0, SQRT(SUMSQ(L7:L41)/(COUNT(L7:L41)*COUNT(L7:L41)) ), "—")</f>
        <v>0</v>
      </c>
      <c r="M42" s="14">
        <f>IF(COUNT(M7:M41) &gt; 0, AVERAGE(M7:M41), "—")</f>
        <v>0</v>
      </c>
      <c r="N42" s="16">
        <f>IF(COUNT(N7:N41) &gt; 0, SQRT(SUMSQ(N7:N41)/(COUNT(N7:N41)*COUNT(N7:N41)) ), "—")</f>
        <v>0</v>
      </c>
      <c r="O42" s="14">
        <f>IF(COUNT(O7:O41) &gt; 0, AVERAGE(O7:O41), "—")</f>
        <v>0</v>
      </c>
      <c r="P42" s="16">
        <f>IF(COUNT(P7:P41) &gt; 0, SQRT(SUMSQ(P7:P41)/(COUNT(P7:P41)*COUNT(P7:P41)) ), "—")</f>
        <v>0</v>
      </c>
      <c r="Q42" s="14">
        <f>IF(COUNT(Q7:Q41) &gt; 0, AVERAGE(Q7:Q41), "—")</f>
        <v>0</v>
      </c>
      <c r="R42" s="16">
        <f>IF(COUNT(R7:R41) &gt; 0, SQRT(SUMSQ(R7:R41)/(COUNT(R7:R41)*COUNT(R7:R41)) ), "—")</f>
        <v>0</v>
      </c>
    </row>
    <row r="43" spans="1:18" x14ac:dyDescent="0.25">
      <c r="A43" s="9" t="s">
        <v>176</v>
      </c>
      <c r="B43" s="10"/>
      <c r="C43" s="10"/>
      <c r="D43" s="11"/>
      <c r="E43" s="10"/>
      <c r="F43" s="11"/>
      <c r="G43" s="10"/>
      <c r="H43" s="11"/>
      <c r="I43" s="10"/>
      <c r="J43" s="11"/>
      <c r="K43" s="10"/>
      <c r="L43" s="11"/>
      <c r="M43" s="10"/>
      <c r="N43" s="11"/>
      <c r="O43" s="10"/>
      <c r="P43" s="11"/>
      <c r="Q43" s="10"/>
      <c r="R43" s="12"/>
    </row>
    <row r="44" spans="1:18" x14ac:dyDescent="0.25">
      <c r="A44" s="11" t="s">
        <v>177</v>
      </c>
      <c r="B44" s="17" t="s">
        <v>154</v>
      </c>
      <c r="C44" s="17" t="s">
        <v>154</v>
      </c>
      <c r="D44" s="18" t="s">
        <v>154</v>
      </c>
      <c r="E44" s="17" t="s">
        <v>154</v>
      </c>
      <c r="F44" s="18" t="s">
        <v>154</v>
      </c>
      <c r="G44" s="17" t="s">
        <v>154</v>
      </c>
      <c r="H44" s="18" t="s">
        <v>154</v>
      </c>
      <c r="I44" s="17" t="s">
        <v>154</v>
      </c>
      <c r="J44" s="18" t="s">
        <v>154</v>
      </c>
      <c r="K44" s="17" t="s">
        <v>154</v>
      </c>
      <c r="L44" s="18" t="s">
        <v>154</v>
      </c>
      <c r="M44" s="17" t="s">
        <v>154</v>
      </c>
      <c r="N44" s="18" t="s">
        <v>154</v>
      </c>
      <c r="O44" s="17" t="s">
        <v>154</v>
      </c>
      <c r="P44" s="18" t="s">
        <v>154</v>
      </c>
      <c r="Q44" s="17" t="s">
        <v>154</v>
      </c>
      <c r="R44" s="18" t="s">
        <v>154</v>
      </c>
    </row>
    <row r="45" spans="1:18" x14ac:dyDescent="0.25">
      <c r="A45" s="11" t="s">
        <v>178</v>
      </c>
      <c r="B45" s="17" t="s">
        <v>154</v>
      </c>
      <c r="C45" s="17" t="s">
        <v>154</v>
      </c>
      <c r="D45" s="18" t="s">
        <v>154</v>
      </c>
      <c r="E45" s="17" t="s">
        <v>154</v>
      </c>
      <c r="F45" s="18" t="s">
        <v>154</v>
      </c>
      <c r="G45" s="17" t="s">
        <v>154</v>
      </c>
      <c r="H45" s="18" t="s">
        <v>154</v>
      </c>
      <c r="I45" s="17" t="s">
        <v>154</v>
      </c>
      <c r="J45" s="18" t="s">
        <v>154</v>
      </c>
      <c r="K45" s="17" t="s">
        <v>154</v>
      </c>
      <c r="L45" s="18" t="s">
        <v>154</v>
      </c>
      <c r="M45" s="17" t="s">
        <v>154</v>
      </c>
      <c r="N45" s="18" t="s">
        <v>154</v>
      </c>
      <c r="O45" s="17" t="s">
        <v>154</v>
      </c>
      <c r="P45" s="18" t="s">
        <v>154</v>
      </c>
      <c r="Q45" s="17" t="s">
        <v>154</v>
      </c>
      <c r="R45" s="18" t="s">
        <v>154</v>
      </c>
    </row>
    <row r="46" spans="1:18" x14ac:dyDescent="0.25">
      <c r="A46" s="11" t="s">
        <v>179</v>
      </c>
      <c r="B46" s="13">
        <v>23141</v>
      </c>
      <c r="C46" s="14">
        <f>(20079/B46*100)</f>
        <v>86.768073981245408</v>
      </c>
      <c r="D46" s="15">
        <v>3062</v>
      </c>
      <c r="E46" s="14">
        <v>51.808404580000001</v>
      </c>
      <c r="F46" s="16">
        <v>1.3695652199999999</v>
      </c>
      <c r="G46" s="14">
        <v>48.191595419999999</v>
      </c>
      <c r="H46" s="16">
        <v>1.3695652199999999</v>
      </c>
      <c r="I46" s="14" t="s">
        <v>139</v>
      </c>
      <c r="J46" s="16" t="s">
        <v>139</v>
      </c>
      <c r="K46" s="14">
        <v>0</v>
      </c>
      <c r="L46" s="16">
        <v>0</v>
      </c>
      <c r="M46" s="14">
        <v>0</v>
      </c>
      <c r="N46" s="16">
        <v>0</v>
      </c>
      <c r="O46" s="14">
        <v>0</v>
      </c>
      <c r="P46" s="16">
        <v>0</v>
      </c>
      <c r="Q46" s="14">
        <v>0</v>
      </c>
      <c r="R46" s="16">
        <v>0</v>
      </c>
    </row>
    <row r="47" spans="1:18" x14ac:dyDescent="0.25">
      <c r="A47" s="11" t="s">
        <v>180</v>
      </c>
      <c r="B47" s="13">
        <v>5928</v>
      </c>
      <c r="C47" s="14">
        <f>(4949/B47*100)</f>
        <v>83.485155195681514</v>
      </c>
      <c r="D47" s="15">
        <v>979</v>
      </c>
      <c r="E47" s="14">
        <v>38.828152150000001</v>
      </c>
      <c r="F47" s="16">
        <v>1.69747074</v>
      </c>
      <c r="G47" s="14">
        <v>61.171847849999999</v>
      </c>
      <c r="H47" s="16">
        <v>1.69747074</v>
      </c>
      <c r="I47" s="14" t="s">
        <v>139</v>
      </c>
      <c r="J47" s="16" t="s">
        <v>139</v>
      </c>
      <c r="K47" s="14">
        <v>0</v>
      </c>
      <c r="L47" s="16">
        <v>0</v>
      </c>
      <c r="M47" s="14">
        <v>0</v>
      </c>
      <c r="N47" s="16">
        <v>0</v>
      </c>
      <c r="O47" s="14">
        <v>0</v>
      </c>
      <c r="P47" s="16">
        <v>0</v>
      </c>
      <c r="Q47" s="14">
        <v>0</v>
      </c>
      <c r="R47" s="16">
        <v>0</v>
      </c>
    </row>
    <row r="48" spans="1:18" x14ac:dyDescent="0.25">
      <c r="A48" s="11" t="s">
        <v>181</v>
      </c>
      <c r="B48" s="13">
        <v>9841</v>
      </c>
      <c r="C48" s="14">
        <f>(8141/B48*100)</f>
        <v>82.725332791382982</v>
      </c>
      <c r="D48" s="15">
        <v>1700</v>
      </c>
      <c r="E48" s="14">
        <v>28.740463779999999</v>
      </c>
      <c r="F48" s="16">
        <v>1.5328224500000001</v>
      </c>
      <c r="G48" s="14">
        <v>71.259536220000001</v>
      </c>
      <c r="H48" s="16">
        <v>1.5328224500000001</v>
      </c>
      <c r="I48" s="14" t="s">
        <v>139</v>
      </c>
      <c r="J48" s="16" t="s">
        <v>139</v>
      </c>
      <c r="K48" s="14">
        <v>0</v>
      </c>
      <c r="L48" s="16">
        <v>0</v>
      </c>
      <c r="M48" s="14">
        <v>0</v>
      </c>
      <c r="N48" s="16">
        <v>0</v>
      </c>
      <c r="O48" s="14">
        <v>0</v>
      </c>
      <c r="P48" s="16">
        <v>0</v>
      </c>
      <c r="Q48" s="14">
        <v>0</v>
      </c>
      <c r="R48" s="16">
        <v>0</v>
      </c>
    </row>
    <row r="49" spans="1:18" x14ac:dyDescent="0.25">
      <c r="A49" s="11" t="s">
        <v>182</v>
      </c>
      <c r="B49" s="17" t="s">
        <v>154</v>
      </c>
      <c r="C49" s="17" t="s">
        <v>154</v>
      </c>
      <c r="D49" s="18" t="s">
        <v>154</v>
      </c>
      <c r="E49" s="17" t="s">
        <v>154</v>
      </c>
      <c r="F49" s="18" t="s">
        <v>154</v>
      </c>
      <c r="G49" s="17" t="s">
        <v>154</v>
      </c>
      <c r="H49" s="18" t="s">
        <v>154</v>
      </c>
      <c r="I49" s="17" t="s">
        <v>154</v>
      </c>
      <c r="J49" s="18" t="s">
        <v>154</v>
      </c>
      <c r="K49" s="17" t="s">
        <v>154</v>
      </c>
      <c r="L49" s="18" t="s">
        <v>154</v>
      </c>
      <c r="M49" s="17" t="s">
        <v>154</v>
      </c>
      <c r="N49" s="18" t="s">
        <v>154</v>
      </c>
      <c r="O49" s="17" t="s">
        <v>154</v>
      </c>
      <c r="P49" s="18" t="s">
        <v>154</v>
      </c>
      <c r="Q49" s="17" t="s">
        <v>154</v>
      </c>
      <c r="R49" s="18" t="s">
        <v>154</v>
      </c>
    </row>
    <row r="50" spans="1:18" x14ac:dyDescent="0.25">
      <c r="A50" s="11" t="s">
        <v>183</v>
      </c>
      <c r="B50" s="13">
        <v>11795</v>
      </c>
      <c r="C50" s="14">
        <f>(9899/B50*100)</f>
        <v>83.925392115303097</v>
      </c>
      <c r="D50" s="15">
        <v>1896</v>
      </c>
      <c r="E50" s="14">
        <v>43.498669489999997</v>
      </c>
      <c r="F50" s="16">
        <v>1.4288640399999999</v>
      </c>
      <c r="G50" s="14">
        <v>56.501330510000003</v>
      </c>
      <c r="H50" s="16">
        <v>1.4288640399999999</v>
      </c>
      <c r="I50" s="14" t="s">
        <v>139</v>
      </c>
      <c r="J50" s="16" t="s">
        <v>139</v>
      </c>
      <c r="K50" s="14">
        <v>0</v>
      </c>
      <c r="L50" s="16">
        <v>0</v>
      </c>
      <c r="M50" s="14">
        <v>0</v>
      </c>
      <c r="N50" s="16">
        <v>0</v>
      </c>
      <c r="O50" s="14">
        <v>0</v>
      </c>
      <c r="P50" s="16">
        <v>0</v>
      </c>
      <c r="Q50" s="14">
        <v>0</v>
      </c>
      <c r="R50" s="16">
        <v>0</v>
      </c>
    </row>
    <row r="51" spans="1:18" x14ac:dyDescent="0.25">
      <c r="A51" s="11" t="s">
        <v>184</v>
      </c>
      <c r="B51" s="13">
        <v>6866</v>
      </c>
      <c r="C51" s="14">
        <f>(5872/B51*100)</f>
        <v>85.522866297698812</v>
      </c>
      <c r="D51" s="15">
        <v>994</v>
      </c>
      <c r="E51" s="14">
        <v>38.840151759999998</v>
      </c>
      <c r="F51" s="16">
        <v>1.7769975099999999</v>
      </c>
      <c r="G51" s="14">
        <v>61.159848240000002</v>
      </c>
      <c r="H51" s="16">
        <v>1.7769975099999999</v>
      </c>
      <c r="I51" s="14" t="s">
        <v>139</v>
      </c>
      <c r="J51" s="16" t="s">
        <v>139</v>
      </c>
      <c r="K51" s="14">
        <v>0</v>
      </c>
      <c r="L51" s="16">
        <v>0</v>
      </c>
      <c r="M51" s="14">
        <v>0</v>
      </c>
      <c r="N51" s="16">
        <v>0</v>
      </c>
      <c r="O51" s="14">
        <v>0</v>
      </c>
      <c r="P51" s="16">
        <v>0</v>
      </c>
      <c r="Q51" s="14">
        <v>0</v>
      </c>
      <c r="R51" s="16">
        <v>0</v>
      </c>
    </row>
    <row r="52" spans="1:18" x14ac:dyDescent="0.25">
      <c r="A52" s="11" t="s">
        <v>185</v>
      </c>
      <c r="B52" s="13">
        <v>5809</v>
      </c>
      <c r="C52" s="14">
        <f>(4826/B52*100)</f>
        <v>83.077982441039765</v>
      </c>
      <c r="D52" s="15">
        <v>983</v>
      </c>
      <c r="E52" s="14">
        <v>37.037805400000003</v>
      </c>
      <c r="F52" s="16">
        <v>1.60254388</v>
      </c>
      <c r="G52" s="14">
        <v>62.962194599999997</v>
      </c>
      <c r="H52" s="16">
        <v>1.60254388</v>
      </c>
      <c r="I52" s="14" t="s">
        <v>139</v>
      </c>
      <c r="J52" s="16" t="s">
        <v>139</v>
      </c>
      <c r="K52" s="14">
        <v>0</v>
      </c>
      <c r="L52" s="16">
        <v>0</v>
      </c>
      <c r="M52" s="14">
        <v>0</v>
      </c>
      <c r="N52" s="16">
        <v>0</v>
      </c>
      <c r="O52" s="14">
        <v>0</v>
      </c>
      <c r="P52" s="16">
        <v>0</v>
      </c>
      <c r="Q52" s="14">
        <v>0</v>
      </c>
      <c r="R52" s="16">
        <v>0</v>
      </c>
    </row>
    <row r="53" spans="1:18" x14ac:dyDescent="0.25">
      <c r="A53" s="11" t="s">
        <v>186</v>
      </c>
      <c r="B53" s="13">
        <v>5571</v>
      </c>
      <c r="C53" s="14">
        <f>(4611/B53*100)</f>
        <v>82.767905223478735</v>
      </c>
      <c r="D53" s="15">
        <v>960</v>
      </c>
      <c r="E53" s="14">
        <v>44.495865309999999</v>
      </c>
      <c r="F53" s="16">
        <v>1.4935406600000001</v>
      </c>
      <c r="G53" s="14">
        <v>55.504134690000001</v>
      </c>
      <c r="H53" s="16">
        <v>1.4935406600000001</v>
      </c>
      <c r="I53" s="14" t="s">
        <v>139</v>
      </c>
      <c r="J53" s="16" t="s">
        <v>139</v>
      </c>
      <c r="K53" s="14">
        <v>0</v>
      </c>
      <c r="L53" s="16">
        <v>0</v>
      </c>
      <c r="M53" s="14">
        <v>0</v>
      </c>
      <c r="N53" s="16">
        <v>0</v>
      </c>
      <c r="O53" s="14">
        <v>0</v>
      </c>
      <c r="P53" s="16">
        <v>0</v>
      </c>
      <c r="Q53" s="14">
        <v>0</v>
      </c>
      <c r="R53" s="16">
        <v>0</v>
      </c>
    </row>
    <row r="54" spans="1:18" x14ac:dyDescent="0.25">
      <c r="A54" s="11" t="s">
        <v>187</v>
      </c>
      <c r="B54" s="17" t="s">
        <v>154</v>
      </c>
      <c r="C54" s="17" t="s">
        <v>154</v>
      </c>
      <c r="D54" s="18" t="s">
        <v>154</v>
      </c>
      <c r="E54" s="17" t="s">
        <v>154</v>
      </c>
      <c r="F54" s="18" t="s">
        <v>154</v>
      </c>
      <c r="G54" s="17" t="s">
        <v>154</v>
      </c>
      <c r="H54" s="18" t="s">
        <v>154</v>
      </c>
      <c r="I54" s="17" t="s">
        <v>154</v>
      </c>
      <c r="J54" s="18" t="s">
        <v>154</v>
      </c>
      <c r="K54" s="17" t="s">
        <v>154</v>
      </c>
      <c r="L54" s="18" t="s">
        <v>154</v>
      </c>
      <c r="M54" s="17" t="s">
        <v>154</v>
      </c>
      <c r="N54" s="18" t="s">
        <v>154</v>
      </c>
      <c r="O54" s="17" t="s">
        <v>154</v>
      </c>
      <c r="P54" s="18" t="s">
        <v>154</v>
      </c>
      <c r="Q54" s="17" t="s">
        <v>154</v>
      </c>
      <c r="R54" s="18" t="s">
        <v>154</v>
      </c>
    </row>
    <row r="55" spans="1:18" x14ac:dyDescent="0.25">
      <c r="A55" s="11" t="s">
        <v>188</v>
      </c>
      <c r="B55" s="17" t="s">
        <v>154</v>
      </c>
      <c r="C55" s="17" t="s">
        <v>154</v>
      </c>
      <c r="D55" s="18" t="s">
        <v>154</v>
      </c>
      <c r="E55" s="17" t="s">
        <v>154</v>
      </c>
      <c r="F55" s="18" t="s">
        <v>154</v>
      </c>
      <c r="G55" s="17" t="s">
        <v>154</v>
      </c>
      <c r="H55" s="18" t="s">
        <v>154</v>
      </c>
      <c r="I55" s="17" t="s">
        <v>154</v>
      </c>
      <c r="J55" s="18" t="s">
        <v>154</v>
      </c>
      <c r="K55" s="17" t="s">
        <v>154</v>
      </c>
      <c r="L55" s="18" t="s">
        <v>154</v>
      </c>
      <c r="M55" s="17" t="s">
        <v>154</v>
      </c>
      <c r="N55" s="18" t="s">
        <v>154</v>
      </c>
      <c r="O55" s="17" t="s">
        <v>154</v>
      </c>
      <c r="P55" s="18" t="s">
        <v>154</v>
      </c>
      <c r="Q55" s="17" t="s">
        <v>154</v>
      </c>
      <c r="R55" s="18" t="s">
        <v>154</v>
      </c>
    </row>
    <row r="56" spans="1:18" x14ac:dyDescent="0.25">
      <c r="A56" s="11" t="s">
        <v>189</v>
      </c>
      <c r="B56" s="13">
        <v>5359</v>
      </c>
      <c r="C56" s="14">
        <f>(4422/B56*100)</f>
        <v>82.515394663183429</v>
      </c>
      <c r="D56" s="15">
        <v>937</v>
      </c>
      <c r="E56" s="14">
        <v>17.243587600000001</v>
      </c>
      <c r="F56" s="16">
        <v>1.3652755000000001</v>
      </c>
      <c r="G56" s="14">
        <v>82.756412400000002</v>
      </c>
      <c r="H56" s="16">
        <v>1.3652755000000001</v>
      </c>
      <c r="I56" s="14" t="s">
        <v>139</v>
      </c>
      <c r="J56" s="16" t="s">
        <v>139</v>
      </c>
      <c r="K56" s="14">
        <v>0</v>
      </c>
      <c r="L56" s="16">
        <v>0</v>
      </c>
      <c r="M56" s="14">
        <v>0</v>
      </c>
      <c r="N56" s="16">
        <v>0</v>
      </c>
      <c r="O56" s="14">
        <v>0</v>
      </c>
      <c r="P56" s="16">
        <v>0</v>
      </c>
      <c r="Q56" s="14">
        <v>0</v>
      </c>
      <c r="R56" s="16">
        <v>0</v>
      </c>
    </row>
    <row r="57" spans="1:18" x14ac:dyDescent="0.25">
      <c r="A57" s="11" t="s">
        <v>190</v>
      </c>
      <c r="B57" s="17" t="s">
        <v>154</v>
      </c>
      <c r="C57" s="17" t="s">
        <v>154</v>
      </c>
      <c r="D57" s="18" t="s">
        <v>154</v>
      </c>
      <c r="E57" s="17" t="s">
        <v>154</v>
      </c>
      <c r="F57" s="18" t="s">
        <v>154</v>
      </c>
      <c r="G57" s="17" t="s">
        <v>154</v>
      </c>
      <c r="H57" s="18" t="s">
        <v>154</v>
      </c>
      <c r="I57" s="17" t="s">
        <v>154</v>
      </c>
      <c r="J57" s="18" t="s">
        <v>154</v>
      </c>
      <c r="K57" s="17" t="s">
        <v>154</v>
      </c>
      <c r="L57" s="18" t="s">
        <v>154</v>
      </c>
      <c r="M57" s="17" t="s">
        <v>154</v>
      </c>
      <c r="N57" s="18" t="s">
        <v>154</v>
      </c>
      <c r="O57" s="17" t="s">
        <v>154</v>
      </c>
      <c r="P57" s="18" t="s">
        <v>154</v>
      </c>
      <c r="Q57" s="17" t="s">
        <v>154</v>
      </c>
      <c r="R57" s="18" t="s">
        <v>154</v>
      </c>
    </row>
    <row r="58" spans="1:18" x14ac:dyDescent="0.25">
      <c r="A58" s="11" t="s">
        <v>191</v>
      </c>
      <c r="B58" s="17" t="s">
        <v>154</v>
      </c>
      <c r="C58" s="17" t="s">
        <v>154</v>
      </c>
      <c r="D58" s="18" t="s">
        <v>154</v>
      </c>
      <c r="E58" s="17" t="s">
        <v>154</v>
      </c>
      <c r="F58" s="18" t="s">
        <v>154</v>
      </c>
      <c r="G58" s="17" t="s">
        <v>154</v>
      </c>
      <c r="H58" s="18" t="s">
        <v>154</v>
      </c>
      <c r="I58" s="17" t="s">
        <v>154</v>
      </c>
      <c r="J58" s="18" t="s">
        <v>154</v>
      </c>
      <c r="K58" s="17" t="s">
        <v>154</v>
      </c>
      <c r="L58" s="18" t="s">
        <v>154</v>
      </c>
      <c r="M58" s="17" t="s">
        <v>154</v>
      </c>
      <c r="N58" s="18" t="s">
        <v>154</v>
      </c>
      <c r="O58" s="17" t="s">
        <v>154</v>
      </c>
      <c r="P58" s="18" t="s">
        <v>154</v>
      </c>
      <c r="Q58" s="17" t="s">
        <v>154</v>
      </c>
      <c r="R58" s="18" t="s">
        <v>154</v>
      </c>
    </row>
    <row r="59" spans="1:18" x14ac:dyDescent="0.25">
      <c r="A59" s="11" t="s">
        <v>192</v>
      </c>
      <c r="B59" s="17" t="s">
        <v>154</v>
      </c>
      <c r="C59" s="17" t="s">
        <v>154</v>
      </c>
      <c r="D59" s="18" t="s">
        <v>154</v>
      </c>
      <c r="E59" s="17" t="s">
        <v>154</v>
      </c>
      <c r="F59" s="18" t="s">
        <v>154</v>
      </c>
      <c r="G59" s="17" t="s">
        <v>154</v>
      </c>
      <c r="H59" s="18" t="s">
        <v>154</v>
      </c>
      <c r="I59" s="17" t="s">
        <v>154</v>
      </c>
      <c r="J59" s="18" t="s">
        <v>154</v>
      </c>
      <c r="K59" s="17" t="s">
        <v>154</v>
      </c>
      <c r="L59" s="18" t="s">
        <v>154</v>
      </c>
      <c r="M59" s="17" t="s">
        <v>154</v>
      </c>
      <c r="N59" s="18" t="s">
        <v>154</v>
      </c>
      <c r="O59" s="17" t="s">
        <v>154</v>
      </c>
      <c r="P59" s="18" t="s">
        <v>154</v>
      </c>
      <c r="Q59" s="17" t="s">
        <v>154</v>
      </c>
      <c r="R59" s="18" t="s">
        <v>154</v>
      </c>
    </row>
    <row r="60" spans="1:18" x14ac:dyDescent="0.25">
      <c r="A60" s="11" t="s">
        <v>193</v>
      </c>
      <c r="B60" s="17" t="s">
        <v>154</v>
      </c>
      <c r="C60" s="17" t="s">
        <v>154</v>
      </c>
      <c r="D60" s="18" t="s">
        <v>154</v>
      </c>
      <c r="E60" s="17" t="s">
        <v>154</v>
      </c>
      <c r="F60" s="18" t="s">
        <v>154</v>
      </c>
      <c r="G60" s="17" t="s">
        <v>154</v>
      </c>
      <c r="H60" s="18" t="s">
        <v>154</v>
      </c>
      <c r="I60" s="17" t="s">
        <v>154</v>
      </c>
      <c r="J60" s="18" t="s">
        <v>154</v>
      </c>
      <c r="K60" s="17" t="s">
        <v>154</v>
      </c>
      <c r="L60" s="18" t="s">
        <v>154</v>
      </c>
      <c r="M60" s="17" t="s">
        <v>154</v>
      </c>
      <c r="N60" s="18" t="s">
        <v>154</v>
      </c>
      <c r="O60" s="17" t="s">
        <v>154</v>
      </c>
      <c r="P60" s="18" t="s">
        <v>154</v>
      </c>
      <c r="Q60" s="17" t="s">
        <v>154</v>
      </c>
      <c r="R60" s="18" t="s">
        <v>154</v>
      </c>
    </row>
    <row r="61" spans="1:18" x14ac:dyDescent="0.25">
      <c r="A61" s="11" t="s">
        <v>194</v>
      </c>
      <c r="B61" s="13">
        <v>6525</v>
      </c>
      <c r="C61" s="14">
        <f>(5422/B61*100)</f>
        <v>83.095785440613028</v>
      </c>
      <c r="D61" s="15">
        <v>1103</v>
      </c>
      <c r="E61" s="14">
        <v>47.225630619999997</v>
      </c>
      <c r="F61" s="16">
        <v>1.7805353399999999</v>
      </c>
      <c r="G61" s="14">
        <v>52.774369380000003</v>
      </c>
      <c r="H61" s="16">
        <v>1.7805353399999999</v>
      </c>
      <c r="I61" s="14" t="s">
        <v>139</v>
      </c>
      <c r="J61" s="16" t="s">
        <v>139</v>
      </c>
      <c r="K61" s="14">
        <v>0</v>
      </c>
      <c r="L61" s="16">
        <v>0</v>
      </c>
      <c r="M61" s="14">
        <v>0</v>
      </c>
      <c r="N61" s="16">
        <v>0</v>
      </c>
      <c r="O61" s="14">
        <v>0</v>
      </c>
      <c r="P61" s="16">
        <v>0</v>
      </c>
      <c r="Q61" s="14">
        <v>0</v>
      </c>
      <c r="R61" s="16">
        <v>0</v>
      </c>
    </row>
    <row r="62" spans="1:18" x14ac:dyDescent="0.25">
      <c r="A62" s="11" t="s">
        <v>195</v>
      </c>
      <c r="B62" s="13">
        <v>4476</v>
      </c>
      <c r="C62" s="14">
        <f>(3726/B62*100)</f>
        <v>83.243967828418235</v>
      </c>
      <c r="D62" s="15">
        <v>750</v>
      </c>
      <c r="E62" s="14">
        <v>17.988427160000001</v>
      </c>
      <c r="F62" s="16">
        <v>1.2131143799999999</v>
      </c>
      <c r="G62" s="14">
        <v>82.011572839999999</v>
      </c>
      <c r="H62" s="16">
        <v>1.2131143799999999</v>
      </c>
      <c r="I62" s="14" t="s">
        <v>139</v>
      </c>
      <c r="J62" s="16" t="s">
        <v>139</v>
      </c>
      <c r="K62" s="14">
        <v>0</v>
      </c>
      <c r="L62" s="16">
        <v>0</v>
      </c>
      <c r="M62" s="14">
        <v>0</v>
      </c>
      <c r="N62" s="16">
        <v>0</v>
      </c>
      <c r="O62" s="14">
        <v>0</v>
      </c>
      <c r="P62" s="16">
        <v>0</v>
      </c>
      <c r="Q62" s="14">
        <v>0</v>
      </c>
      <c r="R62" s="16">
        <v>0</v>
      </c>
    </row>
    <row r="63" spans="1:18" x14ac:dyDescent="0.25">
      <c r="A63" s="11" t="s">
        <v>196</v>
      </c>
      <c r="B63" s="17" t="s">
        <v>154</v>
      </c>
      <c r="C63" s="17" t="s">
        <v>154</v>
      </c>
      <c r="D63" s="18" t="s">
        <v>154</v>
      </c>
      <c r="E63" s="17" t="s">
        <v>154</v>
      </c>
      <c r="F63" s="18" t="s">
        <v>154</v>
      </c>
      <c r="G63" s="17" t="s">
        <v>154</v>
      </c>
      <c r="H63" s="18" t="s">
        <v>154</v>
      </c>
      <c r="I63" s="17" t="s">
        <v>154</v>
      </c>
      <c r="J63" s="18" t="s">
        <v>154</v>
      </c>
      <c r="K63" s="17" t="s">
        <v>154</v>
      </c>
      <c r="L63" s="18" t="s">
        <v>154</v>
      </c>
      <c r="M63" s="17" t="s">
        <v>154</v>
      </c>
      <c r="N63" s="18" t="s">
        <v>154</v>
      </c>
      <c r="O63" s="17" t="s">
        <v>154</v>
      </c>
      <c r="P63" s="18" t="s">
        <v>154</v>
      </c>
      <c r="Q63" s="17" t="s">
        <v>154</v>
      </c>
      <c r="R63" s="18" t="s">
        <v>154</v>
      </c>
    </row>
    <row r="64" spans="1:18" x14ac:dyDescent="0.25">
      <c r="A64" s="11" t="s">
        <v>197</v>
      </c>
      <c r="B64" s="17" t="s">
        <v>154</v>
      </c>
      <c r="C64" s="17" t="s">
        <v>154</v>
      </c>
      <c r="D64" s="18" t="s">
        <v>154</v>
      </c>
      <c r="E64" s="17" t="s">
        <v>154</v>
      </c>
      <c r="F64" s="18" t="s">
        <v>154</v>
      </c>
      <c r="G64" s="17" t="s">
        <v>154</v>
      </c>
      <c r="H64" s="18" t="s">
        <v>154</v>
      </c>
      <c r="I64" s="17" t="s">
        <v>154</v>
      </c>
      <c r="J64" s="18" t="s">
        <v>154</v>
      </c>
      <c r="K64" s="17" t="s">
        <v>154</v>
      </c>
      <c r="L64" s="18" t="s">
        <v>154</v>
      </c>
      <c r="M64" s="17" t="s">
        <v>154</v>
      </c>
      <c r="N64" s="18" t="s">
        <v>154</v>
      </c>
      <c r="O64" s="17" t="s">
        <v>154</v>
      </c>
      <c r="P64" s="18" t="s">
        <v>154</v>
      </c>
      <c r="Q64" s="17" t="s">
        <v>154</v>
      </c>
      <c r="R64" s="18" t="s">
        <v>154</v>
      </c>
    </row>
    <row r="65" spans="1:18" x14ac:dyDescent="0.25">
      <c r="A65" s="11" t="s">
        <v>198</v>
      </c>
      <c r="B65" s="17" t="s">
        <v>154</v>
      </c>
      <c r="C65" s="17" t="s">
        <v>154</v>
      </c>
      <c r="D65" s="18" t="s">
        <v>154</v>
      </c>
      <c r="E65" s="17" t="s">
        <v>154</v>
      </c>
      <c r="F65" s="18" t="s">
        <v>154</v>
      </c>
      <c r="G65" s="17" t="s">
        <v>154</v>
      </c>
      <c r="H65" s="18" t="s">
        <v>154</v>
      </c>
      <c r="I65" s="17" t="s">
        <v>154</v>
      </c>
      <c r="J65" s="18" t="s">
        <v>154</v>
      </c>
      <c r="K65" s="17" t="s">
        <v>154</v>
      </c>
      <c r="L65" s="18" t="s">
        <v>154</v>
      </c>
      <c r="M65" s="17" t="s">
        <v>154</v>
      </c>
      <c r="N65" s="18" t="s">
        <v>154</v>
      </c>
      <c r="O65" s="17" t="s">
        <v>154</v>
      </c>
      <c r="P65" s="18" t="s">
        <v>154</v>
      </c>
      <c r="Q65" s="17" t="s">
        <v>154</v>
      </c>
      <c r="R65" s="18" t="s">
        <v>154</v>
      </c>
    </row>
    <row r="66" spans="1:18" x14ac:dyDescent="0.25">
      <c r="A66" s="11" t="s">
        <v>199</v>
      </c>
      <c r="B66" s="13">
        <v>5665</v>
      </c>
      <c r="C66" s="14">
        <f>(4731/B66*100)</f>
        <v>83.512797881729909</v>
      </c>
      <c r="D66" s="15">
        <v>934</v>
      </c>
      <c r="E66" s="14">
        <v>51.453663339999999</v>
      </c>
      <c r="F66" s="16">
        <v>1.48457755</v>
      </c>
      <c r="G66" s="14">
        <v>48.546336660000001</v>
      </c>
      <c r="H66" s="16">
        <v>1.48457755</v>
      </c>
      <c r="I66" s="14" t="s">
        <v>139</v>
      </c>
      <c r="J66" s="16" t="s">
        <v>139</v>
      </c>
      <c r="K66" s="14">
        <v>0</v>
      </c>
      <c r="L66" s="16">
        <v>0</v>
      </c>
      <c r="M66" s="14">
        <v>0</v>
      </c>
      <c r="N66" s="16">
        <v>0</v>
      </c>
      <c r="O66" s="14">
        <v>0</v>
      </c>
      <c r="P66" s="16">
        <v>0</v>
      </c>
      <c r="Q66" s="14">
        <v>0</v>
      </c>
      <c r="R66" s="16">
        <v>0</v>
      </c>
    </row>
    <row r="67" spans="1:18" x14ac:dyDescent="0.25">
      <c r="A67" s="11" t="s">
        <v>200</v>
      </c>
      <c r="B67" s="13">
        <v>6971</v>
      </c>
      <c r="C67" s="14">
        <f>(5956/B67*100)</f>
        <v>85.439678668770625</v>
      </c>
      <c r="D67" s="15">
        <v>1015</v>
      </c>
      <c r="E67" s="14">
        <v>43.833956270000002</v>
      </c>
      <c r="F67" s="16">
        <v>1.4547511799999999</v>
      </c>
      <c r="G67" s="14">
        <v>56.166043729999998</v>
      </c>
      <c r="H67" s="16">
        <v>1.4547511799999999</v>
      </c>
      <c r="I67" s="14" t="s">
        <v>139</v>
      </c>
      <c r="J67" s="16" t="s">
        <v>139</v>
      </c>
      <c r="K67" s="14">
        <v>0</v>
      </c>
      <c r="L67" s="16">
        <v>0</v>
      </c>
      <c r="M67" s="14">
        <v>0</v>
      </c>
      <c r="N67" s="16">
        <v>0</v>
      </c>
      <c r="O67" s="14">
        <v>0</v>
      </c>
      <c r="P67" s="16">
        <v>0</v>
      </c>
      <c r="Q67" s="14">
        <v>0</v>
      </c>
      <c r="R67" s="16">
        <v>0</v>
      </c>
    </row>
    <row r="68" spans="1:18" x14ac:dyDescent="0.25">
      <c r="A68" s="11" t="s">
        <v>201</v>
      </c>
      <c r="B68" s="17" t="s">
        <v>154</v>
      </c>
      <c r="C68" s="17" t="s">
        <v>154</v>
      </c>
      <c r="D68" s="18" t="s">
        <v>154</v>
      </c>
      <c r="E68" s="17" t="s">
        <v>154</v>
      </c>
      <c r="F68" s="18" t="s">
        <v>154</v>
      </c>
      <c r="G68" s="17" t="s">
        <v>154</v>
      </c>
      <c r="H68" s="18" t="s">
        <v>154</v>
      </c>
      <c r="I68" s="17" t="s">
        <v>154</v>
      </c>
      <c r="J68" s="18" t="s">
        <v>154</v>
      </c>
      <c r="K68" s="17" t="s">
        <v>154</v>
      </c>
      <c r="L68" s="18" t="s">
        <v>154</v>
      </c>
      <c r="M68" s="17" t="s">
        <v>154</v>
      </c>
      <c r="N68" s="18" t="s">
        <v>154</v>
      </c>
      <c r="O68" s="17" t="s">
        <v>154</v>
      </c>
      <c r="P68" s="18" t="s">
        <v>154</v>
      </c>
      <c r="Q68" s="17" t="s">
        <v>154</v>
      </c>
      <c r="R68" s="18" t="s">
        <v>154</v>
      </c>
    </row>
    <row r="69" spans="1:18" x14ac:dyDescent="0.25">
      <c r="A69" s="11" t="s">
        <v>202</v>
      </c>
      <c r="B69" s="17" t="s">
        <v>154</v>
      </c>
      <c r="C69" s="17" t="s">
        <v>154</v>
      </c>
      <c r="D69" s="18" t="s">
        <v>154</v>
      </c>
      <c r="E69" s="17" t="s">
        <v>154</v>
      </c>
      <c r="F69" s="18" t="s">
        <v>154</v>
      </c>
      <c r="G69" s="17" t="s">
        <v>154</v>
      </c>
      <c r="H69" s="18" t="s">
        <v>154</v>
      </c>
      <c r="I69" s="17" t="s">
        <v>154</v>
      </c>
      <c r="J69" s="18" t="s">
        <v>154</v>
      </c>
      <c r="K69" s="17" t="s">
        <v>154</v>
      </c>
      <c r="L69" s="18" t="s">
        <v>154</v>
      </c>
      <c r="M69" s="17" t="s">
        <v>154</v>
      </c>
      <c r="N69" s="18" t="s">
        <v>154</v>
      </c>
      <c r="O69" s="17" t="s">
        <v>154</v>
      </c>
      <c r="P69" s="18" t="s">
        <v>154</v>
      </c>
      <c r="Q69" s="17" t="s">
        <v>154</v>
      </c>
      <c r="R69" s="18" t="s">
        <v>154</v>
      </c>
    </row>
    <row r="70" spans="1:18" x14ac:dyDescent="0.25">
      <c r="A70" s="11" t="s">
        <v>203</v>
      </c>
      <c r="B70" s="13">
        <v>6036</v>
      </c>
      <c r="C70" s="14">
        <f>(5027/B70*100)</f>
        <v>83.283631544068911</v>
      </c>
      <c r="D70" s="15">
        <v>1009</v>
      </c>
      <c r="E70" s="14">
        <v>43.867029479999999</v>
      </c>
      <c r="F70" s="16">
        <v>2.0558772699999999</v>
      </c>
      <c r="G70" s="14">
        <v>56.132970520000001</v>
      </c>
      <c r="H70" s="16">
        <v>2.0558772699999999</v>
      </c>
      <c r="I70" s="14" t="s">
        <v>139</v>
      </c>
      <c r="J70" s="16" t="s">
        <v>139</v>
      </c>
      <c r="K70" s="14">
        <v>0</v>
      </c>
      <c r="L70" s="16">
        <v>0</v>
      </c>
      <c r="M70" s="14">
        <v>0</v>
      </c>
      <c r="N70" s="16">
        <v>0</v>
      </c>
      <c r="O70" s="14">
        <v>0</v>
      </c>
      <c r="P70" s="16">
        <v>0</v>
      </c>
      <c r="Q70" s="14">
        <v>0</v>
      </c>
      <c r="R70" s="16">
        <v>0</v>
      </c>
    </row>
    <row r="71" spans="1:18" x14ac:dyDescent="0.25">
      <c r="A71" s="11" t="s">
        <v>204</v>
      </c>
      <c r="B71" s="17" t="s">
        <v>154</v>
      </c>
      <c r="C71" s="17" t="s">
        <v>154</v>
      </c>
      <c r="D71" s="18" t="s">
        <v>154</v>
      </c>
      <c r="E71" s="17" t="s">
        <v>154</v>
      </c>
      <c r="F71" s="18" t="s">
        <v>154</v>
      </c>
      <c r="G71" s="17" t="s">
        <v>154</v>
      </c>
      <c r="H71" s="18" t="s">
        <v>154</v>
      </c>
      <c r="I71" s="17" t="s">
        <v>154</v>
      </c>
      <c r="J71" s="18" t="s">
        <v>154</v>
      </c>
      <c r="K71" s="17" t="s">
        <v>154</v>
      </c>
      <c r="L71" s="18" t="s">
        <v>154</v>
      </c>
      <c r="M71" s="17" t="s">
        <v>154</v>
      </c>
      <c r="N71" s="18" t="s">
        <v>154</v>
      </c>
      <c r="O71" s="17" t="s">
        <v>154</v>
      </c>
      <c r="P71" s="18" t="s">
        <v>154</v>
      </c>
      <c r="Q71" s="17" t="s">
        <v>154</v>
      </c>
      <c r="R71" s="18" t="s">
        <v>154</v>
      </c>
    </row>
    <row r="72" spans="1:18" x14ac:dyDescent="0.25">
      <c r="A72" s="11" t="s">
        <v>205</v>
      </c>
      <c r="B72" s="13">
        <v>7708</v>
      </c>
      <c r="C72" s="14">
        <f>(6393/B72*100)</f>
        <v>82.939802802283353</v>
      </c>
      <c r="D72" s="15">
        <v>1315</v>
      </c>
      <c r="E72" s="14">
        <v>15.65937637</v>
      </c>
      <c r="F72" s="16">
        <v>1.09519655</v>
      </c>
      <c r="G72" s="14">
        <v>84.340623629999996</v>
      </c>
      <c r="H72" s="16">
        <v>1.09519655</v>
      </c>
      <c r="I72" s="14" t="s">
        <v>139</v>
      </c>
      <c r="J72" s="16" t="s">
        <v>139</v>
      </c>
      <c r="K72" s="14">
        <v>0</v>
      </c>
      <c r="L72" s="16">
        <v>0</v>
      </c>
      <c r="M72" s="14">
        <v>0</v>
      </c>
      <c r="N72" s="16">
        <v>0</v>
      </c>
      <c r="O72" s="14">
        <v>0</v>
      </c>
      <c r="P72" s="16">
        <v>0</v>
      </c>
      <c r="Q72" s="14">
        <v>0</v>
      </c>
      <c r="R72" s="16">
        <v>0</v>
      </c>
    </row>
    <row r="73" spans="1:18" x14ac:dyDescent="0.25">
      <c r="A73" s="11" t="s">
        <v>206</v>
      </c>
      <c r="B73" s="13">
        <v>8249</v>
      </c>
      <c r="C73" s="14">
        <f>(6928/B73*100)</f>
        <v>83.9859376894169</v>
      </c>
      <c r="D73" s="15">
        <v>1321</v>
      </c>
      <c r="E73" s="14">
        <v>34.081836920000001</v>
      </c>
      <c r="F73" s="16">
        <v>1.61233538</v>
      </c>
      <c r="G73" s="14">
        <v>65.918163079999999</v>
      </c>
      <c r="H73" s="16">
        <v>1.61233538</v>
      </c>
      <c r="I73" s="14" t="s">
        <v>139</v>
      </c>
      <c r="J73" s="16" t="s">
        <v>139</v>
      </c>
      <c r="K73" s="14">
        <v>0</v>
      </c>
      <c r="L73" s="16">
        <v>0</v>
      </c>
      <c r="M73" s="14">
        <v>0</v>
      </c>
      <c r="N73" s="16">
        <v>0</v>
      </c>
      <c r="O73" s="14">
        <v>0</v>
      </c>
      <c r="P73" s="16">
        <v>0</v>
      </c>
      <c r="Q73" s="14">
        <v>0</v>
      </c>
      <c r="R73" s="16">
        <v>0</v>
      </c>
    </row>
    <row r="74" spans="1:18" x14ac:dyDescent="0.25">
      <c r="A74" s="11" t="s">
        <v>207</v>
      </c>
      <c r="B74" s="17" t="s">
        <v>154</v>
      </c>
      <c r="C74" s="17" t="s">
        <v>154</v>
      </c>
      <c r="D74" s="18" t="s">
        <v>154</v>
      </c>
      <c r="E74" s="17" t="s">
        <v>154</v>
      </c>
      <c r="F74" s="18" t="s">
        <v>154</v>
      </c>
      <c r="G74" s="17" t="s">
        <v>154</v>
      </c>
      <c r="H74" s="18" t="s">
        <v>154</v>
      </c>
      <c r="I74" s="17" t="s">
        <v>154</v>
      </c>
      <c r="J74" s="18" t="s">
        <v>154</v>
      </c>
      <c r="K74" s="17" t="s">
        <v>154</v>
      </c>
      <c r="L74" s="18" t="s">
        <v>154</v>
      </c>
      <c r="M74" s="17" t="s">
        <v>154</v>
      </c>
      <c r="N74" s="18" t="s">
        <v>154</v>
      </c>
      <c r="O74" s="17" t="s">
        <v>154</v>
      </c>
      <c r="P74" s="18" t="s">
        <v>154</v>
      </c>
      <c r="Q74" s="17" t="s">
        <v>154</v>
      </c>
      <c r="R74" s="18" t="s">
        <v>154</v>
      </c>
    </row>
    <row r="75" spans="1:18" x14ac:dyDescent="0.25">
      <c r="A75" s="11" t="s">
        <v>208</v>
      </c>
      <c r="B75" s="13">
        <v>5375</v>
      </c>
      <c r="C75" s="14">
        <f>(4579/B75*100)</f>
        <v>85.190697674418601</v>
      </c>
      <c r="D75" s="15">
        <v>796</v>
      </c>
      <c r="E75" s="14">
        <v>58.06182355</v>
      </c>
      <c r="F75" s="16">
        <v>1.6443843899999999</v>
      </c>
      <c r="G75" s="14">
        <v>41.93817645</v>
      </c>
      <c r="H75" s="16">
        <v>1.6443843899999999</v>
      </c>
      <c r="I75" s="14" t="s">
        <v>139</v>
      </c>
      <c r="J75" s="16" t="s">
        <v>139</v>
      </c>
      <c r="K75" s="14">
        <v>0</v>
      </c>
      <c r="L75" s="16">
        <v>0</v>
      </c>
      <c r="M75" s="14">
        <v>0</v>
      </c>
      <c r="N75" s="16">
        <v>0</v>
      </c>
      <c r="O75" s="14">
        <v>0</v>
      </c>
      <c r="P75" s="16">
        <v>0</v>
      </c>
      <c r="Q75" s="14">
        <v>0</v>
      </c>
      <c r="R75" s="16">
        <v>0</v>
      </c>
    </row>
    <row r="76" spans="1:18" x14ac:dyDescent="0.25">
      <c r="A76" s="11" t="s">
        <v>209</v>
      </c>
      <c r="B76" s="13">
        <v>14167</v>
      </c>
      <c r="C76" s="14">
        <f>(11736/B76*100)</f>
        <v>82.840403755205756</v>
      </c>
      <c r="D76" s="15">
        <v>2431</v>
      </c>
      <c r="E76" s="14">
        <v>44.064263869999998</v>
      </c>
      <c r="F76" s="16">
        <v>1.30269057</v>
      </c>
      <c r="G76" s="14">
        <v>55.935736130000002</v>
      </c>
      <c r="H76" s="16">
        <v>1.30269057</v>
      </c>
      <c r="I76" s="14" t="s">
        <v>139</v>
      </c>
      <c r="J76" s="16" t="s">
        <v>139</v>
      </c>
      <c r="K76" s="14">
        <v>0</v>
      </c>
      <c r="L76" s="16">
        <v>0</v>
      </c>
      <c r="M76" s="14">
        <v>0</v>
      </c>
      <c r="N76" s="16">
        <v>0</v>
      </c>
      <c r="O76" s="14">
        <v>0</v>
      </c>
      <c r="P76" s="16">
        <v>0</v>
      </c>
      <c r="Q76" s="14">
        <v>0</v>
      </c>
      <c r="R76" s="16">
        <v>0</v>
      </c>
    </row>
    <row r="77" spans="1:18" x14ac:dyDescent="0.25">
      <c r="A77" s="11" t="s">
        <v>210</v>
      </c>
      <c r="B77" s="13">
        <v>6062</v>
      </c>
      <c r="C77" s="14">
        <f>(5052/B77*100)</f>
        <v>83.338832068624214</v>
      </c>
      <c r="D77" s="15">
        <v>1010</v>
      </c>
      <c r="E77" s="14">
        <v>49.095857899999999</v>
      </c>
      <c r="F77" s="16">
        <v>1.6249129499999999</v>
      </c>
      <c r="G77" s="14">
        <v>50.904142100000001</v>
      </c>
      <c r="H77" s="16">
        <v>1.6249129499999999</v>
      </c>
      <c r="I77" s="14" t="s">
        <v>139</v>
      </c>
      <c r="J77" s="16" t="s">
        <v>139</v>
      </c>
      <c r="K77" s="14">
        <v>0</v>
      </c>
      <c r="L77" s="16">
        <v>0</v>
      </c>
      <c r="M77" s="14">
        <v>0</v>
      </c>
      <c r="N77" s="16">
        <v>0</v>
      </c>
      <c r="O77" s="14">
        <v>0</v>
      </c>
      <c r="P77" s="16">
        <v>0</v>
      </c>
      <c r="Q77" s="14">
        <v>0</v>
      </c>
      <c r="R77" s="16">
        <v>0</v>
      </c>
    </row>
    <row r="78" spans="1:18" x14ac:dyDescent="0.25">
      <c r="A78" s="11" t="s">
        <v>211</v>
      </c>
      <c r="B78" s="17" t="s">
        <v>154</v>
      </c>
      <c r="C78" s="17" t="s">
        <v>154</v>
      </c>
      <c r="D78" s="18" t="s">
        <v>154</v>
      </c>
      <c r="E78" s="17" t="s">
        <v>154</v>
      </c>
      <c r="F78" s="18" t="s">
        <v>154</v>
      </c>
      <c r="G78" s="17" t="s">
        <v>154</v>
      </c>
      <c r="H78" s="18" t="s">
        <v>154</v>
      </c>
      <c r="I78" s="17" t="s">
        <v>154</v>
      </c>
      <c r="J78" s="18" t="s">
        <v>154</v>
      </c>
      <c r="K78" s="17" t="s">
        <v>154</v>
      </c>
      <c r="L78" s="18" t="s">
        <v>154</v>
      </c>
      <c r="M78" s="17" t="s">
        <v>154</v>
      </c>
      <c r="N78" s="18" t="s">
        <v>154</v>
      </c>
      <c r="O78" s="17" t="s">
        <v>154</v>
      </c>
      <c r="P78" s="18" t="s">
        <v>154</v>
      </c>
      <c r="Q78" s="17" t="s">
        <v>154</v>
      </c>
      <c r="R78" s="18" t="s">
        <v>154</v>
      </c>
    </row>
    <row r="79" spans="1:18" ht="24.95" customHeight="1" x14ac:dyDescent="0.25">
      <c r="A79" s="11" t="s">
        <v>212</v>
      </c>
      <c r="B79" s="17" t="s">
        <v>154</v>
      </c>
      <c r="C79" s="17" t="s">
        <v>154</v>
      </c>
      <c r="D79" s="18" t="s">
        <v>154</v>
      </c>
      <c r="E79" s="17" t="s">
        <v>154</v>
      </c>
      <c r="F79" s="18" t="s">
        <v>154</v>
      </c>
      <c r="G79" s="17" t="s">
        <v>154</v>
      </c>
      <c r="H79" s="18" t="s">
        <v>154</v>
      </c>
      <c r="I79" s="17" t="s">
        <v>154</v>
      </c>
      <c r="J79" s="18" t="s">
        <v>154</v>
      </c>
      <c r="K79" s="17" t="s">
        <v>154</v>
      </c>
      <c r="L79" s="18" t="s">
        <v>154</v>
      </c>
      <c r="M79" s="17" t="s">
        <v>154</v>
      </c>
      <c r="N79" s="18" t="s">
        <v>154</v>
      </c>
      <c r="O79" s="17" t="s">
        <v>154</v>
      </c>
      <c r="P79" s="18" t="s">
        <v>154</v>
      </c>
      <c r="Q79" s="17" t="s">
        <v>154</v>
      </c>
      <c r="R79" s="18" t="s">
        <v>154</v>
      </c>
    </row>
    <row r="80" spans="1:18" x14ac:dyDescent="0.25">
      <c r="A80" s="11" t="s">
        <v>213</v>
      </c>
      <c r="B80" s="17" t="s">
        <v>154</v>
      </c>
      <c r="C80" s="17" t="s">
        <v>154</v>
      </c>
      <c r="D80" s="18" t="s">
        <v>154</v>
      </c>
      <c r="E80" s="17" t="s">
        <v>154</v>
      </c>
      <c r="F80" s="18" t="s">
        <v>154</v>
      </c>
      <c r="G80" s="17" t="s">
        <v>154</v>
      </c>
      <c r="H80" s="18" t="s">
        <v>154</v>
      </c>
      <c r="I80" s="17" t="s">
        <v>154</v>
      </c>
      <c r="J80" s="18" t="s">
        <v>154</v>
      </c>
      <c r="K80" s="17" t="s">
        <v>154</v>
      </c>
      <c r="L80" s="18" t="s">
        <v>154</v>
      </c>
      <c r="M80" s="17" t="s">
        <v>154</v>
      </c>
      <c r="N80" s="18" t="s">
        <v>154</v>
      </c>
      <c r="O80" s="17" t="s">
        <v>154</v>
      </c>
      <c r="P80" s="18" t="s">
        <v>154</v>
      </c>
      <c r="Q80" s="17" t="s">
        <v>154</v>
      </c>
      <c r="R80" s="18" t="s">
        <v>154</v>
      </c>
    </row>
    <row r="81" spans="1:18" x14ac:dyDescent="0.25">
      <c r="A81" s="19" t="s">
        <v>214</v>
      </c>
      <c r="B81" s="13">
        <v>8861</v>
      </c>
      <c r="C81" s="14">
        <f>(8516/B81*100)</f>
        <v>96.106534251213176</v>
      </c>
      <c r="D81" s="15">
        <v>345</v>
      </c>
      <c r="E81" s="14">
        <v>35.776490520000003</v>
      </c>
      <c r="F81" s="16">
        <v>3.4572402900000001</v>
      </c>
      <c r="G81" s="14">
        <v>64.223509480000004</v>
      </c>
      <c r="H81" s="16">
        <v>3.4572402900000001</v>
      </c>
      <c r="I81" s="14" t="s">
        <v>139</v>
      </c>
      <c r="J81" s="16" t="s">
        <v>139</v>
      </c>
      <c r="K81" s="14">
        <v>0</v>
      </c>
      <c r="L81" s="16">
        <v>0</v>
      </c>
      <c r="M81" s="14">
        <v>0</v>
      </c>
      <c r="N81" s="16">
        <v>0</v>
      </c>
      <c r="O81" s="14">
        <v>0</v>
      </c>
      <c r="P81" s="16">
        <v>0</v>
      </c>
      <c r="Q81" s="14">
        <v>0</v>
      </c>
      <c r="R81" s="16">
        <v>0</v>
      </c>
    </row>
    <row r="82" spans="1:18" x14ac:dyDescent="0.25">
      <c r="A82" s="20"/>
      <c r="B82" s="20" t="s">
        <v>215</v>
      </c>
      <c r="C82" s="20" t="s">
        <v>215</v>
      </c>
      <c r="D82" s="20" t="s">
        <v>215</v>
      </c>
      <c r="E82" s="20" t="s">
        <v>215</v>
      </c>
      <c r="F82" s="20" t="s">
        <v>215</v>
      </c>
      <c r="G82" s="20" t="s">
        <v>215</v>
      </c>
      <c r="H82" s="20" t="s">
        <v>215</v>
      </c>
      <c r="I82" s="20" t="s">
        <v>215</v>
      </c>
      <c r="J82" s="20" t="s">
        <v>215</v>
      </c>
      <c r="K82" s="20" t="s">
        <v>215</v>
      </c>
      <c r="L82" s="20" t="s">
        <v>215</v>
      </c>
      <c r="M82" s="20" t="s">
        <v>215</v>
      </c>
      <c r="N82" s="20" t="s">
        <v>215</v>
      </c>
      <c r="O82" s="20" t="s">
        <v>215</v>
      </c>
      <c r="P82" s="20" t="s">
        <v>215</v>
      </c>
      <c r="Q82" s="20" t="s">
        <v>215</v>
      </c>
      <c r="R82" s="20" t="s">
        <v>215</v>
      </c>
    </row>
    <row r="83" spans="1:18" x14ac:dyDescent="0.25">
      <c r="A83" s="3" t="s">
        <v>216</v>
      </c>
    </row>
    <row r="84" spans="1:18" x14ac:dyDescent="0.25">
      <c r="A84" s="22" t="s">
        <v>217</v>
      </c>
      <c r="B84" s="23"/>
      <c r="C84" s="23"/>
      <c r="D84" s="23"/>
      <c r="E84" s="23"/>
      <c r="F84" s="23"/>
      <c r="G84" s="23"/>
      <c r="H84" s="23"/>
      <c r="I84" s="23"/>
      <c r="J84" s="23"/>
      <c r="K84" s="23"/>
      <c r="L84" s="23"/>
      <c r="M84" s="23"/>
      <c r="N84" s="23"/>
      <c r="O84" s="23"/>
      <c r="P84" s="23"/>
      <c r="Q84" s="23"/>
      <c r="R84" s="23"/>
    </row>
    <row r="85" spans="1:18" x14ac:dyDescent="0.25">
      <c r="A85" s="22" t="s">
        <v>218</v>
      </c>
      <c r="B85" s="23"/>
      <c r="C85" s="23"/>
      <c r="D85" s="23"/>
      <c r="E85" s="23"/>
      <c r="F85" s="23"/>
      <c r="G85" s="23"/>
      <c r="H85" s="23"/>
      <c r="I85" s="23"/>
      <c r="J85" s="23"/>
      <c r="K85" s="23"/>
      <c r="L85" s="23"/>
      <c r="M85" s="23"/>
      <c r="N85" s="23"/>
      <c r="O85" s="23"/>
      <c r="P85" s="23"/>
      <c r="Q85" s="23"/>
      <c r="R85" s="23"/>
    </row>
    <row r="86" spans="1:18" ht="30" customHeight="1" x14ac:dyDescent="0.25">
      <c r="A86" s="22" t="s">
        <v>219</v>
      </c>
      <c r="B86" s="23"/>
      <c r="C86" s="23"/>
      <c r="D86" s="23"/>
      <c r="E86" s="23"/>
      <c r="F86" s="23"/>
      <c r="G86" s="23"/>
      <c r="H86" s="23"/>
      <c r="I86" s="23"/>
      <c r="J86" s="23"/>
      <c r="K86" s="23"/>
      <c r="L86" s="23"/>
      <c r="M86" s="23"/>
      <c r="N86" s="23"/>
      <c r="O86" s="23"/>
      <c r="P86" s="23"/>
      <c r="Q86" s="23"/>
      <c r="R86" s="23"/>
    </row>
    <row r="87" spans="1:18" ht="30" customHeight="1" x14ac:dyDescent="0.25">
      <c r="A87" s="22" t="s">
        <v>215</v>
      </c>
      <c r="B87" s="23"/>
      <c r="C87" s="23"/>
      <c r="D87" s="23"/>
      <c r="E87" s="23"/>
      <c r="F87" s="23"/>
      <c r="G87" s="23"/>
      <c r="H87" s="23"/>
      <c r="I87" s="23"/>
      <c r="J87" s="23"/>
      <c r="K87" s="23"/>
      <c r="L87" s="23"/>
      <c r="M87" s="23"/>
      <c r="N87" s="23"/>
      <c r="O87" s="23"/>
      <c r="P87" s="23"/>
      <c r="Q87" s="23"/>
      <c r="R87" s="23"/>
    </row>
    <row r="88" spans="1:18" ht="30" customHeight="1" x14ac:dyDescent="0.25">
      <c r="A88" s="22" t="s">
        <v>220</v>
      </c>
      <c r="B88" s="23"/>
      <c r="C88" s="23"/>
      <c r="D88" s="23"/>
      <c r="E88" s="23"/>
      <c r="F88" s="23"/>
      <c r="G88" s="23"/>
      <c r="H88" s="23"/>
      <c r="I88" s="23"/>
      <c r="J88" s="23"/>
      <c r="K88" s="23"/>
      <c r="L88" s="23"/>
      <c r="M88" s="23"/>
      <c r="N88" s="23"/>
      <c r="O88" s="23"/>
      <c r="P88" s="23"/>
      <c r="Q88" s="23"/>
      <c r="R88" s="23"/>
    </row>
    <row r="89" spans="1:18" ht="30" customHeight="1" x14ac:dyDescent="0.25">
      <c r="A89" s="22" t="s">
        <v>221</v>
      </c>
      <c r="B89" s="23"/>
      <c r="C89" s="23"/>
      <c r="D89" s="23"/>
      <c r="E89" s="23"/>
      <c r="F89" s="23"/>
      <c r="G89" s="23"/>
      <c r="H89" s="23"/>
      <c r="I89" s="23"/>
      <c r="J89" s="23"/>
      <c r="K89" s="23"/>
      <c r="L89" s="23"/>
      <c r="M89" s="23"/>
      <c r="N89" s="23"/>
      <c r="O89" s="23"/>
      <c r="P89" s="23"/>
      <c r="Q89" s="23"/>
      <c r="R89" s="23"/>
    </row>
    <row r="90" spans="1:18" ht="30" customHeight="1" x14ac:dyDescent="0.25">
      <c r="A90" s="22" t="s">
        <v>222</v>
      </c>
      <c r="B90" s="23"/>
      <c r="C90" s="23"/>
      <c r="D90" s="23"/>
      <c r="E90" s="23"/>
      <c r="F90" s="23"/>
      <c r="G90" s="23"/>
      <c r="H90" s="23"/>
      <c r="I90" s="23"/>
      <c r="J90" s="23"/>
      <c r="K90" s="23"/>
      <c r="L90" s="23"/>
      <c r="M90" s="23"/>
      <c r="N90" s="23"/>
      <c r="O90" s="23"/>
      <c r="P90" s="23"/>
      <c r="Q90" s="23"/>
      <c r="R90" s="23"/>
    </row>
    <row r="91" spans="1:18" ht="30" customHeight="1" x14ac:dyDescent="0.25">
      <c r="A91" s="22" t="s">
        <v>223</v>
      </c>
      <c r="B91" s="23"/>
      <c r="C91" s="23"/>
      <c r="D91" s="23"/>
      <c r="E91" s="23"/>
      <c r="F91" s="23"/>
      <c r="G91" s="23"/>
      <c r="H91" s="23"/>
      <c r="I91" s="23"/>
      <c r="J91" s="23"/>
      <c r="K91" s="23"/>
      <c r="L91" s="23"/>
      <c r="M91" s="23"/>
      <c r="N91" s="23"/>
      <c r="O91" s="23"/>
      <c r="P91" s="23"/>
      <c r="Q91" s="23"/>
      <c r="R91" s="23"/>
    </row>
    <row r="92" spans="1:18" ht="30" customHeight="1" x14ac:dyDescent="0.25">
      <c r="A92" s="22" t="s">
        <v>224</v>
      </c>
      <c r="B92" s="23"/>
      <c r="C92" s="23"/>
      <c r="D92" s="23"/>
      <c r="E92" s="23"/>
      <c r="F92" s="23"/>
      <c r="G92" s="23"/>
      <c r="H92" s="23"/>
      <c r="I92" s="23"/>
      <c r="J92" s="23"/>
      <c r="K92" s="23"/>
      <c r="L92" s="23"/>
      <c r="M92" s="23"/>
      <c r="N92" s="23"/>
      <c r="O92" s="23"/>
      <c r="P92" s="23"/>
      <c r="Q92" s="23"/>
      <c r="R92" s="23"/>
    </row>
    <row r="93" spans="1:18" ht="30" customHeight="1" x14ac:dyDescent="0.25">
      <c r="A93" s="22" t="s">
        <v>225</v>
      </c>
      <c r="B93" s="23"/>
      <c r="C93" s="23"/>
      <c r="D93" s="23"/>
      <c r="E93" s="23"/>
      <c r="F93" s="23"/>
      <c r="G93" s="23"/>
      <c r="H93" s="23"/>
      <c r="I93" s="23"/>
      <c r="J93" s="23"/>
      <c r="K93" s="23"/>
      <c r="L93" s="23"/>
      <c r="M93" s="23"/>
      <c r="N93" s="23"/>
      <c r="O93" s="23"/>
      <c r="P93" s="23"/>
      <c r="Q93" s="23"/>
      <c r="R93" s="23"/>
    </row>
    <row r="94" spans="1:18" ht="30" customHeight="1" x14ac:dyDescent="0.25">
      <c r="A94" s="22" t="s">
        <v>226</v>
      </c>
      <c r="B94" s="23"/>
      <c r="C94" s="23"/>
      <c r="D94" s="23"/>
      <c r="E94" s="23"/>
      <c r="F94" s="23"/>
      <c r="G94" s="23"/>
      <c r="H94" s="23"/>
      <c r="I94" s="23"/>
      <c r="J94" s="23"/>
      <c r="K94" s="23"/>
      <c r="L94" s="23"/>
      <c r="M94" s="23"/>
      <c r="N94" s="23"/>
      <c r="O94" s="23"/>
      <c r="P94" s="23"/>
      <c r="Q94" s="23"/>
      <c r="R94" s="23"/>
    </row>
    <row r="95" spans="1:18" ht="30" customHeight="1" x14ac:dyDescent="0.25">
      <c r="A95" s="22" t="s">
        <v>227</v>
      </c>
      <c r="B95" s="23"/>
      <c r="C95" s="23"/>
      <c r="D95" s="23"/>
      <c r="E95" s="23"/>
      <c r="F95" s="23"/>
      <c r="G95" s="23"/>
      <c r="H95" s="23"/>
      <c r="I95" s="23"/>
      <c r="J95" s="23"/>
      <c r="K95" s="23"/>
      <c r="L95" s="23"/>
      <c r="M95" s="23"/>
      <c r="N95" s="23"/>
      <c r="O95" s="23"/>
      <c r="P95" s="23"/>
      <c r="Q95" s="23"/>
      <c r="R95" s="23"/>
    </row>
    <row r="96" spans="1:18" ht="30" customHeight="1" x14ac:dyDescent="0.25">
      <c r="A96" s="22" t="s">
        <v>228</v>
      </c>
      <c r="B96" s="23"/>
      <c r="C96" s="23"/>
      <c r="D96" s="23"/>
      <c r="E96" s="23"/>
      <c r="F96" s="23"/>
      <c r="G96" s="23"/>
      <c r="H96" s="23"/>
      <c r="I96" s="23"/>
      <c r="J96" s="23"/>
      <c r="K96" s="23"/>
      <c r="L96" s="23"/>
      <c r="M96" s="23"/>
      <c r="N96" s="23"/>
      <c r="O96" s="23"/>
      <c r="P96" s="23"/>
      <c r="Q96" s="23"/>
      <c r="R96" s="23"/>
    </row>
  </sheetData>
  <mergeCells count="22">
    <mergeCell ref="O4:P4"/>
    <mergeCell ref="Q4:R4"/>
    <mergeCell ref="A1:R1"/>
    <mergeCell ref="A2:R2"/>
    <mergeCell ref="A84:R84"/>
    <mergeCell ref="E4:F4"/>
    <mergeCell ref="G4:H4"/>
    <mergeCell ref="I4:J4"/>
    <mergeCell ref="K4:L4"/>
    <mergeCell ref="M4:N4"/>
    <mergeCell ref="A85:R85"/>
    <mergeCell ref="A86:R86"/>
    <mergeCell ref="A87:R87"/>
    <mergeCell ref="A88:R88"/>
    <mergeCell ref="A89:R89"/>
    <mergeCell ref="A95:R95"/>
    <mergeCell ref="A96:R96"/>
    <mergeCell ref="A90:R90"/>
    <mergeCell ref="A91:R91"/>
    <mergeCell ref="A92:R92"/>
    <mergeCell ref="A93:R93"/>
    <mergeCell ref="A94:R94"/>
  </mergeCells>
  <pageMargins left="0.75" right="0.75" top="1" bottom="1" header="0.5" footer="0.5"/>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9"/>
  <dimension ref="A1:R96"/>
  <sheetViews>
    <sheetView zoomScale="80" workbookViewId="0">
      <pane xSplit="4" topLeftCell="E1" activePane="topRight" state="frozen"/>
      <selection sqref="A1:R1"/>
      <selection pane="topRight" sqref="A1:R1"/>
    </sheetView>
  </sheetViews>
  <sheetFormatPr defaultColWidth="11.42578125" defaultRowHeight="15" x14ac:dyDescent="0.25"/>
  <cols>
    <col min="1" max="1" width="50" customWidth="1"/>
  </cols>
  <sheetData>
    <row r="1" spans="1:18" x14ac:dyDescent="0.25">
      <c r="A1" s="26" t="s">
        <v>122</v>
      </c>
      <c r="B1" s="23"/>
      <c r="C1" s="23"/>
      <c r="D1" s="23"/>
      <c r="E1" s="23"/>
      <c r="F1" s="23"/>
      <c r="G1" s="23"/>
      <c r="H1" s="23"/>
      <c r="I1" s="23"/>
      <c r="J1" s="23"/>
      <c r="K1" s="23"/>
      <c r="L1" s="23"/>
      <c r="M1" s="23"/>
      <c r="N1" s="23"/>
      <c r="O1" s="23"/>
      <c r="P1" s="23"/>
      <c r="Q1" s="23"/>
      <c r="R1" s="23"/>
    </row>
    <row r="2" spans="1:18" x14ac:dyDescent="0.25">
      <c r="A2" s="27" t="s">
        <v>295</v>
      </c>
      <c r="B2" s="23"/>
      <c r="C2" s="23"/>
      <c r="D2" s="23"/>
      <c r="E2" s="23"/>
      <c r="F2" s="23"/>
      <c r="G2" s="23"/>
      <c r="H2" s="23"/>
      <c r="I2" s="23"/>
      <c r="J2" s="23"/>
      <c r="K2" s="23"/>
      <c r="L2" s="23"/>
      <c r="M2" s="23"/>
      <c r="N2" s="23"/>
      <c r="O2" s="23"/>
      <c r="P2" s="23"/>
      <c r="Q2" s="23"/>
      <c r="R2" s="23"/>
    </row>
    <row r="4" spans="1:18" ht="30" customHeight="1" x14ac:dyDescent="0.25">
      <c r="A4" s="4"/>
      <c r="B4" s="5" t="s">
        <v>123</v>
      </c>
      <c r="C4" s="5" t="s">
        <v>124</v>
      </c>
      <c r="D4" s="6" t="s">
        <v>123</v>
      </c>
      <c r="E4" s="24" t="s">
        <v>125</v>
      </c>
      <c r="F4" s="25"/>
      <c r="G4" s="24" t="s">
        <v>126</v>
      </c>
      <c r="H4" s="25"/>
      <c r="I4" s="24" t="s">
        <v>127</v>
      </c>
      <c r="J4" s="25"/>
      <c r="K4" s="24" t="s">
        <v>128</v>
      </c>
      <c r="L4" s="25"/>
      <c r="M4" s="24" t="s">
        <v>129</v>
      </c>
      <c r="N4" s="25"/>
      <c r="O4" s="24" t="s">
        <v>130</v>
      </c>
      <c r="P4" s="25"/>
      <c r="Q4" s="24" t="s">
        <v>131</v>
      </c>
      <c r="R4" s="25"/>
    </row>
    <row r="5" spans="1:18" x14ac:dyDescent="0.25">
      <c r="A5" s="7"/>
      <c r="B5" s="8" t="s">
        <v>132</v>
      </c>
      <c r="C5" s="8" t="s">
        <v>133</v>
      </c>
      <c r="D5" s="7" t="s">
        <v>134</v>
      </c>
      <c r="E5" s="8" t="s">
        <v>135</v>
      </c>
      <c r="F5" s="7" t="s">
        <v>136</v>
      </c>
      <c r="G5" s="8" t="s">
        <v>135</v>
      </c>
      <c r="H5" s="7" t="s">
        <v>136</v>
      </c>
      <c r="I5" s="8" t="s">
        <v>135</v>
      </c>
      <c r="J5" s="7" t="s">
        <v>136</v>
      </c>
      <c r="K5" s="8" t="s">
        <v>135</v>
      </c>
      <c r="L5" s="7" t="s">
        <v>136</v>
      </c>
      <c r="M5" s="8" t="s">
        <v>135</v>
      </c>
      <c r="N5" s="7" t="s">
        <v>136</v>
      </c>
      <c r="O5" s="8" t="s">
        <v>135</v>
      </c>
      <c r="P5" s="7" t="s">
        <v>136</v>
      </c>
      <c r="Q5" s="8" t="s">
        <v>135</v>
      </c>
      <c r="R5" s="7" t="s">
        <v>136</v>
      </c>
    </row>
    <row r="6" spans="1:18" x14ac:dyDescent="0.25">
      <c r="A6" s="9" t="s">
        <v>137</v>
      </c>
      <c r="B6" s="10"/>
      <c r="C6" s="10"/>
      <c r="D6" s="11"/>
      <c r="E6" s="10"/>
      <c r="F6" s="11"/>
      <c r="G6" s="10"/>
      <c r="H6" s="11"/>
      <c r="I6" s="10"/>
      <c r="J6" s="11"/>
      <c r="K6" s="10"/>
      <c r="L6" s="11"/>
      <c r="M6" s="10"/>
      <c r="N6" s="11"/>
      <c r="O6" s="10"/>
      <c r="P6" s="11"/>
      <c r="Q6" s="10"/>
      <c r="R6" s="12"/>
    </row>
    <row r="7" spans="1:18" x14ac:dyDescent="0.25">
      <c r="A7" s="11" t="s">
        <v>138</v>
      </c>
      <c r="B7" s="13">
        <v>14530</v>
      </c>
      <c r="C7" s="14">
        <f>(12149/B7*100)</f>
        <v>83.613214039917409</v>
      </c>
      <c r="D7" s="15">
        <v>2381</v>
      </c>
      <c r="E7" s="14">
        <v>23.58662601</v>
      </c>
      <c r="F7" s="16">
        <v>0.98674079999999997</v>
      </c>
      <c r="G7" s="14">
        <v>76.413373989999997</v>
      </c>
      <c r="H7" s="16">
        <v>0.98674079999999997</v>
      </c>
      <c r="I7" s="14" t="s">
        <v>139</v>
      </c>
      <c r="J7" s="16" t="s">
        <v>139</v>
      </c>
      <c r="K7" s="14">
        <v>0</v>
      </c>
      <c r="L7" s="16">
        <v>0</v>
      </c>
      <c r="M7" s="14">
        <v>0</v>
      </c>
      <c r="N7" s="16">
        <v>0</v>
      </c>
      <c r="O7" s="14">
        <v>0</v>
      </c>
      <c r="P7" s="16">
        <v>0</v>
      </c>
      <c r="Q7" s="14">
        <v>0</v>
      </c>
      <c r="R7" s="16">
        <v>0</v>
      </c>
    </row>
    <row r="8" spans="1:18" x14ac:dyDescent="0.25">
      <c r="A8" s="11" t="s">
        <v>140</v>
      </c>
      <c r="B8" s="13">
        <v>7007</v>
      </c>
      <c r="C8" s="14">
        <f>(5821/B8*100)</f>
        <v>83.074068788354509</v>
      </c>
      <c r="D8" s="15">
        <v>1186</v>
      </c>
      <c r="E8" s="14">
        <v>30.23161288</v>
      </c>
      <c r="F8" s="16">
        <v>1.39974077</v>
      </c>
      <c r="G8" s="14">
        <v>69.76838712</v>
      </c>
      <c r="H8" s="16">
        <v>1.39974077</v>
      </c>
      <c r="I8" s="14" t="s">
        <v>139</v>
      </c>
      <c r="J8" s="16" t="s">
        <v>139</v>
      </c>
      <c r="K8" s="14">
        <v>0</v>
      </c>
      <c r="L8" s="16">
        <v>0</v>
      </c>
      <c r="M8" s="14">
        <v>0</v>
      </c>
      <c r="N8" s="16">
        <v>0</v>
      </c>
      <c r="O8" s="14">
        <v>0</v>
      </c>
      <c r="P8" s="16">
        <v>0</v>
      </c>
      <c r="Q8" s="14">
        <v>0</v>
      </c>
      <c r="R8" s="16">
        <v>0</v>
      </c>
    </row>
    <row r="9" spans="1:18" x14ac:dyDescent="0.25">
      <c r="A9" s="11" t="s">
        <v>141</v>
      </c>
      <c r="B9" s="13">
        <v>9651</v>
      </c>
      <c r="C9" s="14">
        <f>(8080/B9*100)</f>
        <v>83.721894104237904</v>
      </c>
      <c r="D9" s="15">
        <v>1571</v>
      </c>
      <c r="E9" s="14">
        <v>22.396592999999999</v>
      </c>
      <c r="F9" s="16">
        <v>1.0921195699999999</v>
      </c>
      <c r="G9" s="14">
        <v>77.603407000000004</v>
      </c>
      <c r="H9" s="16">
        <v>1.0921195699999999</v>
      </c>
      <c r="I9" s="14" t="s">
        <v>139</v>
      </c>
      <c r="J9" s="16" t="s">
        <v>139</v>
      </c>
      <c r="K9" s="14">
        <v>0</v>
      </c>
      <c r="L9" s="16">
        <v>0</v>
      </c>
      <c r="M9" s="14">
        <v>0</v>
      </c>
      <c r="N9" s="16">
        <v>0</v>
      </c>
      <c r="O9" s="14">
        <v>0</v>
      </c>
      <c r="P9" s="16">
        <v>0</v>
      </c>
      <c r="Q9" s="14">
        <v>0</v>
      </c>
      <c r="R9" s="16">
        <v>0</v>
      </c>
    </row>
    <row r="10" spans="1:18" x14ac:dyDescent="0.25">
      <c r="A10" s="11" t="s">
        <v>142</v>
      </c>
      <c r="B10" s="13">
        <v>20058</v>
      </c>
      <c r="C10" s="14">
        <f>(16662/B10*100)</f>
        <v>83.069099611127726</v>
      </c>
      <c r="D10" s="15">
        <v>3396</v>
      </c>
      <c r="E10" s="14">
        <v>20.376348839999999</v>
      </c>
      <c r="F10" s="16">
        <v>1.0476337200000001</v>
      </c>
      <c r="G10" s="14">
        <v>79.623651159999994</v>
      </c>
      <c r="H10" s="16">
        <v>1.0476337200000001</v>
      </c>
      <c r="I10" s="14" t="s">
        <v>139</v>
      </c>
      <c r="J10" s="16" t="s">
        <v>139</v>
      </c>
      <c r="K10" s="14">
        <v>0</v>
      </c>
      <c r="L10" s="16">
        <v>0</v>
      </c>
      <c r="M10" s="14">
        <v>0</v>
      </c>
      <c r="N10" s="16">
        <v>0</v>
      </c>
      <c r="O10" s="14">
        <v>0</v>
      </c>
      <c r="P10" s="16">
        <v>0</v>
      </c>
      <c r="Q10" s="14">
        <v>0</v>
      </c>
      <c r="R10" s="16">
        <v>0</v>
      </c>
    </row>
    <row r="11" spans="1:18" x14ac:dyDescent="0.25">
      <c r="A11" s="11" t="s">
        <v>143</v>
      </c>
      <c r="B11" s="13">
        <v>7053</v>
      </c>
      <c r="C11" s="14">
        <f>(5867/B11*100)</f>
        <v>83.184460513256781</v>
      </c>
      <c r="D11" s="15">
        <v>1186</v>
      </c>
      <c r="E11" s="14">
        <v>28.274487390000001</v>
      </c>
      <c r="F11" s="16">
        <v>1.5348009</v>
      </c>
      <c r="G11" s="14">
        <v>71.725512609999996</v>
      </c>
      <c r="H11" s="16">
        <v>1.5348009</v>
      </c>
      <c r="I11" s="14" t="s">
        <v>139</v>
      </c>
      <c r="J11" s="16" t="s">
        <v>139</v>
      </c>
      <c r="K11" s="14">
        <v>0</v>
      </c>
      <c r="L11" s="16">
        <v>0</v>
      </c>
      <c r="M11" s="14">
        <v>0</v>
      </c>
      <c r="N11" s="16">
        <v>0</v>
      </c>
      <c r="O11" s="14">
        <v>0</v>
      </c>
      <c r="P11" s="16">
        <v>0</v>
      </c>
      <c r="Q11" s="14">
        <v>0</v>
      </c>
      <c r="R11" s="16">
        <v>0</v>
      </c>
    </row>
    <row r="12" spans="1:18" x14ac:dyDescent="0.25">
      <c r="A12" s="11" t="s">
        <v>144</v>
      </c>
      <c r="B12" s="13">
        <v>6894</v>
      </c>
      <c r="C12" s="14">
        <f>(5738/B12*100)</f>
        <v>83.231795764432832</v>
      </c>
      <c r="D12" s="15">
        <v>1156</v>
      </c>
      <c r="E12" s="14">
        <v>32.195354010000003</v>
      </c>
      <c r="F12" s="16">
        <v>1.43065072</v>
      </c>
      <c r="G12" s="14">
        <v>67.804645989999997</v>
      </c>
      <c r="H12" s="16">
        <v>1.43065072</v>
      </c>
      <c r="I12" s="14" t="s">
        <v>139</v>
      </c>
      <c r="J12" s="16" t="s">
        <v>139</v>
      </c>
      <c r="K12" s="14">
        <v>0</v>
      </c>
      <c r="L12" s="16">
        <v>0</v>
      </c>
      <c r="M12" s="14">
        <v>0</v>
      </c>
      <c r="N12" s="16">
        <v>0</v>
      </c>
      <c r="O12" s="14">
        <v>0</v>
      </c>
      <c r="P12" s="16">
        <v>0</v>
      </c>
      <c r="Q12" s="14">
        <v>0</v>
      </c>
      <c r="R12" s="16">
        <v>0</v>
      </c>
    </row>
    <row r="13" spans="1:18" x14ac:dyDescent="0.25">
      <c r="A13" s="11" t="s">
        <v>145</v>
      </c>
      <c r="B13" s="13">
        <v>7161</v>
      </c>
      <c r="C13" s="14">
        <f>(6027/B13*100)</f>
        <v>84.1642228739003</v>
      </c>
      <c r="D13" s="15">
        <v>1134</v>
      </c>
      <c r="E13" s="14">
        <v>15.59860786</v>
      </c>
      <c r="F13" s="16">
        <v>1.4637978899999999</v>
      </c>
      <c r="G13" s="14">
        <v>84.401392139999999</v>
      </c>
      <c r="H13" s="16">
        <v>1.4637978899999999</v>
      </c>
      <c r="I13" s="14" t="s">
        <v>139</v>
      </c>
      <c r="J13" s="16" t="s">
        <v>139</v>
      </c>
      <c r="K13" s="14">
        <v>0</v>
      </c>
      <c r="L13" s="16">
        <v>0</v>
      </c>
      <c r="M13" s="14">
        <v>0</v>
      </c>
      <c r="N13" s="16">
        <v>0</v>
      </c>
      <c r="O13" s="14">
        <v>0</v>
      </c>
      <c r="P13" s="16">
        <v>0</v>
      </c>
      <c r="Q13" s="14">
        <v>0</v>
      </c>
      <c r="R13" s="16">
        <v>0</v>
      </c>
    </row>
    <row r="14" spans="1:18" x14ac:dyDescent="0.25">
      <c r="A14" s="11" t="s">
        <v>146</v>
      </c>
      <c r="B14" s="13">
        <v>5587</v>
      </c>
      <c r="C14" s="14">
        <f>(4638/B14*100)</f>
        <v>83.014139967782356</v>
      </c>
      <c r="D14" s="15">
        <v>949</v>
      </c>
      <c r="E14" s="14">
        <v>19.62144018</v>
      </c>
      <c r="F14" s="16">
        <v>1.4399278600000001</v>
      </c>
      <c r="G14" s="14">
        <v>80.378559820000007</v>
      </c>
      <c r="H14" s="16">
        <v>1.4399278600000001</v>
      </c>
      <c r="I14" s="14" t="s">
        <v>139</v>
      </c>
      <c r="J14" s="16" t="s">
        <v>139</v>
      </c>
      <c r="K14" s="14">
        <v>0</v>
      </c>
      <c r="L14" s="16">
        <v>0</v>
      </c>
      <c r="M14" s="14">
        <v>0</v>
      </c>
      <c r="N14" s="16">
        <v>0</v>
      </c>
      <c r="O14" s="14">
        <v>0</v>
      </c>
      <c r="P14" s="16">
        <v>0</v>
      </c>
      <c r="Q14" s="14">
        <v>0</v>
      </c>
      <c r="R14" s="16">
        <v>0</v>
      </c>
    </row>
    <row r="15" spans="1:18" x14ac:dyDescent="0.25">
      <c r="A15" s="11" t="s">
        <v>147</v>
      </c>
      <c r="B15" s="13">
        <v>5882</v>
      </c>
      <c r="C15" s="14">
        <f>(4879/B15*100)</f>
        <v>82.947976878612721</v>
      </c>
      <c r="D15" s="15">
        <v>1003</v>
      </c>
      <c r="E15" s="14">
        <v>13.08719224</v>
      </c>
      <c r="F15" s="16">
        <v>1.19431848</v>
      </c>
      <c r="G15" s="14">
        <v>86.912807760000007</v>
      </c>
      <c r="H15" s="16">
        <v>1.19431848</v>
      </c>
      <c r="I15" s="14" t="s">
        <v>139</v>
      </c>
      <c r="J15" s="16" t="s">
        <v>139</v>
      </c>
      <c r="K15" s="14">
        <v>0</v>
      </c>
      <c r="L15" s="16">
        <v>0</v>
      </c>
      <c r="M15" s="14">
        <v>0</v>
      </c>
      <c r="N15" s="16">
        <v>0</v>
      </c>
      <c r="O15" s="14">
        <v>0</v>
      </c>
      <c r="P15" s="16">
        <v>0</v>
      </c>
      <c r="Q15" s="14">
        <v>0</v>
      </c>
      <c r="R15" s="16">
        <v>0</v>
      </c>
    </row>
    <row r="16" spans="1:18" x14ac:dyDescent="0.25">
      <c r="A16" s="11" t="s">
        <v>148</v>
      </c>
      <c r="B16" s="13">
        <v>6108</v>
      </c>
      <c r="C16" s="14">
        <f>(5065/B16*100)</f>
        <v>82.924034053700069</v>
      </c>
      <c r="D16" s="15">
        <v>1043</v>
      </c>
      <c r="E16" s="14">
        <v>27.438199610000002</v>
      </c>
      <c r="F16" s="16">
        <v>1.4166301699999999</v>
      </c>
      <c r="G16" s="14">
        <v>72.561800390000002</v>
      </c>
      <c r="H16" s="16">
        <v>1.4166301699999999</v>
      </c>
      <c r="I16" s="14" t="s">
        <v>139</v>
      </c>
      <c r="J16" s="16" t="s">
        <v>139</v>
      </c>
      <c r="K16" s="14">
        <v>0</v>
      </c>
      <c r="L16" s="16">
        <v>0</v>
      </c>
      <c r="M16" s="14">
        <v>0</v>
      </c>
      <c r="N16" s="16">
        <v>0</v>
      </c>
      <c r="O16" s="14">
        <v>0</v>
      </c>
      <c r="P16" s="16">
        <v>0</v>
      </c>
      <c r="Q16" s="14">
        <v>0</v>
      </c>
      <c r="R16" s="16">
        <v>0</v>
      </c>
    </row>
    <row r="17" spans="1:18" x14ac:dyDescent="0.25">
      <c r="A17" s="11" t="s">
        <v>149</v>
      </c>
      <c r="B17" s="13">
        <v>6504</v>
      </c>
      <c r="C17" s="14">
        <f>(5414/B17*100)</f>
        <v>83.241082410824106</v>
      </c>
      <c r="D17" s="15">
        <v>1090</v>
      </c>
      <c r="E17" s="14">
        <v>33.47731495</v>
      </c>
      <c r="F17" s="16">
        <v>1.5666785999999999</v>
      </c>
      <c r="G17" s="14">
        <v>66.522685050000007</v>
      </c>
      <c r="H17" s="16">
        <v>1.5666785999999999</v>
      </c>
      <c r="I17" s="14" t="s">
        <v>139</v>
      </c>
      <c r="J17" s="16" t="s">
        <v>139</v>
      </c>
      <c r="K17" s="14">
        <v>0</v>
      </c>
      <c r="L17" s="16">
        <v>0</v>
      </c>
      <c r="M17" s="14">
        <v>0</v>
      </c>
      <c r="N17" s="16">
        <v>0</v>
      </c>
      <c r="O17" s="14">
        <v>0</v>
      </c>
      <c r="P17" s="16">
        <v>0</v>
      </c>
      <c r="Q17" s="14">
        <v>0</v>
      </c>
      <c r="R17" s="16">
        <v>0</v>
      </c>
    </row>
    <row r="18" spans="1:18" x14ac:dyDescent="0.25">
      <c r="A18" s="11" t="s">
        <v>150</v>
      </c>
      <c r="B18" s="13">
        <v>5532</v>
      </c>
      <c r="C18" s="14">
        <f>(4631/B18*100)</f>
        <v>83.712942877801879</v>
      </c>
      <c r="D18" s="15">
        <v>901</v>
      </c>
      <c r="E18" s="14">
        <v>29.532851699999998</v>
      </c>
      <c r="F18" s="16">
        <v>1.51565985</v>
      </c>
      <c r="G18" s="14">
        <v>70.467148300000005</v>
      </c>
      <c r="H18" s="16">
        <v>1.51565985</v>
      </c>
      <c r="I18" s="14" t="s">
        <v>139</v>
      </c>
      <c r="J18" s="16" t="s">
        <v>139</v>
      </c>
      <c r="K18" s="14">
        <v>0</v>
      </c>
      <c r="L18" s="16">
        <v>0</v>
      </c>
      <c r="M18" s="14">
        <v>0</v>
      </c>
      <c r="N18" s="16">
        <v>0</v>
      </c>
      <c r="O18" s="14">
        <v>0</v>
      </c>
      <c r="P18" s="16">
        <v>0</v>
      </c>
      <c r="Q18" s="14">
        <v>0</v>
      </c>
      <c r="R18" s="16">
        <v>0</v>
      </c>
    </row>
    <row r="19" spans="1:18" x14ac:dyDescent="0.25">
      <c r="A19" s="11" t="s">
        <v>151</v>
      </c>
      <c r="B19" s="13">
        <v>5658</v>
      </c>
      <c r="C19" s="14">
        <f>(4717/B19*100)</f>
        <v>83.368681512902086</v>
      </c>
      <c r="D19" s="15">
        <v>941</v>
      </c>
      <c r="E19" s="14">
        <v>30.674836389999999</v>
      </c>
      <c r="F19" s="16">
        <v>1.7332934499999999</v>
      </c>
      <c r="G19" s="14">
        <v>69.325163610000004</v>
      </c>
      <c r="H19" s="16">
        <v>1.7332934499999999</v>
      </c>
      <c r="I19" s="14" t="s">
        <v>139</v>
      </c>
      <c r="J19" s="16" t="s">
        <v>139</v>
      </c>
      <c r="K19" s="14">
        <v>0</v>
      </c>
      <c r="L19" s="16">
        <v>0</v>
      </c>
      <c r="M19" s="14">
        <v>0</v>
      </c>
      <c r="N19" s="16">
        <v>0</v>
      </c>
      <c r="O19" s="14">
        <v>0</v>
      </c>
      <c r="P19" s="16">
        <v>0</v>
      </c>
      <c r="Q19" s="14">
        <v>0</v>
      </c>
      <c r="R19" s="16">
        <v>0</v>
      </c>
    </row>
    <row r="20" spans="1:18" x14ac:dyDescent="0.25">
      <c r="A20" s="11" t="s">
        <v>152</v>
      </c>
      <c r="B20" s="13">
        <v>3371</v>
      </c>
      <c r="C20" s="14">
        <f>(2817/B20*100)</f>
        <v>83.565707505191327</v>
      </c>
      <c r="D20" s="15">
        <v>554</v>
      </c>
      <c r="E20" s="14">
        <v>27.266810970000002</v>
      </c>
      <c r="F20" s="16">
        <v>1.85717306</v>
      </c>
      <c r="G20" s="14">
        <v>72.733189030000005</v>
      </c>
      <c r="H20" s="16">
        <v>1.85717306</v>
      </c>
      <c r="I20" s="14" t="s">
        <v>139</v>
      </c>
      <c r="J20" s="16" t="s">
        <v>139</v>
      </c>
      <c r="K20" s="14">
        <v>0</v>
      </c>
      <c r="L20" s="16">
        <v>0</v>
      </c>
      <c r="M20" s="14">
        <v>0</v>
      </c>
      <c r="N20" s="16">
        <v>0</v>
      </c>
      <c r="O20" s="14">
        <v>0</v>
      </c>
      <c r="P20" s="16">
        <v>0</v>
      </c>
      <c r="Q20" s="14">
        <v>0</v>
      </c>
      <c r="R20" s="16">
        <v>0</v>
      </c>
    </row>
    <row r="21" spans="1:18" x14ac:dyDescent="0.25">
      <c r="A21" s="11" t="s">
        <v>153</v>
      </c>
      <c r="B21" s="17" t="s">
        <v>154</v>
      </c>
      <c r="C21" s="17" t="s">
        <v>154</v>
      </c>
      <c r="D21" s="18" t="s">
        <v>154</v>
      </c>
      <c r="E21" s="17" t="s">
        <v>154</v>
      </c>
      <c r="F21" s="18" t="s">
        <v>154</v>
      </c>
      <c r="G21" s="17" t="s">
        <v>154</v>
      </c>
      <c r="H21" s="18" t="s">
        <v>154</v>
      </c>
      <c r="I21" s="17" t="s">
        <v>154</v>
      </c>
      <c r="J21" s="18" t="s">
        <v>154</v>
      </c>
      <c r="K21" s="17" t="s">
        <v>154</v>
      </c>
      <c r="L21" s="18" t="s">
        <v>154</v>
      </c>
      <c r="M21" s="17" t="s">
        <v>154</v>
      </c>
      <c r="N21" s="18" t="s">
        <v>154</v>
      </c>
      <c r="O21" s="17" t="s">
        <v>154</v>
      </c>
      <c r="P21" s="18" t="s">
        <v>154</v>
      </c>
      <c r="Q21" s="17" t="s">
        <v>154</v>
      </c>
      <c r="R21" s="18" t="s">
        <v>154</v>
      </c>
    </row>
    <row r="22" spans="1:18" x14ac:dyDescent="0.25">
      <c r="A22" s="11" t="s">
        <v>155</v>
      </c>
      <c r="B22" s="13">
        <v>6598</v>
      </c>
      <c r="C22" s="14">
        <f>(5579/B22*100)</f>
        <v>84.555926038193391</v>
      </c>
      <c r="D22" s="15">
        <v>1019</v>
      </c>
      <c r="E22" s="14">
        <v>32.535602869999998</v>
      </c>
      <c r="F22" s="16">
        <v>1.65749674</v>
      </c>
      <c r="G22" s="14">
        <v>67.464397129999995</v>
      </c>
      <c r="H22" s="16">
        <v>1.65749674</v>
      </c>
      <c r="I22" s="14" t="s">
        <v>139</v>
      </c>
      <c r="J22" s="16" t="s">
        <v>139</v>
      </c>
      <c r="K22" s="14">
        <v>0</v>
      </c>
      <c r="L22" s="16">
        <v>0</v>
      </c>
      <c r="M22" s="14">
        <v>0</v>
      </c>
      <c r="N22" s="16">
        <v>0</v>
      </c>
      <c r="O22" s="14">
        <v>0</v>
      </c>
      <c r="P22" s="16">
        <v>0</v>
      </c>
      <c r="Q22" s="14">
        <v>0</v>
      </c>
      <c r="R22" s="16">
        <v>0</v>
      </c>
    </row>
    <row r="23" spans="1:18" x14ac:dyDescent="0.25">
      <c r="A23" s="11" t="s">
        <v>156</v>
      </c>
      <c r="B23" s="13">
        <v>11583</v>
      </c>
      <c r="C23" s="14">
        <f>(9622/B23*100)</f>
        <v>83.07001640334974</v>
      </c>
      <c r="D23" s="15">
        <v>1961</v>
      </c>
      <c r="E23" s="14">
        <v>33.587249370000002</v>
      </c>
      <c r="F23" s="16">
        <v>1.57698194</v>
      </c>
      <c r="G23" s="14">
        <v>66.412750630000005</v>
      </c>
      <c r="H23" s="16">
        <v>1.57698194</v>
      </c>
      <c r="I23" s="14" t="s">
        <v>139</v>
      </c>
      <c r="J23" s="16" t="s">
        <v>139</v>
      </c>
      <c r="K23" s="14">
        <v>0</v>
      </c>
      <c r="L23" s="16">
        <v>0</v>
      </c>
      <c r="M23" s="14">
        <v>0</v>
      </c>
      <c r="N23" s="16">
        <v>0</v>
      </c>
      <c r="O23" s="14">
        <v>0</v>
      </c>
      <c r="P23" s="16">
        <v>0</v>
      </c>
      <c r="Q23" s="14">
        <v>0</v>
      </c>
      <c r="R23" s="16">
        <v>0</v>
      </c>
    </row>
    <row r="24" spans="1:18" x14ac:dyDescent="0.25">
      <c r="A24" s="11" t="s">
        <v>157</v>
      </c>
      <c r="B24" s="13">
        <v>6647</v>
      </c>
      <c r="C24" s="14">
        <f>(5473/B24*100)</f>
        <v>82.337896795546868</v>
      </c>
      <c r="D24" s="15">
        <v>1174</v>
      </c>
      <c r="E24" s="14">
        <v>55.647763660000003</v>
      </c>
      <c r="F24" s="16">
        <v>1.5516854</v>
      </c>
      <c r="G24" s="14">
        <v>44.352236339999997</v>
      </c>
      <c r="H24" s="16">
        <v>1.5516854</v>
      </c>
      <c r="I24" s="14" t="s">
        <v>139</v>
      </c>
      <c r="J24" s="16" t="s">
        <v>139</v>
      </c>
      <c r="K24" s="14">
        <v>0</v>
      </c>
      <c r="L24" s="16">
        <v>0</v>
      </c>
      <c r="M24" s="14">
        <v>0</v>
      </c>
      <c r="N24" s="16">
        <v>0</v>
      </c>
      <c r="O24" s="14">
        <v>0</v>
      </c>
      <c r="P24" s="16">
        <v>0</v>
      </c>
      <c r="Q24" s="14">
        <v>0</v>
      </c>
      <c r="R24" s="16">
        <v>0</v>
      </c>
    </row>
    <row r="25" spans="1:18" x14ac:dyDescent="0.25">
      <c r="A25" s="11" t="s">
        <v>158</v>
      </c>
      <c r="B25" s="13">
        <v>5581</v>
      </c>
      <c r="C25" s="14">
        <f>(4597/B25*100)</f>
        <v>82.368751119870993</v>
      </c>
      <c r="D25" s="15">
        <v>984</v>
      </c>
      <c r="E25" s="14">
        <v>41.02392725</v>
      </c>
      <c r="F25" s="16">
        <v>1.44741224</v>
      </c>
      <c r="G25" s="14">
        <v>58.97607275</v>
      </c>
      <c r="H25" s="16">
        <v>1.44741224</v>
      </c>
      <c r="I25" s="14" t="s">
        <v>139</v>
      </c>
      <c r="J25" s="16" t="s">
        <v>139</v>
      </c>
      <c r="K25" s="14">
        <v>0</v>
      </c>
      <c r="L25" s="16">
        <v>0</v>
      </c>
      <c r="M25" s="14">
        <v>0</v>
      </c>
      <c r="N25" s="16">
        <v>0</v>
      </c>
      <c r="O25" s="14">
        <v>0</v>
      </c>
      <c r="P25" s="16">
        <v>0</v>
      </c>
      <c r="Q25" s="14">
        <v>0</v>
      </c>
      <c r="R25" s="16">
        <v>0</v>
      </c>
    </row>
    <row r="26" spans="1:18" x14ac:dyDescent="0.25">
      <c r="A26" s="11" t="s">
        <v>159</v>
      </c>
      <c r="B26" s="13">
        <v>4869</v>
      </c>
      <c r="C26" s="14">
        <f>(4038/B26*100)</f>
        <v>82.932840418977207</v>
      </c>
      <c r="D26" s="15">
        <v>831</v>
      </c>
      <c r="E26" s="14">
        <v>30.53400847</v>
      </c>
      <c r="F26" s="16">
        <v>1.67500049</v>
      </c>
      <c r="G26" s="14">
        <v>69.465991529999997</v>
      </c>
      <c r="H26" s="16">
        <v>1.67500049</v>
      </c>
      <c r="I26" s="14" t="s">
        <v>139</v>
      </c>
      <c r="J26" s="16" t="s">
        <v>139</v>
      </c>
      <c r="K26" s="14">
        <v>0</v>
      </c>
      <c r="L26" s="16">
        <v>0</v>
      </c>
      <c r="M26" s="14">
        <v>0</v>
      </c>
      <c r="N26" s="16">
        <v>0</v>
      </c>
      <c r="O26" s="14">
        <v>0</v>
      </c>
      <c r="P26" s="16">
        <v>0</v>
      </c>
      <c r="Q26" s="14">
        <v>0</v>
      </c>
      <c r="R26" s="16">
        <v>0</v>
      </c>
    </row>
    <row r="27" spans="1:18" x14ac:dyDescent="0.25">
      <c r="A27" s="11" t="s">
        <v>160</v>
      </c>
      <c r="B27" s="13">
        <v>5299</v>
      </c>
      <c r="C27" s="14">
        <f>(4418/B27*100)</f>
        <v>83.374221551236076</v>
      </c>
      <c r="D27" s="15">
        <v>881</v>
      </c>
      <c r="E27" s="14">
        <v>32.697542910000003</v>
      </c>
      <c r="F27" s="16">
        <v>1.6125510000000001</v>
      </c>
      <c r="G27" s="14">
        <v>67.302457090000004</v>
      </c>
      <c r="H27" s="16">
        <v>1.6125510000000001</v>
      </c>
      <c r="I27" s="14" t="s">
        <v>139</v>
      </c>
      <c r="J27" s="16" t="s">
        <v>139</v>
      </c>
      <c r="K27" s="14">
        <v>0</v>
      </c>
      <c r="L27" s="16">
        <v>0</v>
      </c>
      <c r="M27" s="14">
        <v>0</v>
      </c>
      <c r="N27" s="16">
        <v>0</v>
      </c>
      <c r="O27" s="14">
        <v>0</v>
      </c>
      <c r="P27" s="16">
        <v>0</v>
      </c>
      <c r="Q27" s="14">
        <v>0</v>
      </c>
      <c r="R27" s="16">
        <v>0</v>
      </c>
    </row>
    <row r="28" spans="1:18" x14ac:dyDescent="0.25">
      <c r="A28" s="11" t="s">
        <v>161</v>
      </c>
      <c r="B28" s="13">
        <v>7568</v>
      </c>
      <c r="C28" s="14">
        <f>(6380/B28*100)</f>
        <v>84.302325581395351</v>
      </c>
      <c r="D28" s="15">
        <v>1188</v>
      </c>
      <c r="E28" s="14">
        <v>32.197693319999999</v>
      </c>
      <c r="F28" s="16">
        <v>1.51349343</v>
      </c>
      <c r="G28" s="14">
        <v>67.802306680000001</v>
      </c>
      <c r="H28" s="16">
        <v>1.51349343</v>
      </c>
      <c r="I28" s="14" t="s">
        <v>139</v>
      </c>
      <c r="J28" s="16" t="s">
        <v>139</v>
      </c>
      <c r="K28" s="14">
        <v>0</v>
      </c>
      <c r="L28" s="16">
        <v>0</v>
      </c>
      <c r="M28" s="14">
        <v>0</v>
      </c>
      <c r="N28" s="16">
        <v>0</v>
      </c>
      <c r="O28" s="14">
        <v>0</v>
      </c>
      <c r="P28" s="16">
        <v>0</v>
      </c>
      <c r="Q28" s="14">
        <v>0</v>
      </c>
      <c r="R28" s="16">
        <v>0</v>
      </c>
    </row>
    <row r="29" spans="1:18" x14ac:dyDescent="0.25">
      <c r="A29" s="11" t="s">
        <v>162</v>
      </c>
      <c r="B29" s="13">
        <v>5385</v>
      </c>
      <c r="C29" s="14">
        <f>(4468/B29*100)</f>
        <v>82.971216341689882</v>
      </c>
      <c r="D29" s="15">
        <v>917</v>
      </c>
      <c r="E29" s="14">
        <v>21.848728139999999</v>
      </c>
      <c r="F29" s="16">
        <v>1.3524571999999999</v>
      </c>
      <c r="G29" s="14">
        <v>78.151271859999994</v>
      </c>
      <c r="H29" s="16">
        <v>1.3524571999999999</v>
      </c>
      <c r="I29" s="14" t="s">
        <v>139</v>
      </c>
      <c r="J29" s="16" t="s">
        <v>139</v>
      </c>
      <c r="K29" s="14">
        <v>0</v>
      </c>
      <c r="L29" s="16">
        <v>0</v>
      </c>
      <c r="M29" s="14">
        <v>0</v>
      </c>
      <c r="N29" s="16">
        <v>0</v>
      </c>
      <c r="O29" s="14">
        <v>0</v>
      </c>
      <c r="P29" s="16">
        <v>0</v>
      </c>
      <c r="Q29" s="14">
        <v>0</v>
      </c>
      <c r="R29" s="16">
        <v>0</v>
      </c>
    </row>
    <row r="30" spans="1:18" x14ac:dyDescent="0.25">
      <c r="A30" s="11" t="s">
        <v>163</v>
      </c>
      <c r="B30" s="13">
        <v>4520</v>
      </c>
      <c r="C30" s="14">
        <f>(3771/B30*100)</f>
        <v>83.429203539823007</v>
      </c>
      <c r="D30" s="15">
        <v>749</v>
      </c>
      <c r="E30" s="14">
        <v>22.848823360000001</v>
      </c>
      <c r="F30" s="16">
        <v>1.3849932599999999</v>
      </c>
      <c r="G30" s="14">
        <v>77.151176640000003</v>
      </c>
      <c r="H30" s="16">
        <v>1.3849932599999999</v>
      </c>
      <c r="I30" s="14" t="s">
        <v>139</v>
      </c>
      <c r="J30" s="16" t="s">
        <v>139</v>
      </c>
      <c r="K30" s="14">
        <v>0</v>
      </c>
      <c r="L30" s="16">
        <v>0</v>
      </c>
      <c r="M30" s="14">
        <v>0</v>
      </c>
      <c r="N30" s="16">
        <v>0</v>
      </c>
      <c r="O30" s="14">
        <v>0</v>
      </c>
      <c r="P30" s="16">
        <v>0</v>
      </c>
      <c r="Q30" s="14">
        <v>0</v>
      </c>
      <c r="R30" s="16">
        <v>0</v>
      </c>
    </row>
    <row r="31" spans="1:18" x14ac:dyDescent="0.25">
      <c r="A31" s="11" t="s">
        <v>164</v>
      </c>
      <c r="B31" s="13">
        <v>5456</v>
      </c>
      <c r="C31" s="14">
        <f>(4500/B31*100)</f>
        <v>82.478005865102645</v>
      </c>
      <c r="D31" s="15">
        <v>956</v>
      </c>
      <c r="E31" s="14">
        <v>18.19153493</v>
      </c>
      <c r="F31" s="16">
        <v>1.30410263</v>
      </c>
      <c r="G31" s="14">
        <v>81.808465069999997</v>
      </c>
      <c r="H31" s="16">
        <v>1.30410263</v>
      </c>
      <c r="I31" s="14" t="s">
        <v>139</v>
      </c>
      <c r="J31" s="16" t="s">
        <v>139</v>
      </c>
      <c r="K31" s="14">
        <v>0</v>
      </c>
      <c r="L31" s="16">
        <v>0</v>
      </c>
      <c r="M31" s="14">
        <v>0</v>
      </c>
      <c r="N31" s="16">
        <v>0</v>
      </c>
      <c r="O31" s="14">
        <v>0</v>
      </c>
      <c r="P31" s="16">
        <v>0</v>
      </c>
      <c r="Q31" s="14">
        <v>0</v>
      </c>
      <c r="R31" s="16">
        <v>0</v>
      </c>
    </row>
    <row r="32" spans="1:18" x14ac:dyDescent="0.25">
      <c r="A32" s="11" t="s">
        <v>165</v>
      </c>
      <c r="B32" s="17" t="s">
        <v>154</v>
      </c>
      <c r="C32" s="17" t="s">
        <v>154</v>
      </c>
      <c r="D32" s="18" t="s">
        <v>154</v>
      </c>
      <c r="E32" s="17" t="s">
        <v>154</v>
      </c>
      <c r="F32" s="18" t="s">
        <v>154</v>
      </c>
      <c r="G32" s="17" t="s">
        <v>154</v>
      </c>
      <c r="H32" s="18" t="s">
        <v>154</v>
      </c>
      <c r="I32" s="17" t="s">
        <v>154</v>
      </c>
      <c r="J32" s="18" t="s">
        <v>154</v>
      </c>
      <c r="K32" s="17" t="s">
        <v>154</v>
      </c>
      <c r="L32" s="18" t="s">
        <v>154</v>
      </c>
      <c r="M32" s="17" t="s">
        <v>154</v>
      </c>
      <c r="N32" s="18" t="s">
        <v>154</v>
      </c>
      <c r="O32" s="17" t="s">
        <v>154</v>
      </c>
      <c r="P32" s="18" t="s">
        <v>154</v>
      </c>
      <c r="Q32" s="17" t="s">
        <v>154</v>
      </c>
      <c r="R32" s="18" t="s">
        <v>154</v>
      </c>
    </row>
    <row r="33" spans="1:18" x14ac:dyDescent="0.25">
      <c r="A33" s="11" t="s">
        <v>166</v>
      </c>
      <c r="B33" s="13">
        <v>7325</v>
      </c>
      <c r="C33" s="14">
        <f>(6087/B33*100)</f>
        <v>83.098976109215016</v>
      </c>
      <c r="D33" s="15">
        <v>1238</v>
      </c>
      <c r="E33" s="14">
        <v>22.305812159999999</v>
      </c>
      <c r="F33" s="16">
        <v>1.3474832699999999</v>
      </c>
      <c r="G33" s="14">
        <v>77.694187839999998</v>
      </c>
      <c r="H33" s="16">
        <v>1.3474832699999999</v>
      </c>
      <c r="I33" s="14" t="s">
        <v>139</v>
      </c>
      <c r="J33" s="16" t="s">
        <v>139</v>
      </c>
      <c r="K33" s="14">
        <v>0</v>
      </c>
      <c r="L33" s="16">
        <v>0</v>
      </c>
      <c r="M33" s="14">
        <v>0</v>
      </c>
      <c r="N33" s="16">
        <v>0</v>
      </c>
      <c r="O33" s="14">
        <v>0</v>
      </c>
      <c r="P33" s="16">
        <v>0</v>
      </c>
      <c r="Q33" s="14">
        <v>0</v>
      </c>
      <c r="R33" s="16">
        <v>0</v>
      </c>
    </row>
    <row r="34" spans="1:18" x14ac:dyDescent="0.25">
      <c r="A34" s="11" t="s">
        <v>167</v>
      </c>
      <c r="B34" s="13">
        <v>6350</v>
      </c>
      <c r="C34" s="14">
        <f>(5330/B34*100)</f>
        <v>83.937007874015748</v>
      </c>
      <c r="D34" s="15">
        <v>1020</v>
      </c>
      <c r="E34" s="14">
        <v>36.269188419999999</v>
      </c>
      <c r="F34" s="16">
        <v>1.6829576399999999</v>
      </c>
      <c r="G34" s="14">
        <v>63.730811580000001</v>
      </c>
      <c r="H34" s="16">
        <v>1.6829576399999999</v>
      </c>
      <c r="I34" s="14" t="s">
        <v>139</v>
      </c>
      <c r="J34" s="16" t="s">
        <v>139</v>
      </c>
      <c r="K34" s="14">
        <v>0</v>
      </c>
      <c r="L34" s="16">
        <v>0</v>
      </c>
      <c r="M34" s="14">
        <v>0</v>
      </c>
      <c r="N34" s="16">
        <v>0</v>
      </c>
      <c r="O34" s="14">
        <v>0</v>
      </c>
      <c r="P34" s="16">
        <v>0</v>
      </c>
      <c r="Q34" s="14">
        <v>0</v>
      </c>
      <c r="R34" s="16">
        <v>0</v>
      </c>
    </row>
    <row r="35" spans="1:18" x14ac:dyDescent="0.25">
      <c r="A35" s="11" t="s">
        <v>168</v>
      </c>
      <c r="B35" s="13">
        <v>6406</v>
      </c>
      <c r="C35" s="14">
        <f>(5332/B35*100)</f>
        <v>83.234467686543866</v>
      </c>
      <c r="D35" s="15">
        <v>1074</v>
      </c>
      <c r="E35" s="14">
        <v>46.046778750000001</v>
      </c>
      <c r="F35" s="16">
        <v>1.77772313</v>
      </c>
      <c r="G35" s="14">
        <v>53.953221249999999</v>
      </c>
      <c r="H35" s="16">
        <v>1.77772313</v>
      </c>
      <c r="I35" s="14" t="s">
        <v>139</v>
      </c>
      <c r="J35" s="16" t="s">
        <v>139</v>
      </c>
      <c r="K35" s="14">
        <v>0</v>
      </c>
      <c r="L35" s="16">
        <v>0</v>
      </c>
      <c r="M35" s="14">
        <v>0</v>
      </c>
      <c r="N35" s="16">
        <v>0</v>
      </c>
      <c r="O35" s="14">
        <v>0</v>
      </c>
      <c r="P35" s="16">
        <v>0</v>
      </c>
      <c r="Q35" s="14">
        <v>0</v>
      </c>
      <c r="R35" s="16">
        <v>0</v>
      </c>
    </row>
    <row r="36" spans="1:18" x14ac:dyDescent="0.25">
      <c r="A36" s="11" t="s">
        <v>169</v>
      </c>
      <c r="B36" s="13">
        <v>6736</v>
      </c>
      <c r="C36" s="14">
        <f>(5607/B36*100)</f>
        <v>83.239311163895493</v>
      </c>
      <c r="D36" s="15">
        <v>1129</v>
      </c>
      <c r="E36" s="14">
        <v>30.992876849999998</v>
      </c>
      <c r="F36" s="16">
        <v>1.40046859</v>
      </c>
      <c r="G36" s="14">
        <v>69.007123149999998</v>
      </c>
      <c r="H36" s="16">
        <v>1.40046859</v>
      </c>
      <c r="I36" s="14" t="s">
        <v>139</v>
      </c>
      <c r="J36" s="16" t="s">
        <v>139</v>
      </c>
      <c r="K36" s="14">
        <v>0</v>
      </c>
      <c r="L36" s="16">
        <v>0</v>
      </c>
      <c r="M36" s="14">
        <v>0</v>
      </c>
      <c r="N36" s="16">
        <v>0</v>
      </c>
      <c r="O36" s="14">
        <v>0</v>
      </c>
      <c r="P36" s="16">
        <v>0</v>
      </c>
      <c r="Q36" s="14">
        <v>0</v>
      </c>
      <c r="R36" s="16">
        <v>0</v>
      </c>
    </row>
    <row r="37" spans="1:18" x14ac:dyDescent="0.25">
      <c r="A37" s="11" t="s">
        <v>170</v>
      </c>
      <c r="B37" s="13">
        <v>5458</v>
      </c>
      <c r="C37" s="14">
        <f>(4541/B37*100)</f>
        <v>83.198973983144015</v>
      </c>
      <c r="D37" s="15">
        <v>917</v>
      </c>
      <c r="E37" s="14">
        <v>27.623019289999998</v>
      </c>
      <c r="F37" s="16">
        <v>1.6158696299999999</v>
      </c>
      <c r="G37" s="14">
        <v>72.376980709999998</v>
      </c>
      <c r="H37" s="16">
        <v>1.6158696299999999</v>
      </c>
      <c r="I37" s="14" t="s">
        <v>139</v>
      </c>
      <c r="J37" s="16" t="s">
        <v>139</v>
      </c>
      <c r="K37" s="14">
        <v>0</v>
      </c>
      <c r="L37" s="16">
        <v>0</v>
      </c>
      <c r="M37" s="14">
        <v>0</v>
      </c>
      <c r="N37" s="16">
        <v>0</v>
      </c>
      <c r="O37" s="14">
        <v>0</v>
      </c>
      <c r="P37" s="16">
        <v>0</v>
      </c>
      <c r="Q37" s="14">
        <v>0</v>
      </c>
      <c r="R37" s="16">
        <v>0</v>
      </c>
    </row>
    <row r="38" spans="1:18" x14ac:dyDescent="0.25">
      <c r="A38" s="11" t="s">
        <v>171</v>
      </c>
      <c r="B38" s="17" t="s">
        <v>154</v>
      </c>
      <c r="C38" s="17" t="s">
        <v>154</v>
      </c>
      <c r="D38" s="18" t="s">
        <v>154</v>
      </c>
      <c r="E38" s="17" t="s">
        <v>154</v>
      </c>
      <c r="F38" s="18" t="s">
        <v>154</v>
      </c>
      <c r="G38" s="17" t="s">
        <v>154</v>
      </c>
      <c r="H38" s="18" t="s">
        <v>154</v>
      </c>
      <c r="I38" s="17" t="s">
        <v>154</v>
      </c>
      <c r="J38" s="18" t="s">
        <v>154</v>
      </c>
      <c r="K38" s="17" t="s">
        <v>154</v>
      </c>
      <c r="L38" s="18" t="s">
        <v>154</v>
      </c>
      <c r="M38" s="17" t="s">
        <v>154</v>
      </c>
      <c r="N38" s="18" t="s">
        <v>154</v>
      </c>
      <c r="O38" s="17" t="s">
        <v>154</v>
      </c>
      <c r="P38" s="18" t="s">
        <v>154</v>
      </c>
      <c r="Q38" s="17" t="s">
        <v>154</v>
      </c>
      <c r="R38" s="18" t="s">
        <v>154</v>
      </c>
    </row>
    <row r="39" spans="1:18" x14ac:dyDescent="0.25">
      <c r="A39" s="11" t="s">
        <v>172</v>
      </c>
      <c r="B39" s="13">
        <v>5895</v>
      </c>
      <c r="C39" s="14">
        <f>(4865/B39*100)</f>
        <v>82.527565733672603</v>
      </c>
      <c r="D39" s="15">
        <v>1030</v>
      </c>
      <c r="E39" s="14">
        <v>41.006099890000002</v>
      </c>
      <c r="F39" s="16">
        <v>1.63880947</v>
      </c>
      <c r="G39" s="14">
        <v>58.993900109999998</v>
      </c>
      <c r="H39" s="16">
        <v>1.63880947</v>
      </c>
      <c r="I39" s="14" t="s">
        <v>139</v>
      </c>
      <c r="J39" s="16" t="s">
        <v>139</v>
      </c>
      <c r="K39" s="14">
        <v>0</v>
      </c>
      <c r="L39" s="16">
        <v>0</v>
      </c>
      <c r="M39" s="14">
        <v>0</v>
      </c>
      <c r="N39" s="16">
        <v>0</v>
      </c>
      <c r="O39" s="14">
        <v>0</v>
      </c>
      <c r="P39" s="16">
        <v>0</v>
      </c>
      <c r="Q39" s="14">
        <v>0</v>
      </c>
      <c r="R39" s="16">
        <v>0</v>
      </c>
    </row>
    <row r="40" spans="1:18" x14ac:dyDescent="0.25">
      <c r="A40" s="11" t="s">
        <v>173</v>
      </c>
      <c r="B40" s="13">
        <v>14157</v>
      </c>
      <c r="C40" s="14">
        <f>(11680/B40*100)</f>
        <v>82.50335523062796</v>
      </c>
      <c r="D40" s="15">
        <v>2477</v>
      </c>
      <c r="E40" s="14">
        <v>26.135036710000001</v>
      </c>
      <c r="F40" s="16">
        <v>1.2410653700000001</v>
      </c>
      <c r="G40" s="14">
        <v>73.864963290000006</v>
      </c>
      <c r="H40" s="16">
        <v>1.2410653700000001</v>
      </c>
      <c r="I40" s="14" t="s">
        <v>139</v>
      </c>
      <c r="J40" s="16" t="s">
        <v>139</v>
      </c>
      <c r="K40" s="14">
        <v>0</v>
      </c>
      <c r="L40" s="16">
        <v>0</v>
      </c>
      <c r="M40" s="14">
        <v>0</v>
      </c>
      <c r="N40" s="16">
        <v>0</v>
      </c>
      <c r="O40" s="14">
        <v>0</v>
      </c>
      <c r="P40" s="16">
        <v>0</v>
      </c>
      <c r="Q40" s="14">
        <v>0</v>
      </c>
      <c r="R40" s="16">
        <v>0</v>
      </c>
    </row>
    <row r="41" spans="1:18" x14ac:dyDescent="0.25">
      <c r="A41" s="11" t="s">
        <v>174</v>
      </c>
      <c r="B41" s="13">
        <v>5712</v>
      </c>
      <c r="C41" s="14">
        <f>(4763/B41*100)</f>
        <v>83.385854341736703</v>
      </c>
      <c r="D41" s="15">
        <v>949</v>
      </c>
      <c r="E41" s="14">
        <v>23.967101570000001</v>
      </c>
      <c r="F41" s="16">
        <v>1.45199795</v>
      </c>
      <c r="G41" s="14">
        <v>76.032898430000003</v>
      </c>
      <c r="H41" s="16">
        <v>1.45199795</v>
      </c>
      <c r="I41" s="14" t="s">
        <v>139</v>
      </c>
      <c r="J41" s="16" t="s">
        <v>139</v>
      </c>
      <c r="K41" s="14">
        <v>0</v>
      </c>
      <c r="L41" s="16">
        <v>0</v>
      </c>
      <c r="M41" s="14">
        <v>0</v>
      </c>
      <c r="N41" s="16">
        <v>0</v>
      </c>
      <c r="O41" s="14">
        <v>0</v>
      </c>
      <c r="P41" s="16">
        <v>0</v>
      </c>
      <c r="Q41" s="14">
        <v>0</v>
      </c>
      <c r="R41" s="16">
        <v>0</v>
      </c>
    </row>
    <row r="42" spans="1:18" x14ac:dyDescent="0.25">
      <c r="A42" s="11" t="s">
        <v>175</v>
      </c>
      <c r="B42" s="13">
        <f>IF(COUNT(B7:B41) &gt; 0, AVERAGE(B7:B41), "\u2014")</f>
        <v>7266.90625</v>
      </c>
      <c r="C42" s="14">
        <f>IF(COUNT(C7:C41) &gt; 0, AVERAGE(C7:C41), "—")</f>
        <v>83.243101146252428</v>
      </c>
      <c r="D42" s="15">
        <f>IF(COUNT(D7:D41) &gt; 0, AVERAGE(D7:D41), "—")</f>
        <v>1218.28125</v>
      </c>
      <c r="E42" s="14">
        <f>IF(COUNT(E7:E41) &gt; 0, AVERAGE(E7:E41), "—")</f>
        <v>29.0380332484375</v>
      </c>
      <c r="F42" s="16">
        <f>IF(COUNT(F7:F41) &gt; 0, SQRT(SUMSQ(F7:F41)/(COUNT(F7:F41)*COUNT(F7:F41)) ), "—")</f>
        <v>0.26159906127986904</v>
      </c>
      <c r="G42" s="14">
        <f>IF(COUNT(G7:G41) &gt; 0, AVERAGE(G7:G41), "—")</f>
        <v>70.9619667515625</v>
      </c>
      <c r="H42" s="16">
        <f>IF(COUNT(H7:H41) &gt; 0, SQRT(SUMSQ(H7:H41)/(COUNT(H7:H41)*COUNT(H7:H41)) ), "—")</f>
        <v>0.26159906127986904</v>
      </c>
      <c r="I42" s="14" t="str">
        <f>IF(COUNT(I7:I41) &gt; 0, AVERAGE(I7:I41), "—")</f>
        <v>—</v>
      </c>
      <c r="J42" s="16" t="str">
        <f>IF(COUNT(J7:J41) &gt; 0, SQRT(SUMSQ(J7:J41)/(COUNT(J7:J41)*COUNT(J7:J41)) ), "—")</f>
        <v>—</v>
      </c>
      <c r="K42" s="14">
        <f>IF(COUNT(K7:K41) &gt; 0, AVERAGE(K7:K41), "—")</f>
        <v>0</v>
      </c>
      <c r="L42" s="16">
        <f>IF(COUNT(L7:L41) &gt; 0, SQRT(SUMSQ(L7:L41)/(COUNT(L7:L41)*COUNT(L7:L41)) ), "—")</f>
        <v>0</v>
      </c>
      <c r="M42" s="14">
        <f>IF(COUNT(M7:M41) &gt; 0, AVERAGE(M7:M41), "—")</f>
        <v>0</v>
      </c>
      <c r="N42" s="16">
        <f>IF(COUNT(N7:N41) &gt; 0, SQRT(SUMSQ(N7:N41)/(COUNT(N7:N41)*COUNT(N7:N41)) ), "—")</f>
        <v>0</v>
      </c>
      <c r="O42" s="14">
        <f>IF(COUNT(O7:O41) &gt; 0, AVERAGE(O7:O41), "—")</f>
        <v>0</v>
      </c>
      <c r="P42" s="16">
        <f>IF(COUNT(P7:P41) &gt; 0, SQRT(SUMSQ(P7:P41)/(COUNT(P7:P41)*COUNT(P7:P41)) ), "—")</f>
        <v>0</v>
      </c>
      <c r="Q42" s="14">
        <f>IF(COUNT(Q7:Q41) &gt; 0, AVERAGE(Q7:Q41), "—")</f>
        <v>0</v>
      </c>
      <c r="R42" s="16">
        <f>IF(COUNT(R7:R41) &gt; 0, SQRT(SUMSQ(R7:R41)/(COUNT(R7:R41)*COUNT(R7:R41)) ), "—")</f>
        <v>0</v>
      </c>
    </row>
    <row r="43" spans="1:18" x14ac:dyDescent="0.25">
      <c r="A43" s="9" t="s">
        <v>176</v>
      </c>
      <c r="B43" s="10"/>
      <c r="C43" s="10"/>
      <c r="D43" s="11"/>
      <c r="E43" s="10"/>
      <c r="F43" s="11"/>
      <c r="G43" s="10"/>
      <c r="H43" s="11"/>
      <c r="I43" s="10"/>
      <c r="J43" s="11"/>
      <c r="K43" s="10"/>
      <c r="L43" s="11"/>
      <c r="M43" s="10"/>
      <c r="N43" s="11"/>
      <c r="O43" s="10"/>
      <c r="P43" s="11"/>
      <c r="Q43" s="10"/>
      <c r="R43" s="12"/>
    </row>
    <row r="44" spans="1:18" x14ac:dyDescent="0.25">
      <c r="A44" s="11" t="s">
        <v>177</v>
      </c>
      <c r="B44" s="17" t="s">
        <v>154</v>
      </c>
      <c r="C44" s="17" t="s">
        <v>154</v>
      </c>
      <c r="D44" s="18" t="s">
        <v>154</v>
      </c>
      <c r="E44" s="17" t="s">
        <v>154</v>
      </c>
      <c r="F44" s="18" t="s">
        <v>154</v>
      </c>
      <c r="G44" s="17" t="s">
        <v>154</v>
      </c>
      <c r="H44" s="18" t="s">
        <v>154</v>
      </c>
      <c r="I44" s="17" t="s">
        <v>154</v>
      </c>
      <c r="J44" s="18" t="s">
        <v>154</v>
      </c>
      <c r="K44" s="17" t="s">
        <v>154</v>
      </c>
      <c r="L44" s="18" t="s">
        <v>154</v>
      </c>
      <c r="M44" s="17" t="s">
        <v>154</v>
      </c>
      <c r="N44" s="18" t="s">
        <v>154</v>
      </c>
      <c r="O44" s="17" t="s">
        <v>154</v>
      </c>
      <c r="P44" s="18" t="s">
        <v>154</v>
      </c>
      <c r="Q44" s="17" t="s">
        <v>154</v>
      </c>
      <c r="R44" s="18" t="s">
        <v>154</v>
      </c>
    </row>
    <row r="45" spans="1:18" x14ac:dyDescent="0.25">
      <c r="A45" s="11" t="s">
        <v>178</v>
      </c>
      <c r="B45" s="17" t="s">
        <v>154</v>
      </c>
      <c r="C45" s="17" t="s">
        <v>154</v>
      </c>
      <c r="D45" s="18" t="s">
        <v>154</v>
      </c>
      <c r="E45" s="17" t="s">
        <v>154</v>
      </c>
      <c r="F45" s="18" t="s">
        <v>154</v>
      </c>
      <c r="G45" s="17" t="s">
        <v>154</v>
      </c>
      <c r="H45" s="18" t="s">
        <v>154</v>
      </c>
      <c r="I45" s="17" t="s">
        <v>154</v>
      </c>
      <c r="J45" s="18" t="s">
        <v>154</v>
      </c>
      <c r="K45" s="17" t="s">
        <v>154</v>
      </c>
      <c r="L45" s="18" t="s">
        <v>154</v>
      </c>
      <c r="M45" s="17" t="s">
        <v>154</v>
      </c>
      <c r="N45" s="18" t="s">
        <v>154</v>
      </c>
      <c r="O45" s="17" t="s">
        <v>154</v>
      </c>
      <c r="P45" s="18" t="s">
        <v>154</v>
      </c>
      <c r="Q45" s="17" t="s">
        <v>154</v>
      </c>
      <c r="R45" s="18" t="s">
        <v>154</v>
      </c>
    </row>
    <row r="46" spans="1:18" x14ac:dyDescent="0.25">
      <c r="A46" s="11" t="s">
        <v>179</v>
      </c>
      <c r="B46" s="13">
        <v>23141</v>
      </c>
      <c r="C46" s="14">
        <f>(20079/B46*100)</f>
        <v>86.768073981245408</v>
      </c>
      <c r="D46" s="15">
        <v>3062</v>
      </c>
      <c r="E46" s="14">
        <v>42.425215799999997</v>
      </c>
      <c r="F46" s="16">
        <v>1.2196492800000001</v>
      </c>
      <c r="G46" s="14">
        <v>57.574784200000003</v>
      </c>
      <c r="H46" s="16">
        <v>1.2196492800000001</v>
      </c>
      <c r="I46" s="14" t="s">
        <v>139</v>
      </c>
      <c r="J46" s="16" t="s">
        <v>139</v>
      </c>
      <c r="K46" s="14">
        <v>0</v>
      </c>
      <c r="L46" s="16">
        <v>0</v>
      </c>
      <c r="M46" s="14">
        <v>0</v>
      </c>
      <c r="N46" s="16">
        <v>0</v>
      </c>
      <c r="O46" s="14">
        <v>0</v>
      </c>
      <c r="P46" s="16">
        <v>0</v>
      </c>
      <c r="Q46" s="14">
        <v>0</v>
      </c>
      <c r="R46" s="16">
        <v>0</v>
      </c>
    </row>
    <row r="47" spans="1:18" x14ac:dyDescent="0.25">
      <c r="A47" s="11" t="s">
        <v>180</v>
      </c>
      <c r="B47" s="13">
        <v>5928</v>
      </c>
      <c r="C47" s="14">
        <f>(4949/B47*100)</f>
        <v>83.485155195681514</v>
      </c>
      <c r="D47" s="15">
        <v>979</v>
      </c>
      <c r="E47" s="14">
        <v>42.652955339999998</v>
      </c>
      <c r="F47" s="16">
        <v>2.0259568400000001</v>
      </c>
      <c r="G47" s="14">
        <v>57.347044660000002</v>
      </c>
      <c r="H47" s="16">
        <v>2.0259568400000001</v>
      </c>
      <c r="I47" s="14" t="s">
        <v>139</v>
      </c>
      <c r="J47" s="16" t="s">
        <v>139</v>
      </c>
      <c r="K47" s="14">
        <v>0</v>
      </c>
      <c r="L47" s="16">
        <v>0</v>
      </c>
      <c r="M47" s="14">
        <v>0</v>
      </c>
      <c r="N47" s="16">
        <v>0</v>
      </c>
      <c r="O47" s="14">
        <v>0</v>
      </c>
      <c r="P47" s="16">
        <v>0</v>
      </c>
      <c r="Q47" s="14">
        <v>0</v>
      </c>
      <c r="R47" s="16">
        <v>0</v>
      </c>
    </row>
    <row r="48" spans="1:18" x14ac:dyDescent="0.25">
      <c r="A48" s="11" t="s">
        <v>181</v>
      </c>
      <c r="B48" s="13">
        <v>9841</v>
      </c>
      <c r="C48" s="14">
        <f>(8141/B48*100)</f>
        <v>82.725332791382982</v>
      </c>
      <c r="D48" s="15">
        <v>1700</v>
      </c>
      <c r="E48" s="14">
        <v>29.873243349999999</v>
      </c>
      <c r="F48" s="16">
        <v>1.4028562899999999</v>
      </c>
      <c r="G48" s="14">
        <v>70.126756650000004</v>
      </c>
      <c r="H48" s="16">
        <v>1.4028562899999999</v>
      </c>
      <c r="I48" s="14" t="s">
        <v>139</v>
      </c>
      <c r="J48" s="16" t="s">
        <v>139</v>
      </c>
      <c r="K48" s="14">
        <v>0</v>
      </c>
      <c r="L48" s="16">
        <v>0</v>
      </c>
      <c r="M48" s="14">
        <v>0</v>
      </c>
      <c r="N48" s="16">
        <v>0</v>
      </c>
      <c r="O48" s="14">
        <v>0</v>
      </c>
      <c r="P48" s="16">
        <v>0</v>
      </c>
      <c r="Q48" s="14">
        <v>0</v>
      </c>
      <c r="R48" s="16">
        <v>0</v>
      </c>
    </row>
    <row r="49" spans="1:18" x14ac:dyDescent="0.25">
      <c r="A49" s="11" t="s">
        <v>182</v>
      </c>
      <c r="B49" s="17" t="s">
        <v>154</v>
      </c>
      <c r="C49" s="17" t="s">
        <v>154</v>
      </c>
      <c r="D49" s="18" t="s">
        <v>154</v>
      </c>
      <c r="E49" s="17" t="s">
        <v>154</v>
      </c>
      <c r="F49" s="18" t="s">
        <v>154</v>
      </c>
      <c r="G49" s="17" t="s">
        <v>154</v>
      </c>
      <c r="H49" s="18" t="s">
        <v>154</v>
      </c>
      <c r="I49" s="17" t="s">
        <v>154</v>
      </c>
      <c r="J49" s="18" t="s">
        <v>154</v>
      </c>
      <c r="K49" s="17" t="s">
        <v>154</v>
      </c>
      <c r="L49" s="18" t="s">
        <v>154</v>
      </c>
      <c r="M49" s="17" t="s">
        <v>154</v>
      </c>
      <c r="N49" s="18" t="s">
        <v>154</v>
      </c>
      <c r="O49" s="17" t="s">
        <v>154</v>
      </c>
      <c r="P49" s="18" t="s">
        <v>154</v>
      </c>
      <c r="Q49" s="17" t="s">
        <v>154</v>
      </c>
      <c r="R49" s="18" t="s">
        <v>154</v>
      </c>
    </row>
    <row r="50" spans="1:18" x14ac:dyDescent="0.25">
      <c r="A50" s="11" t="s">
        <v>183</v>
      </c>
      <c r="B50" s="13">
        <v>11795</v>
      </c>
      <c r="C50" s="14">
        <f>(9899/B50*100)</f>
        <v>83.925392115303097</v>
      </c>
      <c r="D50" s="15">
        <v>1896</v>
      </c>
      <c r="E50" s="14">
        <v>31.79146313</v>
      </c>
      <c r="F50" s="16">
        <v>1.4053594300000001</v>
      </c>
      <c r="G50" s="14">
        <v>68.208536870000003</v>
      </c>
      <c r="H50" s="16">
        <v>1.4053594300000001</v>
      </c>
      <c r="I50" s="14" t="s">
        <v>139</v>
      </c>
      <c r="J50" s="16" t="s">
        <v>139</v>
      </c>
      <c r="K50" s="14">
        <v>0</v>
      </c>
      <c r="L50" s="16">
        <v>0</v>
      </c>
      <c r="M50" s="14">
        <v>0</v>
      </c>
      <c r="N50" s="16">
        <v>0</v>
      </c>
      <c r="O50" s="14">
        <v>0</v>
      </c>
      <c r="P50" s="16">
        <v>0</v>
      </c>
      <c r="Q50" s="14">
        <v>0</v>
      </c>
      <c r="R50" s="16">
        <v>0</v>
      </c>
    </row>
    <row r="51" spans="1:18" x14ac:dyDescent="0.25">
      <c r="A51" s="11" t="s">
        <v>184</v>
      </c>
      <c r="B51" s="13">
        <v>6866</v>
      </c>
      <c r="C51" s="14">
        <f>(5872/B51*100)</f>
        <v>85.522866297698812</v>
      </c>
      <c r="D51" s="15">
        <v>994</v>
      </c>
      <c r="E51" s="14">
        <v>25.35308788</v>
      </c>
      <c r="F51" s="16">
        <v>1.36960707</v>
      </c>
      <c r="G51" s="14">
        <v>74.646912119999996</v>
      </c>
      <c r="H51" s="16">
        <v>1.36960707</v>
      </c>
      <c r="I51" s="14" t="s">
        <v>139</v>
      </c>
      <c r="J51" s="16" t="s">
        <v>139</v>
      </c>
      <c r="K51" s="14">
        <v>0</v>
      </c>
      <c r="L51" s="16">
        <v>0</v>
      </c>
      <c r="M51" s="14">
        <v>0</v>
      </c>
      <c r="N51" s="16">
        <v>0</v>
      </c>
      <c r="O51" s="14">
        <v>0</v>
      </c>
      <c r="P51" s="16">
        <v>0</v>
      </c>
      <c r="Q51" s="14">
        <v>0</v>
      </c>
      <c r="R51" s="16">
        <v>0</v>
      </c>
    </row>
    <row r="52" spans="1:18" x14ac:dyDescent="0.25">
      <c r="A52" s="11" t="s">
        <v>185</v>
      </c>
      <c r="B52" s="13">
        <v>5809</v>
      </c>
      <c r="C52" s="14">
        <f>(4826/B52*100)</f>
        <v>83.077982441039765</v>
      </c>
      <c r="D52" s="15">
        <v>983</v>
      </c>
      <c r="E52" s="14">
        <v>21.551002400000002</v>
      </c>
      <c r="F52" s="16">
        <v>1.2669076699999999</v>
      </c>
      <c r="G52" s="14">
        <v>78.448997599999998</v>
      </c>
      <c r="H52" s="16">
        <v>1.2669076699999999</v>
      </c>
      <c r="I52" s="14" t="s">
        <v>139</v>
      </c>
      <c r="J52" s="16" t="s">
        <v>139</v>
      </c>
      <c r="K52" s="14">
        <v>0</v>
      </c>
      <c r="L52" s="16">
        <v>0</v>
      </c>
      <c r="M52" s="14">
        <v>0</v>
      </c>
      <c r="N52" s="16">
        <v>0</v>
      </c>
      <c r="O52" s="14">
        <v>0</v>
      </c>
      <c r="P52" s="16">
        <v>0</v>
      </c>
      <c r="Q52" s="14">
        <v>0</v>
      </c>
      <c r="R52" s="16">
        <v>0</v>
      </c>
    </row>
    <row r="53" spans="1:18" x14ac:dyDescent="0.25">
      <c r="A53" s="11" t="s">
        <v>186</v>
      </c>
      <c r="B53" s="13">
        <v>5571</v>
      </c>
      <c r="C53" s="14">
        <f>(4611/B53*100)</f>
        <v>82.767905223478735</v>
      </c>
      <c r="D53" s="15">
        <v>960</v>
      </c>
      <c r="E53" s="14">
        <v>31.386404370000001</v>
      </c>
      <c r="F53" s="16">
        <v>1.5941770900000001</v>
      </c>
      <c r="G53" s="14">
        <v>68.613595630000006</v>
      </c>
      <c r="H53" s="16">
        <v>1.5941770900000001</v>
      </c>
      <c r="I53" s="14" t="s">
        <v>139</v>
      </c>
      <c r="J53" s="16" t="s">
        <v>139</v>
      </c>
      <c r="K53" s="14">
        <v>0</v>
      </c>
      <c r="L53" s="16">
        <v>0</v>
      </c>
      <c r="M53" s="14">
        <v>0</v>
      </c>
      <c r="N53" s="16">
        <v>0</v>
      </c>
      <c r="O53" s="14">
        <v>0</v>
      </c>
      <c r="P53" s="16">
        <v>0</v>
      </c>
      <c r="Q53" s="14">
        <v>0</v>
      </c>
      <c r="R53" s="16">
        <v>0</v>
      </c>
    </row>
    <row r="54" spans="1:18" x14ac:dyDescent="0.25">
      <c r="A54" s="11" t="s">
        <v>187</v>
      </c>
      <c r="B54" s="17" t="s">
        <v>154</v>
      </c>
      <c r="C54" s="17" t="s">
        <v>154</v>
      </c>
      <c r="D54" s="18" t="s">
        <v>154</v>
      </c>
      <c r="E54" s="17" t="s">
        <v>154</v>
      </c>
      <c r="F54" s="18" t="s">
        <v>154</v>
      </c>
      <c r="G54" s="17" t="s">
        <v>154</v>
      </c>
      <c r="H54" s="18" t="s">
        <v>154</v>
      </c>
      <c r="I54" s="17" t="s">
        <v>154</v>
      </c>
      <c r="J54" s="18" t="s">
        <v>154</v>
      </c>
      <c r="K54" s="17" t="s">
        <v>154</v>
      </c>
      <c r="L54" s="18" t="s">
        <v>154</v>
      </c>
      <c r="M54" s="17" t="s">
        <v>154</v>
      </c>
      <c r="N54" s="18" t="s">
        <v>154</v>
      </c>
      <c r="O54" s="17" t="s">
        <v>154</v>
      </c>
      <c r="P54" s="18" t="s">
        <v>154</v>
      </c>
      <c r="Q54" s="17" t="s">
        <v>154</v>
      </c>
      <c r="R54" s="18" t="s">
        <v>154</v>
      </c>
    </row>
    <row r="55" spans="1:18" x14ac:dyDescent="0.25">
      <c r="A55" s="11" t="s">
        <v>188</v>
      </c>
      <c r="B55" s="17" t="s">
        <v>154</v>
      </c>
      <c r="C55" s="17" t="s">
        <v>154</v>
      </c>
      <c r="D55" s="18" t="s">
        <v>154</v>
      </c>
      <c r="E55" s="17" t="s">
        <v>154</v>
      </c>
      <c r="F55" s="18" t="s">
        <v>154</v>
      </c>
      <c r="G55" s="17" t="s">
        <v>154</v>
      </c>
      <c r="H55" s="18" t="s">
        <v>154</v>
      </c>
      <c r="I55" s="17" t="s">
        <v>154</v>
      </c>
      <c r="J55" s="18" t="s">
        <v>154</v>
      </c>
      <c r="K55" s="17" t="s">
        <v>154</v>
      </c>
      <c r="L55" s="18" t="s">
        <v>154</v>
      </c>
      <c r="M55" s="17" t="s">
        <v>154</v>
      </c>
      <c r="N55" s="18" t="s">
        <v>154</v>
      </c>
      <c r="O55" s="17" t="s">
        <v>154</v>
      </c>
      <c r="P55" s="18" t="s">
        <v>154</v>
      </c>
      <c r="Q55" s="17" t="s">
        <v>154</v>
      </c>
      <c r="R55" s="18" t="s">
        <v>154</v>
      </c>
    </row>
    <row r="56" spans="1:18" x14ac:dyDescent="0.25">
      <c r="A56" s="11" t="s">
        <v>189</v>
      </c>
      <c r="B56" s="13">
        <v>5359</v>
      </c>
      <c r="C56" s="14">
        <f>(4422/B56*100)</f>
        <v>82.515394663183429</v>
      </c>
      <c r="D56" s="15">
        <v>937</v>
      </c>
      <c r="E56" s="14">
        <v>15.65376459</v>
      </c>
      <c r="F56" s="16">
        <v>1.49472264</v>
      </c>
      <c r="G56" s="14">
        <v>84.346235410000006</v>
      </c>
      <c r="H56" s="16">
        <v>1.49472264</v>
      </c>
      <c r="I56" s="14" t="s">
        <v>139</v>
      </c>
      <c r="J56" s="16" t="s">
        <v>139</v>
      </c>
      <c r="K56" s="14">
        <v>0</v>
      </c>
      <c r="L56" s="16">
        <v>0</v>
      </c>
      <c r="M56" s="14">
        <v>0</v>
      </c>
      <c r="N56" s="16">
        <v>0</v>
      </c>
      <c r="O56" s="14">
        <v>0</v>
      </c>
      <c r="P56" s="16">
        <v>0</v>
      </c>
      <c r="Q56" s="14">
        <v>0</v>
      </c>
      <c r="R56" s="16">
        <v>0</v>
      </c>
    </row>
    <row r="57" spans="1:18" x14ac:dyDescent="0.25">
      <c r="A57" s="11" t="s">
        <v>190</v>
      </c>
      <c r="B57" s="17" t="s">
        <v>154</v>
      </c>
      <c r="C57" s="17" t="s">
        <v>154</v>
      </c>
      <c r="D57" s="18" t="s">
        <v>154</v>
      </c>
      <c r="E57" s="17" t="s">
        <v>154</v>
      </c>
      <c r="F57" s="18" t="s">
        <v>154</v>
      </c>
      <c r="G57" s="17" t="s">
        <v>154</v>
      </c>
      <c r="H57" s="18" t="s">
        <v>154</v>
      </c>
      <c r="I57" s="17" t="s">
        <v>154</v>
      </c>
      <c r="J57" s="18" t="s">
        <v>154</v>
      </c>
      <c r="K57" s="17" t="s">
        <v>154</v>
      </c>
      <c r="L57" s="18" t="s">
        <v>154</v>
      </c>
      <c r="M57" s="17" t="s">
        <v>154</v>
      </c>
      <c r="N57" s="18" t="s">
        <v>154</v>
      </c>
      <c r="O57" s="17" t="s">
        <v>154</v>
      </c>
      <c r="P57" s="18" t="s">
        <v>154</v>
      </c>
      <c r="Q57" s="17" t="s">
        <v>154</v>
      </c>
      <c r="R57" s="18" t="s">
        <v>154</v>
      </c>
    </row>
    <row r="58" spans="1:18" x14ac:dyDescent="0.25">
      <c r="A58" s="11" t="s">
        <v>191</v>
      </c>
      <c r="B58" s="17" t="s">
        <v>154</v>
      </c>
      <c r="C58" s="17" t="s">
        <v>154</v>
      </c>
      <c r="D58" s="18" t="s">
        <v>154</v>
      </c>
      <c r="E58" s="17" t="s">
        <v>154</v>
      </c>
      <c r="F58" s="18" t="s">
        <v>154</v>
      </c>
      <c r="G58" s="17" t="s">
        <v>154</v>
      </c>
      <c r="H58" s="18" t="s">
        <v>154</v>
      </c>
      <c r="I58" s="17" t="s">
        <v>154</v>
      </c>
      <c r="J58" s="18" t="s">
        <v>154</v>
      </c>
      <c r="K58" s="17" t="s">
        <v>154</v>
      </c>
      <c r="L58" s="18" t="s">
        <v>154</v>
      </c>
      <c r="M58" s="17" t="s">
        <v>154</v>
      </c>
      <c r="N58" s="18" t="s">
        <v>154</v>
      </c>
      <c r="O58" s="17" t="s">
        <v>154</v>
      </c>
      <c r="P58" s="18" t="s">
        <v>154</v>
      </c>
      <c r="Q58" s="17" t="s">
        <v>154</v>
      </c>
      <c r="R58" s="18" t="s">
        <v>154</v>
      </c>
    </row>
    <row r="59" spans="1:18" x14ac:dyDescent="0.25">
      <c r="A59" s="11" t="s">
        <v>192</v>
      </c>
      <c r="B59" s="17" t="s">
        <v>154</v>
      </c>
      <c r="C59" s="17" t="s">
        <v>154</v>
      </c>
      <c r="D59" s="18" t="s">
        <v>154</v>
      </c>
      <c r="E59" s="17" t="s">
        <v>154</v>
      </c>
      <c r="F59" s="18" t="s">
        <v>154</v>
      </c>
      <c r="G59" s="17" t="s">
        <v>154</v>
      </c>
      <c r="H59" s="18" t="s">
        <v>154</v>
      </c>
      <c r="I59" s="17" t="s">
        <v>154</v>
      </c>
      <c r="J59" s="18" t="s">
        <v>154</v>
      </c>
      <c r="K59" s="17" t="s">
        <v>154</v>
      </c>
      <c r="L59" s="18" t="s">
        <v>154</v>
      </c>
      <c r="M59" s="17" t="s">
        <v>154</v>
      </c>
      <c r="N59" s="18" t="s">
        <v>154</v>
      </c>
      <c r="O59" s="17" t="s">
        <v>154</v>
      </c>
      <c r="P59" s="18" t="s">
        <v>154</v>
      </c>
      <c r="Q59" s="17" t="s">
        <v>154</v>
      </c>
      <c r="R59" s="18" t="s">
        <v>154</v>
      </c>
    </row>
    <row r="60" spans="1:18" x14ac:dyDescent="0.25">
      <c r="A60" s="11" t="s">
        <v>193</v>
      </c>
      <c r="B60" s="17" t="s">
        <v>154</v>
      </c>
      <c r="C60" s="17" t="s">
        <v>154</v>
      </c>
      <c r="D60" s="18" t="s">
        <v>154</v>
      </c>
      <c r="E60" s="17" t="s">
        <v>154</v>
      </c>
      <c r="F60" s="18" t="s">
        <v>154</v>
      </c>
      <c r="G60" s="17" t="s">
        <v>154</v>
      </c>
      <c r="H60" s="18" t="s">
        <v>154</v>
      </c>
      <c r="I60" s="17" t="s">
        <v>154</v>
      </c>
      <c r="J60" s="18" t="s">
        <v>154</v>
      </c>
      <c r="K60" s="17" t="s">
        <v>154</v>
      </c>
      <c r="L60" s="18" t="s">
        <v>154</v>
      </c>
      <c r="M60" s="17" t="s">
        <v>154</v>
      </c>
      <c r="N60" s="18" t="s">
        <v>154</v>
      </c>
      <c r="O60" s="17" t="s">
        <v>154</v>
      </c>
      <c r="P60" s="18" t="s">
        <v>154</v>
      </c>
      <c r="Q60" s="17" t="s">
        <v>154</v>
      </c>
      <c r="R60" s="18" t="s">
        <v>154</v>
      </c>
    </row>
    <row r="61" spans="1:18" x14ac:dyDescent="0.25">
      <c r="A61" s="11" t="s">
        <v>194</v>
      </c>
      <c r="B61" s="13">
        <v>6525</v>
      </c>
      <c r="C61" s="14">
        <f>(5422/B61*100)</f>
        <v>83.095785440613028</v>
      </c>
      <c r="D61" s="15">
        <v>1103</v>
      </c>
      <c r="E61" s="14">
        <v>28.359392969999998</v>
      </c>
      <c r="F61" s="16">
        <v>1.4791120799999999</v>
      </c>
      <c r="G61" s="14">
        <v>71.640607029999998</v>
      </c>
      <c r="H61" s="16">
        <v>1.4791120799999999</v>
      </c>
      <c r="I61" s="14" t="s">
        <v>139</v>
      </c>
      <c r="J61" s="16" t="s">
        <v>139</v>
      </c>
      <c r="K61" s="14">
        <v>0</v>
      </c>
      <c r="L61" s="16">
        <v>0</v>
      </c>
      <c r="M61" s="14">
        <v>0</v>
      </c>
      <c r="N61" s="16">
        <v>0</v>
      </c>
      <c r="O61" s="14">
        <v>0</v>
      </c>
      <c r="P61" s="16">
        <v>0</v>
      </c>
      <c r="Q61" s="14">
        <v>0</v>
      </c>
      <c r="R61" s="16">
        <v>0</v>
      </c>
    </row>
    <row r="62" spans="1:18" x14ac:dyDescent="0.25">
      <c r="A62" s="11" t="s">
        <v>195</v>
      </c>
      <c r="B62" s="13">
        <v>4476</v>
      </c>
      <c r="C62" s="14">
        <f>(3726/B62*100)</f>
        <v>83.243967828418235</v>
      </c>
      <c r="D62" s="15">
        <v>750</v>
      </c>
      <c r="E62" s="14">
        <v>22.10797904</v>
      </c>
      <c r="F62" s="16">
        <v>1.4074175099999999</v>
      </c>
      <c r="G62" s="14">
        <v>77.892020959999996</v>
      </c>
      <c r="H62" s="16">
        <v>1.4074175099999999</v>
      </c>
      <c r="I62" s="14" t="s">
        <v>139</v>
      </c>
      <c r="J62" s="16" t="s">
        <v>139</v>
      </c>
      <c r="K62" s="14">
        <v>0</v>
      </c>
      <c r="L62" s="16">
        <v>0</v>
      </c>
      <c r="M62" s="14">
        <v>0</v>
      </c>
      <c r="N62" s="16">
        <v>0</v>
      </c>
      <c r="O62" s="14">
        <v>0</v>
      </c>
      <c r="P62" s="16">
        <v>0</v>
      </c>
      <c r="Q62" s="14">
        <v>0</v>
      </c>
      <c r="R62" s="16">
        <v>0</v>
      </c>
    </row>
    <row r="63" spans="1:18" x14ac:dyDescent="0.25">
      <c r="A63" s="11" t="s">
        <v>196</v>
      </c>
      <c r="B63" s="17" t="s">
        <v>154</v>
      </c>
      <c r="C63" s="17" t="s">
        <v>154</v>
      </c>
      <c r="D63" s="18" t="s">
        <v>154</v>
      </c>
      <c r="E63" s="17" t="s">
        <v>154</v>
      </c>
      <c r="F63" s="18" t="s">
        <v>154</v>
      </c>
      <c r="G63" s="17" t="s">
        <v>154</v>
      </c>
      <c r="H63" s="18" t="s">
        <v>154</v>
      </c>
      <c r="I63" s="17" t="s">
        <v>154</v>
      </c>
      <c r="J63" s="18" t="s">
        <v>154</v>
      </c>
      <c r="K63" s="17" t="s">
        <v>154</v>
      </c>
      <c r="L63" s="18" t="s">
        <v>154</v>
      </c>
      <c r="M63" s="17" t="s">
        <v>154</v>
      </c>
      <c r="N63" s="18" t="s">
        <v>154</v>
      </c>
      <c r="O63" s="17" t="s">
        <v>154</v>
      </c>
      <c r="P63" s="18" t="s">
        <v>154</v>
      </c>
      <c r="Q63" s="17" t="s">
        <v>154</v>
      </c>
      <c r="R63" s="18" t="s">
        <v>154</v>
      </c>
    </row>
    <row r="64" spans="1:18" x14ac:dyDescent="0.25">
      <c r="A64" s="11" t="s">
        <v>197</v>
      </c>
      <c r="B64" s="17" t="s">
        <v>154</v>
      </c>
      <c r="C64" s="17" t="s">
        <v>154</v>
      </c>
      <c r="D64" s="18" t="s">
        <v>154</v>
      </c>
      <c r="E64" s="17" t="s">
        <v>154</v>
      </c>
      <c r="F64" s="18" t="s">
        <v>154</v>
      </c>
      <c r="G64" s="17" t="s">
        <v>154</v>
      </c>
      <c r="H64" s="18" t="s">
        <v>154</v>
      </c>
      <c r="I64" s="17" t="s">
        <v>154</v>
      </c>
      <c r="J64" s="18" t="s">
        <v>154</v>
      </c>
      <c r="K64" s="17" t="s">
        <v>154</v>
      </c>
      <c r="L64" s="18" t="s">
        <v>154</v>
      </c>
      <c r="M64" s="17" t="s">
        <v>154</v>
      </c>
      <c r="N64" s="18" t="s">
        <v>154</v>
      </c>
      <c r="O64" s="17" t="s">
        <v>154</v>
      </c>
      <c r="P64" s="18" t="s">
        <v>154</v>
      </c>
      <c r="Q64" s="17" t="s">
        <v>154</v>
      </c>
      <c r="R64" s="18" t="s">
        <v>154</v>
      </c>
    </row>
    <row r="65" spans="1:18" x14ac:dyDescent="0.25">
      <c r="A65" s="11" t="s">
        <v>198</v>
      </c>
      <c r="B65" s="17" t="s">
        <v>154</v>
      </c>
      <c r="C65" s="17" t="s">
        <v>154</v>
      </c>
      <c r="D65" s="18" t="s">
        <v>154</v>
      </c>
      <c r="E65" s="17" t="s">
        <v>154</v>
      </c>
      <c r="F65" s="18" t="s">
        <v>154</v>
      </c>
      <c r="G65" s="17" t="s">
        <v>154</v>
      </c>
      <c r="H65" s="18" t="s">
        <v>154</v>
      </c>
      <c r="I65" s="17" t="s">
        <v>154</v>
      </c>
      <c r="J65" s="18" t="s">
        <v>154</v>
      </c>
      <c r="K65" s="17" t="s">
        <v>154</v>
      </c>
      <c r="L65" s="18" t="s">
        <v>154</v>
      </c>
      <c r="M65" s="17" t="s">
        <v>154</v>
      </c>
      <c r="N65" s="18" t="s">
        <v>154</v>
      </c>
      <c r="O65" s="17" t="s">
        <v>154</v>
      </c>
      <c r="P65" s="18" t="s">
        <v>154</v>
      </c>
      <c r="Q65" s="17" t="s">
        <v>154</v>
      </c>
      <c r="R65" s="18" t="s">
        <v>154</v>
      </c>
    </row>
    <row r="66" spans="1:18" x14ac:dyDescent="0.25">
      <c r="A66" s="11" t="s">
        <v>199</v>
      </c>
      <c r="B66" s="13">
        <v>5665</v>
      </c>
      <c r="C66" s="14">
        <f>(4731/B66*100)</f>
        <v>83.512797881729909</v>
      </c>
      <c r="D66" s="15">
        <v>934</v>
      </c>
      <c r="E66" s="14">
        <v>36.535745650000003</v>
      </c>
      <c r="F66" s="16">
        <v>1.53898311</v>
      </c>
      <c r="G66" s="14">
        <v>63.464254349999997</v>
      </c>
      <c r="H66" s="16">
        <v>1.53898311</v>
      </c>
      <c r="I66" s="14" t="s">
        <v>139</v>
      </c>
      <c r="J66" s="16" t="s">
        <v>139</v>
      </c>
      <c r="K66" s="14">
        <v>0</v>
      </c>
      <c r="L66" s="16">
        <v>0</v>
      </c>
      <c r="M66" s="14">
        <v>0</v>
      </c>
      <c r="N66" s="16">
        <v>0</v>
      </c>
      <c r="O66" s="14">
        <v>0</v>
      </c>
      <c r="P66" s="16">
        <v>0</v>
      </c>
      <c r="Q66" s="14">
        <v>0</v>
      </c>
      <c r="R66" s="16">
        <v>0</v>
      </c>
    </row>
    <row r="67" spans="1:18" x14ac:dyDescent="0.25">
      <c r="A67" s="11" t="s">
        <v>200</v>
      </c>
      <c r="B67" s="13">
        <v>6971</v>
      </c>
      <c r="C67" s="14">
        <f>(5956/B67*100)</f>
        <v>85.439678668770625</v>
      </c>
      <c r="D67" s="15">
        <v>1015</v>
      </c>
      <c r="E67" s="14">
        <v>34.200399539999999</v>
      </c>
      <c r="F67" s="16">
        <v>1.5937600000000001</v>
      </c>
      <c r="G67" s="14">
        <v>65.799600459999994</v>
      </c>
      <c r="H67" s="16">
        <v>1.5937600000000001</v>
      </c>
      <c r="I67" s="14" t="s">
        <v>139</v>
      </c>
      <c r="J67" s="16" t="s">
        <v>139</v>
      </c>
      <c r="K67" s="14">
        <v>0</v>
      </c>
      <c r="L67" s="16">
        <v>0</v>
      </c>
      <c r="M67" s="14">
        <v>0</v>
      </c>
      <c r="N67" s="16">
        <v>0</v>
      </c>
      <c r="O67" s="14">
        <v>0</v>
      </c>
      <c r="P67" s="16">
        <v>0</v>
      </c>
      <c r="Q67" s="14">
        <v>0</v>
      </c>
      <c r="R67" s="16">
        <v>0</v>
      </c>
    </row>
    <row r="68" spans="1:18" x14ac:dyDescent="0.25">
      <c r="A68" s="11" t="s">
        <v>201</v>
      </c>
      <c r="B68" s="17" t="s">
        <v>154</v>
      </c>
      <c r="C68" s="17" t="s">
        <v>154</v>
      </c>
      <c r="D68" s="18" t="s">
        <v>154</v>
      </c>
      <c r="E68" s="17" t="s">
        <v>154</v>
      </c>
      <c r="F68" s="18" t="s">
        <v>154</v>
      </c>
      <c r="G68" s="17" t="s">
        <v>154</v>
      </c>
      <c r="H68" s="18" t="s">
        <v>154</v>
      </c>
      <c r="I68" s="17" t="s">
        <v>154</v>
      </c>
      <c r="J68" s="18" t="s">
        <v>154</v>
      </c>
      <c r="K68" s="17" t="s">
        <v>154</v>
      </c>
      <c r="L68" s="18" t="s">
        <v>154</v>
      </c>
      <c r="M68" s="17" t="s">
        <v>154</v>
      </c>
      <c r="N68" s="18" t="s">
        <v>154</v>
      </c>
      <c r="O68" s="17" t="s">
        <v>154</v>
      </c>
      <c r="P68" s="18" t="s">
        <v>154</v>
      </c>
      <c r="Q68" s="17" t="s">
        <v>154</v>
      </c>
      <c r="R68" s="18" t="s">
        <v>154</v>
      </c>
    </row>
    <row r="69" spans="1:18" x14ac:dyDescent="0.25">
      <c r="A69" s="11" t="s">
        <v>202</v>
      </c>
      <c r="B69" s="17" t="s">
        <v>154</v>
      </c>
      <c r="C69" s="17" t="s">
        <v>154</v>
      </c>
      <c r="D69" s="18" t="s">
        <v>154</v>
      </c>
      <c r="E69" s="17" t="s">
        <v>154</v>
      </c>
      <c r="F69" s="18" t="s">
        <v>154</v>
      </c>
      <c r="G69" s="17" t="s">
        <v>154</v>
      </c>
      <c r="H69" s="18" t="s">
        <v>154</v>
      </c>
      <c r="I69" s="17" t="s">
        <v>154</v>
      </c>
      <c r="J69" s="18" t="s">
        <v>154</v>
      </c>
      <c r="K69" s="17" t="s">
        <v>154</v>
      </c>
      <c r="L69" s="18" t="s">
        <v>154</v>
      </c>
      <c r="M69" s="17" t="s">
        <v>154</v>
      </c>
      <c r="N69" s="18" t="s">
        <v>154</v>
      </c>
      <c r="O69" s="17" t="s">
        <v>154</v>
      </c>
      <c r="P69" s="18" t="s">
        <v>154</v>
      </c>
      <c r="Q69" s="17" t="s">
        <v>154</v>
      </c>
      <c r="R69" s="18" t="s">
        <v>154</v>
      </c>
    </row>
    <row r="70" spans="1:18" x14ac:dyDescent="0.25">
      <c r="A70" s="11" t="s">
        <v>203</v>
      </c>
      <c r="B70" s="13">
        <v>6036</v>
      </c>
      <c r="C70" s="14">
        <f>(5027/B70*100)</f>
        <v>83.283631544068911</v>
      </c>
      <c r="D70" s="15">
        <v>1009</v>
      </c>
      <c r="E70" s="14">
        <v>31.935952489999998</v>
      </c>
      <c r="F70" s="16">
        <v>1.7120840100000001</v>
      </c>
      <c r="G70" s="14">
        <v>68.064047509999995</v>
      </c>
      <c r="H70" s="16">
        <v>1.7120840100000001</v>
      </c>
      <c r="I70" s="14" t="s">
        <v>139</v>
      </c>
      <c r="J70" s="16" t="s">
        <v>139</v>
      </c>
      <c r="K70" s="14">
        <v>0</v>
      </c>
      <c r="L70" s="16">
        <v>0</v>
      </c>
      <c r="M70" s="14">
        <v>0</v>
      </c>
      <c r="N70" s="16">
        <v>0</v>
      </c>
      <c r="O70" s="14">
        <v>0</v>
      </c>
      <c r="P70" s="16">
        <v>0</v>
      </c>
      <c r="Q70" s="14">
        <v>0</v>
      </c>
      <c r="R70" s="16">
        <v>0</v>
      </c>
    </row>
    <row r="71" spans="1:18" x14ac:dyDescent="0.25">
      <c r="A71" s="11" t="s">
        <v>204</v>
      </c>
      <c r="B71" s="17" t="s">
        <v>154</v>
      </c>
      <c r="C71" s="17" t="s">
        <v>154</v>
      </c>
      <c r="D71" s="18" t="s">
        <v>154</v>
      </c>
      <c r="E71" s="17" t="s">
        <v>154</v>
      </c>
      <c r="F71" s="18" t="s">
        <v>154</v>
      </c>
      <c r="G71" s="17" t="s">
        <v>154</v>
      </c>
      <c r="H71" s="18" t="s">
        <v>154</v>
      </c>
      <c r="I71" s="17" t="s">
        <v>154</v>
      </c>
      <c r="J71" s="18" t="s">
        <v>154</v>
      </c>
      <c r="K71" s="17" t="s">
        <v>154</v>
      </c>
      <c r="L71" s="18" t="s">
        <v>154</v>
      </c>
      <c r="M71" s="17" t="s">
        <v>154</v>
      </c>
      <c r="N71" s="18" t="s">
        <v>154</v>
      </c>
      <c r="O71" s="17" t="s">
        <v>154</v>
      </c>
      <c r="P71" s="18" t="s">
        <v>154</v>
      </c>
      <c r="Q71" s="17" t="s">
        <v>154</v>
      </c>
      <c r="R71" s="18" t="s">
        <v>154</v>
      </c>
    </row>
    <row r="72" spans="1:18" x14ac:dyDescent="0.25">
      <c r="A72" s="11" t="s">
        <v>205</v>
      </c>
      <c r="B72" s="13">
        <v>7708</v>
      </c>
      <c r="C72" s="14">
        <f>(6393/B72*100)</f>
        <v>82.939802802283353</v>
      </c>
      <c r="D72" s="15">
        <v>1315</v>
      </c>
      <c r="E72" s="14">
        <v>25.23252398</v>
      </c>
      <c r="F72" s="16">
        <v>1.2825816699999999</v>
      </c>
      <c r="G72" s="14">
        <v>74.767476020000004</v>
      </c>
      <c r="H72" s="16">
        <v>1.2825816699999999</v>
      </c>
      <c r="I72" s="14" t="s">
        <v>139</v>
      </c>
      <c r="J72" s="16" t="s">
        <v>139</v>
      </c>
      <c r="K72" s="14">
        <v>0</v>
      </c>
      <c r="L72" s="16">
        <v>0</v>
      </c>
      <c r="M72" s="14">
        <v>0</v>
      </c>
      <c r="N72" s="16">
        <v>0</v>
      </c>
      <c r="O72" s="14">
        <v>0</v>
      </c>
      <c r="P72" s="16">
        <v>0</v>
      </c>
      <c r="Q72" s="14">
        <v>0</v>
      </c>
      <c r="R72" s="16">
        <v>0</v>
      </c>
    </row>
    <row r="73" spans="1:18" x14ac:dyDescent="0.25">
      <c r="A73" s="11" t="s">
        <v>206</v>
      </c>
      <c r="B73" s="13">
        <v>8249</v>
      </c>
      <c r="C73" s="14">
        <f>(6928/B73*100)</f>
        <v>83.9859376894169</v>
      </c>
      <c r="D73" s="15">
        <v>1321</v>
      </c>
      <c r="E73" s="14">
        <v>36.499397969999997</v>
      </c>
      <c r="F73" s="16">
        <v>1.98692103</v>
      </c>
      <c r="G73" s="14">
        <v>63.500602030000003</v>
      </c>
      <c r="H73" s="16">
        <v>1.98692103</v>
      </c>
      <c r="I73" s="14" t="s">
        <v>139</v>
      </c>
      <c r="J73" s="16" t="s">
        <v>139</v>
      </c>
      <c r="K73" s="14">
        <v>0</v>
      </c>
      <c r="L73" s="16">
        <v>0</v>
      </c>
      <c r="M73" s="14">
        <v>0</v>
      </c>
      <c r="N73" s="16">
        <v>0</v>
      </c>
      <c r="O73" s="14">
        <v>0</v>
      </c>
      <c r="P73" s="16">
        <v>0</v>
      </c>
      <c r="Q73" s="14">
        <v>0</v>
      </c>
      <c r="R73" s="16">
        <v>0</v>
      </c>
    </row>
    <row r="74" spans="1:18" x14ac:dyDescent="0.25">
      <c r="A74" s="11" t="s">
        <v>207</v>
      </c>
      <c r="B74" s="17" t="s">
        <v>154</v>
      </c>
      <c r="C74" s="17" t="s">
        <v>154</v>
      </c>
      <c r="D74" s="18" t="s">
        <v>154</v>
      </c>
      <c r="E74" s="17" t="s">
        <v>154</v>
      </c>
      <c r="F74" s="18" t="s">
        <v>154</v>
      </c>
      <c r="G74" s="17" t="s">
        <v>154</v>
      </c>
      <c r="H74" s="18" t="s">
        <v>154</v>
      </c>
      <c r="I74" s="17" t="s">
        <v>154</v>
      </c>
      <c r="J74" s="18" t="s">
        <v>154</v>
      </c>
      <c r="K74" s="17" t="s">
        <v>154</v>
      </c>
      <c r="L74" s="18" t="s">
        <v>154</v>
      </c>
      <c r="M74" s="17" t="s">
        <v>154</v>
      </c>
      <c r="N74" s="18" t="s">
        <v>154</v>
      </c>
      <c r="O74" s="17" t="s">
        <v>154</v>
      </c>
      <c r="P74" s="18" t="s">
        <v>154</v>
      </c>
      <c r="Q74" s="17" t="s">
        <v>154</v>
      </c>
      <c r="R74" s="18" t="s">
        <v>154</v>
      </c>
    </row>
    <row r="75" spans="1:18" x14ac:dyDescent="0.25">
      <c r="A75" s="11" t="s">
        <v>208</v>
      </c>
      <c r="B75" s="13">
        <v>5375</v>
      </c>
      <c r="C75" s="14">
        <f>(4579/B75*100)</f>
        <v>85.190697674418601</v>
      </c>
      <c r="D75" s="15">
        <v>796</v>
      </c>
      <c r="E75" s="14">
        <v>52.252708009999999</v>
      </c>
      <c r="F75" s="16">
        <v>1.8964901599999999</v>
      </c>
      <c r="G75" s="14">
        <v>47.747291990000001</v>
      </c>
      <c r="H75" s="16">
        <v>1.8964901599999999</v>
      </c>
      <c r="I75" s="14" t="s">
        <v>139</v>
      </c>
      <c r="J75" s="16" t="s">
        <v>139</v>
      </c>
      <c r="K75" s="14">
        <v>0</v>
      </c>
      <c r="L75" s="16">
        <v>0</v>
      </c>
      <c r="M75" s="14">
        <v>0</v>
      </c>
      <c r="N75" s="16">
        <v>0</v>
      </c>
      <c r="O75" s="14">
        <v>0</v>
      </c>
      <c r="P75" s="16">
        <v>0</v>
      </c>
      <c r="Q75" s="14">
        <v>0</v>
      </c>
      <c r="R75" s="16">
        <v>0</v>
      </c>
    </row>
    <row r="76" spans="1:18" x14ac:dyDescent="0.25">
      <c r="A76" s="11" t="s">
        <v>209</v>
      </c>
      <c r="B76" s="13">
        <v>14167</v>
      </c>
      <c r="C76" s="14">
        <f>(11736/B76*100)</f>
        <v>82.840403755205756</v>
      </c>
      <c r="D76" s="15">
        <v>2431</v>
      </c>
      <c r="E76" s="14">
        <v>39.207028870000002</v>
      </c>
      <c r="F76" s="16">
        <v>1.10038977</v>
      </c>
      <c r="G76" s="14">
        <v>60.792971129999998</v>
      </c>
      <c r="H76" s="16">
        <v>1.10038977</v>
      </c>
      <c r="I76" s="14" t="s">
        <v>139</v>
      </c>
      <c r="J76" s="16" t="s">
        <v>139</v>
      </c>
      <c r="K76" s="14">
        <v>0</v>
      </c>
      <c r="L76" s="16">
        <v>0</v>
      </c>
      <c r="M76" s="14">
        <v>0</v>
      </c>
      <c r="N76" s="16">
        <v>0</v>
      </c>
      <c r="O76" s="14">
        <v>0</v>
      </c>
      <c r="P76" s="16">
        <v>0</v>
      </c>
      <c r="Q76" s="14">
        <v>0</v>
      </c>
      <c r="R76" s="16">
        <v>0</v>
      </c>
    </row>
    <row r="77" spans="1:18" x14ac:dyDescent="0.25">
      <c r="A77" s="11" t="s">
        <v>210</v>
      </c>
      <c r="B77" s="13">
        <v>6062</v>
      </c>
      <c r="C77" s="14">
        <f>(5052/B77*100)</f>
        <v>83.338832068624214</v>
      </c>
      <c r="D77" s="15">
        <v>1010</v>
      </c>
      <c r="E77" s="14">
        <v>35.879007340000001</v>
      </c>
      <c r="F77" s="16">
        <v>1.40827634</v>
      </c>
      <c r="G77" s="14">
        <v>64.120992659999999</v>
      </c>
      <c r="H77" s="16">
        <v>1.40827634</v>
      </c>
      <c r="I77" s="14" t="s">
        <v>139</v>
      </c>
      <c r="J77" s="16" t="s">
        <v>139</v>
      </c>
      <c r="K77" s="14">
        <v>0</v>
      </c>
      <c r="L77" s="16">
        <v>0</v>
      </c>
      <c r="M77" s="14">
        <v>0</v>
      </c>
      <c r="N77" s="16">
        <v>0</v>
      </c>
      <c r="O77" s="14">
        <v>0</v>
      </c>
      <c r="P77" s="16">
        <v>0</v>
      </c>
      <c r="Q77" s="14">
        <v>0</v>
      </c>
      <c r="R77" s="16">
        <v>0</v>
      </c>
    </row>
    <row r="78" spans="1:18" x14ac:dyDescent="0.25">
      <c r="A78" s="11" t="s">
        <v>211</v>
      </c>
      <c r="B78" s="17" t="s">
        <v>154</v>
      </c>
      <c r="C78" s="17" t="s">
        <v>154</v>
      </c>
      <c r="D78" s="18" t="s">
        <v>154</v>
      </c>
      <c r="E78" s="17" t="s">
        <v>154</v>
      </c>
      <c r="F78" s="18" t="s">
        <v>154</v>
      </c>
      <c r="G78" s="17" t="s">
        <v>154</v>
      </c>
      <c r="H78" s="18" t="s">
        <v>154</v>
      </c>
      <c r="I78" s="17" t="s">
        <v>154</v>
      </c>
      <c r="J78" s="18" t="s">
        <v>154</v>
      </c>
      <c r="K78" s="17" t="s">
        <v>154</v>
      </c>
      <c r="L78" s="18" t="s">
        <v>154</v>
      </c>
      <c r="M78" s="17" t="s">
        <v>154</v>
      </c>
      <c r="N78" s="18" t="s">
        <v>154</v>
      </c>
      <c r="O78" s="17" t="s">
        <v>154</v>
      </c>
      <c r="P78" s="18" t="s">
        <v>154</v>
      </c>
      <c r="Q78" s="17" t="s">
        <v>154</v>
      </c>
      <c r="R78" s="18" t="s">
        <v>154</v>
      </c>
    </row>
    <row r="79" spans="1:18" ht="24.95" customHeight="1" x14ac:dyDescent="0.25">
      <c r="A79" s="11" t="s">
        <v>212</v>
      </c>
      <c r="B79" s="17" t="s">
        <v>154</v>
      </c>
      <c r="C79" s="17" t="s">
        <v>154</v>
      </c>
      <c r="D79" s="18" t="s">
        <v>154</v>
      </c>
      <c r="E79" s="17" t="s">
        <v>154</v>
      </c>
      <c r="F79" s="18" t="s">
        <v>154</v>
      </c>
      <c r="G79" s="17" t="s">
        <v>154</v>
      </c>
      <c r="H79" s="18" t="s">
        <v>154</v>
      </c>
      <c r="I79" s="17" t="s">
        <v>154</v>
      </c>
      <c r="J79" s="18" t="s">
        <v>154</v>
      </c>
      <c r="K79" s="17" t="s">
        <v>154</v>
      </c>
      <c r="L79" s="18" t="s">
        <v>154</v>
      </c>
      <c r="M79" s="17" t="s">
        <v>154</v>
      </c>
      <c r="N79" s="18" t="s">
        <v>154</v>
      </c>
      <c r="O79" s="17" t="s">
        <v>154</v>
      </c>
      <c r="P79" s="18" t="s">
        <v>154</v>
      </c>
      <c r="Q79" s="17" t="s">
        <v>154</v>
      </c>
      <c r="R79" s="18" t="s">
        <v>154</v>
      </c>
    </row>
    <row r="80" spans="1:18" x14ac:dyDescent="0.25">
      <c r="A80" s="11" t="s">
        <v>213</v>
      </c>
      <c r="B80" s="17" t="s">
        <v>154</v>
      </c>
      <c r="C80" s="17" t="s">
        <v>154</v>
      </c>
      <c r="D80" s="18" t="s">
        <v>154</v>
      </c>
      <c r="E80" s="17" t="s">
        <v>154</v>
      </c>
      <c r="F80" s="18" t="s">
        <v>154</v>
      </c>
      <c r="G80" s="17" t="s">
        <v>154</v>
      </c>
      <c r="H80" s="18" t="s">
        <v>154</v>
      </c>
      <c r="I80" s="17" t="s">
        <v>154</v>
      </c>
      <c r="J80" s="18" t="s">
        <v>154</v>
      </c>
      <c r="K80" s="17" t="s">
        <v>154</v>
      </c>
      <c r="L80" s="18" t="s">
        <v>154</v>
      </c>
      <c r="M80" s="17" t="s">
        <v>154</v>
      </c>
      <c r="N80" s="18" t="s">
        <v>154</v>
      </c>
      <c r="O80" s="17" t="s">
        <v>154</v>
      </c>
      <c r="P80" s="18" t="s">
        <v>154</v>
      </c>
      <c r="Q80" s="17" t="s">
        <v>154</v>
      </c>
      <c r="R80" s="18" t="s">
        <v>154</v>
      </c>
    </row>
    <row r="81" spans="1:18" x14ac:dyDescent="0.25">
      <c r="A81" s="19" t="s">
        <v>214</v>
      </c>
      <c r="B81" s="13">
        <v>8861</v>
      </c>
      <c r="C81" s="14">
        <f>(8516/B81*100)</f>
        <v>96.106534251213176</v>
      </c>
      <c r="D81" s="15">
        <v>345</v>
      </c>
      <c r="E81" s="14">
        <v>40.76163614</v>
      </c>
      <c r="F81" s="16">
        <v>2.9036464099999999</v>
      </c>
      <c r="G81" s="14">
        <v>59.23836386</v>
      </c>
      <c r="H81" s="16">
        <v>2.9036464099999999</v>
      </c>
      <c r="I81" s="14" t="s">
        <v>139</v>
      </c>
      <c r="J81" s="16" t="s">
        <v>139</v>
      </c>
      <c r="K81" s="14">
        <v>0</v>
      </c>
      <c r="L81" s="16">
        <v>0</v>
      </c>
      <c r="M81" s="14">
        <v>0</v>
      </c>
      <c r="N81" s="16">
        <v>0</v>
      </c>
      <c r="O81" s="14">
        <v>0</v>
      </c>
      <c r="P81" s="16">
        <v>0</v>
      </c>
      <c r="Q81" s="14">
        <v>0</v>
      </c>
      <c r="R81" s="16">
        <v>0</v>
      </c>
    </row>
    <row r="82" spans="1:18" x14ac:dyDescent="0.25">
      <c r="A82" s="20"/>
      <c r="B82" s="20" t="s">
        <v>215</v>
      </c>
      <c r="C82" s="20" t="s">
        <v>215</v>
      </c>
      <c r="D82" s="20" t="s">
        <v>215</v>
      </c>
      <c r="E82" s="20" t="s">
        <v>215</v>
      </c>
      <c r="F82" s="20" t="s">
        <v>215</v>
      </c>
      <c r="G82" s="20" t="s">
        <v>215</v>
      </c>
      <c r="H82" s="20" t="s">
        <v>215</v>
      </c>
      <c r="I82" s="20" t="s">
        <v>215</v>
      </c>
      <c r="J82" s="20" t="s">
        <v>215</v>
      </c>
      <c r="K82" s="20" t="s">
        <v>215</v>
      </c>
      <c r="L82" s="20" t="s">
        <v>215</v>
      </c>
      <c r="M82" s="20" t="s">
        <v>215</v>
      </c>
      <c r="N82" s="20" t="s">
        <v>215</v>
      </c>
      <c r="O82" s="20" t="s">
        <v>215</v>
      </c>
      <c r="P82" s="20" t="s">
        <v>215</v>
      </c>
      <c r="Q82" s="20" t="s">
        <v>215</v>
      </c>
      <c r="R82" s="20" t="s">
        <v>215</v>
      </c>
    </row>
    <row r="83" spans="1:18" x14ac:dyDescent="0.25">
      <c r="A83" s="3" t="s">
        <v>216</v>
      </c>
    </row>
    <row r="84" spans="1:18" x14ac:dyDescent="0.25">
      <c r="A84" s="22" t="s">
        <v>217</v>
      </c>
      <c r="B84" s="23"/>
      <c r="C84" s="23"/>
      <c r="D84" s="23"/>
      <c r="E84" s="23"/>
      <c r="F84" s="23"/>
      <c r="G84" s="23"/>
      <c r="H84" s="23"/>
      <c r="I84" s="23"/>
      <c r="J84" s="23"/>
      <c r="K84" s="23"/>
      <c r="L84" s="23"/>
      <c r="M84" s="23"/>
      <c r="N84" s="23"/>
      <c r="O84" s="23"/>
      <c r="P84" s="23"/>
      <c r="Q84" s="23"/>
      <c r="R84" s="23"/>
    </row>
    <row r="85" spans="1:18" x14ac:dyDescent="0.25">
      <c r="A85" s="22" t="s">
        <v>218</v>
      </c>
      <c r="B85" s="23"/>
      <c r="C85" s="23"/>
      <c r="D85" s="23"/>
      <c r="E85" s="23"/>
      <c r="F85" s="23"/>
      <c r="G85" s="23"/>
      <c r="H85" s="23"/>
      <c r="I85" s="23"/>
      <c r="J85" s="23"/>
      <c r="K85" s="23"/>
      <c r="L85" s="23"/>
      <c r="M85" s="23"/>
      <c r="N85" s="23"/>
      <c r="O85" s="23"/>
      <c r="P85" s="23"/>
      <c r="Q85" s="23"/>
      <c r="R85" s="23"/>
    </row>
    <row r="86" spans="1:18" ht="30" customHeight="1" x14ac:dyDescent="0.25">
      <c r="A86" s="22" t="s">
        <v>219</v>
      </c>
      <c r="B86" s="23"/>
      <c r="C86" s="23"/>
      <c r="D86" s="23"/>
      <c r="E86" s="23"/>
      <c r="F86" s="23"/>
      <c r="G86" s="23"/>
      <c r="H86" s="23"/>
      <c r="I86" s="23"/>
      <c r="J86" s="23"/>
      <c r="K86" s="23"/>
      <c r="L86" s="23"/>
      <c r="M86" s="23"/>
      <c r="N86" s="23"/>
      <c r="O86" s="23"/>
      <c r="P86" s="23"/>
      <c r="Q86" s="23"/>
      <c r="R86" s="23"/>
    </row>
    <row r="87" spans="1:18" ht="30" customHeight="1" x14ac:dyDescent="0.25">
      <c r="A87" s="22" t="s">
        <v>215</v>
      </c>
      <c r="B87" s="23"/>
      <c r="C87" s="23"/>
      <c r="D87" s="23"/>
      <c r="E87" s="23"/>
      <c r="F87" s="23"/>
      <c r="G87" s="23"/>
      <c r="H87" s="23"/>
      <c r="I87" s="23"/>
      <c r="J87" s="23"/>
      <c r="K87" s="23"/>
      <c r="L87" s="23"/>
      <c r="M87" s="23"/>
      <c r="N87" s="23"/>
      <c r="O87" s="23"/>
      <c r="P87" s="23"/>
      <c r="Q87" s="23"/>
      <c r="R87" s="23"/>
    </row>
    <row r="88" spans="1:18" ht="30" customHeight="1" x14ac:dyDescent="0.25">
      <c r="A88" s="22" t="s">
        <v>220</v>
      </c>
      <c r="B88" s="23"/>
      <c r="C88" s="23"/>
      <c r="D88" s="23"/>
      <c r="E88" s="23"/>
      <c r="F88" s="23"/>
      <c r="G88" s="23"/>
      <c r="H88" s="23"/>
      <c r="I88" s="23"/>
      <c r="J88" s="23"/>
      <c r="K88" s="23"/>
      <c r="L88" s="23"/>
      <c r="M88" s="23"/>
      <c r="N88" s="23"/>
      <c r="O88" s="23"/>
      <c r="P88" s="23"/>
      <c r="Q88" s="23"/>
      <c r="R88" s="23"/>
    </row>
    <row r="89" spans="1:18" ht="30" customHeight="1" x14ac:dyDescent="0.25">
      <c r="A89" s="22" t="s">
        <v>221</v>
      </c>
      <c r="B89" s="23"/>
      <c r="C89" s="23"/>
      <c r="D89" s="23"/>
      <c r="E89" s="23"/>
      <c r="F89" s="23"/>
      <c r="G89" s="23"/>
      <c r="H89" s="23"/>
      <c r="I89" s="23"/>
      <c r="J89" s="23"/>
      <c r="K89" s="23"/>
      <c r="L89" s="23"/>
      <c r="M89" s="23"/>
      <c r="N89" s="23"/>
      <c r="O89" s="23"/>
      <c r="P89" s="23"/>
      <c r="Q89" s="23"/>
      <c r="R89" s="23"/>
    </row>
    <row r="90" spans="1:18" ht="30" customHeight="1" x14ac:dyDescent="0.25">
      <c r="A90" s="22" t="s">
        <v>222</v>
      </c>
      <c r="B90" s="23"/>
      <c r="C90" s="23"/>
      <c r="D90" s="23"/>
      <c r="E90" s="23"/>
      <c r="F90" s="23"/>
      <c r="G90" s="23"/>
      <c r="H90" s="23"/>
      <c r="I90" s="23"/>
      <c r="J90" s="23"/>
      <c r="K90" s="23"/>
      <c r="L90" s="23"/>
      <c r="M90" s="23"/>
      <c r="N90" s="23"/>
      <c r="O90" s="23"/>
      <c r="P90" s="23"/>
      <c r="Q90" s="23"/>
      <c r="R90" s="23"/>
    </row>
    <row r="91" spans="1:18" ht="30" customHeight="1" x14ac:dyDescent="0.25">
      <c r="A91" s="22" t="s">
        <v>223</v>
      </c>
      <c r="B91" s="23"/>
      <c r="C91" s="23"/>
      <c r="D91" s="23"/>
      <c r="E91" s="23"/>
      <c r="F91" s="23"/>
      <c r="G91" s="23"/>
      <c r="H91" s="23"/>
      <c r="I91" s="23"/>
      <c r="J91" s="23"/>
      <c r="K91" s="23"/>
      <c r="L91" s="23"/>
      <c r="M91" s="23"/>
      <c r="N91" s="23"/>
      <c r="O91" s="23"/>
      <c r="P91" s="23"/>
      <c r="Q91" s="23"/>
      <c r="R91" s="23"/>
    </row>
    <row r="92" spans="1:18" ht="30" customHeight="1" x14ac:dyDescent="0.25">
      <c r="A92" s="22" t="s">
        <v>224</v>
      </c>
      <c r="B92" s="23"/>
      <c r="C92" s="23"/>
      <c r="D92" s="23"/>
      <c r="E92" s="23"/>
      <c r="F92" s="23"/>
      <c r="G92" s="23"/>
      <c r="H92" s="23"/>
      <c r="I92" s="23"/>
      <c r="J92" s="23"/>
      <c r="K92" s="23"/>
      <c r="L92" s="23"/>
      <c r="M92" s="23"/>
      <c r="N92" s="23"/>
      <c r="O92" s="23"/>
      <c r="P92" s="23"/>
      <c r="Q92" s="23"/>
      <c r="R92" s="23"/>
    </row>
    <row r="93" spans="1:18" ht="30" customHeight="1" x14ac:dyDescent="0.25">
      <c r="A93" s="22" t="s">
        <v>225</v>
      </c>
      <c r="B93" s="23"/>
      <c r="C93" s="23"/>
      <c r="D93" s="23"/>
      <c r="E93" s="23"/>
      <c r="F93" s="23"/>
      <c r="G93" s="23"/>
      <c r="H93" s="23"/>
      <c r="I93" s="23"/>
      <c r="J93" s="23"/>
      <c r="K93" s="23"/>
      <c r="L93" s="23"/>
      <c r="M93" s="23"/>
      <c r="N93" s="23"/>
      <c r="O93" s="23"/>
      <c r="P93" s="23"/>
      <c r="Q93" s="23"/>
      <c r="R93" s="23"/>
    </row>
    <row r="94" spans="1:18" ht="30" customHeight="1" x14ac:dyDescent="0.25">
      <c r="A94" s="22" t="s">
        <v>226</v>
      </c>
      <c r="B94" s="23"/>
      <c r="C94" s="23"/>
      <c r="D94" s="23"/>
      <c r="E94" s="23"/>
      <c r="F94" s="23"/>
      <c r="G94" s="23"/>
      <c r="H94" s="23"/>
      <c r="I94" s="23"/>
      <c r="J94" s="23"/>
      <c r="K94" s="23"/>
      <c r="L94" s="23"/>
      <c r="M94" s="23"/>
      <c r="N94" s="23"/>
      <c r="O94" s="23"/>
      <c r="P94" s="23"/>
      <c r="Q94" s="23"/>
      <c r="R94" s="23"/>
    </row>
    <row r="95" spans="1:18" ht="30" customHeight="1" x14ac:dyDescent="0.25">
      <c r="A95" s="22" t="s">
        <v>227</v>
      </c>
      <c r="B95" s="23"/>
      <c r="C95" s="23"/>
      <c r="D95" s="23"/>
      <c r="E95" s="23"/>
      <c r="F95" s="23"/>
      <c r="G95" s="23"/>
      <c r="H95" s="23"/>
      <c r="I95" s="23"/>
      <c r="J95" s="23"/>
      <c r="K95" s="23"/>
      <c r="L95" s="23"/>
      <c r="M95" s="23"/>
      <c r="N95" s="23"/>
      <c r="O95" s="23"/>
      <c r="P95" s="23"/>
      <c r="Q95" s="23"/>
      <c r="R95" s="23"/>
    </row>
    <row r="96" spans="1:18" ht="30" customHeight="1" x14ac:dyDescent="0.25">
      <c r="A96" s="22" t="s">
        <v>228</v>
      </c>
      <c r="B96" s="23"/>
      <c r="C96" s="23"/>
      <c r="D96" s="23"/>
      <c r="E96" s="23"/>
      <c r="F96" s="23"/>
      <c r="G96" s="23"/>
      <c r="H96" s="23"/>
      <c r="I96" s="23"/>
      <c r="J96" s="23"/>
      <c r="K96" s="23"/>
      <c r="L96" s="23"/>
      <c r="M96" s="23"/>
      <c r="N96" s="23"/>
      <c r="O96" s="23"/>
      <c r="P96" s="23"/>
      <c r="Q96" s="23"/>
      <c r="R96" s="23"/>
    </row>
  </sheetData>
  <mergeCells count="22">
    <mergeCell ref="O4:P4"/>
    <mergeCell ref="Q4:R4"/>
    <mergeCell ref="A1:R1"/>
    <mergeCell ref="A2:R2"/>
    <mergeCell ref="A84:R84"/>
    <mergeCell ref="E4:F4"/>
    <mergeCell ref="G4:H4"/>
    <mergeCell ref="I4:J4"/>
    <mergeCell ref="K4:L4"/>
    <mergeCell ref="M4:N4"/>
    <mergeCell ref="A85:R85"/>
    <mergeCell ref="A86:R86"/>
    <mergeCell ref="A87:R87"/>
    <mergeCell ref="A88:R88"/>
    <mergeCell ref="A89:R89"/>
    <mergeCell ref="A95:R95"/>
    <mergeCell ref="A96:R96"/>
    <mergeCell ref="A90:R90"/>
    <mergeCell ref="A91:R91"/>
    <mergeCell ref="A92:R92"/>
    <mergeCell ref="A93:R93"/>
    <mergeCell ref="A94:R94"/>
  </mergeCells>
  <pageMargins left="0.75" right="0.75" top="1" bottom="1" header="0.5" footer="0.5"/>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0"/>
  <dimension ref="A1:R96"/>
  <sheetViews>
    <sheetView zoomScale="80" workbookViewId="0">
      <pane xSplit="4" topLeftCell="E1" activePane="topRight" state="frozen"/>
      <selection sqref="A1:R1"/>
      <selection pane="topRight" sqref="A1:R1"/>
    </sheetView>
  </sheetViews>
  <sheetFormatPr defaultColWidth="11.42578125" defaultRowHeight="15" x14ac:dyDescent="0.25"/>
  <cols>
    <col min="1" max="1" width="50" customWidth="1"/>
  </cols>
  <sheetData>
    <row r="1" spans="1:18" x14ac:dyDescent="0.25">
      <c r="A1" s="26" t="s">
        <v>122</v>
      </c>
      <c r="B1" s="23"/>
      <c r="C1" s="23"/>
      <c r="D1" s="23"/>
      <c r="E1" s="23"/>
      <c r="F1" s="23"/>
      <c r="G1" s="23"/>
      <c r="H1" s="23"/>
      <c r="I1" s="23"/>
      <c r="J1" s="23"/>
      <c r="K1" s="23"/>
      <c r="L1" s="23"/>
      <c r="M1" s="23"/>
      <c r="N1" s="23"/>
      <c r="O1" s="23"/>
      <c r="P1" s="23"/>
      <c r="Q1" s="23"/>
      <c r="R1" s="23"/>
    </row>
    <row r="2" spans="1:18" x14ac:dyDescent="0.25">
      <c r="A2" s="27" t="s">
        <v>296</v>
      </c>
      <c r="B2" s="23"/>
      <c r="C2" s="23"/>
      <c r="D2" s="23"/>
      <c r="E2" s="23"/>
      <c r="F2" s="23"/>
      <c r="G2" s="23"/>
      <c r="H2" s="23"/>
      <c r="I2" s="23"/>
      <c r="J2" s="23"/>
      <c r="K2" s="23"/>
      <c r="L2" s="23"/>
      <c r="M2" s="23"/>
      <c r="N2" s="23"/>
      <c r="O2" s="23"/>
      <c r="P2" s="23"/>
      <c r="Q2" s="23"/>
      <c r="R2" s="23"/>
    </row>
    <row r="4" spans="1:18" ht="30" customHeight="1" x14ac:dyDescent="0.25">
      <c r="A4" s="4"/>
      <c r="B4" s="5" t="s">
        <v>123</v>
      </c>
      <c r="C4" s="5" t="s">
        <v>124</v>
      </c>
      <c r="D4" s="6" t="s">
        <v>123</v>
      </c>
      <c r="E4" s="24" t="s">
        <v>125</v>
      </c>
      <c r="F4" s="25"/>
      <c r="G4" s="24" t="s">
        <v>126</v>
      </c>
      <c r="H4" s="25"/>
      <c r="I4" s="24" t="s">
        <v>127</v>
      </c>
      <c r="J4" s="25"/>
      <c r="K4" s="24" t="s">
        <v>128</v>
      </c>
      <c r="L4" s="25"/>
      <c r="M4" s="24" t="s">
        <v>129</v>
      </c>
      <c r="N4" s="25"/>
      <c r="O4" s="24" t="s">
        <v>130</v>
      </c>
      <c r="P4" s="25"/>
      <c r="Q4" s="24" t="s">
        <v>131</v>
      </c>
      <c r="R4" s="25"/>
    </row>
    <row r="5" spans="1:18" x14ac:dyDescent="0.25">
      <c r="A5" s="7"/>
      <c r="B5" s="8" t="s">
        <v>132</v>
      </c>
      <c r="C5" s="8" t="s">
        <v>133</v>
      </c>
      <c r="D5" s="7" t="s">
        <v>134</v>
      </c>
      <c r="E5" s="8" t="s">
        <v>135</v>
      </c>
      <c r="F5" s="7" t="s">
        <v>136</v>
      </c>
      <c r="G5" s="8" t="s">
        <v>135</v>
      </c>
      <c r="H5" s="7" t="s">
        <v>136</v>
      </c>
      <c r="I5" s="8" t="s">
        <v>135</v>
      </c>
      <c r="J5" s="7" t="s">
        <v>136</v>
      </c>
      <c r="K5" s="8" t="s">
        <v>135</v>
      </c>
      <c r="L5" s="7" t="s">
        <v>136</v>
      </c>
      <c r="M5" s="8" t="s">
        <v>135</v>
      </c>
      <c r="N5" s="7" t="s">
        <v>136</v>
      </c>
      <c r="O5" s="8" t="s">
        <v>135</v>
      </c>
      <c r="P5" s="7" t="s">
        <v>136</v>
      </c>
      <c r="Q5" s="8" t="s">
        <v>135</v>
      </c>
      <c r="R5" s="7" t="s">
        <v>136</v>
      </c>
    </row>
    <row r="6" spans="1:18" x14ac:dyDescent="0.25">
      <c r="A6" s="9" t="s">
        <v>137</v>
      </c>
      <c r="B6" s="10"/>
      <c r="C6" s="10"/>
      <c r="D6" s="11"/>
      <c r="E6" s="10"/>
      <c r="F6" s="11"/>
      <c r="G6" s="10"/>
      <c r="H6" s="11"/>
      <c r="I6" s="10"/>
      <c r="J6" s="11"/>
      <c r="K6" s="10"/>
      <c r="L6" s="11"/>
      <c r="M6" s="10"/>
      <c r="N6" s="11"/>
      <c r="O6" s="10"/>
      <c r="P6" s="11"/>
      <c r="Q6" s="10"/>
      <c r="R6" s="12"/>
    </row>
    <row r="7" spans="1:18" x14ac:dyDescent="0.25">
      <c r="A7" s="11" t="s">
        <v>138</v>
      </c>
      <c r="B7" s="13">
        <v>14530</v>
      </c>
      <c r="C7" s="14">
        <f>(12149/B7*100)</f>
        <v>83.613214039917409</v>
      </c>
      <c r="D7" s="15">
        <v>2381</v>
      </c>
      <c r="E7" s="14">
        <v>21.141280900000002</v>
      </c>
      <c r="F7" s="16">
        <v>1.0088717</v>
      </c>
      <c r="G7" s="14">
        <v>78.858719100000002</v>
      </c>
      <c r="H7" s="16">
        <v>1.0088717</v>
      </c>
      <c r="I7" s="14" t="s">
        <v>139</v>
      </c>
      <c r="J7" s="16" t="s">
        <v>139</v>
      </c>
      <c r="K7" s="14">
        <v>0</v>
      </c>
      <c r="L7" s="16">
        <v>0</v>
      </c>
      <c r="M7" s="14">
        <v>0</v>
      </c>
      <c r="N7" s="16">
        <v>0</v>
      </c>
      <c r="O7" s="14">
        <v>0</v>
      </c>
      <c r="P7" s="16">
        <v>0</v>
      </c>
      <c r="Q7" s="14">
        <v>0</v>
      </c>
      <c r="R7" s="16">
        <v>0</v>
      </c>
    </row>
    <row r="8" spans="1:18" x14ac:dyDescent="0.25">
      <c r="A8" s="11" t="s">
        <v>140</v>
      </c>
      <c r="B8" s="13">
        <v>7007</v>
      </c>
      <c r="C8" s="14">
        <f>(5821/B8*100)</f>
        <v>83.074068788354509</v>
      </c>
      <c r="D8" s="15">
        <v>1186</v>
      </c>
      <c r="E8" s="14">
        <v>18.71938574</v>
      </c>
      <c r="F8" s="16">
        <v>1.2503692799999999</v>
      </c>
      <c r="G8" s="14">
        <v>81.280614259999993</v>
      </c>
      <c r="H8" s="16">
        <v>1.2503692799999999</v>
      </c>
      <c r="I8" s="14" t="s">
        <v>139</v>
      </c>
      <c r="J8" s="16" t="s">
        <v>139</v>
      </c>
      <c r="K8" s="14">
        <v>0</v>
      </c>
      <c r="L8" s="16">
        <v>0</v>
      </c>
      <c r="M8" s="14">
        <v>0</v>
      </c>
      <c r="N8" s="16">
        <v>0</v>
      </c>
      <c r="O8" s="14">
        <v>0</v>
      </c>
      <c r="P8" s="16">
        <v>0</v>
      </c>
      <c r="Q8" s="14">
        <v>0</v>
      </c>
      <c r="R8" s="16">
        <v>0</v>
      </c>
    </row>
    <row r="9" spans="1:18" x14ac:dyDescent="0.25">
      <c r="A9" s="11" t="s">
        <v>141</v>
      </c>
      <c r="B9" s="13">
        <v>9651</v>
      </c>
      <c r="C9" s="14">
        <f>(8080/B9*100)</f>
        <v>83.721894104237904</v>
      </c>
      <c r="D9" s="15">
        <v>1571</v>
      </c>
      <c r="E9" s="14">
        <v>24.227073180000001</v>
      </c>
      <c r="F9" s="16">
        <v>1.2662270200000001</v>
      </c>
      <c r="G9" s="14">
        <v>75.772926819999995</v>
      </c>
      <c r="H9" s="16">
        <v>1.2662270200000001</v>
      </c>
      <c r="I9" s="14" t="s">
        <v>139</v>
      </c>
      <c r="J9" s="16" t="s">
        <v>139</v>
      </c>
      <c r="K9" s="14">
        <v>0</v>
      </c>
      <c r="L9" s="16">
        <v>0</v>
      </c>
      <c r="M9" s="14">
        <v>0</v>
      </c>
      <c r="N9" s="16">
        <v>0</v>
      </c>
      <c r="O9" s="14">
        <v>0</v>
      </c>
      <c r="P9" s="16">
        <v>0</v>
      </c>
      <c r="Q9" s="14">
        <v>0</v>
      </c>
      <c r="R9" s="16">
        <v>0</v>
      </c>
    </row>
    <row r="10" spans="1:18" x14ac:dyDescent="0.25">
      <c r="A10" s="11" t="s">
        <v>142</v>
      </c>
      <c r="B10" s="13">
        <v>20058</v>
      </c>
      <c r="C10" s="14">
        <f>(16662/B10*100)</f>
        <v>83.069099611127726</v>
      </c>
      <c r="D10" s="15">
        <v>3396</v>
      </c>
      <c r="E10" s="14">
        <v>22.780899389999998</v>
      </c>
      <c r="F10" s="16">
        <v>1.2176944700000001</v>
      </c>
      <c r="G10" s="14">
        <v>77.219100609999998</v>
      </c>
      <c r="H10" s="16">
        <v>1.2176944700000001</v>
      </c>
      <c r="I10" s="14" t="s">
        <v>139</v>
      </c>
      <c r="J10" s="16" t="s">
        <v>139</v>
      </c>
      <c r="K10" s="14">
        <v>0</v>
      </c>
      <c r="L10" s="16">
        <v>0</v>
      </c>
      <c r="M10" s="14">
        <v>0</v>
      </c>
      <c r="N10" s="16">
        <v>0</v>
      </c>
      <c r="O10" s="14">
        <v>0</v>
      </c>
      <c r="P10" s="16">
        <v>0</v>
      </c>
      <c r="Q10" s="14">
        <v>0</v>
      </c>
      <c r="R10" s="16">
        <v>0</v>
      </c>
    </row>
    <row r="11" spans="1:18" x14ac:dyDescent="0.25">
      <c r="A11" s="11" t="s">
        <v>143</v>
      </c>
      <c r="B11" s="13">
        <v>7053</v>
      </c>
      <c r="C11" s="14">
        <f>(5867/B11*100)</f>
        <v>83.184460513256781</v>
      </c>
      <c r="D11" s="15">
        <v>1186</v>
      </c>
      <c r="E11" s="14">
        <v>18.423193560000001</v>
      </c>
      <c r="F11" s="16">
        <v>1.4767457100000001</v>
      </c>
      <c r="G11" s="14">
        <v>81.576806439999999</v>
      </c>
      <c r="H11" s="16">
        <v>1.4767457100000001</v>
      </c>
      <c r="I11" s="14" t="s">
        <v>139</v>
      </c>
      <c r="J11" s="16" t="s">
        <v>139</v>
      </c>
      <c r="K11" s="14">
        <v>0</v>
      </c>
      <c r="L11" s="16">
        <v>0</v>
      </c>
      <c r="M11" s="14">
        <v>0</v>
      </c>
      <c r="N11" s="16">
        <v>0</v>
      </c>
      <c r="O11" s="14">
        <v>0</v>
      </c>
      <c r="P11" s="16">
        <v>0</v>
      </c>
      <c r="Q11" s="14">
        <v>0</v>
      </c>
      <c r="R11" s="16">
        <v>0</v>
      </c>
    </row>
    <row r="12" spans="1:18" x14ac:dyDescent="0.25">
      <c r="A12" s="11" t="s">
        <v>144</v>
      </c>
      <c r="B12" s="13">
        <v>6894</v>
      </c>
      <c r="C12" s="14">
        <f>(5738/B12*100)</f>
        <v>83.231795764432832</v>
      </c>
      <c r="D12" s="15">
        <v>1156</v>
      </c>
      <c r="E12" s="14">
        <v>12.433067599999999</v>
      </c>
      <c r="F12" s="16">
        <v>1.17538586</v>
      </c>
      <c r="G12" s="14">
        <v>87.566932399999999</v>
      </c>
      <c r="H12" s="16">
        <v>1.17538586</v>
      </c>
      <c r="I12" s="14" t="s">
        <v>139</v>
      </c>
      <c r="J12" s="16" t="s">
        <v>139</v>
      </c>
      <c r="K12" s="14">
        <v>0</v>
      </c>
      <c r="L12" s="16">
        <v>0</v>
      </c>
      <c r="M12" s="14">
        <v>0</v>
      </c>
      <c r="N12" s="16">
        <v>0</v>
      </c>
      <c r="O12" s="14">
        <v>0</v>
      </c>
      <c r="P12" s="16">
        <v>0</v>
      </c>
      <c r="Q12" s="14">
        <v>0</v>
      </c>
      <c r="R12" s="16">
        <v>0</v>
      </c>
    </row>
    <row r="13" spans="1:18" x14ac:dyDescent="0.25">
      <c r="A13" s="11" t="s">
        <v>145</v>
      </c>
      <c r="B13" s="13">
        <v>7161</v>
      </c>
      <c r="C13" s="14">
        <f>(6027/B13*100)</f>
        <v>84.1642228739003</v>
      </c>
      <c r="D13" s="15">
        <v>1134</v>
      </c>
      <c r="E13" s="14">
        <v>21.8055676</v>
      </c>
      <c r="F13" s="16">
        <v>1.3569006299999999</v>
      </c>
      <c r="G13" s="14">
        <v>78.194432399999997</v>
      </c>
      <c r="H13" s="16">
        <v>1.3569006299999999</v>
      </c>
      <c r="I13" s="14" t="s">
        <v>139</v>
      </c>
      <c r="J13" s="16" t="s">
        <v>139</v>
      </c>
      <c r="K13" s="14">
        <v>0</v>
      </c>
      <c r="L13" s="16">
        <v>0</v>
      </c>
      <c r="M13" s="14">
        <v>0</v>
      </c>
      <c r="N13" s="16">
        <v>0</v>
      </c>
      <c r="O13" s="14">
        <v>0</v>
      </c>
      <c r="P13" s="16">
        <v>0</v>
      </c>
      <c r="Q13" s="14">
        <v>0</v>
      </c>
      <c r="R13" s="16">
        <v>0</v>
      </c>
    </row>
    <row r="14" spans="1:18" x14ac:dyDescent="0.25">
      <c r="A14" s="11" t="s">
        <v>146</v>
      </c>
      <c r="B14" s="13">
        <v>5587</v>
      </c>
      <c r="C14" s="14">
        <f>(4638/B14*100)</f>
        <v>83.014139967782356</v>
      </c>
      <c r="D14" s="15">
        <v>949</v>
      </c>
      <c r="E14" s="14">
        <v>13.79444213</v>
      </c>
      <c r="F14" s="16">
        <v>1.2581891199999999</v>
      </c>
      <c r="G14" s="14">
        <v>86.205557870000007</v>
      </c>
      <c r="H14" s="16">
        <v>1.2581891199999999</v>
      </c>
      <c r="I14" s="14" t="s">
        <v>139</v>
      </c>
      <c r="J14" s="16" t="s">
        <v>139</v>
      </c>
      <c r="K14" s="14">
        <v>0</v>
      </c>
      <c r="L14" s="16">
        <v>0</v>
      </c>
      <c r="M14" s="14">
        <v>0</v>
      </c>
      <c r="N14" s="16">
        <v>0</v>
      </c>
      <c r="O14" s="14">
        <v>0</v>
      </c>
      <c r="P14" s="16">
        <v>0</v>
      </c>
      <c r="Q14" s="14">
        <v>0</v>
      </c>
      <c r="R14" s="16">
        <v>0</v>
      </c>
    </row>
    <row r="15" spans="1:18" x14ac:dyDescent="0.25">
      <c r="A15" s="11" t="s">
        <v>147</v>
      </c>
      <c r="B15" s="13">
        <v>5882</v>
      </c>
      <c r="C15" s="14">
        <f>(4879/B15*100)</f>
        <v>82.947976878612721</v>
      </c>
      <c r="D15" s="15">
        <v>1003</v>
      </c>
      <c r="E15" s="14">
        <v>1.6412908799999999</v>
      </c>
      <c r="F15" s="16">
        <v>0.27694954999999999</v>
      </c>
      <c r="G15" s="14">
        <v>4.7349644099999999</v>
      </c>
      <c r="H15" s="16">
        <v>1.3447204100000001</v>
      </c>
      <c r="I15" s="14" t="s">
        <v>139</v>
      </c>
      <c r="J15" s="16" t="s">
        <v>139</v>
      </c>
      <c r="K15" s="14">
        <v>0</v>
      </c>
      <c r="L15" s="16">
        <v>0</v>
      </c>
      <c r="M15" s="14">
        <v>93.623744709999997</v>
      </c>
      <c r="N15" s="16">
        <v>1.4711748899999999</v>
      </c>
      <c r="O15" s="14">
        <v>0</v>
      </c>
      <c r="P15" s="16">
        <v>0</v>
      </c>
      <c r="Q15" s="14">
        <v>0</v>
      </c>
      <c r="R15" s="16">
        <v>0</v>
      </c>
    </row>
    <row r="16" spans="1:18" x14ac:dyDescent="0.25">
      <c r="A16" s="11" t="s">
        <v>148</v>
      </c>
      <c r="B16" s="13">
        <v>6108</v>
      </c>
      <c r="C16" s="14">
        <f>(5065/B16*100)</f>
        <v>82.924034053700069</v>
      </c>
      <c r="D16" s="15">
        <v>1043</v>
      </c>
      <c r="E16" s="14">
        <v>29.669091869999999</v>
      </c>
      <c r="F16" s="16">
        <v>1.50563698</v>
      </c>
      <c r="G16" s="14">
        <v>70.330908129999997</v>
      </c>
      <c r="H16" s="16">
        <v>1.50563698</v>
      </c>
      <c r="I16" s="14" t="s">
        <v>139</v>
      </c>
      <c r="J16" s="16" t="s">
        <v>139</v>
      </c>
      <c r="K16" s="14">
        <v>0</v>
      </c>
      <c r="L16" s="16">
        <v>0</v>
      </c>
      <c r="M16" s="14">
        <v>0</v>
      </c>
      <c r="N16" s="16">
        <v>0</v>
      </c>
      <c r="O16" s="14">
        <v>0</v>
      </c>
      <c r="P16" s="16">
        <v>0</v>
      </c>
      <c r="Q16" s="14">
        <v>0</v>
      </c>
      <c r="R16" s="16">
        <v>0</v>
      </c>
    </row>
    <row r="17" spans="1:18" x14ac:dyDescent="0.25">
      <c r="A17" s="11" t="s">
        <v>149</v>
      </c>
      <c r="B17" s="13">
        <v>6504</v>
      </c>
      <c r="C17" s="14">
        <f>(5414/B17*100)</f>
        <v>83.241082410824106</v>
      </c>
      <c r="D17" s="15">
        <v>1090</v>
      </c>
      <c r="E17" s="14">
        <v>13.33444014</v>
      </c>
      <c r="F17" s="16">
        <v>0.94654903000000001</v>
      </c>
      <c r="G17" s="14">
        <v>86.665559860000002</v>
      </c>
      <c r="H17" s="16">
        <v>0.94654903000000001</v>
      </c>
      <c r="I17" s="14" t="s">
        <v>139</v>
      </c>
      <c r="J17" s="16" t="s">
        <v>139</v>
      </c>
      <c r="K17" s="14">
        <v>0</v>
      </c>
      <c r="L17" s="16">
        <v>0</v>
      </c>
      <c r="M17" s="14">
        <v>0</v>
      </c>
      <c r="N17" s="16">
        <v>0</v>
      </c>
      <c r="O17" s="14">
        <v>0</v>
      </c>
      <c r="P17" s="16">
        <v>0</v>
      </c>
      <c r="Q17" s="14">
        <v>0</v>
      </c>
      <c r="R17" s="16">
        <v>0</v>
      </c>
    </row>
    <row r="18" spans="1:18" x14ac:dyDescent="0.25">
      <c r="A18" s="11" t="s">
        <v>150</v>
      </c>
      <c r="B18" s="13">
        <v>5532</v>
      </c>
      <c r="C18" s="14">
        <f>(4631/B18*100)</f>
        <v>83.712942877801879</v>
      </c>
      <c r="D18" s="15">
        <v>901</v>
      </c>
      <c r="E18" s="14">
        <v>20.702143639999999</v>
      </c>
      <c r="F18" s="16">
        <v>1.4416052100000001</v>
      </c>
      <c r="G18" s="14">
        <v>79.297856359999997</v>
      </c>
      <c r="H18" s="16">
        <v>1.4416052100000001</v>
      </c>
      <c r="I18" s="14" t="s">
        <v>139</v>
      </c>
      <c r="J18" s="16" t="s">
        <v>139</v>
      </c>
      <c r="K18" s="14">
        <v>0</v>
      </c>
      <c r="L18" s="16">
        <v>0</v>
      </c>
      <c r="M18" s="14">
        <v>0</v>
      </c>
      <c r="N18" s="16">
        <v>0</v>
      </c>
      <c r="O18" s="14">
        <v>0</v>
      </c>
      <c r="P18" s="16">
        <v>0</v>
      </c>
      <c r="Q18" s="14">
        <v>0</v>
      </c>
      <c r="R18" s="16">
        <v>0</v>
      </c>
    </row>
    <row r="19" spans="1:18" x14ac:dyDescent="0.25">
      <c r="A19" s="11" t="s">
        <v>151</v>
      </c>
      <c r="B19" s="13">
        <v>5658</v>
      </c>
      <c r="C19" s="14">
        <f>(4717/B19*100)</f>
        <v>83.368681512902086</v>
      </c>
      <c r="D19" s="15">
        <v>941</v>
      </c>
      <c r="E19" s="14">
        <v>17.082571000000002</v>
      </c>
      <c r="F19" s="16">
        <v>1.3025943600000001</v>
      </c>
      <c r="G19" s="14">
        <v>82.917428999999998</v>
      </c>
      <c r="H19" s="16">
        <v>1.3025943600000001</v>
      </c>
      <c r="I19" s="14" t="s">
        <v>139</v>
      </c>
      <c r="J19" s="16" t="s">
        <v>139</v>
      </c>
      <c r="K19" s="14">
        <v>0</v>
      </c>
      <c r="L19" s="16">
        <v>0</v>
      </c>
      <c r="M19" s="14">
        <v>0</v>
      </c>
      <c r="N19" s="16">
        <v>0</v>
      </c>
      <c r="O19" s="14">
        <v>0</v>
      </c>
      <c r="P19" s="16">
        <v>0</v>
      </c>
      <c r="Q19" s="14">
        <v>0</v>
      </c>
      <c r="R19" s="16">
        <v>0</v>
      </c>
    </row>
    <row r="20" spans="1:18" x14ac:dyDescent="0.25">
      <c r="A20" s="11" t="s">
        <v>152</v>
      </c>
      <c r="B20" s="13">
        <v>3371</v>
      </c>
      <c r="C20" s="14">
        <f>(2817/B20*100)</f>
        <v>83.565707505191327</v>
      </c>
      <c r="D20" s="15">
        <v>554</v>
      </c>
      <c r="E20" s="14">
        <v>20.717370200000001</v>
      </c>
      <c r="F20" s="16">
        <v>1.80870782</v>
      </c>
      <c r="G20" s="14">
        <v>79.282629799999995</v>
      </c>
      <c r="H20" s="16">
        <v>1.80870782</v>
      </c>
      <c r="I20" s="14" t="s">
        <v>139</v>
      </c>
      <c r="J20" s="16" t="s">
        <v>139</v>
      </c>
      <c r="K20" s="14">
        <v>0</v>
      </c>
      <c r="L20" s="16">
        <v>0</v>
      </c>
      <c r="M20" s="14">
        <v>0</v>
      </c>
      <c r="N20" s="16">
        <v>0</v>
      </c>
      <c r="O20" s="14">
        <v>0</v>
      </c>
      <c r="P20" s="16">
        <v>0</v>
      </c>
      <c r="Q20" s="14">
        <v>0</v>
      </c>
      <c r="R20" s="16">
        <v>0</v>
      </c>
    </row>
    <row r="21" spans="1:18" x14ac:dyDescent="0.25">
      <c r="A21" s="11" t="s">
        <v>153</v>
      </c>
      <c r="B21" s="17" t="s">
        <v>154</v>
      </c>
      <c r="C21" s="17" t="s">
        <v>154</v>
      </c>
      <c r="D21" s="18" t="s">
        <v>154</v>
      </c>
      <c r="E21" s="17" t="s">
        <v>154</v>
      </c>
      <c r="F21" s="18" t="s">
        <v>154</v>
      </c>
      <c r="G21" s="17" t="s">
        <v>154</v>
      </c>
      <c r="H21" s="18" t="s">
        <v>154</v>
      </c>
      <c r="I21" s="17" t="s">
        <v>154</v>
      </c>
      <c r="J21" s="18" t="s">
        <v>154</v>
      </c>
      <c r="K21" s="17" t="s">
        <v>154</v>
      </c>
      <c r="L21" s="18" t="s">
        <v>154</v>
      </c>
      <c r="M21" s="17" t="s">
        <v>154</v>
      </c>
      <c r="N21" s="18" t="s">
        <v>154</v>
      </c>
      <c r="O21" s="17" t="s">
        <v>154</v>
      </c>
      <c r="P21" s="18" t="s">
        <v>154</v>
      </c>
      <c r="Q21" s="17" t="s">
        <v>154</v>
      </c>
      <c r="R21" s="18" t="s">
        <v>154</v>
      </c>
    </row>
    <row r="22" spans="1:18" x14ac:dyDescent="0.25">
      <c r="A22" s="11" t="s">
        <v>155</v>
      </c>
      <c r="B22" s="13">
        <v>6598</v>
      </c>
      <c r="C22" s="14">
        <f>(5579/B22*100)</f>
        <v>84.555926038193391</v>
      </c>
      <c r="D22" s="15">
        <v>1019</v>
      </c>
      <c r="E22" s="14">
        <v>25.106153970000001</v>
      </c>
      <c r="F22" s="16">
        <v>1.36913437</v>
      </c>
      <c r="G22" s="14">
        <v>74.893846030000006</v>
      </c>
      <c r="H22" s="16">
        <v>1.36913437</v>
      </c>
      <c r="I22" s="14" t="s">
        <v>139</v>
      </c>
      <c r="J22" s="16" t="s">
        <v>139</v>
      </c>
      <c r="K22" s="14">
        <v>0</v>
      </c>
      <c r="L22" s="16">
        <v>0</v>
      </c>
      <c r="M22" s="14">
        <v>0</v>
      </c>
      <c r="N22" s="16">
        <v>0</v>
      </c>
      <c r="O22" s="14">
        <v>0</v>
      </c>
      <c r="P22" s="16">
        <v>0</v>
      </c>
      <c r="Q22" s="14">
        <v>0</v>
      </c>
      <c r="R22" s="16">
        <v>0</v>
      </c>
    </row>
    <row r="23" spans="1:18" x14ac:dyDescent="0.25">
      <c r="A23" s="11" t="s">
        <v>156</v>
      </c>
      <c r="B23" s="13">
        <v>11583</v>
      </c>
      <c r="C23" s="14">
        <f>(9622/B23*100)</f>
        <v>83.07001640334974</v>
      </c>
      <c r="D23" s="15">
        <v>1961</v>
      </c>
      <c r="E23" s="14">
        <v>19.763708139999999</v>
      </c>
      <c r="F23" s="16">
        <v>1.36085403</v>
      </c>
      <c r="G23" s="14">
        <v>80.236291859999994</v>
      </c>
      <c r="H23" s="16">
        <v>1.36085403</v>
      </c>
      <c r="I23" s="14" t="s">
        <v>139</v>
      </c>
      <c r="J23" s="16" t="s">
        <v>139</v>
      </c>
      <c r="K23" s="14">
        <v>0</v>
      </c>
      <c r="L23" s="16">
        <v>0</v>
      </c>
      <c r="M23" s="14">
        <v>0</v>
      </c>
      <c r="N23" s="16">
        <v>0</v>
      </c>
      <c r="O23" s="14">
        <v>0</v>
      </c>
      <c r="P23" s="16">
        <v>0</v>
      </c>
      <c r="Q23" s="14">
        <v>0</v>
      </c>
      <c r="R23" s="16">
        <v>0</v>
      </c>
    </row>
    <row r="24" spans="1:18" x14ac:dyDescent="0.25">
      <c r="A24" s="11" t="s">
        <v>157</v>
      </c>
      <c r="B24" s="13">
        <v>6647</v>
      </c>
      <c r="C24" s="14">
        <f>(5473/B24*100)</f>
        <v>82.337896795546868</v>
      </c>
      <c r="D24" s="15">
        <v>1174</v>
      </c>
      <c r="E24" s="14">
        <v>24.64094519</v>
      </c>
      <c r="F24" s="16">
        <v>1.3574112700000001</v>
      </c>
      <c r="G24" s="14">
        <v>75.359054810000003</v>
      </c>
      <c r="H24" s="16">
        <v>1.3574112700000001</v>
      </c>
      <c r="I24" s="14" t="s">
        <v>139</v>
      </c>
      <c r="J24" s="16" t="s">
        <v>139</v>
      </c>
      <c r="K24" s="14">
        <v>0</v>
      </c>
      <c r="L24" s="16">
        <v>0</v>
      </c>
      <c r="M24" s="14">
        <v>0</v>
      </c>
      <c r="N24" s="16">
        <v>0</v>
      </c>
      <c r="O24" s="14">
        <v>0</v>
      </c>
      <c r="P24" s="16">
        <v>0</v>
      </c>
      <c r="Q24" s="14">
        <v>0</v>
      </c>
      <c r="R24" s="16">
        <v>0</v>
      </c>
    </row>
    <row r="25" spans="1:18" x14ac:dyDescent="0.25">
      <c r="A25" s="11" t="s">
        <v>158</v>
      </c>
      <c r="B25" s="13">
        <v>5581</v>
      </c>
      <c r="C25" s="14">
        <f>(4597/B25*100)</f>
        <v>82.368751119870993</v>
      </c>
      <c r="D25" s="15">
        <v>984</v>
      </c>
      <c r="E25" s="14">
        <v>25.311602300000001</v>
      </c>
      <c r="F25" s="16">
        <v>1.4285718700000001</v>
      </c>
      <c r="G25" s="14">
        <v>74.688397699999996</v>
      </c>
      <c r="H25" s="16">
        <v>1.4285718700000001</v>
      </c>
      <c r="I25" s="14" t="s">
        <v>139</v>
      </c>
      <c r="J25" s="16" t="s">
        <v>139</v>
      </c>
      <c r="K25" s="14">
        <v>0</v>
      </c>
      <c r="L25" s="16">
        <v>0</v>
      </c>
      <c r="M25" s="14">
        <v>0</v>
      </c>
      <c r="N25" s="16">
        <v>0</v>
      </c>
      <c r="O25" s="14">
        <v>0</v>
      </c>
      <c r="P25" s="16">
        <v>0</v>
      </c>
      <c r="Q25" s="14">
        <v>0</v>
      </c>
      <c r="R25" s="16">
        <v>0</v>
      </c>
    </row>
    <row r="26" spans="1:18" x14ac:dyDescent="0.25">
      <c r="A26" s="11" t="s">
        <v>159</v>
      </c>
      <c r="B26" s="13">
        <v>4869</v>
      </c>
      <c r="C26" s="14">
        <f>(4038/B26*100)</f>
        <v>82.932840418977207</v>
      </c>
      <c r="D26" s="15">
        <v>831</v>
      </c>
      <c r="E26" s="14">
        <v>13.52905013</v>
      </c>
      <c r="F26" s="16">
        <v>1.2722119199999999</v>
      </c>
      <c r="G26" s="14">
        <v>86.470949869999998</v>
      </c>
      <c r="H26" s="16">
        <v>1.2722119199999999</v>
      </c>
      <c r="I26" s="14" t="s">
        <v>139</v>
      </c>
      <c r="J26" s="16" t="s">
        <v>139</v>
      </c>
      <c r="K26" s="14">
        <v>0</v>
      </c>
      <c r="L26" s="16">
        <v>0</v>
      </c>
      <c r="M26" s="14">
        <v>0</v>
      </c>
      <c r="N26" s="16">
        <v>0</v>
      </c>
      <c r="O26" s="14">
        <v>0</v>
      </c>
      <c r="P26" s="16">
        <v>0</v>
      </c>
      <c r="Q26" s="14">
        <v>0</v>
      </c>
      <c r="R26" s="16">
        <v>0</v>
      </c>
    </row>
    <row r="27" spans="1:18" x14ac:dyDescent="0.25">
      <c r="A27" s="11" t="s">
        <v>160</v>
      </c>
      <c r="B27" s="13">
        <v>5299</v>
      </c>
      <c r="C27" s="14">
        <f>(4418/B27*100)</f>
        <v>83.374221551236076</v>
      </c>
      <c r="D27" s="15">
        <v>881</v>
      </c>
      <c r="E27" s="14">
        <v>20.940346730000002</v>
      </c>
      <c r="F27" s="16">
        <v>1.46875757</v>
      </c>
      <c r="G27" s="14">
        <v>79.059653269999998</v>
      </c>
      <c r="H27" s="16">
        <v>1.46875757</v>
      </c>
      <c r="I27" s="14" t="s">
        <v>139</v>
      </c>
      <c r="J27" s="16" t="s">
        <v>139</v>
      </c>
      <c r="K27" s="14">
        <v>0</v>
      </c>
      <c r="L27" s="16">
        <v>0</v>
      </c>
      <c r="M27" s="14">
        <v>0</v>
      </c>
      <c r="N27" s="16">
        <v>0</v>
      </c>
      <c r="O27" s="14">
        <v>0</v>
      </c>
      <c r="P27" s="16">
        <v>0</v>
      </c>
      <c r="Q27" s="14">
        <v>0</v>
      </c>
      <c r="R27" s="16">
        <v>0</v>
      </c>
    </row>
    <row r="28" spans="1:18" x14ac:dyDescent="0.25">
      <c r="A28" s="11" t="s">
        <v>161</v>
      </c>
      <c r="B28" s="13">
        <v>7568</v>
      </c>
      <c r="C28" s="14">
        <f>(6380/B28*100)</f>
        <v>84.302325581395351</v>
      </c>
      <c r="D28" s="15">
        <v>1188</v>
      </c>
      <c r="E28" s="14">
        <v>22.879923869999999</v>
      </c>
      <c r="F28" s="16">
        <v>1.4874375799999999</v>
      </c>
      <c r="G28" s="14">
        <v>77.120076130000001</v>
      </c>
      <c r="H28" s="16">
        <v>1.4874375799999999</v>
      </c>
      <c r="I28" s="14" t="s">
        <v>139</v>
      </c>
      <c r="J28" s="16" t="s">
        <v>139</v>
      </c>
      <c r="K28" s="14">
        <v>0</v>
      </c>
      <c r="L28" s="16">
        <v>0</v>
      </c>
      <c r="M28" s="14">
        <v>0</v>
      </c>
      <c r="N28" s="16">
        <v>0</v>
      </c>
      <c r="O28" s="14">
        <v>0</v>
      </c>
      <c r="P28" s="16">
        <v>0</v>
      </c>
      <c r="Q28" s="14">
        <v>0</v>
      </c>
      <c r="R28" s="16">
        <v>0</v>
      </c>
    </row>
    <row r="29" spans="1:18" x14ac:dyDescent="0.25">
      <c r="A29" s="11" t="s">
        <v>162</v>
      </c>
      <c r="B29" s="13">
        <v>5385</v>
      </c>
      <c r="C29" s="14">
        <f>(4468/B29*100)</f>
        <v>82.971216341689882</v>
      </c>
      <c r="D29" s="15">
        <v>917</v>
      </c>
      <c r="E29" s="14">
        <v>22.464526859999999</v>
      </c>
      <c r="F29" s="16">
        <v>1.4107870300000001</v>
      </c>
      <c r="G29" s="14">
        <v>77.535473139999993</v>
      </c>
      <c r="H29" s="16">
        <v>1.4107870300000001</v>
      </c>
      <c r="I29" s="14" t="s">
        <v>139</v>
      </c>
      <c r="J29" s="16" t="s">
        <v>139</v>
      </c>
      <c r="K29" s="14">
        <v>0</v>
      </c>
      <c r="L29" s="16">
        <v>0</v>
      </c>
      <c r="M29" s="14">
        <v>0</v>
      </c>
      <c r="N29" s="16">
        <v>0</v>
      </c>
      <c r="O29" s="14">
        <v>0</v>
      </c>
      <c r="P29" s="16">
        <v>0</v>
      </c>
      <c r="Q29" s="14">
        <v>0</v>
      </c>
      <c r="R29" s="16">
        <v>0</v>
      </c>
    </row>
    <row r="30" spans="1:18" x14ac:dyDescent="0.25">
      <c r="A30" s="11" t="s">
        <v>163</v>
      </c>
      <c r="B30" s="13">
        <v>4520</v>
      </c>
      <c r="C30" s="14">
        <f>(3771/B30*100)</f>
        <v>83.429203539823007</v>
      </c>
      <c r="D30" s="15">
        <v>749</v>
      </c>
      <c r="E30" s="14">
        <v>17.895170159999999</v>
      </c>
      <c r="F30" s="16">
        <v>1.4740442</v>
      </c>
      <c r="G30" s="14">
        <v>82.104829839999994</v>
      </c>
      <c r="H30" s="16">
        <v>1.4740442</v>
      </c>
      <c r="I30" s="14" t="s">
        <v>139</v>
      </c>
      <c r="J30" s="16" t="s">
        <v>139</v>
      </c>
      <c r="K30" s="14">
        <v>0</v>
      </c>
      <c r="L30" s="16">
        <v>0</v>
      </c>
      <c r="M30" s="14">
        <v>0</v>
      </c>
      <c r="N30" s="16">
        <v>0</v>
      </c>
      <c r="O30" s="14">
        <v>0</v>
      </c>
      <c r="P30" s="16">
        <v>0</v>
      </c>
      <c r="Q30" s="14">
        <v>0</v>
      </c>
      <c r="R30" s="16">
        <v>0</v>
      </c>
    </row>
    <row r="31" spans="1:18" x14ac:dyDescent="0.25">
      <c r="A31" s="11" t="s">
        <v>164</v>
      </c>
      <c r="B31" s="13">
        <v>5456</v>
      </c>
      <c r="C31" s="14">
        <f>(4500/B31*100)</f>
        <v>82.478005865102645</v>
      </c>
      <c r="D31" s="15">
        <v>956</v>
      </c>
      <c r="E31" s="14">
        <v>29.405388689999999</v>
      </c>
      <c r="F31" s="16">
        <v>1.4729208300000001</v>
      </c>
      <c r="G31" s="14">
        <v>70.594611310000005</v>
      </c>
      <c r="H31" s="16">
        <v>1.4729208300000001</v>
      </c>
      <c r="I31" s="14" t="s">
        <v>139</v>
      </c>
      <c r="J31" s="16" t="s">
        <v>139</v>
      </c>
      <c r="K31" s="14">
        <v>0</v>
      </c>
      <c r="L31" s="16">
        <v>0</v>
      </c>
      <c r="M31" s="14">
        <v>0</v>
      </c>
      <c r="N31" s="16">
        <v>0</v>
      </c>
      <c r="O31" s="14">
        <v>0</v>
      </c>
      <c r="P31" s="16">
        <v>0</v>
      </c>
      <c r="Q31" s="14">
        <v>0</v>
      </c>
      <c r="R31" s="16">
        <v>0</v>
      </c>
    </row>
    <row r="32" spans="1:18" x14ac:dyDescent="0.25">
      <c r="A32" s="11" t="s">
        <v>165</v>
      </c>
      <c r="B32" s="17" t="s">
        <v>154</v>
      </c>
      <c r="C32" s="17" t="s">
        <v>154</v>
      </c>
      <c r="D32" s="18" t="s">
        <v>154</v>
      </c>
      <c r="E32" s="17" t="s">
        <v>154</v>
      </c>
      <c r="F32" s="18" t="s">
        <v>154</v>
      </c>
      <c r="G32" s="17" t="s">
        <v>154</v>
      </c>
      <c r="H32" s="18" t="s">
        <v>154</v>
      </c>
      <c r="I32" s="17" t="s">
        <v>154</v>
      </c>
      <c r="J32" s="18" t="s">
        <v>154</v>
      </c>
      <c r="K32" s="17" t="s">
        <v>154</v>
      </c>
      <c r="L32" s="18" t="s">
        <v>154</v>
      </c>
      <c r="M32" s="17" t="s">
        <v>154</v>
      </c>
      <c r="N32" s="18" t="s">
        <v>154</v>
      </c>
      <c r="O32" s="17" t="s">
        <v>154</v>
      </c>
      <c r="P32" s="18" t="s">
        <v>154</v>
      </c>
      <c r="Q32" s="17" t="s">
        <v>154</v>
      </c>
      <c r="R32" s="18" t="s">
        <v>154</v>
      </c>
    </row>
    <row r="33" spans="1:18" x14ac:dyDescent="0.25">
      <c r="A33" s="11" t="s">
        <v>166</v>
      </c>
      <c r="B33" s="13">
        <v>7325</v>
      </c>
      <c r="C33" s="14">
        <f>(6087/B33*100)</f>
        <v>83.098976109215016</v>
      </c>
      <c r="D33" s="15">
        <v>1238</v>
      </c>
      <c r="E33" s="14">
        <v>19.317859410000001</v>
      </c>
      <c r="F33" s="16">
        <v>1.5138271700000001</v>
      </c>
      <c r="G33" s="14">
        <v>80.682140590000003</v>
      </c>
      <c r="H33" s="16">
        <v>1.5138271700000001</v>
      </c>
      <c r="I33" s="14" t="s">
        <v>139</v>
      </c>
      <c r="J33" s="16" t="s">
        <v>139</v>
      </c>
      <c r="K33" s="14">
        <v>0</v>
      </c>
      <c r="L33" s="16">
        <v>0</v>
      </c>
      <c r="M33" s="14">
        <v>0</v>
      </c>
      <c r="N33" s="16">
        <v>0</v>
      </c>
      <c r="O33" s="14">
        <v>0</v>
      </c>
      <c r="P33" s="16">
        <v>0</v>
      </c>
      <c r="Q33" s="14">
        <v>0</v>
      </c>
      <c r="R33" s="16">
        <v>0</v>
      </c>
    </row>
    <row r="34" spans="1:18" x14ac:dyDescent="0.25">
      <c r="A34" s="11" t="s">
        <v>167</v>
      </c>
      <c r="B34" s="13">
        <v>6350</v>
      </c>
      <c r="C34" s="14">
        <f>(5330/B34*100)</f>
        <v>83.937007874015748</v>
      </c>
      <c r="D34" s="15">
        <v>1020</v>
      </c>
      <c r="E34" s="14">
        <v>18.21615998</v>
      </c>
      <c r="F34" s="16">
        <v>1.5076541699999999</v>
      </c>
      <c r="G34" s="14">
        <v>81.78384002</v>
      </c>
      <c r="H34" s="16">
        <v>1.5076541699999999</v>
      </c>
      <c r="I34" s="14" t="s">
        <v>139</v>
      </c>
      <c r="J34" s="16" t="s">
        <v>139</v>
      </c>
      <c r="K34" s="14">
        <v>0</v>
      </c>
      <c r="L34" s="16">
        <v>0</v>
      </c>
      <c r="M34" s="14">
        <v>0</v>
      </c>
      <c r="N34" s="16">
        <v>0</v>
      </c>
      <c r="O34" s="14">
        <v>0</v>
      </c>
      <c r="P34" s="16">
        <v>0</v>
      </c>
      <c r="Q34" s="14">
        <v>0</v>
      </c>
      <c r="R34" s="16">
        <v>0</v>
      </c>
    </row>
    <row r="35" spans="1:18" x14ac:dyDescent="0.25">
      <c r="A35" s="11" t="s">
        <v>168</v>
      </c>
      <c r="B35" s="13">
        <v>6406</v>
      </c>
      <c r="C35" s="14">
        <f>(5332/B35*100)</f>
        <v>83.234467686543866</v>
      </c>
      <c r="D35" s="15">
        <v>1074</v>
      </c>
      <c r="E35" s="14">
        <v>14.65673533</v>
      </c>
      <c r="F35" s="16">
        <v>1.44427744</v>
      </c>
      <c r="G35" s="14">
        <v>85.343264669999996</v>
      </c>
      <c r="H35" s="16">
        <v>1.44427744</v>
      </c>
      <c r="I35" s="14" t="s">
        <v>139</v>
      </c>
      <c r="J35" s="16" t="s">
        <v>139</v>
      </c>
      <c r="K35" s="14">
        <v>0</v>
      </c>
      <c r="L35" s="16">
        <v>0</v>
      </c>
      <c r="M35" s="14">
        <v>0</v>
      </c>
      <c r="N35" s="16">
        <v>0</v>
      </c>
      <c r="O35" s="14">
        <v>0</v>
      </c>
      <c r="P35" s="16">
        <v>0</v>
      </c>
      <c r="Q35" s="14">
        <v>0</v>
      </c>
      <c r="R35" s="16">
        <v>0</v>
      </c>
    </row>
    <row r="36" spans="1:18" x14ac:dyDescent="0.25">
      <c r="A36" s="11" t="s">
        <v>169</v>
      </c>
      <c r="B36" s="13">
        <v>6736</v>
      </c>
      <c r="C36" s="14">
        <f>(5607/B36*100)</f>
        <v>83.239311163895493</v>
      </c>
      <c r="D36" s="15">
        <v>1129</v>
      </c>
      <c r="E36" s="14">
        <v>16.876927859999999</v>
      </c>
      <c r="F36" s="16">
        <v>1.3031197800000001</v>
      </c>
      <c r="G36" s="14">
        <v>83.123072140000005</v>
      </c>
      <c r="H36" s="16">
        <v>1.3031197800000001</v>
      </c>
      <c r="I36" s="14" t="s">
        <v>139</v>
      </c>
      <c r="J36" s="16" t="s">
        <v>139</v>
      </c>
      <c r="K36" s="14">
        <v>0</v>
      </c>
      <c r="L36" s="16">
        <v>0</v>
      </c>
      <c r="M36" s="14">
        <v>0</v>
      </c>
      <c r="N36" s="16">
        <v>0</v>
      </c>
      <c r="O36" s="14">
        <v>0</v>
      </c>
      <c r="P36" s="16">
        <v>0</v>
      </c>
      <c r="Q36" s="14">
        <v>0</v>
      </c>
      <c r="R36" s="16">
        <v>0</v>
      </c>
    </row>
    <row r="37" spans="1:18" x14ac:dyDescent="0.25">
      <c r="A37" s="11" t="s">
        <v>170</v>
      </c>
      <c r="B37" s="13">
        <v>5458</v>
      </c>
      <c r="C37" s="14">
        <f>(4541/B37*100)</f>
        <v>83.198973983144015</v>
      </c>
      <c r="D37" s="15">
        <v>917</v>
      </c>
      <c r="E37" s="14">
        <v>26.403810140000001</v>
      </c>
      <c r="F37" s="16">
        <v>1.4055449600000001</v>
      </c>
      <c r="G37" s="14">
        <v>73.596189859999996</v>
      </c>
      <c r="H37" s="16">
        <v>1.4055449600000001</v>
      </c>
      <c r="I37" s="14" t="s">
        <v>139</v>
      </c>
      <c r="J37" s="16" t="s">
        <v>139</v>
      </c>
      <c r="K37" s="14">
        <v>0</v>
      </c>
      <c r="L37" s="16">
        <v>0</v>
      </c>
      <c r="M37" s="14">
        <v>0</v>
      </c>
      <c r="N37" s="16">
        <v>0</v>
      </c>
      <c r="O37" s="14">
        <v>0</v>
      </c>
      <c r="P37" s="16">
        <v>0</v>
      </c>
      <c r="Q37" s="14">
        <v>0</v>
      </c>
      <c r="R37" s="16">
        <v>0</v>
      </c>
    </row>
    <row r="38" spans="1:18" x14ac:dyDescent="0.25">
      <c r="A38" s="11" t="s">
        <v>171</v>
      </c>
      <c r="B38" s="17" t="s">
        <v>154</v>
      </c>
      <c r="C38" s="17" t="s">
        <v>154</v>
      </c>
      <c r="D38" s="18" t="s">
        <v>154</v>
      </c>
      <c r="E38" s="17" t="s">
        <v>154</v>
      </c>
      <c r="F38" s="18" t="s">
        <v>154</v>
      </c>
      <c r="G38" s="17" t="s">
        <v>154</v>
      </c>
      <c r="H38" s="18" t="s">
        <v>154</v>
      </c>
      <c r="I38" s="17" t="s">
        <v>154</v>
      </c>
      <c r="J38" s="18" t="s">
        <v>154</v>
      </c>
      <c r="K38" s="17" t="s">
        <v>154</v>
      </c>
      <c r="L38" s="18" t="s">
        <v>154</v>
      </c>
      <c r="M38" s="17" t="s">
        <v>154</v>
      </c>
      <c r="N38" s="18" t="s">
        <v>154</v>
      </c>
      <c r="O38" s="17" t="s">
        <v>154</v>
      </c>
      <c r="P38" s="18" t="s">
        <v>154</v>
      </c>
      <c r="Q38" s="17" t="s">
        <v>154</v>
      </c>
      <c r="R38" s="18" t="s">
        <v>154</v>
      </c>
    </row>
    <row r="39" spans="1:18" x14ac:dyDescent="0.25">
      <c r="A39" s="11" t="s">
        <v>172</v>
      </c>
      <c r="B39" s="13">
        <v>5895</v>
      </c>
      <c r="C39" s="14">
        <f>(4865/B39*100)</f>
        <v>82.527565733672603</v>
      </c>
      <c r="D39" s="15">
        <v>1030</v>
      </c>
      <c r="E39" s="14">
        <v>27.47778392</v>
      </c>
      <c r="F39" s="16">
        <v>1.1673753899999999</v>
      </c>
      <c r="G39" s="14">
        <v>72.522216080000007</v>
      </c>
      <c r="H39" s="16">
        <v>1.1673753899999999</v>
      </c>
      <c r="I39" s="14" t="s">
        <v>139</v>
      </c>
      <c r="J39" s="16" t="s">
        <v>139</v>
      </c>
      <c r="K39" s="14">
        <v>0</v>
      </c>
      <c r="L39" s="16">
        <v>0</v>
      </c>
      <c r="M39" s="14">
        <v>0</v>
      </c>
      <c r="N39" s="16">
        <v>0</v>
      </c>
      <c r="O39" s="14">
        <v>0</v>
      </c>
      <c r="P39" s="16">
        <v>0</v>
      </c>
      <c r="Q39" s="14">
        <v>0</v>
      </c>
      <c r="R39" s="16">
        <v>0</v>
      </c>
    </row>
    <row r="40" spans="1:18" x14ac:dyDescent="0.25">
      <c r="A40" s="11" t="s">
        <v>173</v>
      </c>
      <c r="B40" s="13">
        <v>14157</v>
      </c>
      <c r="C40" s="14">
        <f>(11680/B40*100)</f>
        <v>82.50335523062796</v>
      </c>
      <c r="D40" s="15">
        <v>2477</v>
      </c>
      <c r="E40" s="14">
        <v>22.442994649999999</v>
      </c>
      <c r="F40" s="16">
        <v>1.2488761900000001</v>
      </c>
      <c r="G40" s="14">
        <v>77.557005349999997</v>
      </c>
      <c r="H40" s="16">
        <v>1.2488761900000001</v>
      </c>
      <c r="I40" s="14" t="s">
        <v>139</v>
      </c>
      <c r="J40" s="16" t="s">
        <v>139</v>
      </c>
      <c r="K40" s="14">
        <v>0</v>
      </c>
      <c r="L40" s="16">
        <v>0</v>
      </c>
      <c r="M40" s="14">
        <v>0</v>
      </c>
      <c r="N40" s="16">
        <v>0</v>
      </c>
      <c r="O40" s="14">
        <v>0</v>
      </c>
      <c r="P40" s="16">
        <v>0</v>
      </c>
      <c r="Q40" s="14">
        <v>0</v>
      </c>
      <c r="R40" s="16">
        <v>0</v>
      </c>
    </row>
    <row r="41" spans="1:18" x14ac:dyDescent="0.25">
      <c r="A41" s="11" t="s">
        <v>174</v>
      </c>
      <c r="B41" s="13">
        <v>5712</v>
      </c>
      <c r="C41" s="14">
        <f>(4763/B41*100)</f>
        <v>83.385854341736703</v>
      </c>
      <c r="D41" s="15">
        <v>949</v>
      </c>
      <c r="E41" s="14">
        <v>20.247744279999999</v>
      </c>
      <c r="F41" s="16">
        <v>1.23979701</v>
      </c>
      <c r="G41" s="14">
        <v>79.752255719999994</v>
      </c>
      <c r="H41" s="16">
        <v>1.23979701</v>
      </c>
      <c r="I41" s="14" t="s">
        <v>139</v>
      </c>
      <c r="J41" s="16" t="s">
        <v>139</v>
      </c>
      <c r="K41" s="14">
        <v>0</v>
      </c>
      <c r="L41" s="16">
        <v>0</v>
      </c>
      <c r="M41" s="14">
        <v>0</v>
      </c>
      <c r="N41" s="16">
        <v>0</v>
      </c>
      <c r="O41" s="14">
        <v>0</v>
      </c>
      <c r="P41" s="16">
        <v>0</v>
      </c>
      <c r="Q41" s="14">
        <v>0</v>
      </c>
      <c r="R41" s="16">
        <v>0</v>
      </c>
    </row>
    <row r="42" spans="1:18" x14ac:dyDescent="0.25">
      <c r="A42" s="11" t="s">
        <v>175</v>
      </c>
      <c r="B42" s="13">
        <f>IF(COUNT(B7:B41) &gt; 0, AVERAGE(B7:B41), "\u2014")</f>
        <v>7266.90625</v>
      </c>
      <c r="C42" s="14">
        <f>IF(COUNT(C7:C41) &gt; 0, AVERAGE(C7:C41), "—")</f>
        <v>83.243101146252428</v>
      </c>
      <c r="D42" s="15">
        <f>IF(COUNT(D7:D41) &gt; 0, AVERAGE(D7:D41), "—")</f>
        <v>1218.28125</v>
      </c>
      <c r="E42" s="14">
        <f>IF(COUNT(E7:E41) &gt; 0, AVERAGE(E7:E41), "—")</f>
        <v>20.126520294999999</v>
      </c>
      <c r="F42" s="16">
        <f>IF(COUNT(F7:F41) &gt; 0, SQRT(SUMSQ(F7:F41)/(COUNT(F7:F41)*COUNT(F7:F41)) ), "—")</f>
        <v>0.23728289494655916</v>
      </c>
      <c r="G42" s="14">
        <f>IF(COUNT(G7:G41) &gt; 0, AVERAGE(G7:G41), "—")</f>
        <v>76.947737682812502</v>
      </c>
      <c r="H42" s="16">
        <f>IF(COUNT(H7:H41) &gt; 0, SQRT(SUMSQ(H7:H41)/(COUNT(H7:H41)*COUNT(H7:H41)) ), "—")</f>
        <v>0.24081976755446549</v>
      </c>
      <c r="I42" s="14" t="str">
        <f>IF(COUNT(I7:I41) &gt; 0, AVERAGE(I7:I41), "—")</f>
        <v>—</v>
      </c>
      <c r="J42" s="16" t="str">
        <f>IF(COUNT(J7:J41) &gt; 0, SQRT(SUMSQ(J7:J41)/(COUNT(J7:J41)*COUNT(J7:J41)) ), "—")</f>
        <v>—</v>
      </c>
      <c r="K42" s="14">
        <f>IF(COUNT(K7:K41) &gt; 0, AVERAGE(K7:K41), "—")</f>
        <v>0</v>
      </c>
      <c r="L42" s="16">
        <f>IF(COUNT(L7:L41) &gt; 0, SQRT(SUMSQ(L7:L41)/(COUNT(L7:L41)*COUNT(L7:L41)) ), "—")</f>
        <v>0</v>
      </c>
      <c r="M42" s="14">
        <f>IF(COUNT(M7:M41) &gt; 0, AVERAGE(M7:M41), "—")</f>
        <v>2.9257420221874999</v>
      </c>
      <c r="N42" s="16">
        <f>IF(COUNT(N7:N41) &gt; 0, SQRT(SUMSQ(N7:N41)/(COUNT(N7:N41)*COUNT(N7:N41)) ), "—")</f>
        <v>4.5974215312499997E-2</v>
      </c>
      <c r="O42" s="14">
        <f>IF(COUNT(O7:O41) &gt; 0, AVERAGE(O7:O41), "—")</f>
        <v>0</v>
      </c>
      <c r="P42" s="16">
        <f>IF(COUNT(P7:P41) &gt; 0, SQRT(SUMSQ(P7:P41)/(COUNT(P7:P41)*COUNT(P7:P41)) ), "—")</f>
        <v>0</v>
      </c>
      <c r="Q42" s="14">
        <f>IF(COUNT(Q7:Q41) &gt; 0, AVERAGE(Q7:Q41), "—")</f>
        <v>0</v>
      </c>
      <c r="R42" s="16">
        <f>IF(COUNT(R7:R41) &gt; 0, SQRT(SUMSQ(R7:R41)/(COUNT(R7:R41)*COUNT(R7:R41)) ), "—")</f>
        <v>0</v>
      </c>
    </row>
    <row r="43" spans="1:18" x14ac:dyDescent="0.25">
      <c r="A43" s="9" t="s">
        <v>176</v>
      </c>
      <c r="B43" s="10"/>
      <c r="C43" s="10"/>
      <c r="D43" s="11"/>
      <c r="E43" s="10"/>
      <c r="F43" s="11"/>
      <c r="G43" s="10"/>
      <c r="H43" s="11"/>
      <c r="I43" s="10"/>
      <c r="J43" s="11"/>
      <c r="K43" s="10"/>
      <c r="L43" s="11"/>
      <c r="M43" s="10"/>
      <c r="N43" s="11"/>
      <c r="O43" s="10"/>
      <c r="P43" s="11"/>
      <c r="Q43" s="10"/>
      <c r="R43" s="12"/>
    </row>
    <row r="44" spans="1:18" x14ac:dyDescent="0.25">
      <c r="A44" s="11" t="s">
        <v>177</v>
      </c>
      <c r="B44" s="17" t="s">
        <v>154</v>
      </c>
      <c r="C44" s="17" t="s">
        <v>154</v>
      </c>
      <c r="D44" s="18" t="s">
        <v>154</v>
      </c>
      <c r="E44" s="17" t="s">
        <v>154</v>
      </c>
      <c r="F44" s="18" t="s">
        <v>154</v>
      </c>
      <c r="G44" s="17" t="s">
        <v>154</v>
      </c>
      <c r="H44" s="18" t="s">
        <v>154</v>
      </c>
      <c r="I44" s="17" t="s">
        <v>154</v>
      </c>
      <c r="J44" s="18" t="s">
        <v>154</v>
      </c>
      <c r="K44" s="17" t="s">
        <v>154</v>
      </c>
      <c r="L44" s="18" t="s">
        <v>154</v>
      </c>
      <c r="M44" s="17" t="s">
        <v>154</v>
      </c>
      <c r="N44" s="18" t="s">
        <v>154</v>
      </c>
      <c r="O44" s="17" t="s">
        <v>154</v>
      </c>
      <c r="P44" s="18" t="s">
        <v>154</v>
      </c>
      <c r="Q44" s="17" t="s">
        <v>154</v>
      </c>
      <c r="R44" s="18" t="s">
        <v>154</v>
      </c>
    </row>
    <row r="45" spans="1:18" x14ac:dyDescent="0.25">
      <c r="A45" s="11" t="s">
        <v>178</v>
      </c>
      <c r="B45" s="17" t="s">
        <v>154</v>
      </c>
      <c r="C45" s="17" t="s">
        <v>154</v>
      </c>
      <c r="D45" s="18" t="s">
        <v>154</v>
      </c>
      <c r="E45" s="17" t="s">
        <v>154</v>
      </c>
      <c r="F45" s="18" t="s">
        <v>154</v>
      </c>
      <c r="G45" s="17" t="s">
        <v>154</v>
      </c>
      <c r="H45" s="18" t="s">
        <v>154</v>
      </c>
      <c r="I45" s="17" t="s">
        <v>154</v>
      </c>
      <c r="J45" s="18" t="s">
        <v>154</v>
      </c>
      <c r="K45" s="17" t="s">
        <v>154</v>
      </c>
      <c r="L45" s="18" t="s">
        <v>154</v>
      </c>
      <c r="M45" s="17" t="s">
        <v>154</v>
      </c>
      <c r="N45" s="18" t="s">
        <v>154</v>
      </c>
      <c r="O45" s="17" t="s">
        <v>154</v>
      </c>
      <c r="P45" s="18" t="s">
        <v>154</v>
      </c>
      <c r="Q45" s="17" t="s">
        <v>154</v>
      </c>
      <c r="R45" s="18" t="s">
        <v>154</v>
      </c>
    </row>
    <row r="46" spans="1:18" x14ac:dyDescent="0.25">
      <c r="A46" s="11" t="s">
        <v>179</v>
      </c>
      <c r="B46" s="13">
        <v>23141</v>
      </c>
      <c r="C46" s="14">
        <f>(20079/B46*100)</f>
        <v>86.768073981245408</v>
      </c>
      <c r="D46" s="15">
        <v>3062</v>
      </c>
      <c r="E46" s="14">
        <v>28.860821179999999</v>
      </c>
      <c r="F46" s="16">
        <v>1.1653214300000001</v>
      </c>
      <c r="G46" s="14">
        <v>71.139178819999998</v>
      </c>
      <c r="H46" s="16">
        <v>1.1653214300000001</v>
      </c>
      <c r="I46" s="14" t="s">
        <v>139</v>
      </c>
      <c r="J46" s="16" t="s">
        <v>139</v>
      </c>
      <c r="K46" s="14">
        <v>0</v>
      </c>
      <c r="L46" s="16">
        <v>0</v>
      </c>
      <c r="M46" s="14">
        <v>0</v>
      </c>
      <c r="N46" s="16">
        <v>0</v>
      </c>
      <c r="O46" s="14">
        <v>0</v>
      </c>
      <c r="P46" s="16">
        <v>0</v>
      </c>
      <c r="Q46" s="14">
        <v>0</v>
      </c>
      <c r="R46" s="16">
        <v>0</v>
      </c>
    </row>
    <row r="47" spans="1:18" x14ac:dyDescent="0.25">
      <c r="A47" s="11" t="s">
        <v>180</v>
      </c>
      <c r="B47" s="13">
        <v>5928</v>
      </c>
      <c r="C47" s="14">
        <f>(4949/B47*100)</f>
        <v>83.485155195681514</v>
      </c>
      <c r="D47" s="15">
        <v>979</v>
      </c>
      <c r="E47" s="14">
        <v>22.483411149999998</v>
      </c>
      <c r="F47" s="16">
        <v>1.45585571</v>
      </c>
      <c r="G47" s="14">
        <v>77.516588850000005</v>
      </c>
      <c r="H47" s="16">
        <v>1.45585571</v>
      </c>
      <c r="I47" s="14" t="s">
        <v>139</v>
      </c>
      <c r="J47" s="16" t="s">
        <v>139</v>
      </c>
      <c r="K47" s="14">
        <v>0</v>
      </c>
      <c r="L47" s="16">
        <v>0</v>
      </c>
      <c r="M47" s="14">
        <v>0</v>
      </c>
      <c r="N47" s="16">
        <v>0</v>
      </c>
      <c r="O47" s="14">
        <v>0</v>
      </c>
      <c r="P47" s="16">
        <v>0</v>
      </c>
      <c r="Q47" s="14">
        <v>0</v>
      </c>
      <c r="R47" s="16">
        <v>0</v>
      </c>
    </row>
    <row r="48" spans="1:18" x14ac:dyDescent="0.25">
      <c r="A48" s="11" t="s">
        <v>181</v>
      </c>
      <c r="B48" s="13">
        <v>9841</v>
      </c>
      <c r="C48" s="14">
        <f>(8141/B48*100)</f>
        <v>82.725332791382982</v>
      </c>
      <c r="D48" s="15">
        <v>1700</v>
      </c>
      <c r="E48" s="14">
        <v>18.417289759999999</v>
      </c>
      <c r="F48" s="16">
        <v>1.3784649899999999</v>
      </c>
      <c r="G48" s="14">
        <v>81.582710239999997</v>
      </c>
      <c r="H48" s="16">
        <v>1.3784649899999999</v>
      </c>
      <c r="I48" s="14" t="s">
        <v>139</v>
      </c>
      <c r="J48" s="16" t="s">
        <v>139</v>
      </c>
      <c r="K48" s="14">
        <v>0</v>
      </c>
      <c r="L48" s="16">
        <v>0</v>
      </c>
      <c r="M48" s="14">
        <v>0</v>
      </c>
      <c r="N48" s="16">
        <v>0</v>
      </c>
      <c r="O48" s="14">
        <v>0</v>
      </c>
      <c r="P48" s="16">
        <v>0</v>
      </c>
      <c r="Q48" s="14">
        <v>0</v>
      </c>
      <c r="R48" s="16">
        <v>0</v>
      </c>
    </row>
    <row r="49" spans="1:18" x14ac:dyDescent="0.25">
      <c r="A49" s="11" t="s">
        <v>182</v>
      </c>
      <c r="B49" s="17" t="s">
        <v>154</v>
      </c>
      <c r="C49" s="17" t="s">
        <v>154</v>
      </c>
      <c r="D49" s="18" t="s">
        <v>154</v>
      </c>
      <c r="E49" s="17" t="s">
        <v>154</v>
      </c>
      <c r="F49" s="18" t="s">
        <v>154</v>
      </c>
      <c r="G49" s="17" t="s">
        <v>154</v>
      </c>
      <c r="H49" s="18" t="s">
        <v>154</v>
      </c>
      <c r="I49" s="17" t="s">
        <v>154</v>
      </c>
      <c r="J49" s="18" t="s">
        <v>154</v>
      </c>
      <c r="K49" s="17" t="s">
        <v>154</v>
      </c>
      <c r="L49" s="18" t="s">
        <v>154</v>
      </c>
      <c r="M49" s="17" t="s">
        <v>154</v>
      </c>
      <c r="N49" s="18" t="s">
        <v>154</v>
      </c>
      <c r="O49" s="17" t="s">
        <v>154</v>
      </c>
      <c r="P49" s="18" t="s">
        <v>154</v>
      </c>
      <c r="Q49" s="17" t="s">
        <v>154</v>
      </c>
      <c r="R49" s="18" t="s">
        <v>154</v>
      </c>
    </row>
    <row r="50" spans="1:18" x14ac:dyDescent="0.25">
      <c r="A50" s="11" t="s">
        <v>183</v>
      </c>
      <c r="B50" s="13">
        <v>11795</v>
      </c>
      <c r="C50" s="14">
        <f>(9899/B50*100)</f>
        <v>83.925392115303097</v>
      </c>
      <c r="D50" s="15">
        <v>1896</v>
      </c>
      <c r="E50" s="14">
        <v>18.192527760000001</v>
      </c>
      <c r="F50" s="16">
        <v>1.2177039000000001</v>
      </c>
      <c r="G50" s="14">
        <v>81.807472239999996</v>
      </c>
      <c r="H50" s="16">
        <v>1.2177039000000001</v>
      </c>
      <c r="I50" s="14" t="s">
        <v>139</v>
      </c>
      <c r="J50" s="16" t="s">
        <v>139</v>
      </c>
      <c r="K50" s="14">
        <v>0</v>
      </c>
      <c r="L50" s="16">
        <v>0</v>
      </c>
      <c r="M50" s="14">
        <v>0</v>
      </c>
      <c r="N50" s="16">
        <v>0</v>
      </c>
      <c r="O50" s="14">
        <v>0</v>
      </c>
      <c r="P50" s="16">
        <v>0</v>
      </c>
      <c r="Q50" s="14">
        <v>0</v>
      </c>
      <c r="R50" s="16">
        <v>0</v>
      </c>
    </row>
    <row r="51" spans="1:18" x14ac:dyDescent="0.25">
      <c r="A51" s="11" t="s">
        <v>184</v>
      </c>
      <c r="B51" s="13">
        <v>6866</v>
      </c>
      <c r="C51" s="14">
        <f>(5872/B51*100)</f>
        <v>85.522866297698812</v>
      </c>
      <c r="D51" s="15">
        <v>994</v>
      </c>
      <c r="E51" s="14">
        <v>17.57876478</v>
      </c>
      <c r="F51" s="16">
        <v>1.1763955100000001</v>
      </c>
      <c r="G51" s="14">
        <v>82.42123522</v>
      </c>
      <c r="H51" s="16">
        <v>1.1763955100000001</v>
      </c>
      <c r="I51" s="14" t="s">
        <v>139</v>
      </c>
      <c r="J51" s="16" t="s">
        <v>139</v>
      </c>
      <c r="K51" s="14">
        <v>0</v>
      </c>
      <c r="L51" s="16">
        <v>0</v>
      </c>
      <c r="M51" s="14">
        <v>0</v>
      </c>
      <c r="N51" s="16">
        <v>0</v>
      </c>
      <c r="O51" s="14">
        <v>0</v>
      </c>
      <c r="P51" s="16">
        <v>0</v>
      </c>
      <c r="Q51" s="14">
        <v>0</v>
      </c>
      <c r="R51" s="16">
        <v>0</v>
      </c>
    </row>
    <row r="52" spans="1:18" x14ac:dyDescent="0.25">
      <c r="A52" s="11" t="s">
        <v>185</v>
      </c>
      <c r="B52" s="13">
        <v>5809</v>
      </c>
      <c r="C52" s="14">
        <f>(4826/B52*100)</f>
        <v>83.077982441039765</v>
      </c>
      <c r="D52" s="15">
        <v>983</v>
      </c>
      <c r="E52" s="14">
        <v>16.00368211</v>
      </c>
      <c r="F52" s="16">
        <v>1.13315152</v>
      </c>
      <c r="G52" s="14">
        <v>83.99631789</v>
      </c>
      <c r="H52" s="16">
        <v>1.13315152</v>
      </c>
      <c r="I52" s="14" t="s">
        <v>139</v>
      </c>
      <c r="J52" s="16" t="s">
        <v>139</v>
      </c>
      <c r="K52" s="14">
        <v>0</v>
      </c>
      <c r="L52" s="16">
        <v>0</v>
      </c>
      <c r="M52" s="14">
        <v>0</v>
      </c>
      <c r="N52" s="16">
        <v>0</v>
      </c>
      <c r="O52" s="14">
        <v>0</v>
      </c>
      <c r="P52" s="16">
        <v>0</v>
      </c>
      <c r="Q52" s="14">
        <v>0</v>
      </c>
      <c r="R52" s="16">
        <v>0</v>
      </c>
    </row>
    <row r="53" spans="1:18" x14ac:dyDescent="0.25">
      <c r="A53" s="11" t="s">
        <v>186</v>
      </c>
      <c r="B53" s="13">
        <v>5571</v>
      </c>
      <c r="C53" s="14">
        <f>(4611/B53*100)</f>
        <v>82.767905223478735</v>
      </c>
      <c r="D53" s="15">
        <v>960</v>
      </c>
      <c r="E53" s="14">
        <v>30.024023110000002</v>
      </c>
      <c r="F53" s="16">
        <v>1.3527966</v>
      </c>
      <c r="G53" s="14">
        <v>69.975976889999998</v>
      </c>
      <c r="H53" s="16">
        <v>1.3527966</v>
      </c>
      <c r="I53" s="14" t="s">
        <v>139</v>
      </c>
      <c r="J53" s="16" t="s">
        <v>139</v>
      </c>
      <c r="K53" s="14">
        <v>0</v>
      </c>
      <c r="L53" s="16">
        <v>0</v>
      </c>
      <c r="M53" s="14">
        <v>0</v>
      </c>
      <c r="N53" s="16">
        <v>0</v>
      </c>
      <c r="O53" s="14">
        <v>0</v>
      </c>
      <c r="P53" s="16">
        <v>0</v>
      </c>
      <c r="Q53" s="14">
        <v>0</v>
      </c>
      <c r="R53" s="16">
        <v>0</v>
      </c>
    </row>
    <row r="54" spans="1:18" x14ac:dyDescent="0.25">
      <c r="A54" s="11" t="s">
        <v>187</v>
      </c>
      <c r="B54" s="17" t="s">
        <v>154</v>
      </c>
      <c r="C54" s="17" t="s">
        <v>154</v>
      </c>
      <c r="D54" s="18" t="s">
        <v>154</v>
      </c>
      <c r="E54" s="17" t="s">
        <v>154</v>
      </c>
      <c r="F54" s="18" t="s">
        <v>154</v>
      </c>
      <c r="G54" s="17" t="s">
        <v>154</v>
      </c>
      <c r="H54" s="18" t="s">
        <v>154</v>
      </c>
      <c r="I54" s="17" t="s">
        <v>154</v>
      </c>
      <c r="J54" s="18" t="s">
        <v>154</v>
      </c>
      <c r="K54" s="17" t="s">
        <v>154</v>
      </c>
      <c r="L54" s="18" t="s">
        <v>154</v>
      </c>
      <c r="M54" s="17" t="s">
        <v>154</v>
      </c>
      <c r="N54" s="18" t="s">
        <v>154</v>
      </c>
      <c r="O54" s="17" t="s">
        <v>154</v>
      </c>
      <c r="P54" s="18" t="s">
        <v>154</v>
      </c>
      <c r="Q54" s="17" t="s">
        <v>154</v>
      </c>
      <c r="R54" s="18" t="s">
        <v>154</v>
      </c>
    </row>
    <row r="55" spans="1:18" x14ac:dyDescent="0.25">
      <c r="A55" s="11" t="s">
        <v>188</v>
      </c>
      <c r="B55" s="17" t="s">
        <v>154</v>
      </c>
      <c r="C55" s="17" t="s">
        <v>154</v>
      </c>
      <c r="D55" s="18" t="s">
        <v>154</v>
      </c>
      <c r="E55" s="17" t="s">
        <v>154</v>
      </c>
      <c r="F55" s="18" t="s">
        <v>154</v>
      </c>
      <c r="G55" s="17" t="s">
        <v>154</v>
      </c>
      <c r="H55" s="18" t="s">
        <v>154</v>
      </c>
      <c r="I55" s="17" t="s">
        <v>154</v>
      </c>
      <c r="J55" s="18" t="s">
        <v>154</v>
      </c>
      <c r="K55" s="17" t="s">
        <v>154</v>
      </c>
      <c r="L55" s="18" t="s">
        <v>154</v>
      </c>
      <c r="M55" s="17" t="s">
        <v>154</v>
      </c>
      <c r="N55" s="18" t="s">
        <v>154</v>
      </c>
      <c r="O55" s="17" t="s">
        <v>154</v>
      </c>
      <c r="P55" s="18" t="s">
        <v>154</v>
      </c>
      <c r="Q55" s="17" t="s">
        <v>154</v>
      </c>
      <c r="R55" s="18" t="s">
        <v>154</v>
      </c>
    </row>
    <row r="56" spans="1:18" x14ac:dyDescent="0.25">
      <c r="A56" s="11" t="s">
        <v>189</v>
      </c>
      <c r="B56" s="13">
        <v>5359</v>
      </c>
      <c r="C56" s="14">
        <f>(4422/B56*100)</f>
        <v>82.515394663183429</v>
      </c>
      <c r="D56" s="15">
        <v>937</v>
      </c>
      <c r="E56" s="14">
        <v>19.394383850000001</v>
      </c>
      <c r="F56" s="16">
        <v>1.2301873000000001</v>
      </c>
      <c r="G56" s="14">
        <v>80.605616150000003</v>
      </c>
      <c r="H56" s="16">
        <v>1.2301873000000001</v>
      </c>
      <c r="I56" s="14" t="s">
        <v>139</v>
      </c>
      <c r="J56" s="16" t="s">
        <v>139</v>
      </c>
      <c r="K56" s="14">
        <v>0</v>
      </c>
      <c r="L56" s="16">
        <v>0</v>
      </c>
      <c r="M56" s="14">
        <v>0</v>
      </c>
      <c r="N56" s="16">
        <v>0</v>
      </c>
      <c r="O56" s="14">
        <v>0</v>
      </c>
      <c r="P56" s="16">
        <v>0</v>
      </c>
      <c r="Q56" s="14">
        <v>0</v>
      </c>
      <c r="R56" s="16">
        <v>0</v>
      </c>
    </row>
    <row r="57" spans="1:18" x14ac:dyDescent="0.25">
      <c r="A57" s="11" t="s">
        <v>190</v>
      </c>
      <c r="B57" s="17" t="s">
        <v>154</v>
      </c>
      <c r="C57" s="17" t="s">
        <v>154</v>
      </c>
      <c r="D57" s="18" t="s">
        <v>154</v>
      </c>
      <c r="E57" s="17" t="s">
        <v>154</v>
      </c>
      <c r="F57" s="18" t="s">
        <v>154</v>
      </c>
      <c r="G57" s="17" t="s">
        <v>154</v>
      </c>
      <c r="H57" s="18" t="s">
        <v>154</v>
      </c>
      <c r="I57" s="17" t="s">
        <v>154</v>
      </c>
      <c r="J57" s="18" t="s">
        <v>154</v>
      </c>
      <c r="K57" s="17" t="s">
        <v>154</v>
      </c>
      <c r="L57" s="18" t="s">
        <v>154</v>
      </c>
      <c r="M57" s="17" t="s">
        <v>154</v>
      </c>
      <c r="N57" s="18" t="s">
        <v>154</v>
      </c>
      <c r="O57" s="17" t="s">
        <v>154</v>
      </c>
      <c r="P57" s="18" t="s">
        <v>154</v>
      </c>
      <c r="Q57" s="17" t="s">
        <v>154</v>
      </c>
      <c r="R57" s="18" t="s">
        <v>154</v>
      </c>
    </row>
    <row r="58" spans="1:18" x14ac:dyDescent="0.25">
      <c r="A58" s="11" t="s">
        <v>191</v>
      </c>
      <c r="B58" s="17" t="s">
        <v>154</v>
      </c>
      <c r="C58" s="17" t="s">
        <v>154</v>
      </c>
      <c r="D58" s="18" t="s">
        <v>154</v>
      </c>
      <c r="E58" s="17" t="s">
        <v>154</v>
      </c>
      <c r="F58" s="18" t="s">
        <v>154</v>
      </c>
      <c r="G58" s="17" t="s">
        <v>154</v>
      </c>
      <c r="H58" s="18" t="s">
        <v>154</v>
      </c>
      <c r="I58" s="17" t="s">
        <v>154</v>
      </c>
      <c r="J58" s="18" t="s">
        <v>154</v>
      </c>
      <c r="K58" s="17" t="s">
        <v>154</v>
      </c>
      <c r="L58" s="18" t="s">
        <v>154</v>
      </c>
      <c r="M58" s="17" t="s">
        <v>154</v>
      </c>
      <c r="N58" s="18" t="s">
        <v>154</v>
      </c>
      <c r="O58" s="17" t="s">
        <v>154</v>
      </c>
      <c r="P58" s="18" t="s">
        <v>154</v>
      </c>
      <c r="Q58" s="17" t="s">
        <v>154</v>
      </c>
      <c r="R58" s="18" t="s">
        <v>154</v>
      </c>
    </row>
    <row r="59" spans="1:18" x14ac:dyDescent="0.25">
      <c r="A59" s="11" t="s">
        <v>192</v>
      </c>
      <c r="B59" s="17" t="s">
        <v>154</v>
      </c>
      <c r="C59" s="17" t="s">
        <v>154</v>
      </c>
      <c r="D59" s="18" t="s">
        <v>154</v>
      </c>
      <c r="E59" s="17" t="s">
        <v>154</v>
      </c>
      <c r="F59" s="18" t="s">
        <v>154</v>
      </c>
      <c r="G59" s="17" t="s">
        <v>154</v>
      </c>
      <c r="H59" s="18" t="s">
        <v>154</v>
      </c>
      <c r="I59" s="17" t="s">
        <v>154</v>
      </c>
      <c r="J59" s="18" t="s">
        <v>154</v>
      </c>
      <c r="K59" s="17" t="s">
        <v>154</v>
      </c>
      <c r="L59" s="18" t="s">
        <v>154</v>
      </c>
      <c r="M59" s="17" t="s">
        <v>154</v>
      </c>
      <c r="N59" s="18" t="s">
        <v>154</v>
      </c>
      <c r="O59" s="17" t="s">
        <v>154</v>
      </c>
      <c r="P59" s="18" t="s">
        <v>154</v>
      </c>
      <c r="Q59" s="17" t="s">
        <v>154</v>
      </c>
      <c r="R59" s="18" t="s">
        <v>154</v>
      </c>
    </row>
    <row r="60" spans="1:18" x14ac:dyDescent="0.25">
      <c r="A60" s="11" t="s">
        <v>193</v>
      </c>
      <c r="B60" s="17" t="s">
        <v>154</v>
      </c>
      <c r="C60" s="17" t="s">
        <v>154</v>
      </c>
      <c r="D60" s="18" t="s">
        <v>154</v>
      </c>
      <c r="E60" s="17" t="s">
        <v>154</v>
      </c>
      <c r="F60" s="18" t="s">
        <v>154</v>
      </c>
      <c r="G60" s="17" t="s">
        <v>154</v>
      </c>
      <c r="H60" s="18" t="s">
        <v>154</v>
      </c>
      <c r="I60" s="17" t="s">
        <v>154</v>
      </c>
      <c r="J60" s="18" t="s">
        <v>154</v>
      </c>
      <c r="K60" s="17" t="s">
        <v>154</v>
      </c>
      <c r="L60" s="18" t="s">
        <v>154</v>
      </c>
      <c r="M60" s="17" t="s">
        <v>154</v>
      </c>
      <c r="N60" s="18" t="s">
        <v>154</v>
      </c>
      <c r="O60" s="17" t="s">
        <v>154</v>
      </c>
      <c r="P60" s="18" t="s">
        <v>154</v>
      </c>
      <c r="Q60" s="17" t="s">
        <v>154</v>
      </c>
      <c r="R60" s="18" t="s">
        <v>154</v>
      </c>
    </row>
    <row r="61" spans="1:18" x14ac:dyDescent="0.25">
      <c r="A61" s="11" t="s">
        <v>194</v>
      </c>
      <c r="B61" s="13">
        <v>6525</v>
      </c>
      <c r="C61" s="14">
        <f>(5422/B61*100)</f>
        <v>83.095785440613028</v>
      </c>
      <c r="D61" s="15">
        <v>1103</v>
      </c>
      <c r="E61" s="14">
        <v>15.823990520000001</v>
      </c>
      <c r="F61" s="16">
        <v>1.14920534</v>
      </c>
      <c r="G61" s="14">
        <v>84.176009480000005</v>
      </c>
      <c r="H61" s="16">
        <v>1.14920534</v>
      </c>
      <c r="I61" s="14" t="s">
        <v>139</v>
      </c>
      <c r="J61" s="16" t="s">
        <v>139</v>
      </c>
      <c r="K61" s="14">
        <v>0</v>
      </c>
      <c r="L61" s="16">
        <v>0</v>
      </c>
      <c r="M61" s="14">
        <v>0</v>
      </c>
      <c r="N61" s="16">
        <v>0</v>
      </c>
      <c r="O61" s="14">
        <v>0</v>
      </c>
      <c r="P61" s="16">
        <v>0</v>
      </c>
      <c r="Q61" s="14">
        <v>0</v>
      </c>
      <c r="R61" s="16">
        <v>0</v>
      </c>
    </row>
    <row r="62" spans="1:18" x14ac:dyDescent="0.25">
      <c r="A62" s="11" t="s">
        <v>195</v>
      </c>
      <c r="B62" s="13">
        <v>4476</v>
      </c>
      <c r="C62" s="14">
        <f>(3726/B62*100)</f>
        <v>83.243967828418235</v>
      </c>
      <c r="D62" s="15">
        <v>750</v>
      </c>
      <c r="E62" s="14">
        <v>18.002724000000001</v>
      </c>
      <c r="F62" s="16">
        <v>1.2462374899999999</v>
      </c>
      <c r="G62" s="14">
        <v>81.997275999999999</v>
      </c>
      <c r="H62" s="16">
        <v>1.2462374899999999</v>
      </c>
      <c r="I62" s="14" t="s">
        <v>139</v>
      </c>
      <c r="J62" s="16" t="s">
        <v>139</v>
      </c>
      <c r="K62" s="14">
        <v>0</v>
      </c>
      <c r="L62" s="16">
        <v>0</v>
      </c>
      <c r="M62" s="14">
        <v>0</v>
      </c>
      <c r="N62" s="16">
        <v>0</v>
      </c>
      <c r="O62" s="14">
        <v>0</v>
      </c>
      <c r="P62" s="16">
        <v>0</v>
      </c>
      <c r="Q62" s="14">
        <v>0</v>
      </c>
      <c r="R62" s="16">
        <v>0</v>
      </c>
    </row>
    <row r="63" spans="1:18" x14ac:dyDescent="0.25">
      <c r="A63" s="11" t="s">
        <v>196</v>
      </c>
      <c r="B63" s="17" t="s">
        <v>154</v>
      </c>
      <c r="C63" s="17" t="s">
        <v>154</v>
      </c>
      <c r="D63" s="18" t="s">
        <v>154</v>
      </c>
      <c r="E63" s="17" t="s">
        <v>154</v>
      </c>
      <c r="F63" s="18" t="s">
        <v>154</v>
      </c>
      <c r="G63" s="17" t="s">
        <v>154</v>
      </c>
      <c r="H63" s="18" t="s">
        <v>154</v>
      </c>
      <c r="I63" s="17" t="s">
        <v>154</v>
      </c>
      <c r="J63" s="18" t="s">
        <v>154</v>
      </c>
      <c r="K63" s="17" t="s">
        <v>154</v>
      </c>
      <c r="L63" s="18" t="s">
        <v>154</v>
      </c>
      <c r="M63" s="17" t="s">
        <v>154</v>
      </c>
      <c r="N63" s="18" t="s">
        <v>154</v>
      </c>
      <c r="O63" s="17" t="s">
        <v>154</v>
      </c>
      <c r="P63" s="18" t="s">
        <v>154</v>
      </c>
      <c r="Q63" s="17" t="s">
        <v>154</v>
      </c>
      <c r="R63" s="18" t="s">
        <v>154</v>
      </c>
    </row>
    <row r="64" spans="1:18" x14ac:dyDescent="0.25">
      <c r="A64" s="11" t="s">
        <v>197</v>
      </c>
      <c r="B64" s="17" t="s">
        <v>154</v>
      </c>
      <c r="C64" s="17" t="s">
        <v>154</v>
      </c>
      <c r="D64" s="18" t="s">
        <v>154</v>
      </c>
      <c r="E64" s="17" t="s">
        <v>154</v>
      </c>
      <c r="F64" s="18" t="s">
        <v>154</v>
      </c>
      <c r="G64" s="17" t="s">
        <v>154</v>
      </c>
      <c r="H64" s="18" t="s">
        <v>154</v>
      </c>
      <c r="I64" s="17" t="s">
        <v>154</v>
      </c>
      <c r="J64" s="18" t="s">
        <v>154</v>
      </c>
      <c r="K64" s="17" t="s">
        <v>154</v>
      </c>
      <c r="L64" s="18" t="s">
        <v>154</v>
      </c>
      <c r="M64" s="17" t="s">
        <v>154</v>
      </c>
      <c r="N64" s="18" t="s">
        <v>154</v>
      </c>
      <c r="O64" s="17" t="s">
        <v>154</v>
      </c>
      <c r="P64" s="18" t="s">
        <v>154</v>
      </c>
      <c r="Q64" s="17" t="s">
        <v>154</v>
      </c>
      <c r="R64" s="18" t="s">
        <v>154</v>
      </c>
    </row>
    <row r="65" spans="1:18" x14ac:dyDescent="0.25">
      <c r="A65" s="11" t="s">
        <v>198</v>
      </c>
      <c r="B65" s="17" t="s">
        <v>154</v>
      </c>
      <c r="C65" s="17" t="s">
        <v>154</v>
      </c>
      <c r="D65" s="18" t="s">
        <v>154</v>
      </c>
      <c r="E65" s="17" t="s">
        <v>154</v>
      </c>
      <c r="F65" s="18" t="s">
        <v>154</v>
      </c>
      <c r="G65" s="17" t="s">
        <v>154</v>
      </c>
      <c r="H65" s="18" t="s">
        <v>154</v>
      </c>
      <c r="I65" s="17" t="s">
        <v>154</v>
      </c>
      <c r="J65" s="18" t="s">
        <v>154</v>
      </c>
      <c r="K65" s="17" t="s">
        <v>154</v>
      </c>
      <c r="L65" s="18" t="s">
        <v>154</v>
      </c>
      <c r="M65" s="17" t="s">
        <v>154</v>
      </c>
      <c r="N65" s="18" t="s">
        <v>154</v>
      </c>
      <c r="O65" s="17" t="s">
        <v>154</v>
      </c>
      <c r="P65" s="18" t="s">
        <v>154</v>
      </c>
      <c r="Q65" s="17" t="s">
        <v>154</v>
      </c>
      <c r="R65" s="18" t="s">
        <v>154</v>
      </c>
    </row>
    <row r="66" spans="1:18" x14ac:dyDescent="0.25">
      <c r="A66" s="11" t="s">
        <v>199</v>
      </c>
      <c r="B66" s="13">
        <v>5665</v>
      </c>
      <c r="C66" s="14">
        <f>(4731/B66*100)</f>
        <v>83.512797881729909</v>
      </c>
      <c r="D66" s="15">
        <v>934</v>
      </c>
      <c r="E66" s="14">
        <v>23.812286390000001</v>
      </c>
      <c r="F66" s="16">
        <v>1.3578937799999999</v>
      </c>
      <c r="G66" s="14">
        <v>76.187713610000003</v>
      </c>
      <c r="H66" s="16">
        <v>1.3578937799999999</v>
      </c>
      <c r="I66" s="14" t="s">
        <v>139</v>
      </c>
      <c r="J66" s="16" t="s">
        <v>139</v>
      </c>
      <c r="K66" s="14">
        <v>0</v>
      </c>
      <c r="L66" s="16">
        <v>0</v>
      </c>
      <c r="M66" s="14">
        <v>0</v>
      </c>
      <c r="N66" s="16">
        <v>0</v>
      </c>
      <c r="O66" s="14">
        <v>0</v>
      </c>
      <c r="P66" s="16">
        <v>0</v>
      </c>
      <c r="Q66" s="14">
        <v>0</v>
      </c>
      <c r="R66" s="16">
        <v>0</v>
      </c>
    </row>
    <row r="67" spans="1:18" x14ac:dyDescent="0.25">
      <c r="A67" s="11" t="s">
        <v>200</v>
      </c>
      <c r="B67" s="13">
        <v>6971</v>
      </c>
      <c r="C67" s="14">
        <f>(5956/B67*100)</f>
        <v>85.439678668770625</v>
      </c>
      <c r="D67" s="15">
        <v>1015</v>
      </c>
      <c r="E67" s="14">
        <v>17.68081798</v>
      </c>
      <c r="F67" s="16">
        <v>1.30257274</v>
      </c>
      <c r="G67" s="14">
        <v>82.31918202</v>
      </c>
      <c r="H67" s="16">
        <v>1.30257274</v>
      </c>
      <c r="I67" s="14" t="s">
        <v>139</v>
      </c>
      <c r="J67" s="16" t="s">
        <v>139</v>
      </c>
      <c r="K67" s="14">
        <v>0</v>
      </c>
      <c r="L67" s="16">
        <v>0</v>
      </c>
      <c r="M67" s="14">
        <v>0</v>
      </c>
      <c r="N67" s="16">
        <v>0</v>
      </c>
      <c r="O67" s="14">
        <v>0</v>
      </c>
      <c r="P67" s="16">
        <v>0</v>
      </c>
      <c r="Q67" s="14">
        <v>0</v>
      </c>
      <c r="R67" s="16">
        <v>0</v>
      </c>
    </row>
    <row r="68" spans="1:18" x14ac:dyDescent="0.25">
      <c r="A68" s="11" t="s">
        <v>201</v>
      </c>
      <c r="B68" s="17" t="s">
        <v>154</v>
      </c>
      <c r="C68" s="17" t="s">
        <v>154</v>
      </c>
      <c r="D68" s="18" t="s">
        <v>154</v>
      </c>
      <c r="E68" s="17" t="s">
        <v>154</v>
      </c>
      <c r="F68" s="18" t="s">
        <v>154</v>
      </c>
      <c r="G68" s="17" t="s">
        <v>154</v>
      </c>
      <c r="H68" s="18" t="s">
        <v>154</v>
      </c>
      <c r="I68" s="17" t="s">
        <v>154</v>
      </c>
      <c r="J68" s="18" t="s">
        <v>154</v>
      </c>
      <c r="K68" s="17" t="s">
        <v>154</v>
      </c>
      <c r="L68" s="18" t="s">
        <v>154</v>
      </c>
      <c r="M68" s="17" t="s">
        <v>154</v>
      </c>
      <c r="N68" s="18" t="s">
        <v>154</v>
      </c>
      <c r="O68" s="17" t="s">
        <v>154</v>
      </c>
      <c r="P68" s="18" t="s">
        <v>154</v>
      </c>
      <c r="Q68" s="17" t="s">
        <v>154</v>
      </c>
      <c r="R68" s="18" t="s">
        <v>154</v>
      </c>
    </row>
    <row r="69" spans="1:18" x14ac:dyDescent="0.25">
      <c r="A69" s="11" t="s">
        <v>202</v>
      </c>
      <c r="B69" s="17" t="s">
        <v>154</v>
      </c>
      <c r="C69" s="17" t="s">
        <v>154</v>
      </c>
      <c r="D69" s="18" t="s">
        <v>154</v>
      </c>
      <c r="E69" s="17" t="s">
        <v>154</v>
      </c>
      <c r="F69" s="18" t="s">
        <v>154</v>
      </c>
      <c r="G69" s="17" t="s">
        <v>154</v>
      </c>
      <c r="H69" s="18" t="s">
        <v>154</v>
      </c>
      <c r="I69" s="17" t="s">
        <v>154</v>
      </c>
      <c r="J69" s="18" t="s">
        <v>154</v>
      </c>
      <c r="K69" s="17" t="s">
        <v>154</v>
      </c>
      <c r="L69" s="18" t="s">
        <v>154</v>
      </c>
      <c r="M69" s="17" t="s">
        <v>154</v>
      </c>
      <c r="N69" s="18" t="s">
        <v>154</v>
      </c>
      <c r="O69" s="17" t="s">
        <v>154</v>
      </c>
      <c r="P69" s="18" t="s">
        <v>154</v>
      </c>
      <c r="Q69" s="17" t="s">
        <v>154</v>
      </c>
      <c r="R69" s="18" t="s">
        <v>154</v>
      </c>
    </row>
    <row r="70" spans="1:18" x14ac:dyDescent="0.25">
      <c r="A70" s="11" t="s">
        <v>203</v>
      </c>
      <c r="B70" s="13">
        <v>6036</v>
      </c>
      <c r="C70" s="14">
        <f>(5027/B70*100)</f>
        <v>83.283631544068911</v>
      </c>
      <c r="D70" s="15">
        <v>1009</v>
      </c>
      <c r="E70" s="14">
        <v>16.48722085</v>
      </c>
      <c r="F70" s="16">
        <v>1.20481997</v>
      </c>
      <c r="G70" s="14">
        <v>83.51277915</v>
      </c>
      <c r="H70" s="16">
        <v>1.20481997</v>
      </c>
      <c r="I70" s="14" t="s">
        <v>139</v>
      </c>
      <c r="J70" s="16" t="s">
        <v>139</v>
      </c>
      <c r="K70" s="14">
        <v>0</v>
      </c>
      <c r="L70" s="16">
        <v>0</v>
      </c>
      <c r="M70" s="14">
        <v>0</v>
      </c>
      <c r="N70" s="16">
        <v>0</v>
      </c>
      <c r="O70" s="14">
        <v>0</v>
      </c>
      <c r="P70" s="16">
        <v>0</v>
      </c>
      <c r="Q70" s="14">
        <v>0</v>
      </c>
      <c r="R70" s="16">
        <v>0</v>
      </c>
    </row>
    <row r="71" spans="1:18" x14ac:dyDescent="0.25">
      <c r="A71" s="11" t="s">
        <v>204</v>
      </c>
      <c r="B71" s="17" t="s">
        <v>154</v>
      </c>
      <c r="C71" s="17" t="s">
        <v>154</v>
      </c>
      <c r="D71" s="18" t="s">
        <v>154</v>
      </c>
      <c r="E71" s="17" t="s">
        <v>154</v>
      </c>
      <c r="F71" s="18" t="s">
        <v>154</v>
      </c>
      <c r="G71" s="17" t="s">
        <v>154</v>
      </c>
      <c r="H71" s="18" t="s">
        <v>154</v>
      </c>
      <c r="I71" s="17" t="s">
        <v>154</v>
      </c>
      <c r="J71" s="18" t="s">
        <v>154</v>
      </c>
      <c r="K71" s="17" t="s">
        <v>154</v>
      </c>
      <c r="L71" s="18" t="s">
        <v>154</v>
      </c>
      <c r="M71" s="17" t="s">
        <v>154</v>
      </c>
      <c r="N71" s="18" t="s">
        <v>154</v>
      </c>
      <c r="O71" s="17" t="s">
        <v>154</v>
      </c>
      <c r="P71" s="18" t="s">
        <v>154</v>
      </c>
      <c r="Q71" s="17" t="s">
        <v>154</v>
      </c>
      <c r="R71" s="18" t="s">
        <v>154</v>
      </c>
    </row>
    <row r="72" spans="1:18" x14ac:dyDescent="0.25">
      <c r="A72" s="11" t="s">
        <v>205</v>
      </c>
      <c r="B72" s="13">
        <v>7708</v>
      </c>
      <c r="C72" s="14">
        <f>(6393/B72*100)</f>
        <v>82.939802802283353</v>
      </c>
      <c r="D72" s="15">
        <v>1315</v>
      </c>
      <c r="E72" s="14">
        <v>20.852698239999999</v>
      </c>
      <c r="F72" s="16">
        <v>1.0139619600000001</v>
      </c>
      <c r="G72" s="14">
        <v>79.147301760000005</v>
      </c>
      <c r="H72" s="16">
        <v>1.0139619600000001</v>
      </c>
      <c r="I72" s="14" t="s">
        <v>139</v>
      </c>
      <c r="J72" s="16" t="s">
        <v>139</v>
      </c>
      <c r="K72" s="14">
        <v>0</v>
      </c>
      <c r="L72" s="16">
        <v>0</v>
      </c>
      <c r="M72" s="14">
        <v>0</v>
      </c>
      <c r="N72" s="16">
        <v>0</v>
      </c>
      <c r="O72" s="14">
        <v>0</v>
      </c>
      <c r="P72" s="16">
        <v>0</v>
      </c>
      <c r="Q72" s="14">
        <v>0</v>
      </c>
      <c r="R72" s="16">
        <v>0</v>
      </c>
    </row>
    <row r="73" spans="1:18" x14ac:dyDescent="0.25">
      <c r="A73" s="11" t="s">
        <v>206</v>
      </c>
      <c r="B73" s="13">
        <v>8249</v>
      </c>
      <c r="C73" s="14">
        <f>(6928/B73*100)</f>
        <v>83.9859376894169</v>
      </c>
      <c r="D73" s="15">
        <v>1321</v>
      </c>
      <c r="E73" s="14">
        <v>25.424766940000001</v>
      </c>
      <c r="F73" s="16">
        <v>1.8193143899999999</v>
      </c>
      <c r="G73" s="14">
        <v>74.575233060000002</v>
      </c>
      <c r="H73" s="16">
        <v>1.8193143899999999</v>
      </c>
      <c r="I73" s="14" t="s">
        <v>139</v>
      </c>
      <c r="J73" s="16" t="s">
        <v>139</v>
      </c>
      <c r="K73" s="14">
        <v>0</v>
      </c>
      <c r="L73" s="16">
        <v>0</v>
      </c>
      <c r="M73" s="14">
        <v>0</v>
      </c>
      <c r="N73" s="16">
        <v>0</v>
      </c>
      <c r="O73" s="14">
        <v>0</v>
      </c>
      <c r="P73" s="16">
        <v>0</v>
      </c>
      <c r="Q73" s="14">
        <v>0</v>
      </c>
      <c r="R73" s="16">
        <v>0</v>
      </c>
    </row>
    <row r="74" spans="1:18" x14ac:dyDescent="0.25">
      <c r="A74" s="11" t="s">
        <v>207</v>
      </c>
      <c r="B74" s="17" t="s">
        <v>154</v>
      </c>
      <c r="C74" s="17" t="s">
        <v>154</v>
      </c>
      <c r="D74" s="18" t="s">
        <v>154</v>
      </c>
      <c r="E74" s="17" t="s">
        <v>154</v>
      </c>
      <c r="F74" s="18" t="s">
        <v>154</v>
      </c>
      <c r="G74" s="17" t="s">
        <v>154</v>
      </c>
      <c r="H74" s="18" t="s">
        <v>154</v>
      </c>
      <c r="I74" s="17" t="s">
        <v>154</v>
      </c>
      <c r="J74" s="18" t="s">
        <v>154</v>
      </c>
      <c r="K74" s="17" t="s">
        <v>154</v>
      </c>
      <c r="L74" s="18" t="s">
        <v>154</v>
      </c>
      <c r="M74" s="17" t="s">
        <v>154</v>
      </c>
      <c r="N74" s="18" t="s">
        <v>154</v>
      </c>
      <c r="O74" s="17" t="s">
        <v>154</v>
      </c>
      <c r="P74" s="18" t="s">
        <v>154</v>
      </c>
      <c r="Q74" s="17" t="s">
        <v>154</v>
      </c>
      <c r="R74" s="18" t="s">
        <v>154</v>
      </c>
    </row>
    <row r="75" spans="1:18" x14ac:dyDescent="0.25">
      <c r="A75" s="11" t="s">
        <v>208</v>
      </c>
      <c r="B75" s="13">
        <v>5375</v>
      </c>
      <c r="C75" s="14">
        <f>(4579/B75*100)</f>
        <v>85.190697674418601</v>
      </c>
      <c r="D75" s="15">
        <v>796</v>
      </c>
      <c r="E75" s="14">
        <v>37.511454039999997</v>
      </c>
      <c r="F75" s="16">
        <v>1.8201196900000001</v>
      </c>
      <c r="G75" s="14">
        <v>62.488545960000003</v>
      </c>
      <c r="H75" s="16">
        <v>1.8201196900000001</v>
      </c>
      <c r="I75" s="14" t="s">
        <v>139</v>
      </c>
      <c r="J75" s="16" t="s">
        <v>139</v>
      </c>
      <c r="K75" s="14">
        <v>0</v>
      </c>
      <c r="L75" s="16">
        <v>0</v>
      </c>
      <c r="M75" s="14">
        <v>0</v>
      </c>
      <c r="N75" s="16">
        <v>0</v>
      </c>
      <c r="O75" s="14">
        <v>0</v>
      </c>
      <c r="P75" s="16">
        <v>0</v>
      </c>
      <c r="Q75" s="14">
        <v>0</v>
      </c>
      <c r="R75" s="16">
        <v>0</v>
      </c>
    </row>
    <row r="76" spans="1:18" x14ac:dyDescent="0.25">
      <c r="A76" s="11" t="s">
        <v>209</v>
      </c>
      <c r="B76" s="13">
        <v>14167</v>
      </c>
      <c r="C76" s="14">
        <f>(11736/B76*100)</f>
        <v>82.840403755205756</v>
      </c>
      <c r="D76" s="15">
        <v>2431</v>
      </c>
      <c r="E76" s="14">
        <v>28.989892829999999</v>
      </c>
      <c r="F76" s="16">
        <v>0.93473117999999999</v>
      </c>
      <c r="G76" s="14">
        <v>71.010107169999998</v>
      </c>
      <c r="H76" s="16">
        <v>0.93473117999999999</v>
      </c>
      <c r="I76" s="14" t="s">
        <v>139</v>
      </c>
      <c r="J76" s="16" t="s">
        <v>139</v>
      </c>
      <c r="K76" s="14">
        <v>0</v>
      </c>
      <c r="L76" s="16">
        <v>0</v>
      </c>
      <c r="M76" s="14">
        <v>0</v>
      </c>
      <c r="N76" s="16">
        <v>0</v>
      </c>
      <c r="O76" s="14">
        <v>0</v>
      </c>
      <c r="P76" s="16">
        <v>0</v>
      </c>
      <c r="Q76" s="14">
        <v>0</v>
      </c>
      <c r="R76" s="16">
        <v>0</v>
      </c>
    </row>
    <row r="77" spans="1:18" x14ac:dyDescent="0.25">
      <c r="A77" s="11" t="s">
        <v>210</v>
      </c>
      <c r="B77" s="13">
        <v>6062</v>
      </c>
      <c r="C77" s="14">
        <f>(5052/B77*100)</f>
        <v>83.338832068624214</v>
      </c>
      <c r="D77" s="15">
        <v>1010</v>
      </c>
      <c r="E77" s="14">
        <v>22.468034079999999</v>
      </c>
      <c r="F77" s="16">
        <v>1.50015952</v>
      </c>
      <c r="G77" s="14">
        <v>77.531965920000005</v>
      </c>
      <c r="H77" s="16">
        <v>1.50015952</v>
      </c>
      <c r="I77" s="14" t="s">
        <v>139</v>
      </c>
      <c r="J77" s="16" t="s">
        <v>139</v>
      </c>
      <c r="K77" s="14">
        <v>0</v>
      </c>
      <c r="L77" s="16">
        <v>0</v>
      </c>
      <c r="M77" s="14">
        <v>0</v>
      </c>
      <c r="N77" s="16">
        <v>0</v>
      </c>
      <c r="O77" s="14">
        <v>0</v>
      </c>
      <c r="P77" s="16">
        <v>0</v>
      </c>
      <c r="Q77" s="14">
        <v>0</v>
      </c>
      <c r="R77" s="16">
        <v>0</v>
      </c>
    </row>
    <row r="78" spans="1:18" x14ac:dyDescent="0.25">
      <c r="A78" s="11" t="s">
        <v>211</v>
      </c>
      <c r="B78" s="17" t="s">
        <v>154</v>
      </c>
      <c r="C78" s="17" t="s">
        <v>154</v>
      </c>
      <c r="D78" s="18" t="s">
        <v>154</v>
      </c>
      <c r="E78" s="17" t="s">
        <v>154</v>
      </c>
      <c r="F78" s="18" t="s">
        <v>154</v>
      </c>
      <c r="G78" s="17" t="s">
        <v>154</v>
      </c>
      <c r="H78" s="18" t="s">
        <v>154</v>
      </c>
      <c r="I78" s="17" t="s">
        <v>154</v>
      </c>
      <c r="J78" s="18" t="s">
        <v>154</v>
      </c>
      <c r="K78" s="17" t="s">
        <v>154</v>
      </c>
      <c r="L78" s="18" t="s">
        <v>154</v>
      </c>
      <c r="M78" s="17" t="s">
        <v>154</v>
      </c>
      <c r="N78" s="18" t="s">
        <v>154</v>
      </c>
      <c r="O78" s="17" t="s">
        <v>154</v>
      </c>
      <c r="P78" s="18" t="s">
        <v>154</v>
      </c>
      <c r="Q78" s="17" t="s">
        <v>154</v>
      </c>
      <c r="R78" s="18" t="s">
        <v>154</v>
      </c>
    </row>
    <row r="79" spans="1:18" ht="24.95" customHeight="1" x14ac:dyDescent="0.25">
      <c r="A79" s="11" t="s">
        <v>212</v>
      </c>
      <c r="B79" s="17" t="s">
        <v>154</v>
      </c>
      <c r="C79" s="17" t="s">
        <v>154</v>
      </c>
      <c r="D79" s="18" t="s">
        <v>154</v>
      </c>
      <c r="E79" s="17" t="s">
        <v>154</v>
      </c>
      <c r="F79" s="18" t="s">
        <v>154</v>
      </c>
      <c r="G79" s="17" t="s">
        <v>154</v>
      </c>
      <c r="H79" s="18" t="s">
        <v>154</v>
      </c>
      <c r="I79" s="17" t="s">
        <v>154</v>
      </c>
      <c r="J79" s="18" t="s">
        <v>154</v>
      </c>
      <c r="K79" s="17" t="s">
        <v>154</v>
      </c>
      <c r="L79" s="18" t="s">
        <v>154</v>
      </c>
      <c r="M79" s="17" t="s">
        <v>154</v>
      </c>
      <c r="N79" s="18" t="s">
        <v>154</v>
      </c>
      <c r="O79" s="17" t="s">
        <v>154</v>
      </c>
      <c r="P79" s="18" t="s">
        <v>154</v>
      </c>
      <c r="Q79" s="17" t="s">
        <v>154</v>
      </c>
      <c r="R79" s="18" t="s">
        <v>154</v>
      </c>
    </row>
    <row r="80" spans="1:18" x14ac:dyDescent="0.25">
      <c r="A80" s="11" t="s">
        <v>213</v>
      </c>
      <c r="B80" s="17" t="s">
        <v>154</v>
      </c>
      <c r="C80" s="17" t="s">
        <v>154</v>
      </c>
      <c r="D80" s="18" t="s">
        <v>154</v>
      </c>
      <c r="E80" s="17" t="s">
        <v>154</v>
      </c>
      <c r="F80" s="18" t="s">
        <v>154</v>
      </c>
      <c r="G80" s="17" t="s">
        <v>154</v>
      </c>
      <c r="H80" s="18" t="s">
        <v>154</v>
      </c>
      <c r="I80" s="17" t="s">
        <v>154</v>
      </c>
      <c r="J80" s="18" t="s">
        <v>154</v>
      </c>
      <c r="K80" s="17" t="s">
        <v>154</v>
      </c>
      <c r="L80" s="18" t="s">
        <v>154</v>
      </c>
      <c r="M80" s="17" t="s">
        <v>154</v>
      </c>
      <c r="N80" s="18" t="s">
        <v>154</v>
      </c>
      <c r="O80" s="17" t="s">
        <v>154</v>
      </c>
      <c r="P80" s="18" t="s">
        <v>154</v>
      </c>
      <c r="Q80" s="17" t="s">
        <v>154</v>
      </c>
      <c r="R80" s="18" t="s">
        <v>154</v>
      </c>
    </row>
    <row r="81" spans="1:18" x14ac:dyDescent="0.25">
      <c r="A81" s="19" t="s">
        <v>214</v>
      </c>
      <c r="B81" s="13">
        <v>8861</v>
      </c>
      <c r="C81" s="14">
        <f>(8516/B81*100)</f>
        <v>96.106534251213176</v>
      </c>
      <c r="D81" s="15">
        <v>345</v>
      </c>
      <c r="E81" s="14">
        <v>18.91970912</v>
      </c>
      <c r="F81" s="16">
        <v>2.6461948300000002</v>
      </c>
      <c r="G81" s="14">
        <v>81.080290880000007</v>
      </c>
      <c r="H81" s="16">
        <v>2.6461948300000002</v>
      </c>
      <c r="I81" s="14" t="s">
        <v>139</v>
      </c>
      <c r="J81" s="16" t="s">
        <v>139</v>
      </c>
      <c r="K81" s="14">
        <v>0</v>
      </c>
      <c r="L81" s="16">
        <v>0</v>
      </c>
      <c r="M81" s="14">
        <v>0</v>
      </c>
      <c r="N81" s="16">
        <v>0</v>
      </c>
      <c r="O81" s="14">
        <v>0</v>
      </c>
      <c r="P81" s="16">
        <v>0</v>
      </c>
      <c r="Q81" s="14">
        <v>0</v>
      </c>
      <c r="R81" s="16">
        <v>0</v>
      </c>
    </row>
    <row r="82" spans="1:18" x14ac:dyDescent="0.25">
      <c r="A82" s="20"/>
      <c r="B82" s="20" t="s">
        <v>215</v>
      </c>
      <c r="C82" s="20" t="s">
        <v>215</v>
      </c>
      <c r="D82" s="20" t="s">
        <v>215</v>
      </c>
      <c r="E82" s="20" t="s">
        <v>215</v>
      </c>
      <c r="F82" s="20" t="s">
        <v>215</v>
      </c>
      <c r="G82" s="20" t="s">
        <v>215</v>
      </c>
      <c r="H82" s="20" t="s">
        <v>215</v>
      </c>
      <c r="I82" s="20" t="s">
        <v>215</v>
      </c>
      <c r="J82" s="20" t="s">
        <v>215</v>
      </c>
      <c r="K82" s="20" t="s">
        <v>215</v>
      </c>
      <c r="L82" s="20" t="s">
        <v>215</v>
      </c>
      <c r="M82" s="20" t="s">
        <v>215</v>
      </c>
      <c r="N82" s="20" t="s">
        <v>215</v>
      </c>
      <c r="O82" s="20" t="s">
        <v>215</v>
      </c>
      <c r="P82" s="20" t="s">
        <v>215</v>
      </c>
      <c r="Q82" s="20" t="s">
        <v>215</v>
      </c>
      <c r="R82" s="20" t="s">
        <v>215</v>
      </c>
    </row>
    <row r="83" spans="1:18" x14ac:dyDescent="0.25">
      <c r="A83" s="3" t="s">
        <v>216</v>
      </c>
    </row>
    <row r="84" spans="1:18" x14ac:dyDescent="0.25">
      <c r="A84" s="22" t="s">
        <v>217</v>
      </c>
      <c r="B84" s="23"/>
      <c r="C84" s="23"/>
      <c r="D84" s="23"/>
      <c r="E84" s="23"/>
      <c r="F84" s="23"/>
      <c r="G84" s="23"/>
      <c r="H84" s="23"/>
      <c r="I84" s="23"/>
      <c r="J84" s="23"/>
      <c r="K84" s="23"/>
      <c r="L84" s="23"/>
      <c r="M84" s="23"/>
      <c r="N84" s="23"/>
      <c r="O84" s="23"/>
      <c r="P84" s="23"/>
      <c r="Q84" s="23"/>
      <c r="R84" s="23"/>
    </row>
    <row r="85" spans="1:18" x14ac:dyDescent="0.25">
      <c r="A85" s="22" t="s">
        <v>218</v>
      </c>
      <c r="B85" s="23"/>
      <c r="C85" s="23"/>
      <c r="D85" s="23"/>
      <c r="E85" s="23"/>
      <c r="F85" s="23"/>
      <c r="G85" s="23"/>
      <c r="H85" s="23"/>
      <c r="I85" s="23"/>
      <c r="J85" s="23"/>
      <c r="K85" s="23"/>
      <c r="L85" s="23"/>
      <c r="M85" s="23"/>
      <c r="N85" s="23"/>
      <c r="O85" s="23"/>
      <c r="P85" s="23"/>
      <c r="Q85" s="23"/>
      <c r="R85" s="23"/>
    </row>
    <row r="86" spans="1:18" ht="30" customHeight="1" x14ac:dyDescent="0.25">
      <c r="A86" s="22" t="s">
        <v>219</v>
      </c>
      <c r="B86" s="23"/>
      <c r="C86" s="23"/>
      <c r="D86" s="23"/>
      <c r="E86" s="23"/>
      <c r="F86" s="23"/>
      <c r="G86" s="23"/>
      <c r="H86" s="23"/>
      <c r="I86" s="23"/>
      <c r="J86" s="23"/>
      <c r="K86" s="23"/>
      <c r="L86" s="23"/>
      <c r="M86" s="23"/>
      <c r="N86" s="23"/>
      <c r="O86" s="23"/>
      <c r="P86" s="23"/>
      <c r="Q86" s="23"/>
      <c r="R86" s="23"/>
    </row>
    <row r="87" spans="1:18" ht="30" customHeight="1" x14ac:dyDescent="0.25">
      <c r="A87" s="22" t="s">
        <v>215</v>
      </c>
      <c r="B87" s="23"/>
      <c r="C87" s="23"/>
      <c r="D87" s="23"/>
      <c r="E87" s="23"/>
      <c r="F87" s="23"/>
      <c r="G87" s="23"/>
      <c r="H87" s="23"/>
      <c r="I87" s="23"/>
      <c r="J87" s="23"/>
      <c r="K87" s="23"/>
      <c r="L87" s="23"/>
      <c r="M87" s="23"/>
      <c r="N87" s="23"/>
      <c r="O87" s="23"/>
      <c r="P87" s="23"/>
      <c r="Q87" s="23"/>
      <c r="R87" s="23"/>
    </row>
    <row r="88" spans="1:18" ht="30" customHeight="1" x14ac:dyDescent="0.25">
      <c r="A88" s="22" t="s">
        <v>220</v>
      </c>
      <c r="B88" s="23"/>
      <c r="C88" s="23"/>
      <c r="D88" s="23"/>
      <c r="E88" s="23"/>
      <c r="F88" s="23"/>
      <c r="G88" s="23"/>
      <c r="H88" s="23"/>
      <c r="I88" s="23"/>
      <c r="J88" s="23"/>
      <c r="K88" s="23"/>
      <c r="L88" s="23"/>
      <c r="M88" s="23"/>
      <c r="N88" s="23"/>
      <c r="O88" s="23"/>
      <c r="P88" s="23"/>
      <c r="Q88" s="23"/>
      <c r="R88" s="23"/>
    </row>
    <row r="89" spans="1:18" ht="30" customHeight="1" x14ac:dyDescent="0.25">
      <c r="A89" s="22" t="s">
        <v>221</v>
      </c>
      <c r="B89" s="23"/>
      <c r="C89" s="23"/>
      <c r="D89" s="23"/>
      <c r="E89" s="23"/>
      <c r="F89" s="23"/>
      <c r="G89" s="23"/>
      <c r="H89" s="23"/>
      <c r="I89" s="23"/>
      <c r="J89" s="23"/>
      <c r="K89" s="23"/>
      <c r="L89" s="23"/>
      <c r="M89" s="23"/>
      <c r="N89" s="23"/>
      <c r="O89" s="23"/>
      <c r="P89" s="23"/>
      <c r="Q89" s="23"/>
      <c r="R89" s="23"/>
    </row>
    <row r="90" spans="1:18" ht="30" customHeight="1" x14ac:dyDescent="0.25">
      <c r="A90" s="22" t="s">
        <v>222</v>
      </c>
      <c r="B90" s="23"/>
      <c r="C90" s="23"/>
      <c r="D90" s="23"/>
      <c r="E90" s="23"/>
      <c r="F90" s="23"/>
      <c r="G90" s="23"/>
      <c r="H90" s="23"/>
      <c r="I90" s="23"/>
      <c r="J90" s="23"/>
      <c r="K90" s="23"/>
      <c r="L90" s="23"/>
      <c r="M90" s="23"/>
      <c r="N90" s="23"/>
      <c r="O90" s="23"/>
      <c r="P90" s="23"/>
      <c r="Q90" s="23"/>
      <c r="R90" s="23"/>
    </row>
    <row r="91" spans="1:18" ht="30" customHeight="1" x14ac:dyDescent="0.25">
      <c r="A91" s="22" t="s">
        <v>223</v>
      </c>
      <c r="B91" s="23"/>
      <c r="C91" s="23"/>
      <c r="D91" s="23"/>
      <c r="E91" s="23"/>
      <c r="F91" s="23"/>
      <c r="G91" s="23"/>
      <c r="H91" s="23"/>
      <c r="I91" s="23"/>
      <c r="J91" s="23"/>
      <c r="K91" s="23"/>
      <c r="L91" s="23"/>
      <c r="M91" s="23"/>
      <c r="N91" s="23"/>
      <c r="O91" s="23"/>
      <c r="P91" s="23"/>
      <c r="Q91" s="23"/>
      <c r="R91" s="23"/>
    </row>
    <row r="92" spans="1:18" ht="30" customHeight="1" x14ac:dyDescent="0.25">
      <c r="A92" s="22" t="s">
        <v>224</v>
      </c>
      <c r="B92" s="23"/>
      <c r="C92" s="23"/>
      <c r="D92" s="23"/>
      <c r="E92" s="23"/>
      <c r="F92" s="23"/>
      <c r="G92" s="23"/>
      <c r="H92" s="23"/>
      <c r="I92" s="23"/>
      <c r="J92" s="23"/>
      <c r="K92" s="23"/>
      <c r="L92" s="23"/>
      <c r="M92" s="23"/>
      <c r="N92" s="23"/>
      <c r="O92" s="23"/>
      <c r="P92" s="23"/>
      <c r="Q92" s="23"/>
      <c r="R92" s="23"/>
    </row>
    <row r="93" spans="1:18" ht="30" customHeight="1" x14ac:dyDescent="0.25">
      <c r="A93" s="22" t="s">
        <v>225</v>
      </c>
      <c r="B93" s="23"/>
      <c r="C93" s="23"/>
      <c r="D93" s="23"/>
      <c r="E93" s="23"/>
      <c r="F93" s="23"/>
      <c r="G93" s="23"/>
      <c r="H93" s="23"/>
      <c r="I93" s="23"/>
      <c r="J93" s="23"/>
      <c r="K93" s="23"/>
      <c r="L93" s="23"/>
      <c r="M93" s="23"/>
      <c r="N93" s="23"/>
      <c r="O93" s="23"/>
      <c r="P93" s="23"/>
      <c r="Q93" s="23"/>
      <c r="R93" s="23"/>
    </row>
    <row r="94" spans="1:18" ht="30" customHeight="1" x14ac:dyDescent="0.25">
      <c r="A94" s="22" t="s">
        <v>226</v>
      </c>
      <c r="B94" s="23"/>
      <c r="C94" s="23"/>
      <c r="D94" s="23"/>
      <c r="E94" s="23"/>
      <c r="F94" s="23"/>
      <c r="G94" s="23"/>
      <c r="H94" s="23"/>
      <c r="I94" s="23"/>
      <c r="J94" s="23"/>
      <c r="K94" s="23"/>
      <c r="L94" s="23"/>
      <c r="M94" s="23"/>
      <c r="N94" s="23"/>
      <c r="O94" s="23"/>
      <c r="P94" s="23"/>
      <c r="Q94" s="23"/>
      <c r="R94" s="23"/>
    </row>
    <row r="95" spans="1:18" ht="30" customHeight="1" x14ac:dyDescent="0.25">
      <c r="A95" s="22" t="s">
        <v>227</v>
      </c>
      <c r="B95" s="23"/>
      <c r="C95" s="23"/>
      <c r="D95" s="23"/>
      <c r="E95" s="23"/>
      <c r="F95" s="23"/>
      <c r="G95" s="23"/>
      <c r="H95" s="23"/>
      <c r="I95" s="23"/>
      <c r="J95" s="23"/>
      <c r="K95" s="23"/>
      <c r="L95" s="23"/>
      <c r="M95" s="23"/>
      <c r="N95" s="23"/>
      <c r="O95" s="23"/>
      <c r="P95" s="23"/>
      <c r="Q95" s="23"/>
      <c r="R95" s="23"/>
    </row>
    <row r="96" spans="1:18" ht="30" customHeight="1" x14ac:dyDescent="0.25">
      <c r="A96" s="22" t="s">
        <v>228</v>
      </c>
      <c r="B96" s="23"/>
      <c r="C96" s="23"/>
      <c r="D96" s="23"/>
      <c r="E96" s="23"/>
      <c r="F96" s="23"/>
      <c r="G96" s="23"/>
      <c r="H96" s="23"/>
      <c r="I96" s="23"/>
      <c r="J96" s="23"/>
      <c r="K96" s="23"/>
      <c r="L96" s="23"/>
      <c r="M96" s="23"/>
      <c r="N96" s="23"/>
      <c r="O96" s="23"/>
      <c r="P96" s="23"/>
      <c r="Q96" s="23"/>
      <c r="R96" s="23"/>
    </row>
  </sheetData>
  <mergeCells count="22">
    <mergeCell ref="O4:P4"/>
    <mergeCell ref="Q4:R4"/>
    <mergeCell ref="A1:R1"/>
    <mergeCell ref="A2:R2"/>
    <mergeCell ref="A84:R84"/>
    <mergeCell ref="E4:F4"/>
    <mergeCell ref="G4:H4"/>
    <mergeCell ref="I4:J4"/>
    <mergeCell ref="K4:L4"/>
    <mergeCell ref="M4:N4"/>
    <mergeCell ref="A85:R85"/>
    <mergeCell ref="A86:R86"/>
    <mergeCell ref="A87:R87"/>
    <mergeCell ref="A88:R88"/>
    <mergeCell ref="A89:R89"/>
    <mergeCell ref="A95:R95"/>
    <mergeCell ref="A96:R96"/>
    <mergeCell ref="A90:R90"/>
    <mergeCell ref="A91:R91"/>
    <mergeCell ref="A92:R92"/>
    <mergeCell ref="A93:R93"/>
    <mergeCell ref="A94:R94"/>
  </mergeCells>
  <pageMargins left="0.75" right="0.75" top="1" bottom="1" header="0.5" footer="0.5"/>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1"/>
  <dimension ref="A1:R96"/>
  <sheetViews>
    <sheetView zoomScale="80" workbookViewId="0">
      <pane xSplit="4" topLeftCell="E1" activePane="topRight" state="frozen"/>
      <selection sqref="A1:R1"/>
      <selection pane="topRight" sqref="A1:R1"/>
    </sheetView>
  </sheetViews>
  <sheetFormatPr defaultColWidth="11.42578125" defaultRowHeight="15" x14ac:dyDescent="0.25"/>
  <cols>
    <col min="1" max="1" width="50" customWidth="1"/>
  </cols>
  <sheetData>
    <row r="1" spans="1:18" x14ac:dyDescent="0.25">
      <c r="A1" s="26" t="s">
        <v>122</v>
      </c>
      <c r="B1" s="23"/>
      <c r="C1" s="23"/>
      <c r="D1" s="23"/>
      <c r="E1" s="23"/>
      <c r="F1" s="23"/>
      <c r="G1" s="23"/>
      <c r="H1" s="23"/>
      <c r="I1" s="23"/>
      <c r="J1" s="23"/>
      <c r="K1" s="23"/>
      <c r="L1" s="23"/>
      <c r="M1" s="23"/>
      <c r="N1" s="23"/>
      <c r="O1" s="23"/>
      <c r="P1" s="23"/>
      <c r="Q1" s="23"/>
      <c r="R1" s="23"/>
    </row>
    <row r="2" spans="1:18" x14ac:dyDescent="0.25">
      <c r="A2" s="27" t="s">
        <v>297</v>
      </c>
      <c r="B2" s="23"/>
      <c r="C2" s="23"/>
      <c r="D2" s="23"/>
      <c r="E2" s="23"/>
      <c r="F2" s="23"/>
      <c r="G2" s="23"/>
      <c r="H2" s="23"/>
      <c r="I2" s="23"/>
      <c r="J2" s="23"/>
      <c r="K2" s="23"/>
      <c r="L2" s="23"/>
      <c r="M2" s="23"/>
      <c r="N2" s="23"/>
      <c r="O2" s="23"/>
      <c r="P2" s="23"/>
      <c r="Q2" s="23"/>
      <c r="R2" s="23"/>
    </row>
    <row r="4" spans="1:18" ht="30" customHeight="1" x14ac:dyDescent="0.25">
      <c r="A4" s="4"/>
      <c r="B4" s="5" t="s">
        <v>123</v>
      </c>
      <c r="C4" s="5" t="s">
        <v>124</v>
      </c>
      <c r="D4" s="6" t="s">
        <v>123</v>
      </c>
      <c r="E4" s="24" t="s">
        <v>125</v>
      </c>
      <c r="F4" s="25"/>
      <c r="G4" s="24" t="s">
        <v>126</v>
      </c>
      <c r="H4" s="25"/>
      <c r="I4" s="24" t="s">
        <v>127</v>
      </c>
      <c r="J4" s="25"/>
      <c r="K4" s="24" t="s">
        <v>128</v>
      </c>
      <c r="L4" s="25"/>
      <c r="M4" s="24" t="s">
        <v>129</v>
      </c>
      <c r="N4" s="25"/>
      <c r="O4" s="24" t="s">
        <v>130</v>
      </c>
      <c r="P4" s="25"/>
      <c r="Q4" s="24" t="s">
        <v>131</v>
      </c>
      <c r="R4" s="25"/>
    </row>
    <row r="5" spans="1:18" x14ac:dyDescent="0.25">
      <c r="A5" s="7"/>
      <c r="B5" s="8" t="s">
        <v>132</v>
      </c>
      <c r="C5" s="8" t="s">
        <v>133</v>
      </c>
      <c r="D5" s="7" t="s">
        <v>134</v>
      </c>
      <c r="E5" s="8" t="s">
        <v>135</v>
      </c>
      <c r="F5" s="7" t="s">
        <v>136</v>
      </c>
      <c r="G5" s="8" t="s">
        <v>135</v>
      </c>
      <c r="H5" s="7" t="s">
        <v>136</v>
      </c>
      <c r="I5" s="8" t="s">
        <v>135</v>
      </c>
      <c r="J5" s="7" t="s">
        <v>136</v>
      </c>
      <c r="K5" s="8" t="s">
        <v>135</v>
      </c>
      <c r="L5" s="7" t="s">
        <v>136</v>
      </c>
      <c r="M5" s="8" t="s">
        <v>135</v>
      </c>
      <c r="N5" s="7" t="s">
        <v>136</v>
      </c>
      <c r="O5" s="8" t="s">
        <v>135</v>
      </c>
      <c r="P5" s="7" t="s">
        <v>136</v>
      </c>
      <c r="Q5" s="8" t="s">
        <v>135</v>
      </c>
      <c r="R5" s="7" t="s">
        <v>136</v>
      </c>
    </row>
    <row r="6" spans="1:18" x14ac:dyDescent="0.25">
      <c r="A6" s="9" t="s">
        <v>137</v>
      </c>
      <c r="B6" s="10"/>
      <c r="C6" s="10"/>
      <c r="D6" s="11"/>
      <c r="E6" s="10"/>
      <c r="F6" s="11"/>
      <c r="G6" s="10"/>
      <c r="H6" s="11"/>
      <c r="I6" s="10"/>
      <c r="J6" s="11"/>
      <c r="K6" s="10"/>
      <c r="L6" s="11"/>
      <c r="M6" s="10"/>
      <c r="N6" s="11"/>
      <c r="O6" s="10"/>
      <c r="P6" s="11"/>
      <c r="Q6" s="10"/>
      <c r="R6" s="12"/>
    </row>
    <row r="7" spans="1:18" x14ac:dyDescent="0.25">
      <c r="A7" s="11" t="s">
        <v>138</v>
      </c>
      <c r="B7" s="13">
        <v>14530</v>
      </c>
      <c r="C7" s="14">
        <f>(12149/B7*100)</f>
        <v>83.613214039917409</v>
      </c>
      <c r="D7" s="15">
        <v>2381</v>
      </c>
      <c r="E7" s="14">
        <v>26.11119214</v>
      </c>
      <c r="F7" s="16">
        <v>1.0574902399999999</v>
      </c>
      <c r="G7" s="14">
        <v>73.88880786</v>
      </c>
      <c r="H7" s="16">
        <v>1.0574902399999999</v>
      </c>
      <c r="I7" s="14" t="s">
        <v>139</v>
      </c>
      <c r="J7" s="16" t="s">
        <v>139</v>
      </c>
      <c r="K7" s="14">
        <v>0</v>
      </c>
      <c r="L7" s="16">
        <v>0</v>
      </c>
      <c r="M7" s="14">
        <v>0</v>
      </c>
      <c r="N7" s="16">
        <v>0</v>
      </c>
      <c r="O7" s="14">
        <v>0</v>
      </c>
      <c r="P7" s="16">
        <v>0</v>
      </c>
      <c r="Q7" s="14">
        <v>0</v>
      </c>
      <c r="R7" s="16">
        <v>0</v>
      </c>
    </row>
    <row r="8" spans="1:18" x14ac:dyDescent="0.25">
      <c r="A8" s="11" t="s">
        <v>140</v>
      </c>
      <c r="B8" s="13">
        <v>7007</v>
      </c>
      <c r="C8" s="14">
        <f>(5821/B8*100)</f>
        <v>83.074068788354509</v>
      </c>
      <c r="D8" s="15">
        <v>1186</v>
      </c>
      <c r="E8" s="14">
        <v>31.77790443</v>
      </c>
      <c r="F8" s="16">
        <v>1.4745804199999999</v>
      </c>
      <c r="G8" s="14">
        <v>68.222095569999993</v>
      </c>
      <c r="H8" s="16">
        <v>1.4745804199999999</v>
      </c>
      <c r="I8" s="14" t="s">
        <v>139</v>
      </c>
      <c r="J8" s="16" t="s">
        <v>139</v>
      </c>
      <c r="K8" s="14">
        <v>0</v>
      </c>
      <c r="L8" s="16">
        <v>0</v>
      </c>
      <c r="M8" s="14">
        <v>0</v>
      </c>
      <c r="N8" s="16">
        <v>0</v>
      </c>
      <c r="O8" s="14">
        <v>0</v>
      </c>
      <c r="P8" s="16">
        <v>0</v>
      </c>
      <c r="Q8" s="14">
        <v>0</v>
      </c>
      <c r="R8" s="16">
        <v>0</v>
      </c>
    </row>
    <row r="9" spans="1:18" x14ac:dyDescent="0.25">
      <c r="A9" s="11" t="s">
        <v>141</v>
      </c>
      <c r="B9" s="13">
        <v>9651</v>
      </c>
      <c r="C9" s="14">
        <f>(8080/B9*100)</f>
        <v>83.721894104237904</v>
      </c>
      <c r="D9" s="15">
        <v>1571</v>
      </c>
      <c r="E9" s="14">
        <v>24.82514402</v>
      </c>
      <c r="F9" s="16">
        <v>1.0180531399999999</v>
      </c>
      <c r="G9" s="14">
        <v>75.174855980000004</v>
      </c>
      <c r="H9" s="16">
        <v>1.0180531399999999</v>
      </c>
      <c r="I9" s="14" t="s">
        <v>139</v>
      </c>
      <c r="J9" s="16" t="s">
        <v>139</v>
      </c>
      <c r="K9" s="14">
        <v>0</v>
      </c>
      <c r="L9" s="16">
        <v>0</v>
      </c>
      <c r="M9" s="14">
        <v>0</v>
      </c>
      <c r="N9" s="16">
        <v>0</v>
      </c>
      <c r="O9" s="14">
        <v>0</v>
      </c>
      <c r="P9" s="16">
        <v>0</v>
      </c>
      <c r="Q9" s="14">
        <v>0</v>
      </c>
      <c r="R9" s="16">
        <v>0</v>
      </c>
    </row>
    <row r="10" spans="1:18" x14ac:dyDescent="0.25">
      <c r="A10" s="11" t="s">
        <v>142</v>
      </c>
      <c r="B10" s="13">
        <v>20058</v>
      </c>
      <c r="C10" s="14">
        <f>(16662/B10*100)</f>
        <v>83.069099611127726</v>
      </c>
      <c r="D10" s="15">
        <v>3396</v>
      </c>
      <c r="E10" s="14">
        <v>22.518364210000001</v>
      </c>
      <c r="F10" s="16">
        <v>1.1090749499999999</v>
      </c>
      <c r="G10" s="14">
        <v>77.481635789999999</v>
      </c>
      <c r="H10" s="16">
        <v>1.1090749499999999</v>
      </c>
      <c r="I10" s="14" t="s">
        <v>139</v>
      </c>
      <c r="J10" s="16" t="s">
        <v>139</v>
      </c>
      <c r="K10" s="14">
        <v>0</v>
      </c>
      <c r="L10" s="16">
        <v>0</v>
      </c>
      <c r="M10" s="14">
        <v>0</v>
      </c>
      <c r="N10" s="16">
        <v>0</v>
      </c>
      <c r="O10" s="14">
        <v>0</v>
      </c>
      <c r="P10" s="16">
        <v>0</v>
      </c>
      <c r="Q10" s="14">
        <v>0</v>
      </c>
      <c r="R10" s="16">
        <v>0</v>
      </c>
    </row>
    <row r="11" spans="1:18" x14ac:dyDescent="0.25">
      <c r="A11" s="11" t="s">
        <v>143</v>
      </c>
      <c r="B11" s="13">
        <v>7053</v>
      </c>
      <c r="C11" s="14">
        <f>(5867/B11*100)</f>
        <v>83.184460513256781</v>
      </c>
      <c r="D11" s="15">
        <v>1186</v>
      </c>
      <c r="E11" s="14">
        <v>40.62198446</v>
      </c>
      <c r="F11" s="16">
        <v>1.73319158</v>
      </c>
      <c r="G11" s="14">
        <v>59.37801554</v>
      </c>
      <c r="H11" s="16">
        <v>1.73319158</v>
      </c>
      <c r="I11" s="14" t="s">
        <v>139</v>
      </c>
      <c r="J11" s="16" t="s">
        <v>139</v>
      </c>
      <c r="K11" s="14">
        <v>0</v>
      </c>
      <c r="L11" s="16">
        <v>0</v>
      </c>
      <c r="M11" s="14">
        <v>0</v>
      </c>
      <c r="N11" s="16">
        <v>0</v>
      </c>
      <c r="O11" s="14">
        <v>0</v>
      </c>
      <c r="P11" s="16">
        <v>0</v>
      </c>
      <c r="Q11" s="14">
        <v>0</v>
      </c>
      <c r="R11" s="16">
        <v>0</v>
      </c>
    </row>
    <row r="12" spans="1:18" x14ac:dyDescent="0.25">
      <c r="A12" s="11" t="s">
        <v>144</v>
      </c>
      <c r="B12" s="13">
        <v>6894</v>
      </c>
      <c r="C12" s="14">
        <f>(5738/B12*100)</f>
        <v>83.231795764432832</v>
      </c>
      <c r="D12" s="15">
        <v>1156</v>
      </c>
      <c r="E12" s="14">
        <v>28.297560059999999</v>
      </c>
      <c r="F12" s="16">
        <v>1.45185941</v>
      </c>
      <c r="G12" s="14">
        <v>71.702439940000005</v>
      </c>
      <c r="H12" s="16">
        <v>1.45185941</v>
      </c>
      <c r="I12" s="14" t="s">
        <v>139</v>
      </c>
      <c r="J12" s="16" t="s">
        <v>139</v>
      </c>
      <c r="K12" s="14">
        <v>0</v>
      </c>
      <c r="L12" s="16">
        <v>0</v>
      </c>
      <c r="M12" s="14">
        <v>0</v>
      </c>
      <c r="N12" s="16">
        <v>0</v>
      </c>
      <c r="O12" s="14">
        <v>0</v>
      </c>
      <c r="P12" s="16">
        <v>0</v>
      </c>
      <c r="Q12" s="14">
        <v>0</v>
      </c>
      <c r="R12" s="16">
        <v>0</v>
      </c>
    </row>
    <row r="13" spans="1:18" x14ac:dyDescent="0.25">
      <c r="A13" s="11" t="s">
        <v>145</v>
      </c>
      <c r="B13" s="13">
        <v>7161</v>
      </c>
      <c r="C13" s="14">
        <f>(6027/B13*100)</f>
        <v>84.1642228739003</v>
      </c>
      <c r="D13" s="15">
        <v>1134</v>
      </c>
      <c r="E13" s="14">
        <v>40.78370743</v>
      </c>
      <c r="F13" s="16">
        <v>1.4657832799999999</v>
      </c>
      <c r="G13" s="14">
        <v>59.21629257</v>
      </c>
      <c r="H13" s="16">
        <v>1.4657832799999999</v>
      </c>
      <c r="I13" s="14" t="s">
        <v>139</v>
      </c>
      <c r="J13" s="16" t="s">
        <v>139</v>
      </c>
      <c r="K13" s="14">
        <v>0</v>
      </c>
      <c r="L13" s="16">
        <v>0</v>
      </c>
      <c r="M13" s="14">
        <v>0</v>
      </c>
      <c r="N13" s="16">
        <v>0</v>
      </c>
      <c r="O13" s="14">
        <v>0</v>
      </c>
      <c r="P13" s="16">
        <v>0</v>
      </c>
      <c r="Q13" s="14">
        <v>0</v>
      </c>
      <c r="R13" s="16">
        <v>0</v>
      </c>
    </row>
    <row r="14" spans="1:18" x14ac:dyDescent="0.25">
      <c r="A14" s="11" t="s">
        <v>146</v>
      </c>
      <c r="B14" s="13">
        <v>5587</v>
      </c>
      <c r="C14" s="14">
        <f>(4638/B14*100)</f>
        <v>83.014139967782356</v>
      </c>
      <c r="D14" s="15">
        <v>949</v>
      </c>
      <c r="E14" s="14">
        <v>20.982542899999999</v>
      </c>
      <c r="F14" s="16">
        <v>1.57003454</v>
      </c>
      <c r="G14" s="14">
        <v>79.017457100000001</v>
      </c>
      <c r="H14" s="16">
        <v>1.57003454</v>
      </c>
      <c r="I14" s="14" t="s">
        <v>139</v>
      </c>
      <c r="J14" s="16" t="s">
        <v>139</v>
      </c>
      <c r="K14" s="14">
        <v>0</v>
      </c>
      <c r="L14" s="16">
        <v>0</v>
      </c>
      <c r="M14" s="14">
        <v>0</v>
      </c>
      <c r="N14" s="16">
        <v>0</v>
      </c>
      <c r="O14" s="14">
        <v>0</v>
      </c>
      <c r="P14" s="16">
        <v>0</v>
      </c>
      <c r="Q14" s="14">
        <v>0</v>
      </c>
      <c r="R14" s="16">
        <v>0</v>
      </c>
    </row>
    <row r="15" spans="1:18" x14ac:dyDescent="0.25">
      <c r="A15" s="11" t="s">
        <v>147</v>
      </c>
      <c r="B15" s="13">
        <v>5882</v>
      </c>
      <c r="C15" s="14">
        <f>(4879/B15*100)</f>
        <v>82.947976878612721</v>
      </c>
      <c r="D15" s="15">
        <v>1003</v>
      </c>
      <c r="E15" s="14">
        <v>19.232523310000001</v>
      </c>
      <c r="F15" s="16">
        <v>1.34496857</v>
      </c>
      <c r="G15" s="14">
        <v>80.767476689999995</v>
      </c>
      <c r="H15" s="16">
        <v>1.34496857</v>
      </c>
      <c r="I15" s="14" t="s">
        <v>139</v>
      </c>
      <c r="J15" s="16" t="s">
        <v>139</v>
      </c>
      <c r="K15" s="14">
        <v>0</v>
      </c>
      <c r="L15" s="16">
        <v>0</v>
      </c>
      <c r="M15" s="14">
        <v>0</v>
      </c>
      <c r="N15" s="16">
        <v>0</v>
      </c>
      <c r="O15" s="14">
        <v>0</v>
      </c>
      <c r="P15" s="16">
        <v>0</v>
      </c>
      <c r="Q15" s="14">
        <v>0</v>
      </c>
      <c r="R15" s="16">
        <v>0</v>
      </c>
    </row>
    <row r="16" spans="1:18" x14ac:dyDescent="0.25">
      <c r="A16" s="11" t="s">
        <v>148</v>
      </c>
      <c r="B16" s="13">
        <v>6108</v>
      </c>
      <c r="C16" s="14">
        <f>(5065/B16*100)</f>
        <v>82.924034053700069</v>
      </c>
      <c r="D16" s="15">
        <v>1043</v>
      </c>
      <c r="E16" s="14">
        <v>28.64380362</v>
      </c>
      <c r="F16" s="16">
        <v>1.4875189900000001</v>
      </c>
      <c r="G16" s="14">
        <v>71.35619638</v>
      </c>
      <c r="H16" s="16">
        <v>1.4875189900000001</v>
      </c>
      <c r="I16" s="14" t="s">
        <v>139</v>
      </c>
      <c r="J16" s="16" t="s">
        <v>139</v>
      </c>
      <c r="K16" s="14">
        <v>0</v>
      </c>
      <c r="L16" s="16">
        <v>0</v>
      </c>
      <c r="M16" s="14">
        <v>0</v>
      </c>
      <c r="N16" s="16">
        <v>0</v>
      </c>
      <c r="O16" s="14">
        <v>0</v>
      </c>
      <c r="P16" s="16">
        <v>0</v>
      </c>
      <c r="Q16" s="14">
        <v>0</v>
      </c>
      <c r="R16" s="16">
        <v>0</v>
      </c>
    </row>
    <row r="17" spans="1:18" x14ac:dyDescent="0.25">
      <c r="A17" s="11" t="s">
        <v>149</v>
      </c>
      <c r="B17" s="13">
        <v>6504</v>
      </c>
      <c r="C17" s="14">
        <f>(5414/B17*100)</f>
        <v>83.241082410824106</v>
      </c>
      <c r="D17" s="15">
        <v>1090</v>
      </c>
      <c r="E17" s="14">
        <v>31.75118702</v>
      </c>
      <c r="F17" s="16">
        <v>1.497927</v>
      </c>
      <c r="G17" s="14">
        <v>68.248812979999997</v>
      </c>
      <c r="H17" s="16">
        <v>1.497927</v>
      </c>
      <c r="I17" s="14" t="s">
        <v>139</v>
      </c>
      <c r="J17" s="16" t="s">
        <v>139</v>
      </c>
      <c r="K17" s="14">
        <v>0</v>
      </c>
      <c r="L17" s="16">
        <v>0</v>
      </c>
      <c r="M17" s="14">
        <v>0</v>
      </c>
      <c r="N17" s="16">
        <v>0</v>
      </c>
      <c r="O17" s="14">
        <v>0</v>
      </c>
      <c r="P17" s="16">
        <v>0</v>
      </c>
      <c r="Q17" s="14">
        <v>0</v>
      </c>
      <c r="R17" s="16">
        <v>0</v>
      </c>
    </row>
    <row r="18" spans="1:18" x14ac:dyDescent="0.25">
      <c r="A18" s="11" t="s">
        <v>150</v>
      </c>
      <c r="B18" s="13">
        <v>5532</v>
      </c>
      <c r="C18" s="14">
        <f>(4631/B18*100)</f>
        <v>83.712942877801879</v>
      </c>
      <c r="D18" s="15">
        <v>901</v>
      </c>
      <c r="E18" s="14">
        <v>48.379880229999998</v>
      </c>
      <c r="F18" s="16">
        <v>1.80100686</v>
      </c>
      <c r="G18" s="14">
        <v>51.620119770000002</v>
      </c>
      <c r="H18" s="16">
        <v>1.80100686</v>
      </c>
      <c r="I18" s="14" t="s">
        <v>139</v>
      </c>
      <c r="J18" s="16" t="s">
        <v>139</v>
      </c>
      <c r="K18" s="14">
        <v>0</v>
      </c>
      <c r="L18" s="16">
        <v>0</v>
      </c>
      <c r="M18" s="14">
        <v>0</v>
      </c>
      <c r="N18" s="16">
        <v>0</v>
      </c>
      <c r="O18" s="14">
        <v>0</v>
      </c>
      <c r="P18" s="16">
        <v>0</v>
      </c>
      <c r="Q18" s="14">
        <v>0</v>
      </c>
      <c r="R18" s="16">
        <v>0</v>
      </c>
    </row>
    <row r="19" spans="1:18" x14ac:dyDescent="0.25">
      <c r="A19" s="11" t="s">
        <v>151</v>
      </c>
      <c r="B19" s="13">
        <v>5658</v>
      </c>
      <c r="C19" s="14">
        <f>(4717/B19*100)</f>
        <v>83.368681512902086</v>
      </c>
      <c r="D19" s="15">
        <v>941</v>
      </c>
      <c r="E19" s="14">
        <v>36.08140667</v>
      </c>
      <c r="F19" s="16">
        <v>1.7559829</v>
      </c>
      <c r="G19" s="14">
        <v>63.91859333</v>
      </c>
      <c r="H19" s="16">
        <v>1.7559829</v>
      </c>
      <c r="I19" s="14" t="s">
        <v>139</v>
      </c>
      <c r="J19" s="16" t="s">
        <v>139</v>
      </c>
      <c r="K19" s="14">
        <v>0</v>
      </c>
      <c r="L19" s="16">
        <v>0</v>
      </c>
      <c r="M19" s="14">
        <v>0</v>
      </c>
      <c r="N19" s="16">
        <v>0</v>
      </c>
      <c r="O19" s="14">
        <v>0</v>
      </c>
      <c r="P19" s="16">
        <v>0</v>
      </c>
      <c r="Q19" s="14">
        <v>0</v>
      </c>
      <c r="R19" s="16">
        <v>0</v>
      </c>
    </row>
    <row r="20" spans="1:18" x14ac:dyDescent="0.25">
      <c r="A20" s="11" t="s">
        <v>152</v>
      </c>
      <c r="B20" s="13">
        <v>3371</v>
      </c>
      <c r="C20" s="14">
        <f>(2817/B20*100)</f>
        <v>83.565707505191327</v>
      </c>
      <c r="D20" s="15">
        <v>554</v>
      </c>
      <c r="E20" s="14">
        <v>32.059746130000001</v>
      </c>
      <c r="F20" s="16">
        <v>2.0011079500000002</v>
      </c>
      <c r="G20" s="14">
        <v>67.940253870000006</v>
      </c>
      <c r="H20" s="16">
        <v>2.0011079500000002</v>
      </c>
      <c r="I20" s="14" t="s">
        <v>139</v>
      </c>
      <c r="J20" s="16" t="s">
        <v>139</v>
      </c>
      <c r="K20" s="14">
        <v>0</v>
      </c>
      <c r="L20" s="16">
        <v>0</v>
      </c>
      <c r="M20" s="14">
        <v>0</v>
      </c>
      <c r="N20" s="16">
        <v>0</v>
      </c>
      <c r="O20" s="14">
        <v>0</v>
      </c>
      <c r="P20" s="16">
        <v>0</v>
      </c>
      <c r="Q20" s="14">
        <v>0</v>
      </c>
      <c r="R20" s="16">
        <v>0</v>
      </c>
    </row>
    <row r="21" spans="1:18" x14ac:dyDescent="0.25">
      <c r="A21" s="11" t="s">
        <v>153</v>
      </c>
      <c r="B21" s="17" t="s">
        <v>154</v>
      </c>
      <c r="C21" s="17" t="s">
        <v>154</v>
      </c>
      <c r="D21" s="18" t="s">
        <v>154</v>
      </c>
      <c r="E21" s="17" t="s">
        <v>154</v>
      </c>
      <c r="F21" s="18" t="s">
        <v>154</v>
      </c>
      <c r="G21" s="17" t="s">
        <v>154</v>
      </c>
      <c r="H21" s="18" t="s">
        <v>154</v>
      </c>
      <c r="I21" s="17" t="s">
        <v>154</v>
      </c>
      <c r="J21" s="18" t="s">
        <v>154</v>
      </c>
      <c r="K21" s="17" t="s">
        <v>154</v>
      </c>
      <c r="L21" s="18" t="s">
        <v>154</v>
      </c>
      <c r="M21" s="17" t="s">
        <v>154</v>
      </c>
      <c r="N21" s="18" t="s">
        <v>154</v>
      </c>
      <c r="O21" s="17" t="s">
        <v>154</v>
      </c>
      <c r="P21" s="18" t="s">
        <v>154</v>
      </c>
      <c r="Q21" s="17" t="s">
        <v>154</v>
      </c>
      <c r="R21" s="18" t="s">
        <v>154</v>
      </c>
    </row>
    <row r="22" spans="1:18" x14ac:dyDescent="0.25">
      <c r="A22" s="11" t="s">
        <v>155</v>
      </c>
      <c r="B22" s="13">
        <v>6598</v>
      </c>
      <c r="C22" s="14">
        <f>(5579/B22*100)</f>
        <v>84.555926038193391</v>
      </c>
      <c r="D22" s="15">
        <v>1019</v>
      </c>
      <c r="E22" s="14">
        <v>36.606271739999997</v>
      </c>
      <c r="F22" s="16">
        <v>1.9047761299999999</v>
      </c>
      <c r="G22" s="14">
        <v>63.393728260000003</v>
      </c>
      <c r="H22" s="16">
        <v>1.9047761299999999</v>
      </c>
      <c r="I22" s="14" t="s">
        <v>139</v>
      </c>
      <c r="J22" s="16" t="s">
        <v>139</v>
      </c>
      <c r="K22" s="14">
        <v>0</v>
      </c>
      <c r="L22" s="16">
        <v>0</v>
      </c>
      <c r="M22" s="14">
        <v>0</v>
      </c>
      <c r="N22" s="16">
        <v>0</v>
      </c>
      <c r="O22" s="14">
        <v>0</v>
      </c>
      <c r="P22" s="16">
        <v>0</v>
      </c>
      <c r="Q22" s="14">
        <v>0</v>
      </c>
      <c r="R22" s="16">
        <v>0</v>
      </c>
    </row>
    <row r="23" spans="1:18" x14ac:dyDescent="0.25">
      <c r="A23" s="11" t="s">
        <v>156</v>
      </c>
      <c r="B23" s="13">
        <v>11583</v>
      </c>
      <c r="C23" s="14">
        <f>(9622/B23*100)</f>
        <v>83.07001640334974</v>
      </c>
      <c r="D23" s="15">
        <v>1961</v>
      </c>
      <c r="E23" s="14">
        <v>32.925268940000002</v>
      </c>
      <c r="F23" s="16">
        <v>1.6564487000000001</v>
      </c>
      <c r="G23" s="14">
        <v>67.074731060000005</v>
      </c>
      <c r="H23" s="16">
        <v>1.6564487000000001</v>
      </c>
      <c r="I23" s="14" t="s">
        <v>139</v>
      </c>
      <c r="J23" s="16" t="s">
        <v>139</v>
      </c>
      <c r="K23" s="14">
        <v>0</v>
      </c>
      <c r="L23" s="16">
        <v>0</v>
      </c>
      <c r="M23" s="14">
        <v>0</v>
      </c>
      <c r="N23" s="16">
        <v>0</v>
      </c>
      <c r="O23" s="14">
        <v>0</v>
      </c>
      <c r="P23" s="16">
        <v>0</v>
      </c>
      <c r="Q23" s="14">
        <v>0</v>
      </c>
      <c r="R23" s="16">
        <v>0</v>
      </c>
    </row>
    <row r="24" spans="1:18" x14ac:dyDescent="0.25">
      <c r="A24" s="11" t="s">
        <v>157</v>
      </c>
      <c r="B24" s="13">
        <v>6647</v>
      </c>
      <c r="C24" s="14">
        <f>(5473/B24*100)</f>
        <v>82.337896795546868</v>
      </c>
      <c r="D24" s="15">
        <v>1174</v>
      </c>
      <c r="E24" s="14">
        <v>22.64983127</v>
      </c>
      <c r="F24" s="16">
        <v>1.24071913</v>
      </c>
      <c r="G24" s="14">
        <v>77.350168729999993</v>
      </c>
      <c r="H24" s="16">
        <v>1.24071913</v>
      </c>
      <c r="I24" s="14" t="s">
        <v>139</v>
      </c>
      <c r="J24" s="16" t="s">
        <v>139</v>
      </c>
      <c r="K24" s="14">
        <v>0</v>
      </c>
      <c r="L24" s="16">
        <v>0</v>
      </c>
      <c r="M24" s="14">
        <v>0</v>
      </c>
      <c r="N24" s="16">
        <v>0</v>
      </c>
      <c r="O24" s="14">
        <v>0</v>
      </c>
      <c r="P24" s="16">
        <v>0</v>
      </c>
      <c r="Q24" s="14">
        <v>0</v>
      </c>
      <c r="R24" s="16">
        <v>0</v>
      </c>
    </row>
    <row r="25" spans="1:18" x14ac:dyDescent="0.25">
      <c r="A25" s="11" t="s">
        <v>158</v>
      </c>
      <c r="B25" s="13">
        <v>5581</v>
      </c>
      <c r="C25" s="14">
        <f>(4597/B25*100)</f>
        <v>82.368751119870993</v>
      </c>
      <c r="D25" s="15">
        <v>984</v>
      </c>
      <c r="E25" s="14">
        <v>28.466040110000002</v>
      </c>
      <c r="F25" s="16">
        <v>1.4541895600000001</v>
      </c>
      <c r="G25" s="14">
        <v>71.533959890000006</v>
      </c>
      <c r="H25" s="16">
        <v>1.4541895600000001</v>
      </c>
      <c r="I25" s="14" t="s">
        <v>139</v>
      </c>
      <c r="J25" s="16" t="s">
        <v>139</v>
      </c>
      <c r="K25" s="14">
        <v>0</v>
      </c>
      <c r="L25" s="16">
        <v>0</v>
      </c>
      <c r="M25" s="14">
        <v>0</v>
      </c>
      <c r="N25" s="16">
        <v>0</v>
      </c>
      <c r="O25" s="14">
        <v>0</v>
      </c>
      <c r="P25" s="16">
        <v>0</v>
      </c>
      <c r="Q25" s="14">
        <v>0</v>
      </c>
      <c r="R25" s="16">
        <v>0</v>
      </c>
    </row>
    <row r="26" spans="1:18" x14ac:dyDescent="0.25">
      <c r="A26" s="11" t="s">
        <v>159</v>
      </c>
      <c r="B26" s="13">
        <v>4869</v>
      </c>
      <c r="C26" s="14">
        <f>(4038/B26*100)</f>
        <v>82.932840418977207</v>
      </c>
      <c r="D26" s="15">
        <v>831</v>
      </c>
      <c r="E26" s="14">
        <v>39.499154079999997</v>
      </c>
      <c r="F26" s="16">
        <v>1.77651125</v>
      </c>
      <c r="G26" s="14">
        <v>60.500845920000003</v>
      </c>
      <c r="H26" s="16">
        <v>1.77651125</v>
      </c>
      <c r="I26" s="14" t="s">
        <v>139</v>
      </c>
      <c r="J26" s="16" t="s">
        <v>139</v>
      </c>
      <c r="K26" s="14">
        <v>0</v>
      </c>
      <c r="L26" s="16">
        <v>0</v>
      </c>
      <c r="M26" s="14">
        <v>0</v>
      </c>
      <c r="N26" s="16">
        <v>0</v>
      </c>
      <c r="O26" s="14">
        <v>0</v>
      </c>
      <c r="P26" s="16">
        <v>0</v>
      </c>
      <c r="Q26" s="14">
        <v>0</v>
      </c>
      <c r="R26" s="16">
        <v>0</v>
      </c>
    </row>
    <row r="27" spans="1:18" x14ac:dyDescent="0.25">
      <c r="A27" s="11" t="s">
        <v>160</v>
      </c>
      <c r="B27" s="13">
        <v>5299</v>
      </c>
      <c r="C27" s="14">
        <f>(4418/B27*100)</f>
        <v>83.374221551236076</v>
      </c>
      <c r="D27" s="15">
        <v>881</v>
      </c>
      <c r="E27" s="14">
        <v>33.96229606</v>
      </c>
      <c r="F27" s="16">
        <v>1.6012564</v>
      </c>
      <c r="G27" s="14">
        <v>66.03770394</v>
      </c>
      <c r="H27" s="16">
        <v>1.6012564</v>
      </c>
      <c r="I27" s="14" t="s">
        <v>139</v>
      </c>
      <c r="J27" s="16" t="s">
        <v>139</v>
      </c>
      <c r="K27" s="14">
        <v>0</v>
      </c>
      <c r="L27" s="16">
        <v>0</v>
      </c>
      <c r="M27" s="14">
        <v>0</v>
      </c>
      <c r="N27" s="16">
        <v>0</v>
      </c>
      <c r="O27" s="14">
        <v>0</v>
      </c>
      <c r="P27" s="16">
        <v>0</v>
      </c>
      <c r="Q27" s="14">
        <v>0</v>
      </c>
      <c r="R27" s="16">
        <v>0</v>
      </c>
    </row>
    <row r="28" spans="1:18" x14ac:dyDescent="0.25">
      <c r="A28" s="11" t="s">
        <v>161</v>
      </c>
      <c r="B28" s="13">
        <v>7568</v>
      </c>
      <c r="C28" s="14">
        <f>(6380/B28*100)</f>
        <v>84.302325581395351</v>
      </c>
      <c r="D28" s="15">
        <v>1188</v>
      </c>
      <c r="E28" s="14">
        <v>46.29619649</v>
      </c>
      <c r="F28" s="16">
        <v>1.58756513</v>
      </c>
      <c r="G28" s="14">
        <v>53.70380351</v>
      </c>
      <c r="H28" s="16">
        <v>1.58756513</v>
      </c>
      <c r="I28" s="14" t="s">
        <v>139</v>
      </c>
      <c r="J28" s="16" t="s">
        <v>139</v>
      </c>
      <c r="K28" s="14">
        <v>0</v>
      </c>
      <c r="L28" s="16">
        <v>0</v>
      </c>
      <c r="M28" s="14">
        <v>0</v>
      </c>
      <c r="N28" s="16">
        <v>0</v>
      </c>
      <c r="O28" s="14">
        <v>0</v>
      </c>
      <c r="P28" s="16">
        <v>0</v>
      </c>
      <c r="Q28" s="14">
        <v>0</v>
      </c>
      <c r="R28" s="16">
        <v>0</v>
      </c>
    </row>
    <row r="29" spans="1:18" x14ac:dyDescent="0.25">
      <c r="A29" s="11" t="s">
        <v>162</v>
      </c>
      <c r="B29" s="13">
        <v>5385</v>
      </c>
      <c r="C29" s="14">
        <f>(4468/B29*100)</f>
        <v>82.971216341689882</v>
      </c>
      <c r="D29" s="15">
        <v>917</v>
      </c>
      <c r="E29" s="14">
        <v>25.823927980000001</v>
      </c>
      <c r="F29" s="16">
        <v>1.30391908</v>
      </c>
      <c r="G29" s="14">
        <v>74.176072020000007</v>
      </c>
      <c r="H29" s="16">
        <v>1.30391908</v>
      </c>
      <c r="I29" s="14" t="s">
        <v>139</v>
      </c>
      <c r="J29" s="16" t="s">
        <v>139</v>
      </c>
      <c r="K29" s="14">
        <v>0</v>
      </c>
      <c r="L29" s="16">
        <v>0</v>
      </c>
      <c r="M29" s="14">
        <v>0</v>
      </c>
      <c r="N29" s="16">
        <v>0</v>
      </c>
      <c r="O29" s="14">
        <v>0</v>
      </c>
      <c r="P29" s="16">
        <v>0</v>
      </c>
      <c r="Q29" s="14">
        <v>0</v>
      </c>
      <c r="R29" s="16">
        <v>0</v>
      </c>
    </row>
    <row r="30" spans="1:18" x14ac:dyDescent="0.25">
      <c r="A30" s="11" t="s">
        <v>163</v>
      </c>
      <c r="B30" s="13">
        <v>4520</v>
      </c>
      <c r="C30" s="14">
        <f>(3771/B30*100)</f>
        <v>83.429203539823007</v>
      </c>
      <c r="D30" s="15">
        <v>749</v>
      </c>
      <c r="E30" s="14">
        <v>23.70873856</v>
      </c>
      <c r="F30" s="16">
        <v>1.6727868699999999</v>
      </c>
      <c r="G30" s="14">
        <v>76.29126144</v>
      </c>
      <c r="H30" s="16">
        <v>1.6727868699999999</v>
      </c>
      <c r="I30" s="14" t="s">
        <v>139</v>
      </c>
      <c r="J30" s="16" t="s">
        <v>139</v>
      </c>
      <c r="K30" s="14">
        <v>0</v>
      </c>
      <c r="L30" s="16">
        <v>0</v>
      </c>
      <c r="M30" s="14">
        <v>0</v>
      </c>
      <c r="N30" s="16">
        <v>0</v>
      </c>
      <c r="O30" s="14">
        <v>0</v>
      </c>
      <c r="P30" s="16">
        <v>0</v>
      </c>
      <c r="Q30" s="14">
        <v>0</v>
      </c>
      <c r="R30" s="16">
        <v>0</v>
      </c>
    </row>
    <row r="31" spans="1:18" x14ac:dyDescent="0.25">
      <c r="A31" s="11" t="s">
        <v>164</v>
      </c>
      <c r="B31" s="13">
        <v>5456</v>
      </c>
      <c r="C31" s="14">
        <f>(4500/B31*100)</f>
        <v>82.478005865102645</v>
      </c>
      <c r="D31" s="15">
        <v>956</v>
      </c>
      <c r="E31" s="14">
        <v>38.337116039999998</v>
      </c>
      <c r="F31" s="16">
        <v>1.43585187</v>
      </c>
      <c r="G31" s="14">
        <v>61.662883960000002</v>
      </c>
      <c r="H31" s="16">
        <v>1.43585187</v>
      </c>
      <c r="I31" s="14" t="s">
        <v>139</v>
      </c>
      <c r="J31" s="16" t="s">
        <v>139</v>
      </c>
      <c r="K31" s="14">
        <v>0</v>
      </c>
      <c r="L31" s="16">
        <v>0</v>
      </c>
      <c r="M31" s="14">
        <v>0</v>
      </c>
      <c r="N31" s="16">
        <v>0</v>
      </c>
      <c r="O31" s="14">
        <v>0</v>
      </c>
      <c r="P31" s="16">
        <v>0</v>
      </c>
      <c r="Q31" s="14">
        <v>0</v>
      </c>
      <c r="R31" s="16">
        <v>0</v>
      </c>
    </row>
    <row r="32" spans="1:18" x14ac:dyDescent="0.25">
      <c r="A32" s="11" t="s">
        <v>165</v>
      </c>
      <c r="B32" s="17" t="s">
        <v>154</v>
      </c>
      <c r="C32" s="17" t="s">
        <v>154</v>
      </c>
      <c r="D32" s="18" t="s">
        <v>154</v>
      </c>
      <c r="E32" s="17" t="s">
        <v>154</v>
      </c>
      <c r="F32" s="18" t="s">
        <v>154</v>
      </c>
      <c r="G32" s="17" t="s">
        <v>154</v>
      </c>
      <c r="H32" s="18" t="s">
        <v>154</v>
      </c>
      <c r="I32" s="17" t="s">
        <v>154</v>
      </c>
      <c r="J32" s="18" t="s">
        <v>154</v>
      </c>
      <c r="K32" s="17" t="s">
        <v>154</v>
      </c>
      <c r="L32" s="18" t="s">
        <v>154</v>
      </c>
      <c r="M32" s="17" t="s">
        <v>154</v>
      </c>
      <c r="N32" s="18" t="s">
        <v>154</v>
      </c>
      <c r="O32" s="17" t="s">
        <v>154</v>
      </c>
      <c r="P32" s="18" t="s">
        <v>154</v>
      </c>
      <c r="Q32" s="17" t="s">
        <v>154</v>
      </c>
      <c r="R32" s="18" t="s">
        <v>154</v>
      </c>
    </row>
    <row r="33" spans="1:18" x14ac:dyDescent="0.25">
      <c r="A33" s="11" t="s">
        <v>166</v>
      </c>
      <c r="B33" s="13">
        <v>7325</v>
      </c>
      <c r="C33" s="14">
        <f>(6087/B33*100)</f>
        <v>83.098976109215016</v>
      </c>
      <c r="D33" s="15">
        <v>1238</v>
      </c>
      <c r="E33" s="14">
        <v>27.581425530000001</v>
      </c>
      <c r="F33" s="16">
        <v>1.39076909</v>
      </c>
      <c r="G33" s="14">
        <v>72.418574469999996</v>
      </c>
      <c r="H33" s="16">
        <v>1.39076909</v>
      </c>
      <c r="I33" s="14" t="s">
        <v>139</v>
      </c>
      <c r="J33" s="16" t="s">
        <v>139</v>
      </c>
      <c r="K33" s="14">
        <v>0</v>
      </c>
      <c r="L33" s="16">
        <v>0</v>
      </c>
      <c r="M33" s="14">
        <v>0</v>
      </c>
      <c r="N33" s="16">
        <v>0</v>
      </c>
      <c r="O33" s="14">
        <v>0</v>
      </c>
      <c r="P33" s="16">
        <v>0</v>
      </c>
      <c r="Q33" s="14">
        <v>0</v>
      </c>
      <c r="R33" s="16">
        <v>0</v>
      </c>
    </row>
    <row r="34" spans="1:18" x14ac:dyDescent="0.25">
      <c r="A34" s="11" t="s">
        <v>167</v>
      </c>
      <c r="B34" s="13">
        <v>6350</v>
      </c>
      <c r="C34" s="14">
        <f>(5330/B34*100)</f>
        <v>83.937007874015748</v>
      </c>
      <c r="D34" s="15">
        <v>1020</v>
      </c>
      <c r="E34" s="14">
        <v>39.024646869999998</v>
      </c>
      <c r="F34" s="16">
        <v>1.79901344</v>
      </c>
      <c r="G34" s="14">
        <v>60.975353130000002</v>
      </c>
      <c r="H34" s="16">
        <v>1.79901344</v>
      </c>
      <c r="I34" s="14" t="s">
        <v>139</v>
      </c>
      <c r="J34" s="16" t="s">
        <v>139</v>
      </c>
      <c r="K34" s="14">
        <v>0</v>
      </c>
      <c r="L34" s="16">
        <v>0</v>
      </c>
      <c r="M34" s="14">
        <v>0</v>
      </c>
      <c r="N34" s="16">
        <v>0</v>
      </c>
      <c r="O34" s="14">
        <v>0</v>
      </c>
      <c r="P34" s="16">
        <v>0</v>
      </c>
      <c r="Q34" s="14">
        <v>0</v>
      </c>
      <c r="R34" s="16">
        <v>0</v>
      </c>
    </row>
    <row r="35" spans="1:18" x14ac:dyDescent="0.25">
      <c r="A35" s="11" t="s">
        <v>168</v>
      </c>
      <c r="B35" s="13">
        <v>6406</v>
      </c>
      <c r="C35" s="14">
        <f>(5332/B35*100)</f>
        <v>83.234467686543866</v>
      </c>
      <c r="D35" s="15">
        <v>1074</v>
      </c>
      <c r="E35" s="14">
        <v>29.978310270000001</v>
      </c>
      <c r="F35" s="16">
        <v>1.87249091</v>
      </c>
      <c r="G35" s="14">
        <v>70.021689730000006</v>
      </c>
      <c r="H35" s="16">
        <v>1.87249091</v>
      </c>
      <c r="I35" s="14" t="s">
        <v>139</v>
      </c>
      <c r="J35" s="16" t="s">
        <v>139</v>
      </c>
      <c r="K35" s="14">
        <v>0</v>
      </c>
      <c r="L35" s="16">
        <v>0</v>
      </c>
      <c r="M35" s="14">
        <v>0</v>
      </c>
      <c r="N35" s="16">
        <v>0</v>
      </c>
      <c r="O35" s="14">
        <v>0</v>
      </c>
      <c r="P35" s="16">
        <v>0</v>
      </c>
      <c r="Q35" s="14">
        <v>0</v>
      </c>
      <c r="R35" s="16">
        <v>0</v>
      </c>
    </row>
    <row r="36" spans="1:18" x14ac:dyDescent="0.25">
      <c r="A36" s="11" t="s">
        <v>169</v>
      </c>
      <c r="B36" s="13">
        <v>6736</v>
      </c>
      <c r="C36" s="14">
        <f>(5607/B36*100)</f>
        <v>83.239311163895493</v>
      </c>
      <c r="D36" s="15">
        <v>1129</v>
      </c>
      <c r="E36" s="14">
        <v>24.567572129999999</v>
      </c>
      <c r="F36" s="16">
        <v>1.45774581</v>
      </c>
      <c r="G36" s="14">
        <v>75.432427869999998</v>
      </c>
      <c r="H36" s="16">
        <v>1.45774581</v>
      </c>
      <c r="I36" s="14" t="s">
        <v>139</v>
      </c>
      <c r="J36" s="16" t="s">
        <v>139</v>
      </c>
      <c r="K36" s="14">
        <v>0</v>
      </c>
      <c r="L36" s="16">
        <v>0</v>
      </c>
      <c r="M36" s="14">
        <v>0</v>
      </c>
      <c r="N36" s="16">
        <v>0</v>
      </c>
      <c r="O36" s="14">
        <v>0</v>
      </c>
      <c r="P36" s="16">
        <v>0</v>
      </c>
      <c r="Q36" s="14">
        <v>0</v>
      </c>
      <c r="R36" s="16">
        <v>0</v>
      </c>
    </row>
    <row r="37" spans="1:18" x14ac:dyDescent="0.25">
      <c r="A37" s="11" t="s">
        <v>170</v>
      </c>
      <c r="B37" s="13">
        <v>5458</v>
      </c>
      <c r="C37" s="14">
        <f>(4541/B37*100)</f>
        <v>83.198973983144015</v>
      </c>
      <c r="D37" s="15">
        <v>917</v>
      </c>
      <c r="E37" s="14">
        <v>27.44182722</v>
      </c>
      <c r="F37" s="16">
        <v>1.35992041</v>
      </c>
      <c r="G37" s="14">
        <v>72.558172780000007</v>
      </c>
      <c r="H37" s="16">
        <v>1.35992041</v>
      </c>
      <c r="I37" s="14" t="s">
        <v>139</v>
      </c>
      <c r="J37" s="16" t="s">
        <v>139</v>
      </c>
      <c r="K37" s="14">
        <v>0</v>
      </c>
      <c r="L37" s="16">
        <v>0</v>
      </c>
      <c r="M37" s="14">
        <v>0</v>
      </c>
      <c r="N37" s="16">
        <v>0</v>
      </c>
      <c r="O37" s="14">
        <v>0</v>
      </c>
      <c r="P37" s="16">
        <v>0</v>
      </c>
      <c r="Q37" s="14">
        <v>0</v>
      </c>
      <c r="R37" s="16">
        <v>0</v>
      </c>
    </row>
    <row r="38" spans="1:18" x14ac:dyDescent="0.25">
      <c r="A38" s="11" t="s">
        <v>171</v>
      </c>
      <c r="B38" s="17" t="s">
        <v>154</v>
      </c>
      <c r="C38" s="17" t="s">
        <v>154</v>
      </c>
      <c r="D38" s="18" t="s">
        <v>154</v>
      </c>
      <c r="E38" s="17" t="s">
        <v>154</v>
      </c>
      <c r="F38" s="18" t="s">
        <v>154</v>
      </c>
      <c r="G38" s="17" t="s">
        <v>154</v>
      </c>
      <c r="H38" s="18" t="s">
        <v>154</v>
      </c>
      <c r="I38" s="17" t="s">
        <v>154</v>
      </c>
      <c r="J38" s="18" t="s">
        <v>154</v>
      </c>
      <c r="K38" s="17" t="s">
        <v>154</v>
      </c>
      <c r="L38" s="18" t="s">
        <v>154</v>
      </c>
      <c r="M38" s="17" t="s">
        <v>154</v>
      </c>
      <c r="N38" s="18" t="s">
        <v>154</v>
      </c>
      <c r="O38" s="17" t="s">
        <v>154</v>
      </c>
      <c r="P38" s="18" t="s">
        <v>154</v>
      </c>
      <c r="Q38" s="17" t="s">
        <v>154</v>
      </c>
      <c r="R38" s="18" t="s">
        <v>154</v>
      </c>
    </row>
    <row r="39" spans="1:18" x14ac:dyDescent="0.25">
      <c r="A39" s="11" t="s">
        <v>172</v>
      </c>
      <c r="B39" s="13">
        <v>5895</v>
      </c>
      <c r="C39" s="14">
        <f>(4865/B39*100)</f>
        <v>82.527565733672603</v>
      </c>
      <c r="D39" s="15">
        <v>1030</v>
      </c>
      <c r="E39" s="14">
        <v>70.271527719999995</v>
      </c>
      <c r="F39" s="16">
        <v>1.6536221900000001</v>
      </c>
      <c r="G39" s="14">
        <v>29.728472279999998</v>
      </c>
      <c r="H39" s="16">
        <v>1.6536221900000001</v>
      </c>
      <c r="I39" s="14" t="s">
        <v>139</v>
      </c>
      <c r="J39" s="16" t="s">
        <v>139</v>
      </c>
      <c r="K39" s="14">
        <v>0</v>
      </c>
      <c r="L39" s="16">
        <v>0</v>
      </c>
      <c r="M39" s="14">
        <v>0</v>
      </c>
      <c r="N39" s="16">
        <v>0</v>
      </c>
      <c r="O39" s="14">
        <v>0</v>
      </c>
      <c r="P39" s="16">
        <v>0</v>
      </c>
      <c r="Q39" s="14">
        <v>0</v>
      </c>
      <c r="R39" s="16">
        <v>0</v>
      </c>
    </row>
    <row r="40" spans="1:18" x14ac:dyDescent="0.25">
      <c r="A40" s="11" t="s">
        <v>173</v>
      </c>
      <c r="B40" s="13">
        <v>14157</v>
      </c>
      <c r="C40" s="14">
        <f>(11680/B40*100)</f>
        <v>82.50335523062796</v>
      </c>
      <c r="D40" s="15">
        <v>2477</v>
      </c>
      <c r="E40" s="14">
        <v>26.6540325</v>
      </c>
      <c r="F40" s="16">
        <v>1.3238563299999999</v>
      </c>
      <c r="G40" s="14">
        <v>73.3459675</v>
      </c>
      <c r="H40" s="16">
        <v>1.3238563299999999</v>
      </c>
      <c r="I40" s="14" t="s">
        <v>139</v>
      </c>
      <c r="J40" s="16" t="s">
        <v>139</v>
      </c>
      <c r="K40" s="14">
        <v>0</v>
      </c>
      <c r="L40" s="16">
        <v>0</v>
      </c>
      <c r="M40" s="14">
        <v>0</v>
      </c>
      <c r="N40" s="16">
        <v>0</v>
      </c>
      <c r="O40" s="14">
        <v>0</v>
      </c>
      <c r="P40" s="16">
        <v>0</v>
      </c>
      <c r="Q40" s="14">
        <v>0</v>
      </c>
      <c r="R40" s="16">
        <v>0</v>
      </c>
    </row>
    <row r="41" spans="1:18" x14ac:dyDescent="0.25">
      <c r="A41" s="11" t="s">
        <v>174</v>
      </c>
      <c r="B41" s="13">
        <v>5712</v>
      </c>
      <c r="C41" s="14">
        <f>(4763/B41*100)</f>
        <v>83.385854341736703</v>
      </c>
      <c r="D41" s="15">
        <v>949</v>
      </c>
      <c r="E41" s="14">
        <v>28.634972080000001</v>
      </c>
      <c r="F41" s="16">
        <v>1.5316676499999999</v>
      </c>
      <c r="G41" s="14">
        <v>71.365027920000003</v>
      </c>
      <c r="H41" s="16">
        <v>1.5316676499999999</v>
      </c>
      <c r="I41" s="14" t="s">
        <v>139</v>
      </c>
      <c r="J41" s="16" t="s">
        <v>139</v>
      </c>
      <c r="K41" s="14">
        <v>0</v>
      </c>
      <c r="L41" s="16">
        <v>0</v>
      </c>
      <c r="M41" s="14">
        <v>0</v>
      </c>
      <c r="N41" s="16">
        <v>0</v>
      </c>
      <c r="O41" s="14">
        <v>0</v>
      </c>
      <c r="P41" s="16">
        <v>0</v>
      </c>
      <c r="Q41" s="14">
        <v>0</v>
      </c>
      <c r="R41" s="16">
        <v>0</v>
      </c>
    </row>
    <row r="42" spans="1:18" x14ac:dyDescent="0.25">
      <c r="A42" s="11" t="s">
        <v>175</v>
      </c>
      <c r="B42" s="13">
        <f>IF(COUNT(B7:B41) &gt; 0, AVERAGE(B7:B41), "\u2014")</f>
        <v>7266.90625</v>
      </c>
      <c r="C42" s="14">
        <f>IF(COUNT(C7:C41) &gt; 0, AVERAGE(C7:C41), "—")</f>
        <v>83.243101146252428</v>
      </c>
      <c r="D42" s="15">
        <f>IF(COUNT(D7:D41) &gt; 0, AVERAGE(D7:D41), "—")</f>
        <v>1218.28125</v>
      </c>
      <c r="E42" s="14">
        <f>IF(COUNT(E7:E41) &gt; 0, AVERAGE(E7:E41), "—")</f>
        <v>32.328003194375</v>
      </c>
      <c r="F42" s="16">
        <f>IF(COUNT(F7:F41) &gt; 0, SQRT(SUMSQ(F7:F41)/(COUNT(F7:F41)*COUNT(F7:F41)) ), "—")</f>
        <v>0.27277581058638667</v>
      </c>
      <c r="G42" s="14">
        <f>IF(COUNT(G7:G41) &gt; 0, AVERAGE(G7:G41), "—")</f>
        <v>67.671996805625</v>
      </c>
      <c r="H42" s="16">
        <f>IF(COUNT(H7:H41) &gt; 0, SQRT(SUMSQ(H7:H41)/(COUNT(H7:H41)*COUNT(H7:H41)) ), "—")</f>
        <v>0.27277581058638667</v>
      </c>
      <c r="I42" s="14" t="str">
        <f>IF(COUNT(I7:I41) &gt; 0, AVERAGE(I7:I41), "—")</f>
        <v>—</v>
      </c>
      <c r="J42" s="16" t="str">
        <f>IF(COUNT(J7:J41) &gt; 0, SQRT(SUMSQ(J7:J41)/(COUNT(J7:J41)*COUNT(J7:J41)) ), "—")</f>
        <v>—</v>
      </c>
      <c r="K42" s="14">
        <f>IF(COUNT(K7:K41) &gt; 0, AVERAGE(K7:K41), "—")</f>
        <v>0</v>
      </c>
      <c r="L42" s="16">
        <f>IF(COUNT(L7:L41) &gt; 0, SQRT(SUMSQ(L7:L41)/(COUNT(L7:L41)*COUNT(L7:L41)) ), "—")</f>
        <v>0</v>
      </c>
      <c r="M42" s="14">
        <f>IF(COUNT(M7:M41) &gt; 0, AVERAGE(M7:M41), "—")</f>
        <v>0</v>
      </c>
      <c r="N42" s="16">
        <f>IF(COUNT(N7:N41) &gt; 0, SQRT(SUMSQ(N7:N41)/(COUNT(N7:N41)*COUNT(N7:N41)) ), "—")</f>
        <v>0</v>
      </c>
      <c r="O42" s="14">
        <f>IF(COUNT(O7:O41) &gt; 0, AVERAGE(O7:O41), "—")</f>
        <v>0</v>
      </c>
      <c r="P42" s="16">
        <f>IF(COUNT(P7:P41) &gt; 0, SQRT(SUMSQ(P7:P41)/(COUNT(P7:P41)*COUNT(P7:P41)) ), "—")</f>
        <v>0</v>
      </c>
      <c r="Q42" s="14">
        <f>IF(COUNT(Q7:Q41) &gt; 0, AVERAGE(Q7:Q41), "—")</f>
        <v>0</v>
      </c>
      <c r="R42" s="16">
        <f>IF(COUNT(R7:R41) &gt; 0, SQRT(SUMSQ(R7:R41)/(COUNT(R7:R41)*COUNT(R7:R41)) ), "—")</f>
        <v>0</v>
      </c>
    </row>
    <row r="43" spans="1:18" x14ac:dyDescent="0.25">
      <c r="A43" s="9" t="s">
        <v>176</v>
      </c>
      <c r="B43" s="10"/>
      <c r="C43" s="10"/>
      <c r="D43" s="11"/>
      <c r="E43" s="10"/>
      <c r="F43" s="11"/>
      <c r="G43" s="10"/>
      <c r="H43" s="11"/>
      <c r="I43" s="10"/>
      <c r="J43" s="11"/>
      <c r="K43" s="10"/>
      <c r="L43" s="11"/>
      <c r="M43" s="10"/>
      <c r="N43" s="11"/>
      <c r="O43" s="10"/>
      <c r="P43" s="11"/>
      <c r="Q43" s="10"/>
      <c r="R43" s="12"/>
    </row>
    <row r="44" spans="1:18" x14ac:dyDescent="0.25">
      <c r="A44" s="11" t="s">
        <v>177</v>
      </c>
      <c r="B44" s="17" t="s">
        <v>154</v>
      </c>
      <c r="C44" s="17" t="s">
        <v>154</v>
      </c>
      <c r="D44" s="18" t="s">
        <v>154</v>
      </c>
      <c r="E44" s="17" t="s">
        <v>154</v>
      </c>
      <c r="F44" s="18" t="s">
        <v>154</v>
      </c>
      <c r="G44" s="17" t="s">
        <v>154</v>
      </c>
      <c r="H44" s="18" t="s">
        <v>154</v>
      </c>
      <c r="I44" s="17" t="s">
        <v>154</v>
      </c>
      <c r="J44" s="18" t="s">
        <v>154</v>
      </c>
      <c r="K44" s="17" t="s">
        <v>154</v>
      </c>
      <c r="L44" s="18" t="s">
        <v>154</v>
      </c>
      <c r="M44" s="17" t="s">
        <v>154</v>
      </c>
      <c r="N44" s="18" t="s">
        <v>154</v>
      </c>
      <c r="O44" s="17" t="s">
        <v>154</v>
      </c>
      <c r="P44" s="18" t="s">
        <v>154</v>
      </c>
      <c r="Q44" s="17" t="s">
        <v>154</v>
      </c>
      <c r="R44" s="18" t="s">
        <v>154</v>
      </c>
    </row>
    <row r="45" spans="1:18" x14ac:dyDescent="0.25">
      <c r="A45" s="11" t="s">
        <v>178</v>
      </c>
      <c r="B45" s="17" t="s">
        <v>154</v>
      </c>
      <c r="C45" s="17" t="s">
        <v>154</v>
      </c>
      <c r="D45" s="18" t="s">
        <v>154</v>
      </c>
      <c r="E45" s="17" t="s">
        <v>154</v>
      </c>
      <c r="F45" s="18" t="s">
        <v>154</v>
      </c>
      <c r="G45" s="17" t="s">
        <v>154</v>
      </c>
      <c r="H45" s="18" t="s">
        <v>154</v>
      </c>
      <c r="I45" s="17" t="s">
        <v>154</v>
      </c>
      <c r="J45" s="18" t="s">
        <v>154</v>
      </c>
      <c r="K45" s="17" t="s">
        <v>154</v>
      </c>
      <c r="L45" s="18" t="s">
        <v>154</v>
      </c>
      <c r="M45" s="17" t="s">
        <v>154</v>
      </c>
      <c r="N45" s="18" t="s">
        <v>154</v>
      </c>
      <c r="O45" s="17" t="s">
        <v>154</v>
      </c>
      <c r="P45" s="18" t="s">
        <v>154</v>
      </c>
      <c r="Q45" s="17" t="s">
        <v>154</v>
      </c>
      <c r="R45" s="18" t="s">
        <v>154</v>
      </c>
    </row>
    <row r="46" spans="1:18" x14ac:dyDescent="0.25">
      <c r="A46" s="11" t="s">
        <v>179</v>
      </c>
      <c r="B46" s="13">
        <v>23141</v>
      </c>
      <c r="C46" s="14">
        <f>(20079/B46*100)</f>
        <v>86.768073981245408</v>
      </c>
      <c r="D46" s="15">
        <v>3062</v>
      </c>
      <c r="E46" s="14">
        <v>51.452911669999999</v>
      </c>
      <c r="F46" s="16">
        <v>1.19412932</v>
      </c>
      <c r="G46" s="14">
        <v>48.547088330000001</v>
      </c>
      <c r="H46" s="16">
        <v>1.19412932</v>
      </c>
      <c r="I46" s="14" t="s">
        <v>139</v>
      </c>
      <c r="J46" s="16" t="s">
        <v>139</v>
      </c>
      <c r="K46" s="14">
        <v>0</v>
      </c>
      <c r="L46" s="16">
        <v>0</v>
      </c>
      <c r="M46" s="14">
        <v>0</v>
      </c>
      <c r="N46" s="16">
        <v>0</v>
      </c>
      <c r="O46" s="14">
        <v>0</v>
      </c>
      <c r="P46" s="16">
        <v>0</v>
      </c>
      <c r="Q46" s="14">
        <v>0</v>
      </c>
      <c r="R46" s="16">
        <v>0</v>
      </c>
    </row>
    <row r="47" spans="1:18" x14ac:dyDescent="0.25">
      <c r="A47" s="11" t="s">
        <v>180</v>
      </c>
      <c r="B47" s="13">
        <v>5928</v>
      </c>
      <c r="C47" s="14">
        <f>(4949/B47*100)</f>
        <v>83.485155195681514</v>
      </c>
      <c r="D47" s="15">
        <v>979</v>
      </c>
      <c r="E47" s="14">
        <v>48.089095030000003</v>
      </c>
      <c r="F47" s="16">
        <v>1.5758679499999999</v>
      </c>
      <c r="G47" s="14">
        <v>51.910904969999997</v>
      </c>
      <c r="H47" s="16">
        <v>1.5758679499999999</v>
      </c>
      <c r="I47" s="14" t="s">
        <v>139</v>
      </c>
      <c r="J47" s="16" t="s">
        <v>139</v>
      </c>
      <c r="K47" s="14">
        <v>0</v>
      </c>
      <c r="L47" s="16">
        <v>0</v>
      </c>
      <c r="M47" s="14">
        <v>0</v>
      </c>
      <c r="N47" s="16">
        <v>0</v>
      </c>
      <c r="O47" s="14">
        <v>0</v>
      </c>
      <c r="P47" s="16">
        <v>0</v>
      </c>
      <c r="Q47" s="14">
        <v>0</v>
      </c>
      <c r="R47" s="16">
        <v>0</v>
      </c>
    </row>
    <row r="48" spans="1:18" x14ac:dyDescent="0.25">
      <c r="A48" s="11" t="s">
        <v>181</v>
      </c>
      <c r="B48" s="13">
        <v>9841</v>
      </c>
      <c r="C48" s="14">
        <f>(8141/B48*100)</f>
        <v>82.725332791382982</v>
      </c>
      <c r="D48" s="15">
        <v>1700</v>
      </c>
      <c r="E48" s="14">
        <v>32.886230060000003</v>
      </c>
      <c r="F48" s="16">
        <v>1.76676704</v>
      </c>
      <c r="G48" s="14">
        <v>67.113769939999997</v>
      </c>
      <c r="H48" s="16">
        <v>1.76676704</v>
      </c>
      <c r="I48" s="14" t="s">
        <v>139</v>
      </c>
      <c r="J48" s="16" t="s">
        <v>139</v>
      </c>
      <c r="K48" s="14">
        <v>0</v>
      </c>
      <c r="L48" s="16">
        <v>0</v>
      </c>
      <c r="M48" s="14">
        <v>0</v>
      </c>
      <c r="N48" s="16">
        <v>0</v>
      </c>
      <c r="O48" s="14">
        <v>0</v>
      </c>
      <c r="P48" s="16">
        <v>0</v>
      </c>
      <c r="Q48" s="14">
        <v>0</v>
      </c>
      <c r="R48" s="16">
        <v>0</v>
      </c>
    </row>
    <row r="49" spans="1:18" x14ac:dyDescent="0.25">
      <c r="A49" s="11" t="s">
        <v>182</v>
      </c>
      <c r="B49" s="17" t="s">
        <v>154</v>
      </c>
      <c r="C49" s="17" t="s">
        <v>154</v>
      </c>
      <c r="D49" s="18" t="s">
        <v>154</v>
      </c>
      <c r="E49" s="17" t="s">
        <v>154</v>
      </c>
      <c r="F49" s="18" t="s">
        <v>154</v>
      </c>
      <c r="G49" s="17" t="s">
        <v>154</v>
      </c>
      <c r="H49" s="18" t="s">
        <v>154</v>
      </c>
      <c r="I49" s="17" t="s">
        <v>154</v>
      </c>
      <c r="J49" s="18" t="s">
        <v>154</v>
      </c>
      <c r="K49" s="17" t="s">
        <v>154</v>
      </c>
      <c r="L49" s="18" t="s">
        <v>154</v>
      </c>
      <c r="M49" s="17" t="s">
        <v>154</v>
      </c>
      <c r="N49" s="18" t="s">
        <v>154</v>
      </c>
      <c r="O49" s="17" t="s">
        <v>154</v>
      </c>
      <c r="P49" s="18" t="s">
        <v>154</v>
      </c>
      <c r="Q49" s="17" t="s">
        <v>154</v>
      </c>
      <c r="R49" s="18" t="s">
        <v>154</v>
      </c>
    </row>
    <row r="50" spans="1:18" x14ac:dyDescent="0.25">
      <c r="A50" s="11" t="s">
        <v>183</v>
      </c>
      <c r="B50" s="13">
        <v>11795</v>
      </c>
      <c r="C50" s="14">
        <f>(9899/B50*100)</f>
        <v>83.925392115303097</v>
      </c>
      <c r="D50" s="15">
        <v>1896</v>
      </c>
      <c r="E50" s="14">
        <v>43.25087225</v>
      </c>
      <c r="F50" s="16">
        <v>1.7596661199999999</v>
      </c>
      <c r="G50" s="14">
        <v>56.74912775</v>
      </c>
      <c r="H50" s="16">
        <v>1.7596661199999999</v>
      </c>
      <c r="I50" s="14" t="s">
        <v>139</v>
      </c>
      <c r="J50" s="16" t="s">
        <v>139</v>
      </c>
      <c r="K50" s="14">
        <v>0</v>
      </c>
      <c r="L50" s="16">
        <v>0</v>
      </c>
      <c r="M50" s="14">
        <v>0</v>
      </c>
      <c r="N50" s="16">
        <v>0</v>
      </c>
      <c r="O50" s="14">
        <v>0</v>
      </c>
      <c r="P50" s="16">
        <v>0</v>
      </c>
      <c r="Q50" s="14">
        <v>0</v>
      </c>
      <c r="R50" s="16">
        <v>0</v>
      </c>
    </row>
    <row r="51" spans="1:18" x14ac:dyDescent="0.25">
      <c r="A51" s="11" t="s">
        <v>184</v>
      </c>
      <c r="B51" s="13">
        <v>6866</v>
      </c>
      <c r="C51" s="14">
        <f>(5872/B51*100)</f>
        <v>85.522866297698812</v>
      </c>
      <c r="D51" s="15">
        <v>994</v>
      </c>
      <c r="E51" s="14">
        <v>37.674861589999999</v>
      </c>
      <c r="F51" s="16">
        <v>1.7472529400000001</v>
      </c>
      <c r="G51" s="14">
        <v>62.325138410000001</v>
      </c>
      <c r="H51" s="16">
        <v>1.7472529400000001</v>
      </c>
      <c r="I51" s="14" t="s">
        <v>139</v>
      </c>
      <c r="J51" s="16" t="s">
        <v>139</v>
      </c>
      <c r="K51" s="14">
        <v>0</v>
      </c>
      <c r="L51" s="16">
        <v>0</v>
      </c>
      <c r="M51" s="14">
        <v>0</v>
      </c>
      <c r="N51" s="16">
        <v>0</v>
      </c>
      <c r="O51" s="14">
        <v>0</v>
      </c>
      <c r="P51" s="16">
        <v>0</v>
      </c>
      <c r="Q51" s="14">
        <v>0</v>
      </c>
      <c r="R51" s="16">
        <v>0</v>
      </c>
    </row>
    <row r="52" spans="1:18" x14ac:dyDescent="0.25">
      <c r="A52" s="11" t="s">
        <v>185</v>
      </c>
      <c r="B52" s="13">
        <v>5809</v>
      </c>
      <c r="C52" s="14">
        <f>(4826/B52*100)</f>
        <v>83.077982441039765</v>
      </c>
      <c r="D52" s="15">
        <v>983</v>
      </c>
      <c r="E52" s="14">
        <v>47.729242280000001</v>
      </c>
      <c r="F52" s="16">
        <v>1.6022781500000001</v>
      </c>
      <c r="G52" s="14">
        <v>52.270757719999999</v>
      </c>
      <c r="H52" s="16">
        <v>1.6022781500000001</v>
      </c>
      <c r="I52" s="14" t="s">
        <v>139</v>
      </c>
      <c r="J52" s="16" t="s">
        <v>139</v>
      </c>
      <c r="K52" s="14">
        <v>0</v>
      </c>
      <c r="L52" s="16">
        <v>0</v>
      </c>
      <c r="M52" s="14">
        <v>0</v>
      </c>
      <c r="N52" s="16">
        <v>0</v>
      </c>
      <c r="O52" s="14">
        <v>0</v>
      </c>
      <c r="P52" s="16">
        <v>0</v>
      </c>
      <c r="Q52" s="14">
        <v>0</v>
      </c>
      <c r="R52" s="16">
        <v>0</v>
      </c>
    </row>
    <row r="53" spans="1:18" x14ac:dyDescent="0.25">
      <c r="A53" s="11" t="s">
        <v>186</v>
      </c>
      <c r="B53" s="13">
        <v>5571</v>
      </c>
      <c r="C53" s="14">
        <f>(4611/B53*100)</f>
        <v>82.767905223478735</v>
      </c>
      <c r="D53" s="15">
        <v>960</v>
      </c>
      <c r="E53" s="14">
        <v>54.322318580000001</v>
      </c>
      <c r="F53" s="16">
        <v>1.5986459099999999</v>
      </c>
      <c r="G53" s="14">
        <v>45.677681419999999</v>
      </c>
      <c r="H53" s="16">
        <v>1.5986459099999999</v>
      </c>
      <c r="I53" s="14" t="s">
        <v>139</v>
      </c>
      <c r="J53" s="16" t="s">
        <v>139</v>
      </c>
      <c r="K53" s="14">
        <v>0</v>
      </c>
      <c r="L53" s="16">
        <v>0</v>
      </c>
      <c r="M53" s="14">
        <v>0</v>
      </c>
      <c r="N53" s="16">
        <v>0</v>
      </c>
      <c r="O53" s="14">
        <v>0</v>
      </c>
      <c r="P53" s="16">
        <v>0</v>
      </c>
      <c r="Q53" s="14">
        <v>0</v>
      </c>
      <c r="R53" s="16">
        <v>0</v>
      </c>
    </row>
    <row r="54" spans="1:18" x14ac:dyDescent="0.25">
      <c r="A54" s="11" t="s">
        <v>187</v>
      </c>
      <c r="B54" s="17" t="s">
        <v>154</v>
      </c>
      <c r="C54" s="17" t="s">
        <v>154</v>
      </c>
      <c r="D54" s="18" t="s">
        <v>154</v>
      </c>
      <c r="E54" s="17" t="s">
        <v>154</v>
      </c>
      <c r="F54" s="18" t="s">
        <v>154</v>
      </c>
      <c r="G54" s="17" t="s">
        <v>154</v>
      </c>
      <c r="H54" s="18" t="s">
        <v>154</v>
      </c>
      <c r="I54" s="17" t="s">
        <v>154</v>
      </c>
      <c r="J54" s="18" t="s">
        <v>154</v>
      </c>
      <c r="K54" s="17" t="s">
        <v>154</v>
      </c>
      <c r="L54" s="18" t="s">
        <v>154</v>
      </c>
      <c r="M54" s="17" t="s">
        <v>154</v>
      </c>
      <c r="N54" s="18" t="s">
        <v>154</v>
      </c>
      <c r="O54" s="17" t="s">
        <v>154</v>
      </c>
      <c r="P54" s="18" t="s">
        <v>154</v>
      </c>
      <c r="Q54" s="17" t="s">
        <v>154</v>
      </c>
      <c r="R54" s="18" t="s">
        <v>154</v>
      </c>
    </row>
    <row r="55" spans="1:18" x14ac:dyDescent="0.25">
      <c r="A55" s="11" t="s">
        <v>188</v>
      </c>
      <c r="B55" s="17" t="s">
        <v>154</v>
      </c>
      <c r="C55" s="17" t="s">
        <v>154</v>
      </c>
      <c r="D55" s="18" t="s">
        <v>154</v>
      </c>
      <c r="E55" s="17" t="s">
        <v>154</v>
      </c>
      <c r="F55" s="18" t="s">
        <v>154</v>
      </c>
      <c r="G55" s="17" t="s">
        <v>154</v>
      </c>
      <c r="H55" s="18" t="s">
        <v>154</v>
      </c>
      <c r="I55" s="17" t="s">
        <v>154</v>
      </c>
      <c r="J55" s="18" t="s">
        <v>154</v>
      </c>
      <c r="K55" s="17" t="s">
        <v>154</v>
      </c>
      <c r="L55" s="18" t="s">
        <v>154</v>
      </c>
      <c r="M55" s="17" t="s">
        <v>154</v>
      </c>
      <c r="N55" s="18" t="s">
        <v>154</v>
      </c>
      <c r="O55" s="17" t="s">
        <v>154</v>
      </c>
      <c r="P55" s="18" t="s">
        <v>154</v>
      </c>
      <c r="Q55" s="17" t="s">
        <v>154</v>
      </c>
      <c r="R55" s="18" t="s">
        <v>154</v>
      </c>
    </row>
    <row r="56" spans="1:18" x14ac:dyDescent="0.25">
      <c r="A56" s="11" t="s">
        <v>189</v>
      </c>
      <c r="B56" s="13">
        <v>5359</v>
      </c>
      <c r="C56" s="14">
        <f>(4422/B56*100)</f>
        <v>82.515394663183429</v>
      </c>
      <c r="D56" s="15">
        <v>937</v>
      </c>
      <c r="E56" s="14">
        <v>22.964273840000001</v>
      </c>
      <c r="F56" s="16">
        <v>1.35570144</v>
      </c>
      <c r="G56" s="14">
        <v>77.035726159999996</v>
      </c>
      <c r="H56" s="16">
        <v>1.35570144</v>
      </c>
      <c r="I56" s="14" t="s">
        <v>139</v>
      </c>
      <c r="J56" s="16" t="s">
        <v>139</v>
      </c>
      <c r="K56" s="14">
        <v>0</v>
      </c>
      <c r="L56" s="16">
        <v>0</v>
      </c>
      <c r="M56" s="14">
        <v>0</v>
      </c>
      <c r="N56" s="16">
        <v>0</v>
      </c>
      <c r="O56" s="14">
        <v>0</v>
      </c>
      <c r="P56" s="16">
        <v>0</v>
      </c>
      <c r="Q56" s="14">
        <v>0</v>
      </c>
      <c r="R56" s="16">
        <v>0</v>
      </c>
    </row>
    <row r="57" spans="1:18" x14ac:dyDescent="0.25">
      <c r="A57" s="11" t="s">
        <v>190</v>
      </c>
      <c r="B57" s="17" t="s">
        <v>154</v>
      </c>
      <c r="C57" s="17" t="s">
        <v>154</v>
      </c>
      <c r="D57" s="18" t="s">
        <v>154</v>
      </c>
      <c r="E57" s="17" t="s">
        <v>154</v>
      </c>
      <c r="F57" s="18" t="s">
        <v>154</v>
      </c>
      <c r="G57" s="17" t="s">
        <v>154</v>
      </c>
      <c r="H57" s="18" t="s">
        <v>154</v>
      </c>
      <c r="I57" s="17" t="s">
        <v>154</v>
      </c>
      <c r="J57" s="18" t="s">
        <v>154</v>
      </c>
      <c r="K57" s="17" t="s">
        <v>154</v>
      </c>
      <c r="L57" s="18" t="s">
        <v>154</v>
      </c>
      <c r="M57" s="17" t="s">
        <v>154</v>
      </c>
      <c r="N57" s="18" t="s">
        <v>154</v>
      </c>
      <c r="O57" s="17" t="s">
        <v>154</v>
      </c>
      <c r="P57" s="18" t="s">
        <v>154</v>
      </c>
      <c r="Q57" s="17" t="s">
        <v>154</v>
      </c>
      <c r="R57" s="18" t="s">
        <v>154</v>
      </c>
    </row>
    <row r="58" spans="1:18" x14ac:dyDescent="0.25">
      <c r="A58" s="11" t="s">
        <v>191</v>
      </c>
      <c r="B58" s="17" t="s">
        <v>154</v>
      </c>
      <c r="C58" s="17" t="s">
        <v>154</v>
      </c>
      <c r="D58" s="18" t="s">
        <v>154</v>
      </c>
      <c r="E58" s="17" t="s">
        <v>154</v>
      </c>
      <c r="F58" s="18" t="s">
        <v>154</v>
      </c>
      <c r="G58" s="17" t="s">
        <v>154</v>
      </c>
      <c r="H58" s="18" t="s">
        <v>154</v>
      </c>
      <c r="I58" s="17" t="s">
        <v>154</v>
      </c>
      <c r="J58" s="18" t="s">
        <v>154</v>
      </c>
      <c r="K58" s="17" t="s">
        <v>154</v>
      </c>
      <c r="L58" s="18" t="s">
        <v>154</v>
      </c>
      <c r="M58" s="17" t="s">
        <v>154</v>
      </c>
      <c r="N58" s="18" t="s">
        <v>154</v>
      </c>
      <c r="O58" s="17" t="s">
        <v>154</v>
      </c>
      <c r="P58" s="18" t="s">
        <v>154</v>
      </c>
      <c r="Q58" s="17" t="s">
        <v>154</v>
      </c>
      <c r="R58" s="18" t="s">
        <v>154</v>
      </c>
    </row>
    <row r="59" spans="1:18" x14ac:dyDescent="0.25">
      <c r="A59" s="11" t="s">
        <v>192</v>
      </c>
      <c r="B59" s="17" t="s">
        <v>154</v>
      </c>
      <c r="C59" s="17" t="s">
        <v>154</v>
      </c>
      <c r="D59" s="18" t="s">
        <v>154</v>
      </c>
      <c r="E59" s="17" t="s">
        <v>154</v>
      </c>
      <c r="F59" s="18" t="s">
        <v>154</v>
      </c>
      <c r="G59" s="17" t="s">
        <v>154</v>
      </c>
      <c r="H59" s="18" t="s">
        <v>154</v>
      </c>
      <c r="I59" s="17" t="s">
        <v>154</v>
      </c>
      <c r="J59" s="18" t="s">
        <v>154</v>
      </c>
      <c r="K59" s="17" t="s">
        <v>154</v>
      </c>
      <c r="L59" s="18" t="s">
        <v>154</v>
      </c>
      <c r="M59" s="17" t="s">
        <v>154</v>
      </c>
      <c r="N59" s="18" t="s">
        <v>154</v>
      </c>
      <c r="O59" s="17" t="s">
        <v>154</v>
      </c>
      <c r="P59" s="18" t="s">
        <v>154</v>
      </c>
      <c r="Q59" s="17" t="s">
        <v>154</v>
      </c>
      <c r="R59" s="18" t="s">
        <v>154</v>
      </c>
    </row>
    <row r="60" spans="1:18" x14ac:dyDescent="0.25">
      <c r="A60" s="11" t="s">
        <v>193</v>
      </c>
      <c r="B60" s="17" t="s">
        <v>154</v>
      </c>
      <c r="C60" s="17" t="s">
        <v>154</v>
      </c>
      <c r="D60" s="18" t="s">
        <v>154</v>
      </c>
      <c r="E60" s="17" t="s">
        <v>154</v>
      </c>
      <c r="F60" s="18" t="s">
        <v>154</v>
      </c>
      <c r="G60" s="17" t="s">
        <v>154</v>
      </c>
      <c r="H60" s="18" t="s">
        <v>154</v>
      </c>
      <c r="I60" s="17" t="s">
        <v>154</v>
      </c>
      <c r="J60" s="18" t="s">
        <v>154</v>
      </c>
      <c r="K60" s="17" t="s">
        <v>154</v>
      </c>
      <c r="L60" s="18" t="s">
        <v>154</v>
      </c>
      <c r="M60" s="17" t="s">
        <v>154</v>
      </c>
      <c r="N60" s="18" t="s">
        <v>154</v>
      </c>
      <c r="O60" s="17" t="s">
        <v>154</v>
      </c>
      <c r="P60" s="18" t="s">
        <v>154</v>
      </c>
      <c r="Q60" s="17" t="s">
        <v>154</v>
      </c>
      <c r="R60" s="18" t="s">
        <v>154</v>
      </c>
    </row>
    <row r="61" spans="1:18" x14ac:dyDescent="0.25">
      <c r="A61" s="11" t="s">
        <v>194</v>
      </c>
      <c r="B61" s="13">
        <v>6525</v>
      </c>
      <c r="C61" s="14">
        <f>(5422/B61*100)</f>
        <v>83.095785440613028</v>
      </c>
      <c r="D61" s="15">
        <v>1103</v>
      </c>
      <c r="E61" s="14">
        <v>35.814979999999998</v>
      </c>
      <c r="F61" s="16">
        <v>1.5586138199999999</v>
      </c>
      <c r="G61" s="14">
        <v>64.185019999999994</v>
      </c>
      <c r="H61" s="16">
        <v>1.5586138199999999</v>
      </c>
      <c r="I61" s="14" t="s">
        <v>139</v>
      </c>
      <c r="J61" s="16" t="s">
        <v>139</v>
      </c>
      <c r="K61" s="14">
        <v>0</v>
      </c>
      <c r="L61" s="16">
        <v>0</v>
      </c>
      <c r="M61" s="14">
        <v>0</v>
      </c>
      <c r="N61" s="16">
        <v>0</v>
      </c>
      <c r="O61" s="14">
        <v>0</v>
      </c>
      <c r="P61" s="16">
        <v>0</v>
      </c>
      <c r="Q61" s="14">
        <v>0</v>
      </c>
      <c r="R61" s="16">
        <v>0</v>
      </c>
    </row>
    <row r="62" spans="1:18" x14ac:dyDescent="0.25">
      <c r="A62" s="11" t="s">
        <v>195</v>
      </c>
      <c r="B62" s="13">
        <v>4476</v>
      </c>
      <c r="C62" s="14">
        <f>(3726/B62*100)</f>
        <v>83.243967828418235</v>
      </c>
      <c r="D62" s="15">
        <v>750</v>
      </c>
      <c r="E62" s="14">
        <v>23.362745279999999</v>
      </c>
      <c r="F62" s="16">
        <v>1.5046456500000001</v>
      </c>
      <c r="G62" s="14">
        <v>76.637254720000001</v>
      </c>
      <c r="H62" s="16">
        <v>1.5046456500000001</v>
      </c>
      <c r="I62" s="14" t="s">
        <v>139</v>
      </c>
      <c r="J62" s="16" t="s">
        <v>139</v>
      </c>
      <c r="K62" s="14">
        <v>0</v>
      </c>
      <c r="L62" s="16">
        <v>0</v>
      </c>
      <c r="M62" s="14">
        <v>0</v>
      </c>
      <c r="N62" s="16">
        <v>0</v>
      </c>
      <c r="O62" s="14">
        <v>0</v>
      </c>
      <c r="P62" s="16">
        <v>0</v>
      </c>
      <c r="Q62" s="14">
        <v>0</v>
      </c>
      <c r="R62" s="16">
        <v>0</v>
      </c>
    </row>
    <row r="63" spans="1:18" x14ac:dyDescent="0.25">
      <c r="A63" s="11" t="s">
        <v>196</v>
      </c>
      <c r="B63" s="17" t="s">
        <v>154</v>
      </c>
      <c r="C63" s="17" t="s">
        <v>154</v>
      </c>
      <c r="D63" s="18" t="s">
        <v>154</v>
      </c>
      <c r="E63" s="17" t="s">
        <v>154</v>
      </c>
      <c r="F63" s="18" t="s">
        <v>154</v>
      </c>
      <c r="G63" s="17" t="s">
        <v>154</v>
      </c>
      <c r="H63" s="18" t="s">
        <v>154</v>
      </c>
      <c r="I63" s="17" t="s">
        <v>154</v>
      </c>
      <c r="J63" s="18" t="s">
        <v>154</v>
      </c>
      <c r="K63" s="17" t="s">
        <v>154</v>
      </c>
      <c r="L63" s="18" t="s">
        <v>154</v>
      </c>
      <c r="M63" s="17" t="s">
        <v>154</v>
      </c>
      <c r="N63" s="18" t="s">
        <v>154</v>
      </c>
      <c r="O63" s="17" t="s">
        <v>154</v>
      </c>
      <c r="P63" s="18" t="s">
        <v>154</v>
      </c>
      <c r="Q63" s="17" t="s">
        <v>154</v>
      </c>
      <c r="R63" s="18" t="s">
        <v>154</v>
      </c>
    </row>
    <row r="64" spans="1:18" x14ac:dyDescent="0.25">
      <c r="A64" s="11" t="s">
        <v>197</v>
      </c>
      <c r="B64" s="17" t="s">
        <v>154</v>
      </c>
      <c r="C64" s="17" t="s">
        <v>154</v>
      </c>
      <c r="D64" s="18" t="s">
        <v>154</v>
      </c>
      <c r="E64" s="17" t="s">
        <v>154</v>
      </c>
      <c r="F64" s="18" t="s">
        <v>154</v>
      </c>
      <c r="G64" s="17" t="s">
        <v>154</v>
      </c>
      <c r="H64" s="18" t="s">
        <v>154</v>
      </c>
      <c r="I64" s="17" t="s">
        <v>154</v>
      </c>
      <c r="J64" s="18" t="s">
        <v>154</v>
      </c>
      <c r="K64" s="17" t="s">
        <v>154</v>
      </c>
      <c r="L64" s="18" t="s">
        <v>154</v>
      </c>
      <c r="M64" s="17" t="s">
        <v>154</v>
      </c>
      <c r="N64" s="18" t="s">
        <v>154</v>
      </c>
      <c r="O64" s="17" t="s">
        <v>154</v>
      </c>
      <c r="P64" s="18" t="s">
        <v>154</v>
      </c>
      <c r="Q64" s="17" t="s">
        <v>154</v>
      </c>
      <c r="R64" s="18" t="s">
        <v>154</v>
      </c>
    </row>
    <row r="65" spans="1:18" x14ac:dyDescent="0.25">
      <c r="A65" s="11" t="s">
        <v>198</v>
      </c>
      <c r="B65" s="17" t="s">
        <v>154</v>
      </c>
      <c r="C65" s="17" t="s">
        <v>154</v>
      </c>
      <c r="D65" s="18" t="s">
        <v>154</v>
      </c>
      <c r="E65" s="17" t="s">
        <v>154</v>
      </c>
      <c r="F65" s="18" t="s">
        <v>154</v>
      </c>
      <c r="G65" s="17" t="s">
        <v>154</v>
      </c>
      <c r="H65" s="18" t="s">
        <v>154</v>
      </c>
      <c r="I65" s="17" t="s">
        <v>154</v>
      </c>
      <c r="J65" s="18" t="s">
        <v>154</v>
      </c>
      <c r="K65" s="17" t="s">
        <v>154</v>
      </c>
      <c r="L65" s="18" t="s">
        <v>154</v>
      </c>
      <c r="M65" s="17" t="s">
        <v>154</v>
      </c>
      <c r="N65" s="18" t="s">
        <v>154</v>
      </c>
      <c r="O65" s="17" t="s">
        <v>154</v>
      </c>
      <c r="P65" s="18" t="s">
        <v>154</v>
      </c>
      <c r="Q65" s="17" t="s">
        <v>154</v>
      </c>
      <c r="R65" s="18" t="s">
        <v>154</v>
      </c>
    </row>
    <row r="66" spans="1:18" x14ac:dyDescent="0.25">
      <c r="A66" s="11" t="s">
        <v>199</v>
      </c>
      <c r="B66" s="13">
        <v>5665</v>
      </c>
      <c r="C66" s="14">
        <f>(4731/B66*100)</f>
        <v>83.512797881729909</v>
      </c>
      <c r="D66" s="15">
        <v>934</v>
      </c>
      <c r="E66" s="14">
        <v>64.262698540000002</v>
      </c>
      <c r="F66" s="16">
        <v>1.4323325600000001</v>
      </c>
      <c r="G66" s="14">
        <v>35.737301459999998</v>
      </c>
      <c r="H66" s="16">
        <v>1.4323325600000001</v>
      </c>
      <c r="I66" s="14" t="s">
        <v>139</v>
      </c>
      <c r="J66" s="16" t="s">
        <v>139</v>
      </c>
      <c r="K66" s="14">
        <v>0</v>
      </c>
      <c r="L66" s="16">
        <v>0</v>
      </c>
      <c r="M66" s="14">
        <v>0</v>
      </c>
      <c r="N66" s="16">
        <v>0</v>
      </c>
      <c r="O66" s="14">
        <v>0</v>
      </c>
      <c r="P66" s="16">
        <v>0</v>
      </c>
      <c r="Q66" s="14">
        <v>0</v>
      </c>
      <c r="R66" s="16">
        <v>0</v>
      </c>
    </row>
    <row r="67" spans="1:18" x14ac:dyDescent="0.25">
      <c r="A67" s="11" t="s">
        <v>200</v>
      </c>
      <c r="B67" s="13">
        <v>6971</v>
      </c>
      <c r="C67" s="14">
        <f>(5956/B67*100)</f>
        <v>85.439678668770625</v>
      </c>
      <c r="D67" s="15">
        <v>1015</v>
      </c>
      <c r="E67" s="14">
        <v>48.651722679999999</v>
      </c>
      <c r="F67" s="16">
        <v>1.8476562299999999</v>
      </c>
      <c r="G67" s="14">
        <v>51.348277320000001</v>
      </c>
      <c r="H67" s="16">
        <v>1.8476562299999999</v>
      </c>
      <c r="I67" s="14" t="s">
        <v>139</v>
      </c>
      <c r="J67" s="16" t="s">
        <v>139</v>
      </c>
      <c r="K67" s="14">
        <v>0</v>
      </c>
      <c r="L67" s="16">
        <v>0</v>
      </c>
      <c r="M67" s="14">
        <v>0</v>
      </c>
      <c r="N67" s="16">
        <v>0</v>
      </c>
      <c r="O67" s="14">
        <v>0</v>
      </c>
      <c r="P67" s="16">
        <v>0</v>
      </c>
      <c r="Q67" s="14">
        <v>0</v>
      </c>
      <c r="R67" s="16">
        <v>0</v>
      </c>
    </row>
    <row r="68" spans="1:18" x14ac:dyDescent="0.25">
      <c r="A68" s="11" t="s">
        <v>201</v>
      </c>
      <c r="B68" s="17" t="s">
        <v>154</v>
      </c>
      <c r="C68" s="17" t="s">
        <v>154</v>
      </c>
      <c r="D68" s="18" t="s">
        <v>154</v>
      </c>
      <c r="E68" s="17" t="s">
        <v>154</v>
      </c>
      <c r="F68" s="18" t="s">
        <v>154</v>
      </c>
      <c r="G68" s="17" t="s">
        <v>154</v>
      </c>
      <c r="H68" s="18" t="s">
        <v>154</v>
      </c>
      <c r="I68" s="17" t="s">
        <v>154</v>
      </c>
      <c r="J68" s="18" t="s">
        <v>154</v>
      </c>
      <c r="K68" s="17" t="s">
        <v>154</v>
      </c>
      <c r="L68" s="18" t="s">
        <v>154</v>
      </c>
      <c r="M68" s="17" t="s">
        <v>154</v>
      </c>
      <c r="N68" s="18" t="s">
        <v>154</v>
      </c>
      <c r="O68" s="17" t="s">
        <v>154</v>
      </c>
      <c r="P68" s="18" t="s">
        <v>154</v>
      </c>
      <c r="Q68" s="17" t="s">
        <v>154</v>
      </c>
      <c r="R68" s="18" t="s">
        <v>154</v>
      </c>
    </row>
    <row r="69" spans="1:18" x14ac:dyDescent="0.25">
      <c r="A69" s="11" t="s">
        <v>202</v>
      </c>
      <c r="B69" s="17" t="s">
        <v>154</v>
      </c>
      <c r="C69" s="17" t="s">
        <v>154</v>
      </c>
      <c r="D69" s="18" t="s">
        <v>154</v>
      </c>
      <c r="E69" s="17" t="s">
        <v>154</v>
      </c>
      <c r="F69" s="18" t="s">
        <v>154</v>
      </c>
      <c r="G69" s="17" t="s">
        <v>154</v>
      </c>
      <c r="H69" s="18" t="s">
        <v>154</v>
      </c>
      <c r="I69" s="17" t="s">
        <v>154</v>
      </c>
      <c r="J69" s="18" t="s">
        <v>154</v>
      </c>
      <c r="K69" s="17" t="s">
        <v>154</v>
      </c>
      <c r="L69" s="18" t="s">
        <v>154</v>
      </c>
      <c r="M69" s="17" t="s">
        <v>154</v>
      </c>
      <c r="N69" s="18" t="s">
        <v>154</v>
      </c>
      <c r="O69" s="17" t="s">
        <v>154</v>
      </c>
      <c r="P69" s="18" t="s">
        <v>154</v>
      </c>
      <c r="Q69" s="17" t="s">
        <v>154</v>
      </c>
      <c r="R69" s="18" t="s">
        <v>154</v>
      </c>
    </row>
    <row r="70" spans="1:18" x14ac:dyDescent="0.25">
      <c r="A70" s="11" t="s">
        <v>203</v>
      </c>
      <c r="B70" s="13">
        <v>6036</v>
      </c>
      <c r="C70" s="14">
        <f>(5027/B70*100)</f>
        <v>83.283631544068911</v>
      </c>
      <c r="D70" s="15">
        <v>1009</v>
      </c>
      <c r="E70" s="14">
        <v>50.953739650000003</v>
      </c>
      <c r="F70" s="16">
        <v>2.0395847599999999</v>
      </c>
      <c r="G70" s="14">
        <v>49.046260349999997</v>
      </c>
      <c r="H70" s="16">
        <v>2.0395847599999999</v>
      </c>
      <c r="I70" s="14" t="s">
        <v>139</v>
      </c>
      <c r="J70" s="16" t="s">
        <v>139</v>
      </c>
      <c r="K70" s="14">
        <v>0</v>
      </c>
      <c r="L70" s="16">
        <v>0</v>
      </c>
      <c r="M70" s="14">
        <v>0</v>
      </c>
      <c r="N70" s="16">
        <v>0</v>
      </c>
      <c r="O70" s="14">
        <v>0</v>
      </c>
      <c r="P70" s="16">
        <v>0</v>
      </c>
      <c r="Q70" s="14">
        <v>0</v>
      </c>
      <c r="R70" s="16">
        <v>0</v>
      </c>
    </row>
    <row r="71" spans="1:18" x14ac:dyDescent="0.25">
      <c r="A71" s="11" t="s">
        <v>204</v>
      </c>
      <c r="B71" s="17" t="s">
        <v>154</v>
      </c>
      <c r="C71" s="17" t="s">
        <v>154</v>
      </c>
      <c r="D71" s="18" t="s">
        <v>154</v>
      </c>
      <c r="E71" s="17" t="s">
        <v>154</v>
      </c>
      <c r="F71" s="18" t="s">
        <v>154</v>
      </c>
      <c r="G71" s="17" t="s">
        <v>154</v>
      </c>
      <c r="H71" s="18" t="s">
        <v>154</v>
      </c>
      <c r="I71" s="17" t="s">
        <v>154</v>
      </c>
      <c r="J71" s="18" t="s">
        <v>154</v>
      </c>
      <c r="K71" s="17" t="s">
        <v>154</v>
      </c>
      <c r="L71" s="18" t="s">
        <v>154</v>
      </c>
      <c r="M71" s="17" t="s">
        <v>154</v>
      </c>
      <c r="N71" s="18" t="s">
        <v>154</v>
      </c>
      <c r="O71" s="17" t="s">
        <v>154</v>
      </c>
      <c r="P71" s="18" t="s">
        <v>154</v>
      </c>
      <c r="Q71" s="17" t="s">
        <v>154</v>
      </c>
      <c r="R71" s="18" t="s">
        <v>154</v>
      </c>
    </row>
    <row r="72" spans="1:18" x14ac:dyDescent="0.25">
      <c r="A72" s="11" t="s">
        <v>205</v>
      </c>
      <c r="B72" s="13">
        <v>7708</v>
      </c>
      <c r="C72" s="14">
        <f>(6393/B72*100)</f>
        <v>82.939802802283353</v>
      </c>
      <c r="D72" s="15">
        <v>1315</v>
      </c>
      <c r="E72" s="14">
        <v>26.76637251</v>
      </c>
      <c r="F72" s="16">
        <v>1.2172934200000001</v>
      </c>
      <c r="G72" s="14">
        <v>73.233627490000003</v>
      </c>
      <c r="H72" s="16">
        <v>1.2172934200000001</v>
      </c>
      <c r="I72" s="14" t="s">
        <v>139</v>
      </c>
      <c r="J72" s="16" t="s">
        <v>139</v>
      </c>
      <c r="K72" s="14">
        <v>0</v>
      </c>
      <c r="L72" s="16">
        <v>0</v>
      </c>
      <c r="M72" s="14">
        <v>0</v>
      </c>
      <c r="N72" s="16">
        <v>0</v>
      </c>
      <c r="O72" s="14">
        <v>0</v>
      </c>
      <c r="P72" s="16">
        <v>0</v>
      </c>
      <c r="Q72" s="14">
        <v>0</v>
      </c>
      <c r="R72" s="16">
        <v>0</v>
      </c>
    </row>
    <row r="73" spans="1:18" x14ac:dyDescent="0.25">
      <c r="A73" s="11" t="s">
        <v>206</v>
      </c>
      <c r="B73" s="13">
        <v>8249</v>
      </c>
      <c r="C73" s="14">
        <f>(6928/B73*100)</f>
        <v>83.9859376894169</v>
      </c>
      <c r="D73" s="15">
        <v>1321</v>
      </c>
      <c r="E73" s="14">
        <v>43.238292039999997</v>
      </c>
      <c r="F73" s="16">
        <v>1.57494866</v>
      </c>
      <c r="G73" s="14">
        <v>56.761707960000003</v>
      </c>
      <c r="H73" s="16">
        <v>1.57494866</v>
      </c>
      <c r="I73" s="14" t="s">
        <v>139</v>
      </c>
      <c r="J73" s="16" t="s">
        <v>139</v>
      </c>
      <c r="K73" s="14">
        <v>0</v>
      </c>
      <c r="L73" s="16">
        <v>0</v>
      </c>
      <c r="M73" s="14">
        <v>0</v>
      </c>
      <c r="N73" s="16">
        <v>0</v>
      </c>
      <c r="O73" s="14">
        <v>0</v>
      </c>
      <c r="P73" s="16">
        <v>0</v>
      </c>
      <c r="Q73" s="14">
        <v>0</v>
      </c>
      <c r="R73" s="16">
        <v>0</v>
      </c>
    </row>
    <row r="74" spans="1:18" x14ac:dyDescent="0.25">
      <c r="A74" s="11" t="s">
        <v>207</v>
      </c>
      <c r="B74" s="17" t="s">
        <v>154</v>
      </c>
      <c r="C74" s="17" t="s">
        <v>154</v>
      </c>
      <c r="D74" s="18" t="s">
        <v>154</v>
      </c>
      <c r="E74" s="17" t="s">
        <v>154</v>
      </c>
      <c r="F74" s="18" t="s">
        <v>154</v>
      </c>
      <c r="G74" s="17" t="s">
        <v>154</v>
      </c>
      <c r="H74" s="18" t="s">
        <v>154</v>
      </c>
      <c r="I74" s="17" t="s">
        <v>154</v>
      </c>
      <c r="J74" s="18" t="s">
        <v>154</v>
      </c>
      <c r="K74" s="17" t="s">
        <v>154</v>
      </c>
      <c r="L74" s="18" t="s">
        <v>154</v>
      </c>
      <c r="M74" s="17" t="s">
        <v>154</v>
      </c>
      <c r="N74" s="18" t="s">
        <v>154</v>
      </c>
      <c r="O74" s="17" t="s">
        <v>154</v>
      </c>
      <c r="P74" s="18" t="s">
        <v>154</v>
      </c>
      <c r="Q74" s="17" t="s">
        <v>154</v>
      </c>
      <c r="R74" s="18" t="s">
        <v>154</v>
      </c>
    </row>
    <row r="75" spans="1:18" x14ac:dyDescent="0.25">
      <c r="A75" s="11" t="s">
        <v>208</v>
      </c>
      <c r="B75" s="13">
        <v>5375</v>
      </c>
      <c r="C75" s="14">
        <f>(4579/B75*100)</f>
        <v>85.190697674418601</v>
      </c>
      <c r="D75" s="15">
        <v>796</v>
      </c>
      <c r="E75" s="14">
        <v>61.821040340000003</v>
      </c>
      <c r="F75" s="16">
        <v>1.8582503800000001</v>
      </c>
      <c r="G75" s="14">
        <v>38.178959659999997</v>
      </c>
      <c r="H75" s="16">
        <v>1.8582503800000001</v>
      </c>
      <c r="I75" s="14" t="s">
        <v>139</v>
      </c>
      <c r="J75" s="16" t="s">
        <v>139</v>
      </c>
      <c r="K75" s="14">
        <v>0</v>
      </c>
      <c r="L75" s="16">
        <v>0</v>
      </c>
      <c r="M75" s="14">
        <v>0</v>
      </c>
      <c r="N75" s="16">
        <v>0</v>
      </c>
      <c r="O75" s="14">
        <v>0</v>
      </c>
      <c r="P75" s="16">
        <v>0</v>
      </c>
      <c r="Q75" s="14">
        <v>0</v>
      </c>
      <c r="R75" s="16">
        <v>0</v>
      </c>
    </row>
    <row r="76" spans="1:18" x14ac:dyDescent="0.25">
      <c r="A76" s="11" t="s">
        <v>209</v>
      </c>
      <c r="B76" s="13">
        <v>14167</v>
      </c>
      <c r="C76" s="14">
        <f>(11736/B76*100)</f>
        <v>82.840403755205756</v>
      </c>
      <c r="D76" s="15">
        <v>2431</v>
      </c>
      <c r="E76" s="14">
        <v>46.180510130000002</v>
      </c>
      <c r="F76" s="16">
        <v>1.2743366700000001</v>
      </c>
      <c r="G76" s="14">
        <v>53.819489869999998</v>
      </c>
      <c r="H76" s="16">
        <v>1.2743366700000001</v>
      </c>
      <c r="I76" s="14" t="s">
        <v>139</v>
      </c>
      <c r="J76" s="16" t="s">
        <v>139</v>
      </c>
      <c r="K76" s="14">
        <v>0</v>
      </c>
      <c r="L76" s="16">
        <v>0</v>
      </c>
      <c r="M76" s="14">
        <v>0</v>
      </c>
      <c r="N76" s="16">
        <v>0</v>
      </c>
      <c r="O76" s="14">
        <v>0</v>
      </c>
      <c r="P76" s="16">
        <v>0</v>
      </c>
      <c r="Q76" s="14">
        <v>0</v>
      </c>
      <c r="R76" s="16">
        <v>0</v>
      </c>
    </row>
    <row r="77" spans="1:18" x14ac:dyDescent="0.25">
      <c r="A77" s="11" t="s">
        <v>210</v>
      </c>
      <c r="B77" s="13">
        <v>6062</v>
      </c>
      <c r="C77" s="14">
        <f>(5052/B77*100)</f>
        <v>83.338832068624214</v>
      </c>
      <c r="D77" s="15">
        <v>1010</v>
      </c>
      <c r="E77" s="14">
        <v>44.215252460000002</v>
      </c>
      <c r="F77" s="16">
        <v>1.8056596199999999</v>
      </c>
      <c r="G77" s="14">
        <v>55.784747539999998</v>
      </c>
      <c r="H77" s="16">
        <v>1.8056596199999999</v>
      </c>
      <c r="I77" s="14" t="s">
        <v>139</v>
      </c>
      <c r="J77" s="16" t="s">
        <v>139</v>
      </c>
      <c r="K77" s="14">
        <v>0</v>
      </c>
      <c r="L77" s="16">
        <v>0</v>
      </c>
      <c r="M77" s="14">
        <v>0</v>
      </c>
      <c r="N77" s="16">
        <v>0</v>
      </c>
      <c r="O77" s="14">
        <v>0</v>
      </c>
      <c r="P77" s="16">
        <v>0</v>
      </c>
      <c r="Q77" s="14">
        <v>0</v>
      </c>
      <c r="R77" s="16">
        <v>0</v>
      </c>
    </row>
    <row r="78" spans="1:18" x14ac:dyDescent="0.25">
      <c r="A78" s="11" t="s">
        <v>211</v>
      </c>
      <c r="B78" s="17" t="s">
        <v>154</v>
      </c>
      <c r="C78" s="17" t="s">
        <v>154</v>
      </c>
      <c r="D78" s="18" t="s">
        <v>154</v>
      </c>
      <c r="E78" s="17" t="s">
        <v>154</v>
      </c>
      <c r="F78" s="18" t="s">
        <v>154</v>
      </c>
      <c r="G78" s="17" t="s">
        <v>154</v>
      </c>
      <c r="H78" s="18" t="s">
        <v>154</v>
      </c>
      <c r="I78" s="17" t="s">
        <v>154</v>
      </c>
      <c r="J78" s="18" t="s">
        <v>154</v>
      </c>
      <c r="K78" s="17" t="s">
        <v>154</v>
      </c>
      <c r="L78" s="18" t="s">
        <v>154</v>
      </c>
      <c r="M78" s="17" t="s">
        <v>154</v>
      </c>
      <c r="N78" s="18" t="s">
        <v>154</v>
      </c>
      <c r="O78" s="17" t="s">
        <v>154</v>
      </c>
      <c r="P78" s="18" t="s">
        <v>154</v>
      </c>
      <c r="Q78" s="17" t="s">
        <v>154</v>
      </c>
      <c r="R78" s="18" t="s">
        <v>154</v>
      </c>
    </row>
    <row r="79" spans="1:18" ht="24.95" customHeight="1" x14ac:dyDescent="0.25">
      <c r="A79" s="11" t="s">
        <v>212</v>
      </c>
      <c r="B79" s="17" t="s">
        <v>154</v>
      </c>
      <c r="C79" s="17" t="s">
        <v>154</v>
      </c>
      <c r="D79" s="18" t="s">
        <v>154</v>
      </c>
      <c r="E79" s="17" t="s">
        <v>154</v>
      </c>
      <c r="F79" s="18" t="s">
        <v>154</v>
      </c>
      <c r="G79" s="17" t="s">
        <v>154</v>
      </c>
      <c r="H79" s="18" t="s">
        <v>154</v>
      </c>
      <c r="I79" s="17" t="s">
        <v>154</v>
      </c>
      <c r="J79" s="18" t="s">
        <v>154</v>
      </c>
      <c r="K79" s="17" t="s">
        <v>154</v>
      </c>
      <c r="L79" s="18" t="s">
        <v>154</v>
      </c>
      <c r="M79" s="17" t="s">
        <v>154</v>
      </c>
      <c r="N79" s="18" t="s">
        <v>154</v>
      </c>
      <c r="O79" s="17" t="s">
        <v>154</v>
      </c>
      <c r="P79" s="18" t="s">
        <v>154</v>
      </c>
      <c r="Q79" s="17" t="s">
        <v>154</v>
      </c>
      <c r="R79" s="18" t="s">
        <v>154</v>
      </c>
    </row>
    <row r="80" spans="1:18" x14ac:dyDescent="0.25">
      <c r="A80" s="11" t="s">
        <v>213</v>
      </c>
      <c r="B80" s="17" t="s">
        <v>154</v>
      </c>
      <c r="C80" s="17" t="s">
        <v>154</v>
      </c>
      <c r="D80" s="18" t="s">
        <v>154</v>
      </c>
      <c r="E80" s="17" t="s">
        <v>154</v>
      </c>
      <c r="F80" s="18" t="s">
        <v>154</v>
      </c>
      <c r="G80" s="17" t="s">
        <v>154</v>
      </c>
      <c r="H80" s="18" t="s">
        <v>154</v>
      </c>
      <c r="I80" s="17" t="s">
        <v>154</v>
      </c>
      <c r="J80" s="18" t="s">
        <v>154</v>
      </c>
      <c r="K80" s="17" t="s">
        <v>154</v>
      </c>
      <c r="L80" s="18" t="s">
        <v>154</v>
      </c>
      <c r="M80" s="17" t="s">
        <v>154</v>
      </c>
      <c r="N80" s="18" t="s">
        <v>154</v>
      </c>
      <c r="O80" s="17" t="s">
        <v>154</v>
      </c>
      <c r="P80" s="18" t="s">
        <v>154</v>
      </c>
      <c r="Q80" s="17" t="s">
        <v>154</v>
      </c>
      <c r="R80" s="18" t="s">
        <v>154</v>
      </c>
    </row>
    <row r="81" spans="1:18" x14ac:dyDescent="0.25">
      <c r="A81" s="19" t="s">
        <v>214</v>
      </c>
      <c r="B81" s="13">
        <v>8861</v>
      </c>
      <c r="C81" s="14">
        <f>(8516/B81*100)</f>
        <v>96.106534251213176</v>
      </c>
      <c r="D81" s="15">
        <v>345</v>
      </c>
      <c r="E81" s="14">
        <v>40.118109080000004</v>
      </c>
      <c r="F81" s="16">
        <v>4.4723680200000002</v>
      </c>
      <c r="G81" s="14">
        <v>59.881890919999996</v>
      </c>
      <c r="H81" s="16">
        <v>4.4723680200000002</v>
      </c>
      <c r="I81" s="14" t="s">
        <v>139</v>
      </c>
      <c r="J81" s="16" t="s">
        <v>139</v>
      </c>
      <c r="K81" s="14">
        <v>0</v>
      </c>
      <c r="L81" s="16">
        <v>0</v>
      </c>
      <c r="M81" s="14">
        <v>0</v>
      </c>
      <c r="N81" s="16">
        <v>0</v>
      </c>
      <c r="O81" s="14">
        <v>0</v>
      </c>
      <c r="P81" s="16">
        <v>0</v>
      </c>
      <c r="Q81" s="14">
        <v>0</v>
      </c>
      <c r="R81" s="16">
        <v>0</v>
      </c>
    </row>
    <row r="82" spans="1:18" x14ac:dyDescent="0.25">
      <c r="A82" s="20"/>
      <c r="B82" s="20" t="s">
        <v>215</v>
      </c>
      <c r="C82" s="20" t="s">
        <v>215</v>
      </c>
      <c r="D82" s="20" t="s">
        <v>215</v>
      </c>
      <c r="E82" s="20" t="s">
        <v>215</v>
      </c>
      <c r="F82" s="20" t="s">
        <v>215</v>
      </c>
      <c r="G82" s="20" t="s">
        <v>215</v>
      </c>
      <c r="H82" s="20" t="s">
        <v>215</v>
      </c>
      <c r="I82" s="20" t="s">
        <v>215</v>
      </c>
      <c r="J82" s="20" t="s">
        <v>215</v>
      </c>
      <c r="K82" s="20" t="s">
        <v>215</v>
      </c>
      <c r="L82" s="20" t="s">
        <v>215</v>
      </c>
      <c r="M82" s="20" t="s">
        <v>215</v>
      </c>
      <c r="N82" s="20" t="s">
        <v>215</v>
      </c>
      <c r="O82" s="20" t="s">
        <v>215</v>
      </c>
      <c r="P82" s="20" t="s">
        <v>215</v>
      </c>
      <c r="Q82" s="20" t="s">
        <v>215</v>
      </c>
      <c r="R82" s="20" t="s">
        <v>215</v>
      </c>
    </row>
    <row r="83" spans="1:18" x14ac:dyDescent="0.25">
      <c r="A83" s="3" t="s">
        <v>216</v>
      </c>
    </row>
    <row r="84" spans="1:18" x14ac:dyDescent="0.25">
      <c r="A84" s="22" t="s">
        <v>217</v>
      </c>
      <c r="B84" s="23"/>
      <c r="C84" s="23"/>
      <c r="D84" s="23"/>
      <c r="E84" s="23"/>
      <c r="F84" s="23"/>
      <c r="G84" s="23"/>
      <c r="H84" s="23"/>
      <c r="I84" s="23"/>
      <c r="J84" s="23"/>
      <c r="K84" s="23"/>
      <c r="L84" s="23"/>
      <c r="M84" s="23"/>
      <c r="N84" s="23"/>
      <c r="O84" s="23"/>
      <c r="P84" s="23"/>
      <c r="Q84" s="23"/>
      <c r="R84" s="23"/>
    </row>
    <row r="85" spans="1:18" x14ac:dyDescent="0.25">
      <c r="A85" s="22" t="s">
        <v>218</v>
      </c>
      <c r="B85" s="23"/>
      <c r="C85" s="23"/>
      <c r="D85" s="23"/>
      <c r="E85" s="23"/>
      <c r="F85" s="23"/>
      <c r="G85" s="23"/>
      <c r="H85" s="23"/>
      <c r="I85" s="23"/>
      <c r="J85" s="23"/>
      <c r="K85" s="23"/>
      <c r="L85" s="23"/>
      <c r="M85" s="23"/>
      <c r="N85" s="23"/>
      <c r="O85" s="23"/>
      <c r="P85" s="23"/>
      <c r="Q85" s="23"/>
      <c r="R85" s="23"/>
    </row>
    <row r="86" spans="1:18" ht="30" customHeight="1" x14ac:dyDescent="0.25">
      <c r="A86" s="22" t="s">
        <v>219</v>
      </c>
      <c r="B86" s="23"/>
      <c r="C86" s="23"/>
      <c r="D86" s="23"/>
      <c r="E86" s="23"/>
      <c r="F86" s="23"/>
      <c r="G86" s="23"/>
      <c r="H86" s="23"/>
      <c r="I86" s="23"/>
      <c r="J86" s="23"/>
      <c r="K86" s="23"/>
      <c r="L86" s="23"/>
      <c r="M86" s="23"/>
      <c r="N86" s="23"/>
      <c r="O86" s="23"/>
      <c r="P86" s="23"/>
      <c r="Q86" s="23"/>
      <c r="R86" s="23"/>
    </row>
    <row r="87" spans="1:18" ht="30" customHeight="1" x14ac:dyDescent="0.25">
      <c r="A87" s="22" t="s">
        <v>215</v>
      </c>
      <c r="B87" s="23"/>
      <c r="C87" s="23"/>
      <c r="D87" s="23"/>
      <c r="E87" s="23"/>
      <c r="F87" s="23"/>
      <c r="G87" s="23"/>
      <c r="H87" s="23"/>
      <c r="I87" s="23"/>
      <c r="J87" s="23"/>
      <c r="K87" s="23"/>
      <c r="L87" s="23"/>
      <c r="M87" s="23"/>
      <c r="N87" s="23"/>
      <c r="O87" s="23"/>
      <c r="P87" s="23"/>
      <c r="Q87" s="23"/>
      <c r="R87" s="23"/>
    </row>
    <row r="88" spans="1:18" ht="30" customHeight="1" x14ac:dyDescent="0.25">
      <c r="A88" s="22" t="s">
        <v>220</v>
      </c>
      <c r="B88" s="23"/>
      <c r="C88" s="23"/>
      <c r="D88" s="23"/>
      <c r="E88" s="23"/>
      <c r="F88" s="23"/>
      <c r="G88" s="23"/>
      <c r="H88" s="23"/>
      <c r="I88" s="23"/>
      <c r="J88" s="23"/>
      <c r="K88" s="23"/>
      <c r="L88" s="23"/>
      <c r="M88" s="23"/>
      <c r="N88" s="23"/>
      <c r="O88" s="23"/>
      <c r="P88" s="23"/>
      <c r="Q88" s="23"/>
      <c r="R88" s="23"/>
    </row>
    <row r="89" spans="1:18" ht="30" customHeight="1" x14ac:dyDescent="0.25">
      <c r="A89" s="22" t="s">
        <v>221</v>
      </c>
      <c r="B89" s="23"/>
      <c r="C89" s="23"/>
      <c r="D89" s="23"/>
      <c r="E89" s="23"/>
      <c r="F89" s="23"/>
      <c r="G89" s="23"/>
      <c r="H89" s="23"/>
      <c r="I89" s="23"/>
      <c r="J89" s="23"/>
      <c r="K89" s="23"/>
      <c r="L89" s="23"/>
      <c r="M89" s="23"/>
      <c r="N89" s="23"/>
      <c r="O89" s="23"/>
      <c r="P89" s="23"/>
      <c r="Q89" s="23"/>
      <c r="R89" s="23"/>
    </row>
    <row r="90" spans="1:18" ht="30" customHeight="1" x14ac:dyDescent="0.25">
      <c r="A90" s="22" t="s">
        <v>222</v>
      </c>
      <c r="B90" s="23"/>
      <c r="C90" s="23"/>
      <c r="D90" s="23"/>
      <c r="E90" s="23"/>
      <c r="F90" s="23"/>
      <c r="G90" s="23"/>
      <c r="H90" s="23"/>
      <c r="I90" s="23"/>
      <c r="J90" s="23"/>
      <c r="K90" s="23"/>
      <c r="L90" s="23"/>
      <c r="M90" s="23"/>
      <c r="N90" s="23"/>
      <c r="O90" s="23"/>
      <c r="P90" s="23"/>
      <c r="Q90" s="23"/>
      <c r="R90" s="23"/>
    </row>
    <row r="91" spans="1:18" ht="30" customHeight="1" x14ac:dyDescent="0.25">
      <c r="A91" s="22" t="s">
        <v>223</v>
      </c>
      <c r="B91" s="23"/>
      <c r="C91" s="23"/>
      <c r="D91" s="23"/>
      <c r="E91" s="23"/>
      <c r="F91" s="23"/>
      <c r="G91" s="23"/>
      <c r="H91" s="23"/>
      <c r="I91" s="23"/>
      <c r="J91" s="23"/>
      <c r="K91" s="23"/>
      <c r="L91" s="23"/>
      <c r="M91" s="23"/>
      <c r="N91" s="23"/>
      <c r="O91" s="23"/>
      <c r="P91" s="23"/>
      <c r="Q91" s="23"/>
      <c r="R91" s="23"/>
    </row>
    <row r="92" spans="1:18" ht="30" customHeight="1" x14ac:dyDescent="0.25">
      <c r="A92" s="22" t="s">
        <v>224</v>
      </c>
      <c r="B92" s="23"/>
      <c r="C92" s="23"/>
      <c r="D92" s="23"/>
      <c r="E92" s="23"/>
      <c r="F92" s="23"/>
      <c r="G92" s="23"/>
      <c r="H92" s="23"/>
      <c r="I92" s="23"/>
      <c r="J92" s="23"/>
      <c r="K92" s="23"/>
      <c r="L92" s="23"/>
      <c r="M92" s="23"/>
      <c r="N92" s="23"/>
      <c r="O92" s="23"/>
      <c r="P92" s="23"/>
      <c r="Q92" s="23"/>
      <c r="R92" s="23"/>
    </row>
    <row r="93" spans="1:18" ht="30" customHeight="1" x14ac:dyDescent="0.25">
      <c r="A93" s="22" t="s">
        <v>225</v>
      </c>
      <c r="B93" s="23"/>
      <c r="C93" s="23"/>
      <c r="D93" s="23"/>
      <c r="E93" s="23"/>
      <c r="F93" s="23"/>
      <c r="G93" s="23"/>
      <c r="H93" s="23"/>
      <c r="I93" s="23"/>
      <c r="J93" s="23"/>
      <c r="K93" s="23"/>
      <c r="L93" s="23"/>
      <c r="M93" s="23"/>
      <c r="N93" s="23"/>
      <c r="O93" s="23"/>
      <c r="P93" s="23"/>
      <c r="Q93" s="23"/>
      <c r="R93" s="23"/>
    </row>
    <row r="94" spans="1:18" ht="30" customHeight="1" x14ac:dyDescent="0.25">
      <c r="A94" s="22" t="s">
        <v>226</v>
      </c>
      <c r="B94" s="23"/>
      <c r="C94" s="23"/>
      <c r="D94" s="23"/>
      <c r="E94" s="23"/>
      <c r="F94" s="23"/>
      <c r="G94" s="23"/>
      <c r="H94" s="23"/>
      <c r="I94" s="23"/>
      <c r="J94" s="23"/>
      <c r="K94" s="23"/>
      <c r="L94" s="23"/>
      <c r="M94" s="23"/>
      <c r="N94" s="23"/>
      <c r="O94" s="23"/>
      <c r="P94" s="23"/>
      <c r="Q94" s="23"/>
      <c r="R94" s="23"/>
    </row>
    <row r="95" spans="1:18" ht="30" customHeight="1" x14ac:dyDescent="0.25">
      <c r="A95" s="22" t="s">
        <v>227</v>
      </c>
      <c r="B95" s="23"/>
      <c r="C95" s="23"/>
      <c r="D95" s="23"/>
      <c r="E95" s="23"/>
      <c r="F95" s="23"/>
      <c r="G95" s="23"/>
      <c r="H95" s="23"/>
      <c r="I95" s="23"/>
      <c r="J95" s="23"/>
      <c r="K95" s="23"/>
      <c r="L95" s="23"/>
      <c r="M95" s="23"/>
      <c r="N95" s="23"/>
      <c r="O95" s="23"/>
      <c r="P95" s="23"/>
      <c r="Q95" s="23"/>
      <c r="R95" s="23"/>
    </row>
    <row r="96" spans="1:18" ht="30" customHeight="1" x14ac:dyDescent="0.25">
      <c r="A96" s="22" t="s">
        <v>228</v>
      </c>
      <c r="B96" s="23"/>
      <c r="C96" s="23"/>
      <c r="D96" s="23"/>
      <c r="E96" s="23"/>
      <c r="F96" s="23"/>
      <c r="G96" s="23"/>
      <c r="H96" s="23"/>
      <c r="I96" s="23"/>
      <c r="J96" s="23"/>
      <c r="K96" s="23"/>
      <c r="L96" s="23"/>
      <c r="M96" s="23"/>
      <c r="N96" s="23"/>
      <c r="O96" s="23"/>
      <c r="P96" s="23"/>
      <c r="Q96" s="23"/>
      <c r="R96" s="23"/>
    </row>
  </sheetData>
  <mergeCells count="22">
    <mergeCell ref="O4:P4"/>
    <mergeCell ref="Q4:R4"/>
    <mergeCell ref="A1:R1"/>
    <mergeCell ref="A2:R2"/>
    <mergeCell ref="A84:R84"/>
    <mergeCell ref="E4:F4"/>
    <mergeCell ref="G4:H4"/>
    <mergeCell ref="I4:J4"/>
    <mergeCell ref="K4:L4"/>
    <mergeCell ref="M4:N4"/>
    <mergeCell ref="A85:R85"/>
    <mergeCell ref="A86:R86"/>
    <mergeCell ref="A87:R87"/>
    <mergeCell ref="A88:R88"/>
    <mergeCell ref="A89:R89"/>
    <mergeCell ref="A95:R95"/>
    <mergeCell ref="A96:R96"/>
    <mergeCell ref="A90:R90"/>
    <mergeCell ref="A91:R91"/>
    <mergeCell ref="A92:R92"/>
    <mergeCell ref="A93:R93"/>
    <mergeCell ref="A94:R94"/>
  </mergeCells>
  <pageMargins left="0.75" right="0.75" top="1" bottom="1" header="0.5" footer="0.5"/>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2"/>
  <dimension ref="A1:X96"/>
  <sheetViews>
    <sheetView zoomScale="80" workbookViewId="0">
      <pane xSplit="4" topLeftCell="E1" activePane="topRight" state="frozen"/>
      <selection sqref="A1:R1"/>
      <selection pane="topRight" sqref="A1:X1"/>
    </sheetView>
  </sheetViews>
  <sheetFormatPr defaultColWidth="11.42578125" defaultRowHeight="15" x14ac:dyDescent="0.25"/>
  <cols>
    <col min="1" max="1" width="50" customWidth="1"/>
  </cols>
  <sheetData>
    <row r="1" spans="1:24" x14ac:dyDescent="0.25">
      <c r="A1" s="26" t="s">
        <v>122</v>
      </c>
      <c r="B1" s="23"/>
      <c r="C1" s="23"/>
      <c r="D1" s="23"/>
      <c r="E1" s="23"/>
      <c r="F1" s="23"/>
      <c r="G1" s="23"/>
      <c r="H1" s="23"/>
      <c r="I1" s="23"/>
      <c r="J1" s="23"/>
      <c r="K1" s="23"/>
      <c r="L1" s="23"/>
      <c r="M1" s="23"/>
      <c r="N1" s="23"/>
      <c r="O1" s="23"/>
      <c r="P1" s="23"/>
      <c r="Q1" s="23"/>
      <c r="R1" s="23"/>
      <c r="S1" s="23"/>
      <c r="T1" s="23"/>
      <c r="U1" s="23"/>
      <c r="V1" s="23"/>
      <c r="W1" s="23"/>
      <c r="X1" s="23"/>
    </row>
    <row r="2" spans="1:24" x14ac:dyDescent="0.25">
      <c r="A2" s="27" t="s">
        <v>298</v>
      </c>
      <c r="B2" s="23"/>
      <c r="C2" s="23"/>
      <c r="D2" s="23"/>
      <c r="E2" s="23"/>
      <c r="F2" s="23"/>
      <c r="G2" s="23"/>
      <c r="H2" s="23"/>
      <c r="I2" s="23"/>
      <c r="J2" s="23"/>
      <c r="K2" s="23"/>
      <c r="L2" s="23"/>
      <c r="M2" s="23"/>
      <c r="N2" s="23"/>
      <c r="O2" s="23"/>
      <c r="P2" s="23"/>
      <c r="Q2" s="23"/>
      <c r="R2" s="23"/>
      <c r="S2" s="23"/>
      <c r="T2" s="23"/>
      <c r="U2" s="23"/>
      <c r="V2" s="23"/>
      <c r="W2" s="23"/>
      <c r="X2" s="23"/>
    </row>
    <row r="4" spans="1:24" ht="30" customHeight="1" x14ac:dyDescent="0.25">
      <c r="A4" s="4"/>
      <c r="B4" s="5" t="s">
        <v>123</v>
      </c>
      <c r="C4" s="5" t="s">
        <v>124</v>
      </c>
      <c r="D4" s="6" t="s">
        <v>123</v>
      </c>
      <c r="E4" s="24" t="s">
        <v>229</v>
      </c>
      <c r="F4" s="25"/>
      <c r="G4" s="24" t="s">
        <v>230</v>
      </c>
      <c r="H4" s="25"/>
      <c r="I4" s="24" t="s">
        <v>231</v>
      </c>
      <c r="J4" s="25"/>
      <c r="K4" s="24" t="s">
        <v>235</v>
      </c>
      <c r="L4" s="25"/>
      <c r="M4" s="24" t="s">
        <v>232</v>
      </c>
      <c r="N4" s="25"/>
      <c r="O4" s="24" t="s">
        <v>127</v>
      </c>
      <c r="P4" s="25"/>
      <c r="Q4" s="24" t="s">
        <v>128</v>
      </c>
      <c r="R4" s="25"/>
      <c r="S4" s="24" t="s">
        <v>129</v>
      </c>
      <c r="T4" s="25"/>
      <c r="U4" s="24" t="s">
        <v>130</v>
      </c>
      <c r="V4" s="25"/>
      <c r="W4" s="24" t="s">
        <v>131</v>
      </c>
      <c r="X4" s="25"/>
    </row>
    <row r="5" spans="1:24" x14ac:dyDescent="0.25">
      <c r="A5" s="7"/>
      <c r="B5" s="8" t="s">
        <v>132</v>
      </c>
      <c r="C5" s="8" t="s">
        <v>133</v>
      </c>
      <c r="D5" s="7" t="s">
        <v>134</v>
      </c>
      <c r="E5" s="8" t="s">
        <v>135</v>
      </c>
      <c r="F5" s="7" t="s">
        <v>136</v>
      </c>
      <c r="G5" s="8" t="s">
        <v>135</v>
      </c>
      <c r="H5" s="7" t="s">
        <v>136</v>
      </c>
      <c r="I5" s="8" t="s">
        <v>135</v>
      </c>
      <c r="J5" s="7" t="s">
        <v>136</v>
      </c>
      <c r="K5" s="8" t="s">
        <v>135</v>
      </c>
      <c r="L5" s="7" t="s">
        <v>136</v>
      </c>
      <c r="M5" s="8" t="s">
        <v>135</v>
      </c>
      <c r="N5" s="7" t="s">
        <v>136</v>
      </c>
      <c r="O5" s="8" t="s">
        <v>135</v>
      </c>
      <c r="P5" s="7" t="s">
        <v>136</v>
      </c>
      <c r="Q5" s="8" t="s">
        <v>135</v>
      </c>
      <c r="R5" s="7" t="s">
        <v>136</v>
      </c>
      <c r="S5" s="8" t="s">
        <v>135</v>
      </c>
      <c r="T5" s="7" t="s">
        <v>136</v>
      </c>
      <c r="U5" s="8" t="s">
        <v>135</v>
      </c>
      <c r="V5" s="7" t="s">
        <v>136</v>
      </c>
      <c r="W5" s="8" t="s">
        <v>135</v>
      </c>
      <c r="X5" s="7" t="s">
        <v>136</v>
      </c>
    </row>
    <row r="6" spans="1:24" x14ac:dyDescent="0.25">
      <c r="A6" s="9" t="s">
        <v>137</v>
      </c>
      <c r="B6" s="10"/>
      <c r="C6" s="10"/>
      <c r="D6" s="11"/>
      <c r="E6" s="10"/>
      <c r="F6" s="11"/>
      <c r="G6" s="10"/>
      <c r="H6" s="11"/>
      <c r="I6" s="10"/>
      <c r="J6" s="11"/>
      <c r="K6" s="10"/>
      <c r="L6" s="11"/>
      <c r="M6" s="10"/>
      <c r="N6" s="11"/>
      <c r="O6" s="10"/>
      <c r="P6" s="11"/>
      <c r="Q6" s="10"/>
      <c r="R6" s="11"/>
      <c r="S6" s="10"/>
      <c r="T6" s="11"/>
      <c r="U6" s="10"/>
      <c r="V6" s="11"/>
      <c r="W6" s="10"/>
      <c r="X6" s="12"/>
    </row>
    <row r="7" spans="1:24" x14ac:dyDescent="0.25">
      <c r="A7" s="11" t="s">
        <v>138</v>
      </c>
      <c r="B7" s="13">
        <v>14530</v>
      </c>
      <c r="C7" s="14">
        <f>(12149/B7*100)</f>
        <v>83.613214039917409</v>
      </c>
      <c r="D7" s="15">
        <v>2381</v>
      </c>
      <c r="E7" s="14">
        <v>5.1912660800000001</v>
      </c>
      <c r="F7" s="16">
        <v>0.59823715</v>
      </c>
      <c r="G7" s="14">
        <v>9.1469394499999996</v>
      </c>
      <c r="H7" s="16">
        <v>0.68528221</v>
      </c>
      <c r="I7" s="14">
        <v>22.3255117</v>
      </c>
      <c r="J7" s="16">
        <v>0.96880628999999996</v>
      </c>
      <c r="K7" s="14">
        <v>18.31301921</v>
      </c>
      <c r="L7" s="16">
        <v>0.88272329000000005</v>
      </c>
      <c r="M7" s="14">
        <v>45.023263559999997</v>
      </c>
      <c r="N7" s="16">
        <v>1.3125079399999999</v>
      </c>
      <c r="O7" s="14" t="s">
        <v>139</v>
      </c>
      <c r="P7" s="16" t="s">
        <v>139</v>
      </c>
      <c r="Q7" s="14">
        <v>0</v>
      </c>
      <c r="R7" s="16">
        <v>0</v>
      </c>
      <c r="S7" s="14">
        <v>0</v>
      </c>
      <c r="T7" s="16">
        <v>0</v>
      </c>
      <c r="U7" s="14">
        <v>0</v>
      </c>
      <c r="V7" s="16">
        <v>0</v>
      </c>
      <c r="W7" s="14">
        <v>0</v>
      </c>
      <c r="X7" s="16">
        <v>0</v>
      </c>
    </row>
    <row r="8" spans="1:24" x14ac:dyDescent="0.25">
      <c r="A8" s="11" t="s">
        <v>140</v>
      </c>
      <c r="B8" s="13">
        <v>7007</v>
      </c>
      <c r="C8" s="14">
        <f>(5821/B8*100)</f>
        <v>83.074068788354509</v>
      </c>
      <c r="D8" s="15">
        <v>1186</v>
      </c>
      <c r="E8" s="14">
        <v>5.2463115</v>
      </c>
      <c r="F8" s="16">
        <v>0.68677195000000002</v>
      </c>
      <c r="G8" s="14">
        <v>8.0805126600000001</v>
      </c>
      <c r="H8" s="16">
        <v>0.93866214000000003</v>
      </c>
      <c r="I8" s="14">
        <v>14.925849489999999</v>
      </c>
      <c r="J8" s="16">
        <v>0.96413088999999996</v>
      </c>
      <c r="K8" s="14">
        <v>12.02489332</v>
      </c>
      <c r="L8" s="16">
        <v>1.0056473100000001</v>
      </c>
      <c r="M8" s="14">
        <v>59.722433029999998</v>
      </c>
      <c r="N8" s="16">
        <v>1.3757577999999999</v>
      </c>
      <c r="O8" s="14" t="s">
        <v>139</v>
      </c>
      <c r="P8" s="16" t="s">
        <v>139</v>
      </c>
      <c r="Q8" s="14">
        <v>0</v>
      </c>
      <c r="R8" s="16">
        <v>0</v>
      </c>
      <c r="S8" s="14">
        <v>0</v>
      </c>
      <c r="T8" s="16">
        <v>0</v>
      </c>
      <c r="U8" s="14">
        <v>0</v>
      </c>
      <c r="V8" s="16">
        <v>0</v>
      </c>
      <c r="W8" s="14">
        <v>0</v>
      </c>
      <c r="X8" s="16">
        <v>0</v>
      </c>
    </row>
    <row r="9" spans="1:24" x14ac:dyDescent="0.25">
      <c r="A9" s="11" t="s">
        <v>141</v>
      </c>
      <c r="B9" s="13">
        <v>9651</v>
      </c>
      <c r="C9" s="14">
        <f>(8080/B9*100)</f>
        <v>83.721894104237904</v>
      </c>
      <c r="D9" s="15">
        <v>1571</v>
      </c>
      <c r="E9" s="14">
        <v>5.7489330499999998</v>
      </c>
      <c r="F9" s="16">
        <v>0.70942780000000005</v>
      </c>
      <c r="G9" s="14">
        <v>8.3295437299999993</v>
      </c>
      <c r="H9" s="16">
        <v>0.72300675000000003</v>
      </c>
      <c r="I9" s="14">
        <v>21.884505180000001</v>
      </c>
      <c r="J9" s="16">
        <v>0.95912396</v>
      </c>
      <c r="K9" s="14">
        <v>16.093339279999999</v>
      </c>
      <c r="L9" s="16">
        <v>0.87682833999999998</v>
      </c>
      <c r="M9" s="14">
        <v>47.943678759999997</v>
      </c>
      <c r="N9" s="16">
        <v>1.2357032800000001</v>
      </c>
      <c r="O9" s="14" t="s">
        <v>139</v>
      </c>
      <c r="P9" s="16" t="s">
        <v>139</v>
      </c>
      <c r="Q9" s="14">
        <v>0</v>
      </c>
      <c r="R9" s="16">
        <v>0</v>
      </c>
      <c r="S9" s="14">
        <v>0</v>
      </c>
      <c r="T9" s="16">
        <v>0</v>
      </c>
      <c r="U9" s="14">
        <v>0</v>
      </c>
      <c r="V9" s="16">
        <v>0</v>
      </c>
      <c r="W9" s="14">
        <v>0</v>
      </c>
      <c r="X9" s="16">
        <v>0</v>
      </c>
    </row>
    <row r="10" spans="1:24" x14ac:dyDescent="0.25">
      <c r="A10" s="11" t="s">
        <v>142</v>
      </c>
      <c r="B10" s="13">
        <v>20058</v>
      </c>
      <c r="C10" s="14">
        <f>(16662/B10*100)</f>
        <v>83.069099611127726</v>
      </c>
      <c r="D10" s="15">
        <v>3396</v>
      </c>
      <c r="E10" s="14">
        <v>4.01639079</v>
      </c>
      <c r="F10" s="16">
        <v>0.50007866999999995</v>
      </c>
      <c r="G10" s="14">
        <v>9.4500012699999996</v>
      </c>
      <c r="H10" s="16">
        <v>0.65173071000000005</v>
      </c>
      <c r="I10" s="14">
        <v>23.760017619999999</v>
      </c>
      <c r="J10" s="16">
        <v>1.0754993100000001</v>
      </c>
      <c r="K10" s="14">
        <v>17.88513605</v>
      </c>
      <c r="L10" s="16">
        <v>0.87118733000000004</v>
      </c>
      <c r="M10" s="14">
        <v>44.888454279999998</v>
      </c>
      <c r="N10" s="16">
        <v>1.3298907200000001</v>
      </c>
      <c r="O10" s="14" t="s">
        <v>139</v>
      </c>
      <c r="P10" s="16" t="s">
        <v>139</v>
      </c>
      <c r="Q10" s="14">
        <v>0</v>
      </c>
      <c r="R10" s="16">
        <v>0</v>
      </c>
      <c r="S10" s="14">
        <v>0</v>
      </c>
      <c r="T10" s="16">
        <v>0</v>
      </c>
      <c r="U10" s="14">
        <v>0</v>
      </c>
      <c r="V10" s="16">
        <v>0</v>
      </c>
      <c r="W10" s="14">
        <v>0</v>
      </c>
      <c r="X10" s="16">
        <v>0</v>
      </c>
    </row>
    <row r="11" spans="1:24" x14ac:dyDescent="0.25">
      <c r="A11" s="11" t="s">
        <v>143</v>
      </c>
      <c r="B11" s="13">
        <v>7053</v>
      </c>
      <c r="C11" s="14">
        <f>(5867/B11*100)</f>
        <v>83.184460513256781</v>
      </c>
      <c r="D11" s="15">
        <v>1186</v>
      </c>
      <c r="E11" s="14">
        <v>11.53994883</v>
      </c>
      <c r="F11" s="16">
        <v>1.33904226</v>
      </c>
      <c r="G11" s="14">
        <v>11.562027179999999</v>
      </c>
      <c r="H11" s="16">
        <v>1.2066344600000001</v>
      </c>
      <c r="I11" s="14">
        <v>21.910323500000001</v>
      </c>
      <c r="J11" s="16">
        <v>1.37933807</v>
      </c>
      <c r="K11" s="14">
        <v>19.920156110000001</v>
      </c>
      <c r="L11" s="16">
        <v>1.489519</v>
      </c>
      <c r="M11" s="14">
        <v>35.067544380000001</v>
      </c>
      <c r="N11" s="16">
        <v>1.5766691100000001</v>
      </c>
      <c r="O11" s="14" t="s">
        <v>139</v>
      </c>
      <c r="P11" s="16" t="s">
        <v>139</v>
      </c>
      <c r="Q11" s="14">
        <v>0</v>
      </c>
      <c r="R11" s="16">
        <v>0</v>
      </c>
      <c r="S11" s="14">
        <v>0</v>
      </c>
      <c r="T11" s="16">
        <v>0</v>
      </c>
      <c r="U11" s="14">
        <v>0</v>
      </c>
      <c r="V11" s="16">
        <v>0</v>
      </c>
      <c r="W11" s="14">
        <v>0</v>
      </c>
      <c r="X11" s="16">
        <v>0</v>
      </c>
    </row>
    <row r="12" spans="1:24" x14ac:dyDescent="0.25">
      <c r="A12" s="11" t="s">
        <v>144</v>
      </c>
      <c r="B12" s="13">
        <v>6894</v>
      </c>
      <c r="C12" s="14">
        <f>(5738/B12*100)</f>
        <v>83.231795764432832</v>
      </c>
      <c r="D12" s="15">
        <v>1156</v>
      </c>
      <c r="E12" s="14">
        <v>8.6276983400000002</v>
      </c>
      <c r="F12" s="16">
        <v>1.0229798699999999</v>
      </c>
      <c r="G12" s="14">
        <v>4.7460309299999999</v>
      </c>
      <c r="H12" s="16">
        <v>0.70254965000000003</v>
      </c>
      <c r="I12" s="14">
        <v>17.55929222</v>
      </c>
      <c r="J12" s="16">
        <v>1.2139319799999999</v>
      </c>
      <c r="K12" s="14">
        <v>19.544025009999999</v>
      </c>
      <c r="L12" s="16">
        <v>1.58893328</v>
      </c>
      <c r="M12" s="14">
        <v>49.5229535</v>
      </c>
      <c r="N12" s="16">
        <v>1.53414187</v>
      </c>
      <c r="O12" s="14" t="s">
        <v>139</v>
      </c>
      <c r="P12" s="16" t="s">
        <v>139</v>
      </c>
      <c r="Q12" s="14">
        <v>0</v>
      </c>
      <c r="R12" s="16">
        <v>0</v>
      </c>
      <c r="S12" s="14">
        <v>0</v>
      </c>
      <c r="T12" s="16">
        <v>0</v>
      </c>
      <c r="U12" s="14">
        <v>0</v>
      </c>
      <c r="V12" s="16">
        <v>0</v>
      </c>
      <c r="W12" s="14">
        <v>0</v>
      </c>
      <c r="X12" s="16">
        <v>0</v>
      </c>
    </row>
    <row r="13" spans="1:24" x14ac:dyDescent="0.25">
      <c r="A13" s="11" t="s">
        <v>145</v>
      </c>
      <c r="B13" s="13">
        <v>7161</v>
      </c>
      <c r="C13" s="14">
        <f>(6027/B13*100)</f>
        <v>84.1642228739003</v>
      </c>
      <c r="D13" s="15">
        <v>1134</v>
      </c>
      <c r="E13" s="14">
        <v>3.5982611900000001</v>
      </c>
      <c r="F13" s="16">
        <v>0.61073968000000001</v>
      </c>
      <c r="G13" s="14">
        <v>7.1637691700000001</v>
      </c>
      <c r="H13" s="16">
        <v>0.84453389999999995</v>
      </c>
      <c r="I13" s="14">
        <v>19.418904390000002</v>
      </c>
      <c r="J13" s="16">
        <v>1.0313684000000001</v>
      </c>
      <c r="K13" s="14">
        <v>18.145910860000001</v>
      </c>
      <c r="L13" s="16">
        <v>1.2422071800000001</v>
      </c>
      <c r="M13" s="14">
        <v>51.673154400000001</v>
      </c>
      <c r="N13" s="16">
        <v>1.7048750500000001</v>
      </c>
      <c r="O13" s="14" t="s">
        <v>139</v>
      </c>
      <c r="P13" s="16" t="s">
        <v>139</v>
      </c>
      <c r="Q13" s="14">
        <v>0</v>
      </c>
      <c r="R13" s="16">
        <v>0</v>
      </c>
      <c r="S13" s="14">
        <v>0</v>
      </c>
      <c r="T13" s="16">
        <v>0</v>
      </c>
      <c r="U13" s="14">
        <v>0</v>
      </c>
      <c r="V13" s="16">
        <v>0</v>
      </c>
      <c r="W13" s="14">
        <v>0</v>
      </c>
      <c r="X13" s="16">
        <v>0</v>
      </c>
    </row>
    <row r="14" spans="1:24" x14ac:dyDescent="0.25">
      <c r="A14" s="11" t="s">
        <v>146</v>
      </c>
      <c r="B14" s="13">
        <v>5587</v>
      </c>
      <c r="C14" s="14">
        <f>(4638/B14*100)</f>
        <v>83.014139967782356</v>
      </c>
      <c r="D14" s="15">
        <v>949</v>
      </c>
      <c r="E14" s="14">
        <v>4.65106222</v>
      </c>
      <c r="F14" s="16">
        <v>0.80968514000000003</v>
      </c>
      <c r="G14" s="14">
        <v>4.6143521099999996</v>
      </c>
      <c r="H14" s="16">
        <v>0.6559625</v>
      </c>
      <c r="I14" s="14">
        <v>19.426593499999999</v>
      </c>
      <c r="J14" s="16">
        <v>1.5283674700000001</v>
      </c>
      <c r="K14" s="14">
        <v>14.254725110000001</v>
      </c>
      <c r="L14" s="16">
        <v>1.3261389800000001</v>
      </c>
      <c r="M14" s="14">
        <v>57.053267069999997</v>
      </c>
      <c r="N14" s="16">
        <v>1.7512142900000001</v>
      </c>
      <c r="O14" s="14" t="s">
        <v>139</v>
      </c>
      <c r="P14" s="16" t="s">
        <v>139</v>
      </c>
      <c r="Q14" s="14">
        <v>0</v>
      </c>
      <c r="R14" s="16">
        <v>0</v>
      </c>
      <c r="S14" s="14">
        <v>0</v>
      </c>
      <c r="T14" s="16">
        <v>0</v>
      </c>
      <c r="U14" s="14">
        <v>0</v>
      </c>
      <c r="V14" s="16">
        <v>0</v>
      </c>
      <c r="W14" s="14">
        <v>0</v>
      </c>
      <c r="X14" s="16">
        <v>0</v>
      </c>
    </row>
    <row r="15" spans="1:24" x14ac:dyDescent="0.25">
      <c r="A15" s="11" t="s">
        <v>147</v>
      </c>
      <c r="B15" s="13">
        <v>5882</v>
      </c>
      <c r="C15" s="14">
        <f>(4879/B15*100)</f>
        <v>82.947976878612721</v>
      </c>
      <c r="D15" s="15">
        <v>1003</v>
      </c>
      <c r="E15" s="14">
        <v>2.8652635900000001</v>
      </c>
      <c r="F15" s="16">
        <v>0.47876281999999998</v>
      </c>
      <c r="G15" s="14">
        <v>8.7249510699999995</v>
      </c>
      <c r="H15" s="16">
        <v>0.95563534999999999</v>
      </c>
      <c r="I15" s="14">
        <v>22.73174564</v>
      </c>
      <c r="J15" s="16">
        <v>1.2965268000000001</v>
      </c>
      <c r="K15" s="14">
        <v>15.82199398</v>
      </c>
      <c r="L15" s="16">
        <v>1.2330273599999999</v>
      </c>
      <c r="M15" s="14">
        <v>49.856045719999997</v>
      </c>
      <c r="N15" s="16">
        <v>1.6097799500000001</v>
      </c>
      <c r="O15" s="14" t="s">
        <v>139</v>
      </c>
      <c r="P15" s="16" t="s">
        <v>139</v>
      </c>
      <c r="Q15" s="14">
        <v>0</v>
      </c>
      <c r="R15" s="16">
        <v>0</v>
      </c>
      <c r="S15" s="14">
        <v>0</v>
      </c>
      <c r="T15" s="16">
        <v>0</v>
      </c>
      <c r="U15" s="14">
        <v>0</v>
      </c>
      <c r="V15" s="16">
        <v>0</v>
      </c>
      <c r="W15" s="14">
        <v>0</v>
      </c>
      <c r="X15" s="16">
        <v>0</v>
      </c>
    </row>
    <row r="16" spans="1:24" x14ac:dyDescent="0.25">
      <c r="A16" s="11" t="s">
        <v>148</v>
      </c>
      <c r="B16" s="13">
        <v>6108</v>
      </c>
      <c r="C16" s="14">
        <f>(5065/B16*100)</f>
        <v>82.924034053700069</v>
      </c>
      <c r="D16" s="15">
        <v>1043</v>
      </c>
      <c r="E16" s="14">
        <v>10.135665919999999</v>
      </c>
      <c r="F16" s="16">
        <v>0.98227487000000002</v>
      </c>
      <c r="G16" s="14">
        <v>11.152308420000001</v>
      </c>
      <c r="H16" s="16">
        <v>1.0196747500000001</v>
      </c>
      <c r="I16" s="14">
        <v>24.09192148</v>
      </c>
      <c r="J16" s="16">
        <v>1.3634292299999999</v>
      </c>
      <c r="K16" s="14">
        <v>17.78806015</v>
      </c>
      <c r="L16" s="16">
        <v>1.30628726</v>
      </c>
      <c r="M16" s="14">
        <v>36.83204404</v>
      </c>
      <c r="N16" s="16">
        <v>1.5152238600000001</v>
      </c>
      <c r="O16" s="14" t="s">
        <v>139</v>
      </c>
      <c r="P16" s="16" t="s">
        <v>139</v>
      </c>
      <c r="Q16" s="14">
        <v>0</v>
      </c>
      <c r="R16" s="16">
        <v>0</v>
      </c>
      <c r="S16" s="14">
        <v>0</v>
      </c>
      <c r="T16" s="16">
        <v>0</v>
      </c>
      <c r="U16" s="14">
        <v>0</v>
      </c>
      <c r="V16" s="16">
        <v>0</v>
      </c>
      <c r="W16" s="14">
        <v>0</v>
      </c>
      <c r="X16" s="16">
        <v>0</v>
      </c>
    </row>
    <row r="17" spans="1:24" x14ac:dyDescent="0.25">
      <c r="A17" s="11" t="s">
        <v>149</v>
      </c>
      <c r="B17" s="13">
        <v>6504</v>
      </c>
      <c r="C17" s="14">
        <f>(5414/B17*100)</f>
        <v>83.241082410824106</v>
      </c>
      <c r="D17" s="15">
        <v>1090</v>
      </c>
      <c r="E17" s="14">
        <v>4.0130319300000004</v>
      </c>
      <c r="F17" s="16">
        <v>0.60890065999999998</v>
      </c>
      <c r="G17" s="14">
        <v>7.2092087100000004</v>
      </c>
      <c r="H17" s="16">
        <v>0.82772836999999999</v>
      </c>
      <c r="I17" s="14">
        <v>14.816641819999999</v>
      </c>
      <c r="J17" s="16">
        <v>1.154299</v>
      </c>
      <c r="K17" s="14">
        <v>12.02900595</v>
      </c>
      <c r="L17" s="16">
        <v>0.93262966000000003</v>
      </c>
      <c r="M17" s="14">
        <v>61.932111589999998</v>
      </c>
      <c r="N17" s="16">
        <v>1.6170785000000001</v>
      </c>
      <c r="O17" s="14" t="s">
        <v>139</v>
      </c>
      <c r="P17" s="16" t="s">
        <v>139</v>
      </c>
      <c r="Q17" s="14">
        <v>0</v>
      </c>
      <c r="R17" s="16">
        <v>0</v>
      </c>
      <c r="S17" s="14">
        <v>0</v>
      </c>
      <c r="T17" s="16">
        <v>0</v>
      </c>
      <c r="U17" s="14">
        <v>0</v>
      </c>
      <c r="V17" s="16">
        <v>0</v>
      </c>
      <c r="W17" s="14">
        <v>0</v>
      </c>
      <c r="X17" s="16">
        <v>0</v>
      </c>
    </row>
    <row r="18" spans="1:24" x14ac:dyDescent="0.25">
      <c r="A18" s="11" t="s">
        <v>150</v>
      </c>
      <c r="B18" s="13">
        <v>5532</v>
      </c>
      <c r="C18" s="14">
        <f>(4631/B18*100)</f>
        <v>83.712942877801879</v>
      </c>
      <c r="D18" s="15">
        <v>901</v>
      </c>
      <c r="E18" s="14">
        <v>14.191188629999999</v>
      </c>
      <c r="F18" s="16">
        <v>1.58392401</v>
      </c>
      <c r="G18" s="14">
        <v>11.71593773</v>
      </c>
      <c r="H18" s="16">
        <v>1.2325538899999999</v>
      </c>
      <c r="I18" s="14">
        <v>20.973336459999999</v>
      </c>
      <c r="J18" s="16">
        <v>1.50819455</v>
      </c>
      <c r="K18" s="14">
        <v>19.276850110000002</v>
      </c>
      <c r="L18" s="16">
        <v>1.3066371299999999</v>
      </c>
      <c r="M18" s="14">
        <v>33.842687069999997</v>
      </c>
      <c r="N18" s="16">
        <v>1.63991562</v>
      </c>
      <c r="O18" s="14" t="s">
        <v>139</v>
      </c>
      <c r="P18" s="16" t="s">
        <v>139</v>
      </c>
      <c r="Q18" s="14">
        <v>0</v>
      </c>
      <c r="R18" s="16">
        <v>0</v>
      </c>
      <c r="S18" s="14">
        <v>0</v>
      </c>
      <c r="T18" s="16">
        <v>0</v>
      </c>
      <c r="U18" s="14">
        <v>0</v>
      </c>
      <c r="V18" s="16">
        <v>0</v>
      </c>
      <c r="W18" s="14">
        <v>0</v>
      </c>
      <c r="X18" s="16">
        <v>0</v>
      </c>
    </row>
    <row r="19" spans="1:24" x14ac:dyDescent="0.25">
      <c r="A19" s="11" t="s">
        <v>151</v>
      </c>
      <c r="B19" s="13">
        <v>5658</v>
      </c>
      <c r="C19" s="14">
        <f>(4717/B19*100)</f>
        <v>83.368681512902086</v>
      </c>
      <c r="D19" s="15">
        <v>941</v>
      </c>
      <c r="E19" s="14">
        <v>11.622935650000001</v>
      </c>
      <c r="F19" s="16">
        <v>1.3589443800000001</v>
      </c>
      <c r="G19" s="14">
        <v>7.2934974400000003</v>
      </c>
      <c r="H19" s="16">
        <v>0.84187564999999998</v>
      </c>
      <c r="I19" s="14">
        <v>25.83793872</v>
      </c>
      <c r="J19" s="16">
        <v>1.6002075099999999</v>
      </c>
      <c r="K19" s="14">
        <v>15.31534317</v>
      </c>
      <c r="L19" s="16">
        <v>1.2866346099999999</v>
      </c>
      <c r="M19" s="14">
        <v>39.930285019999999</v>
      </c>
      <c r="N19" s="16">
        <v>1.6717552</v>
      </c>
      <c r="O19" s="14" t="s">
        <v>139</v>
      </c>
      <c r="P19" s="16" t="s">
        <v>139</v>
      </c>
      <c r="Q19" s="14">
        <v>0</v>
      </c>
      <c r="R19" s="16">
        <v>0</v>
      </c>
      <c r="S19" s="14">
        <v>0</v>
      </c>
      <c r="T19" s="16">
        <v>0</v>
      </c>
      <c r="U19" s="14">
        <v>0</v>
      </c>
      <c r="V19" s="16">
        <v>0</v>
      </c>
      <c r="W19" s="14">
        <v>0</v>
      </c>
      <c r="X19" s="16">
        <v>0</v>
      </c>
    </row>
    <row r="20" spans="1:24" x14ac:dyDescent="0.25">
      <c r="A20" s="11" t="s">
        <v>152</v>
      </c>
      <c r="B20" s="13">
        <v>3371</v>
      </c>
      <c r="C20" s="14">
        <f>(2817/B20*100)</f>
        <v>83.565707505191327</v>
      </c>
      <c r="D20" s="15">
        <v>554</v>
      </c>
      <c r="E20" s="14">
        <v>5.5783234200000003</v>
      </c>
      <c r="F20" s="16">
        <v>1.03283065</v>
      </c>
      <c r="G20" s="14">
        <v>9.7262543600000004</v>
      </c>
      <c r="H20" s="16">
        <v>1.23902706</v>
      </c>
      <c r="I20" s="14">
        <v>22.9943667</v>
      </c>
      <c r="J20" s="16">
        <v>1.6875495599999999</v>
      </c>
      <c r="K20" s="14">
        <v>20.149922369999999</v>
      </c>
      <c r="L20" s="16">
        <v>1.5746184599999999</v>
      </c>
      <c r="M20" s="14">
        <v>41.551133159999999</v>
      </c>
      <c r="N20" s="16">
        <v>1.9575093100000001</v>
      </c>
      <c r="O20" s="14" t="s">
        <v>139</v>
      </c>
      <c r="P20" s="16" t="s">
        <v>139</v>
      </c>
      <c r="Q20" s="14">
        <v>0</v>
      </c>
      <c r="R20" s="16">
        <v>0</v>
      </c>
      <c r="S20" s="14">
        <v>0</v>
      </c>
      <c r="T20" s="16">
        <v>0</v>
      </c>
      <c r="U20" s="14">
        <v>0</v>
      </c>
      <c r="V20" s="16">
        <v>0</v>
      </c>
      <c r="W20" s="14">
        <v>0</v>
      </c>
      <c r="X20" s="16">
        <v>0</v>
      </c>
    </row>
    <row r="21" spans="1:24" x14ac:dyDescent="0.25">
      <c r="A21" s="11" t="s">
        <v>153</v>
      </c>
      <c r="B21" s="17" t="s">
        <v>154</v>
      </c>
      <c r="C21" s="17" t="s">
        <v>154</v>
      </c>
      <c r="D21" s="18" t="s">
        <v>154</v>
      </c>
      <c r="E21" s="17" t="s">
        <v>154</v>
      </c>
      <c r="F21" s="18" t="s">
        <v>154</v>
      </c>
      <c r="G21" s="17" t="s">
        <v>154</v>
      </c>
      <c r="H21" s="18" t="s">
        <v>154</v>
      </c>
      <c r="I21" s="17" t="s">
        <v>154</v>
      </c>
      <c r="J21" s="18" t="s">
        <v>154</v>
      </c>
      <c r="K21" s="17" t="s">
        <v>154</v>
      </c>
      <c r="L21" s="18" t="s">
        <v>154</v>
      </c>
      <c r="M21" s="17" t="s">
        <v>154</v>
      </c>
      <c r="N21" s="18" t="s">
        <v>154</v>
      </c>
      <c r="O21" s="17" t="s">
        <v>154</v>
      </c>
      <c r="P21" s="18" t="s">
        <v>154</v>
      </c>
      <c r="Q21" s="17" t="s">
        <v>154</v>
      </c>
      <c r="R21" s="18" t="s">
        <v>154</v>
      </c>
      <c r="S21" s="17" t="s">
        <v>154</v>
      </c>
      <c r="T21" s="18" t="s">
        <v>154</v>
      </c>
      <c r="U21" s="17" t="s">
        <v>154</v>
      </c>
      <c r="V21" s="18" t="s">
        <v>154</v>
      </c>
      <c r="W21" s="17" t="s">
        <v>154</v>
      </c>
      <c r="X21" s="18" t="s">
        <v>154</v>
      </c>
    </row>
    <row r="22" spans="1:24" x14ac:dyDescent="0.25">
      <c r="A22" s="11" t="s">
        <v>155</v>
      </c>
      <c r="B22" s="13">
        <v>6598</v>
      </c>
      <c r="C22" s="14">
        <f>(5579/B22*100)</f>
        <v>84.555926038193391</v>
      </c>
      <c r="D22" s="15">
        <v>1019</v>
      </c>
      <c r="E22" s="14">
        <v>14.142652910000001</v>
      </c>
      <c r="F22" s="16">
        <v>1.3452585399999999</v>
      </c>
      <c r="G22" s="14">
        <v>8.5601032999999997</v>
      </c>
      <c r="H22" s="16">
        <v>1.0340746000000001</v>
      </c>
      <c r="I22" s="14">
        <v>17.902925639999999</v>
      </c>
      <c r="J22" s="16">
        <v>1.3765830400000001</v>
      </c>
      <c r="K22" s="14">
        <v>18.889790260000002</v>
      </c>
      <c r="L22" s="16">
        <v>1.2787866800000001</v>
      </c>
      <c r="M22" s="14">
        <v>40.504527899999999</v>
      </c>
      <c r="N22" s="16">
        <v>1.87837535</v>
      </c>
      <c r="O22" s="14" t="s">
        <v>139</v>
      </c>
      <c r="P22" s="16" t="s">
        <v>139</v>
      </c>
      <c r="Q22" s="14">
        <v>0</v>
      </c>
      <c r="R22" s="16">
        <v>0</v>
      </c>
      <c r="S22" s="14">
        <v>0</v>
      </c>
      <c r="T22" s="16">
        <v>0</v>
      </c>
      <c r="U22" s="14">
        <v>0</v>
      </c>
      <c r="V22" s="16">
        <v>0</v>
      </c>
      <c r="W22" s="14">
        <v>0</v>
      </c>
      <c r="X22" s="16">
        <v>0</v>
      </c>
    </row>
    <row r="23" spans="1:24" x14ac:dyDescent="0.25">
      <c r="A23" s="11" t="s">
        <v>156</v>
      </c>
      <c r="B23" s="13">
        <v>11583</v>
      </c>
      <c r="C23" s="14">
        <f>(9622/B23*100)</f>
        <v>83.07001640334974</v>
      </c>
      <c r="D23" s="15">
        <v>1961</v>
      </c>
      <c r="E23" s="14">
        <v>8.5158729300000005</v>
      </c>
      <c r="F23" s="16">
        <v>1.18374012</v>
      </c>
      <c r="G23" s="14">
        <v>7.4371170400000004</v>
      </c>
      <c r="H23" s="16">
        <v>0.77208357000000005</v>
      </c>
      <c r="I23" s="14">
        <v>22.329771650000001</v>
      </c>
      <c r="J23" s="16">
        <v>1.4349584099999999</v>
      </c>
      <c r="K23" s="14">
        <v>18.514036489999999</v>
      </c>
      <c r="L23" s="16">
        <v>1.1802555800000001</v>
      </c>
      <c r="M23" s="14">
        <v>43.203201890000003</v>
      </c>
      <c r="N23" s="16">
        <v>1.72956975</v>
      </c>
      <c r="O23" s="14" t="s">
        <v>139</v>
      </c>
      <c r="P23" s="16" t="s">
        <v>139</v>
      </c>
      <c r="Q23" s="14">
        <v>0</v>
      </c>
      <c r="R23" s="16">
        <v>0</v>
      </c>
      <c r="S23" s="14">
        <v>0</v>
      </c>
      <c r="T23" s="16">
        <v>0</v>
      </c>
      <c r="U23" s="14">
        <v>0</v>
      </c>
      <c r="V23" s="16">
        <v>0</v>
      </c>
      <c r="W23" s="14">
        <v>0</v>
      </c>
      <c r="X23" s="16">
        <v>0</v>
      </c>
    </row>
    <row r="24" spans="1:24" x14ac:dyDescent="0.25">
      <c r="A24" s="11" t="s">
        <v>157</v>
      </c>
      <c r="B24" s="13">
        <v>6647</v>
      </c>
      <c r="C24" s="14">
        <f>(5473/B24*100)</f>
        <v>82.337896795546868</v>
      </c>
      <c r="D24" s="15">
        <v>1174</v>
      </c>
      <c r="E24" s="14">
        <v>6.5046755200000002</v>
      </c>
      <c r="F24" s="16">
        <v>0.87845088999999998</v>
      </c>
      <c r="G24" s="14">
        <v>5.5897612199999998</v>
      </c>
      <c r="H24" s="16">
        <v>0.59184197999999999</v>
      </c>
      <c r="I24" s="14">
        <v>27.685447329999999</v>
      </c>
      <c r="J24" s="16">
        <v>1.4242979099999999</v>
      </c>
      <c r="K24" s="14">
        <v>24.061028029999999</v>
      </c>
      <c r="L24" s="16">
        <v>1.3944831600000001</v>
      </c>
      <c r="M24" s="14">
        <v>36.159087909999997</v>
      </c>
      <c r="N24" s="16">
        <v>1.5451514200000001</v>
      </c>
      <c r="O24" s="14" t="s">
        <v>139</v>
      </c>
      <c r="P24" s="16" t="s">
        <v>139</v>
      </c>
      <c r="Q24" s="14">
        <v>0</v>
      </c>
      <c r="R24" s="16">
        <v>0</v>
      </c>
      <c r="S24" s="14">
        <v>0</v>
      </c>
      <c r="T24" s="16">
        <v>0</v>
      </c>
      <c r="U24" s="14">
        <v>0</v>
      </c>
      <c r="V24" s="16">
        <v>0</v>
      </c>
      <c r="W24" s="14">
        <v>0</v>
      </c>
      <c r="X24" s="16">
        <v>0</v>
      </c>
    </row>
    <row r="25" spans="1:24" x14ac:dyDescent="0.25">
      <c r="A25" s="11" t="s">
        <v>158</v>
      </c>
      <c r="B25" s="13">
        <v>5581</v>
      </c>
      <c r="C25" s="14">
        <f>(4597/B25*100)</f>
        <v>82.368751119870993</v>
      </c>
      <c r="D25" s="15">
        <v>984</v>
      </c>
      <c r="E25" s="14">
        <v>6.4636922700000001</v>
      </c>
      <c r="F25" s="16">
        <v>0.79278499999999996</v>
      </c>
      <c r="G25" s="14">
        <v>4.8899318200000002</v>
      </c>
      <c r="H25" s="16">
        <v>0.70304138000000005</v>
      </c>
      <c r="I25" s="14">
        <v>18.391684089999998</v>
      </c>
      <c r="J25" s="16">
        <v>1.50238067</v>
      </c>
      <c r="K25" s="14">
        <v>25.7514878</v>
      </c>
      <c r="L25" s="16">
        <v>1.3718978500000001</v>
      </c>
      <c r="M25" s="14">
        <v>44.503204009999997</v>
      </c>
      <c r="N25" s="16">
        <v>1.59813625</v>
      </c>
      <c r="O25" s="14" t="s">
        <v>139</v>
      </c>
      <c r="P25" s="16" t="s">
        <v>139</v>
      </c>
      <c r="Q25" s="14">
        <v>0</v>
      </c>
      <c r="R25" s="16">
        <v>0</v>
      </c>
      <c r="S25" s="14">
        <v>0</v>
      </c>
      <c r="T25" s="16">
        <v>0</v>
      </c>
      <c r="U25" s="14">
        <v>0</v>
      </c>
      <c r="V25" s="16">
        <v>0</v>
      </c>
      <c r="W25" s="14">
        <v>0</v>
      </c>
      <c r="X25" s="16">
        <v>0</v>
      </c>
    </row>
    <row r="26" spans="1:24" x14ac:dyDescent="0.25">
      <c r="A26" s="11" t="s">
        <v>159</v>
      </c>
      <c r="B26" s="13">
        <v>4869</v>
      </c>
      <c r="C26" s="14">
        <f>(4038/B26*100)</f>
        <v>82.932840418977207</v>
      </c>
      <c r="D26" s="15">
        <v>831</v>
      </c>
      <c r="E26" s="14">
        <v>8.2495866299999996</v>
      </c>
      <c r="F26" s="16">
        <v>0.98941234</v>
      </c>
      <c r="G26" s="14">
        <v>12.674411170000001</v>
      </c>
      <c r="H26" s="16">
        <v>1.0647806900000001</v>
      </c>
      <c r="I26" s="14">
        <v>26.838204900000001</v>
      </c>
      <c r="J26" s="16">
        <v>1.5456618099999999</v>
      </c>
      <c r="K26" s="14">
        <v>20.830985680000001</v>
      </c>
      <c r="L26" s="16">
        <v>1.4540670200000001</v>
      </c>
      <c r="M26" s="14">
        <v>31.406811619999999</v>
      </c>
      <c r="N26" s="16">
        <v>1.64042724</v>
      </c>
      <c r="O26" s="14" t="s">
        <v>139</v>
      </c>
      <c r="P26" s="16" t="s">
        <v>139</v>
      </c>
      <c r="Q26" s="14">
        <v>0</v>
      </c>
      <c r="R26" s="16">
        <v>0</v>
      </c>
      <c r="S26" s="14">
        <v>0</v>
      </c>
      <c r="T26" s="16">
        <v>0</v>
      </c>
      <c r="U26" s="14">
        <v>0</v>
      </c>
      <c r="V26" s="16">
        <v>0</v>
      </c>
      <c r="W26" s="14">
        <v>0</v>
      </c>
      <c r="X26" s="16">
        <v>0</v>
      </c>
    </row>
    <row r="27" spans="1:24" x14ac:dyDescent="0.25">
      <c r="A27" s="11" t="s">
        <v>160</v>
      </c>
      <c r="B27" s="13">
        <v>5299</v>
      </c>
      <c r="C27" s="14">
        <f>(4418/B27*100)</f>
        <v>83.374221551236076</v>
      </c>
      <c r="D27" s="15">
        <v>881</v>
      </c>
      <c r="E27" s="14">
        <v>7.0931853800000004</v>
      </c>
      <c r="F27" s="16">
        <v>0.87163933000000005</v>
      </c>
      <c r="G27" s="14">
        <v>8.3081447300000004</v>
      </c>
      <c r="H27" s="16">
        <v>0.99295988000000002</v>
      </c>
      <c r="I27" s="14">
        <v>20.72686818</v>
      </c>
      <c r="J27" s="16">
        <v>1.1688890599999999</v>
      </c>
      <c r="K27" s="14">
        <v>16.459768319999998</v>
      </c>
      <c r="L27" s="16">
        <v>1.20546263</v>
      </c>
      <c r="M27" s="14">
        <v>47.412033389999998</v>
      </c>
      <c r="N27" s="16">
        <v>1.5613525100000001</v>
      </c>
      <c r="O27" s="14" t="s">
        <v>139</v>
      </c>
      <c r="P27" s="16" t="s">
        <v>139</v>
      </c>
      <c r="Q27" s="14">
        <v>0</v>
      </c>
      <c r="R27" s="16">
        <v>0</v>
      </c>
      <c r="S27" s="14">
        <v>0</v>
      </c>
      <c r="T27" s="16">
        <v>0</v>
      </c>
      <c r="U27" s="14">
        <v>0</v>
      </c>
      <c r="V27" s="16">
        <v>0</v>
      </c>
      <c r="W27" s="14">
        <v>0</v>
      </c>
      <c r="X27" s="16">
        <v>0</v>
      </c>
    </row>
    <row r="28" spans="1:24" x14ac:dyDescent="0.25">
      <c r="A28" s="11" t="s">
        <v>161</v>
      </c>
      <c r="B28" s="13">
        <v>7568</v>
      </c>
      <c r="C28" s="14">
        <f>(6380/B28*100)</f>
        <v>84.302325581395351</v>
      </c>
      <c r="D28" s="15">
        <v>1188</v>
      </c>
      <c r="E28" s="14">
        <v>21.941871689999999</v>
      </c>
      <c r="F28" s="16">
        <v>1.5816215300000001</v>
      </c>
      <c r="G28" s="14">
        <v>13.422905099999999</v>
      </c>
      <c r="H28" s="16">
        <v>1.0389342399999999</v>
      </c>
      <c r="I28" s="14">
        <v>24.128995889999999</v>
      </c>
      <c r="J28" s="16">
        <v>1.3156348099999999</v>
      </c>
      <c r="K28" s="14">
        <v>16.956388029999999</v>
      </c>
      <c r="L28" s="16">
        <v>1.18273144</v>
      </c>
      <c r="M28" s="14">
        <v>23.549839299999999</v>
      </c>
      <c r="N28" s="16">
        <v>1.6290698100000001</v>
      </c>
      <c r="O28" s="14" t="s">
        <v>139</v>
      </c>
      <c r="P28" s="16" t="s">
        <v>139</v>
      </c>
      <c r="Q28" s="14">
        <v>0</v>
      </c>
      <c r="R28" s="16">
        <v>0</v>
      </c>
      <c r="S28" s="14">
        <v>0</v>
      </c>
      <c r="T28" s="16">
        <v>0</v>
      </c>
      <c r="U28" s="14">
        <v>0</v>
      </c>
      <c r="V28" s="16">
        <v>0</v>
      </c>
      <c r="W28" s="14">
        <v>0</v>
      </c>
      <c r="X28" s="16">
        <v>0</v>
      </c>
    </row>
    <row r="29" spans="1:24" x14ac:dyDescent="0.25">
      <c r="A29" s="11" t="s">
        <v>162</v>
      </c>
      <c r="B29" s="13">
        <v>5385</v>
      </c>
      <c r="C29" s="14">
        <f>(4468/B29*100)</f>
        <v>82.971216341689882</v>
      </c>
      <c r="D29" s="15">
        <v>917</v>
      </c>
      <c r="E29" s="14">
        <v>4.4358297499999999</v>
      </c>
      <c r="F29" s="16">
        <v>0.64816938999999996</v>
      </c>
      <c r="G29" s="14">
        <v>7.0309996300000002</v>
      </c>
      <c r="H29" s="16">
        <v>0.89706103999999998</v>
      </c>
      <c r="I29" s="14">
        <v>12.906662989999999</v>
      </c>
      <c r="J29" s="16">
        <v>0.93858408000000004</v>
      </c>
      <c r="K29" s="14">
        <v>15.291307789999999</v>
      </c>
      <c r="L29" s="16">
        <v>1.1262253799999999</v>
      </c>
      <c r="M29" s="14">
        <v>60.335199840000001</v>
      </c>
      <c r="N29" s="16">
        <v>1.45567381</v>
      </c>
      <c r="O29" s="14" t="s">
        <v>139</v>
      </c>
      <c r="P29" s="16" t="s">
        <v>139</v>
      </c>
      <c r="Q29" s="14">
        <v>0</v>
      </c>
      <c r="R29" s="16">
        <v>0</v>
      </c>
      <c r="S29" s="14">
        <v>0</v>
      </c>
      <c r="T29" s="16">
        <v>0</v>
      </c>
      <c r="U29" s="14">
        <v>0</v>
      </c>
      <c r="V29" s="16">
        <v>0</v>
      </c>
      <c r="W29" s="14">
        <v>0</v>
      </c>
      <c r="X29" s="16">
        <v>0</v>
      </c>
    </row>
    <row r="30" spans="1:24" x14ac:dyDescent="0.25">
      <c r="A30" s="11" t="s">
        <v>163</v>
      </c>
      <c r="B30" s="13">
        <v>4520</v>
      </c>
      <c r="C30" s="14">
        <f>(3771/B30*100)</f>
        <v>83.429203539823007</v>
      </c>
      <c r="D30" s="15">
        <v>749</v>
      </c>
      <c r="E30" s="14">
        <v>4.6660638600000004</v>
      </c>
      <c r="F30" s="16">
        <v>0.76046199999999997</v>
      </c>
      <c r="G30" s="14">
        <v>8.2751035500000008</v>
      </c>
      <c r="H30" s="16">
        <v>0.97852501999999997</v>
      </c>
      <c r="I30" s="14">
        <v>22.811885109999999</v>
      </c>
      <c r="J30" s="16">
        <v>1.3708289499999999</v>
      </c>
      <c r="K30" s="14">
        <v>18.25754104</v>
      </c>
      <c r="L30" s="16">
        <v>1.2741405400000001</v>
      </c>
      <c r="M30" s="14">
        <v>45.989406440000003</v>
      </c>
      <c r="N30" s="16">
        <v>1.57250293</v>
      </c>
      <c r="O30" s="14" t="s">
        <v>139</v>
      </c>
      <c r="P30" s="16" t="s">
        <v>139</v>
      </c>
      <c r="Q30" s="14">
        <v>0</v>
      </c>
      <c r="R30" s="16">
        <v>0</v>
      </c>
      <c r="S30" s="14">
        <v>0</v>
      </c>
      <c r="T30" s="16">
        <v>0</v>
      </c>
      <c r="U30" s="14">
        <v>0</v>
      </c>
      <c r="V30" s="16">
        <v>0</v>
      </c>
      <c r="W30" s="14">
        <v>0</v>
      </c>
      <c r="X30" s="16">
        <v>0</v>
      </c>
    </row>
    <row r="31" spans="1:24" x14ac:dyDescent="0.25">
      <c r="A31" s="11" t="s">
        <v>164</v>
      </c>
      <c r="B31" s="13">
        <v>5456</v>
      </c>
      <c r="C31" s="14">
        <f>(4500/B31*100)</f>
        <v>82.478005865102645</v>
      </c>
      <c r="D31" s="15">
        <v>956</v>
      </c>
      <c r="E31" s="14">
        <v>4.57654184</v>
      </c>
      <c r="F31" s="16">
        <v>0.67054135000000004</v>
      </c>
      <c r="G31" s="14">
        <v>8.0316533700000008</v>
      </c>
      <c r="H31" s="16">
        <v>0.82085554000000005</v>
      </c>
      <c r="I31" s="14">
        <v>17.539303279999999</v>
      </c>
      <c r="J31" s="16">
        <v>1.30717818</v>
      </c>
      <c r="K31" s="14">
        <v>16.709449419999999</v>
      </c>
      <c r="L31" s="16">
        <v>1.3309426799999999</v>
      </c>
      <c r="M31" s="14">
        <v>53.143052089999998</v>
      </c>
      <c r="N31" s="16">
        <v>1.5011490700000001</v>
      </c>
      <c r="O31" s="14" t="s">
        <v>139</v>
      </c>
      <c r="P31" s="16" t="s">
        <v>139</v>
      </c>
      <c r="Q31" s="14">
        <v>0</v>
      </c>
      <c r="R31" s="16">
        <v>0</v>
      </c>
      <c r="S31" s="14">
        <v>0</v>
      </c>
      <c r="T31" s="16">
        <v>0</v>
      </c>
      <c r="U31" s="14">
        <v>0</v>
      </c>
      <c r="V31" s="16">
        <v>0</v>
      </c>
      <c r="W31" s="14">
        <v>0</v>
      </c>
      <c r="X31" s="16">
        <v>0</v>
      </c>
    </row>
    <row r="32" spans="1:24" x14ac:dyDescent="0.25">
      <c r="A32" s="11" t="s">
        <v>165</v>
      </c>
      <c r="B32" s="17" t="s">
        <v>154</v>
      </c>
      <c r="C32" s="17" t="s">
        <v>154</v>
      </c>
      <c r="D32" s="18" t="s">
        <v>154</v>
      </c>
      <c r="E32" s="17" t="s">
        <v>154</v>
      </c>
      <c r="F32" s="18" t="s">
        <v>154</v>
      </c>
      <c r="G32" s="17" t="s">
        <v>154</v>
      </c>
      <c r="H32" s="18" t="s">
        <v>154</v>
      </c>
      <c r="I32" s="17" t="s">
        <v>154</v>
      </c>
      <c r="J32" s="18" t="s">
        <v>154</v>
      </c>
      <c r="K32" s="17" t="s">
        <v>154</v>
      </c>
      <c r="L32" s="18" t="s">
        <v>154</v>
      </c>
      <c r="M32" s="17" t="s">
        <v>154</v>
      </c>
      <c r="N32" s="18" t="s">
        <v>154</v>
      </c>
      <c r="O32" s="17" t="s">
        <v>154</v>
      </c>
      <c r="P32" s="18" t="s">
        <v>154</v>
      </c>
      <c r="Q32" s="17" t="s">
        <v>154</v>
      </c>
      <c r="R32" s="18" t="s">
        <v>154</v>
      </c>
      <c r="S32" s="17" t="s">
        <v>154</v>
      </c>
      <c r="T32" s="18" t="s">
        <v>154</v>
      </c>
      <c r="U32" s="17" t="s">
        <v>154</v>
      </c>
      <c r="V32" s="18" t="s">
        <v>154</v>
      </c>
      <c r="W32" s="17" t="s">
        <v>154</v>
      </c>
      <c r="X32" s="18" t="s">
        <v>154</v>
      </c>
    </row>
    <row r="33" spans="1:24" x14ac:dyDescent="0.25">
      <c r="A33" s="11" t="s">
        <v>166</v>
      </c>
      <c r="B33" s="13">
        <v>7325</v>
      </c>
      <c r="C33" s="14">
        <f>(6087/B33*100)</f>
        <v>83.098976109215016</v>
      </c>
      <c r="D33" s="15">
        <v>1238</v>
      </c>
      <c r="E33" s="14">
        <v>5.2511712099999999</v>
      </c>
      <c r="F33" s="16">
        <v>0.77465759000000001</v>
      </c>
      <c r="G33" s="14">
        <v>9.6785811899999992</v>
      </c>
      <c r="H33" s="16">
        <v>0.92970874000000003</v>
      </c>
      <c r="I33" s="14">
        <v>25.481514749999999</v>
      </c>
      <c r="J33" s="16">
        <v>1.4752973599999999</v>
      </c>
      <c r="K33" s="14">
        <v>21.686498140000001</v>
      </c>
      <c r="L33" s="16">
        <v>1.40195998</v>
      </c>
      <c r="M33" s="14">
        <v>37.902234710000002</v>
      </c>
      <c r="N33" s="16">
        <v>2.01505614</v>
      </c>
      <c r="O33" s="14" t="s">
        <v>139</v>
      </c>
      <c r="P33" s="16" t="s">
        <v>139</v>
      </c>
      <c r="Q33" s="14">
        <v>0</v>
      </c>
      <c r="R33" s="16">
        <v>0</v>
      </c>
      <c r="S33" s="14">
        <v>0</v>
      </c>
      <c r="T33" s="16">
        <v>0</v>
      </c>
      <c r="U33" s="14">
        <v>0</v>
      </c>
      <c r="V33" s="16">
        <v>0</v>
      </c>
      <c r="W33" s="14">
        <v>0</v>
      </c>
      <c r="X33" s="16">
        <v>0</v>
      </c>
    </row>
    <row r="34" spans="1:24" x14ac:dyDescent="0.25">
      <c r="A34" s="11" t="s">
        <v>167</v>
      </c>
      <c r="B34" s="13">
        <v>6350</v>
      </c>
      <c r="C34" s="14">
        <f>(5330/B34*100)</f>
        <v>83.937007874015748</v>
      </c>
      <c r="D34" s="15">
        <v>1020</v>
      </c>
      <c r="E34" s="14">
        <v>11.569730699999999</v>
      </c>
      <c r="F34" s="16">
        <v>1.11443242</v>
      </c>
      <c r="G34" s="14">
        <v>9.8611745699999993</v>
      </c>
      <c r="H34" s="16">
        <v>1.1708301400000001</v>
      </c>
      <c r="I34" s="14">
        <v>24.816879350000001</v>
      </c>
      <c r="J34" s="16">
        <v>1.4303928299999999</v>
      </c>
      <c r="K34" s="14">
        <v>20.283062659999999</v>
      </c>
      <c r="L34" s="16">
        <v>1.4952570999999999</v>
      </c>
      <c r="M34" s="14">
        <v>33.469152719999997</v>
      </c>
      <c r="N34" s="16">
        <v>1.76167691</v>
      </c>
      <c r="O34" s="14" t="s">
        <v>139</v>
      </c>
      <c r="P34" s="16" t="s">
        <v>139</v>
      </c>
      <c r="Q34" s="14">
        <v>0</v>
      </c>
      <c r="R34" s="16">
        <v>0</v>
      </c>
      <c r="S34" s="14">
        <v>0</v>
      </c>
      <c r="T34" s="16">
        <v>0</v>
      </c>
      <c r="U34" s="14">
        <v>0</v>
      </c>
      <c r="V34" s="16">
        <v>0</v>
      </c>
      <c r="W34" s="14">
        <v>0</v>
      </c>
      <c r="X34" s="16">
        <v>0</v>
      </c>
    </row>
    <row r="35" spans="1:24" x14ac:dyDescent="0.25">
      <c r="A35" s="11" t="s">
        <v>168</v>
      </c>
      <c r="B35" s="13">
        <v>6406</v>
      </c>
      <c r="C35" s="14">
        <f>(5332/B35*100)</f>
        <v>83.234467686543866</v>
      </c>
      <c r="D35" s="15">
        <v>1074</v>
      </c>
      <c r="E35" s="14">
        <v>7.77094255</v>
      </c>
      <c r="F35" s="16">
        <v>1.2427514900000001</v>
      </c>
      <c r="G35" s="14">
        <v>6.5312223100000004</v>
      </c>
      <c r="H35" s="16">
        <v>0.83272774000000005</v>
      </c>
      <c r="I35" s="14">
        <v>15.04893313</v>
      </c>
      <c r="J35" s="16">
        <v>1.26164652</v>
      </c>
      <c r="K35" s="14">
        <v>18.714995500000001</v>
      </c>
      <c r="L35" s="16">
        <v>1.53947276</v>
      </c>
      <c r="M35" s="14">
        <v>51.933906499999999</v>
      </c>
      <c r="N35" s="16">
        <v>1.7629122699999999</v>
      </c>
      <c r="O35" s="14" t="s">
        <v>139</v>
      </c>
      <c r="P35" s="16" t="s">
        <v>139</v>
      </c>
      <c r="Q35" s="14">
        <v>0</v>
      </c>
      <c r="R35" s="16">
        <v>0</v>
      </c>
      <c r="S35" s="14">
        <v>0</v>
      </c>
      <c r="T35" s="16">
        <v>0</v>
      </c>
      <c r="U35" s="14">
        <v>0</v>
      </c>
      <c r="V35" s="16">
        <v>0</v>
      </c>
      <c r="W35" s="14">
        <v>0</v>
      </c>
      <c r="X35" s="16">
        <v>0</v>
      </c>
    </row>
    <row r="36" spans="1:24" x14ac:dyDescent="0.25">
      <c r="A36" s="11" t="s">
        <v>169</v>
      </c>
      <c r="B36" s="13">
        <v>6736</v>
      </c>
      <c r="C36" s="14">
        <f>(5607/B36*100)</f>
        <v>83.239311163895493</v>
      </c>
      <c r="D36" s="15">
        <v>1129</v>
      </c>
      <c r="E36" s="14">
        <v>5.9654656599999996</v>
      </c>
      <c r="F36" s="16">
        <v>0.77714905999999995</v>
      </c>
      <c r="G36" s="14">
        <v>7.2204437600000002</v>
      </c>
      <c r="H36" s="16">
        <v>0.78554740999999995</v>
      </c>
      <c r="I36" s="14">
        <v>17.8188721</v>
      </c>
      <c r="J36" s="16">
        <v>1.24747824</v>
      </c>
      <c r="K36" s="14">
        <v>19.68521432</v>
      </c>
      <c r="L36" s="16">
        <v>1.1188248700000001</v>
      </c>
      <c r="M36" s="14">
        <v>49.310004159999998</v>
      </c>
      <c r="N36" s="16">
        <v>1.5422007</v>
      </c>
      <c r="O36" s="14" t="s">
        <v>139</v>
      </c>
      <c r="P36" s="16" t="s">
        <v>139</v>
      </c>
      <c r="Q36" s="14">
        <v>0</v>
      </c>
      <c r="R36" s="16">
        <v>0</v>
      </c>
      <c r="S36" s="14">
        <v>0</v>
      </c>
      <c r="T36" s="16">
        <v>0</v>
      </c>
      <c r="U36" s="14">
        <v>0</v>
      </c>
      <c r="V36" s="16">
        <v>0</v>
      </c>
      <c r="W36" s="14">
        <v>0</v>
      </c>
      <c r="X36" s="16">
        <v>0</v>
      </c>
    </row>
    <row r="37" spans="1:24" x14ac:dyDescent="0.25">
      <c r="A37" s="11" t="s">
        <v>170</v>
      </c>
      <c r="B37" s="13">
        <v>5458</v>
      </c>
      <c r="C37" s="14">
        <f>(4541/B37*100)</f>
        <v>83.198973983144015</v>
      </c>
      <c r="D37" s="15">
        <v>917</v>
      </c>
      <c r="E37" s="14">
        <v>6.2164106300000004</v>
      </c>
      <c r="F37" s="16">
        <v>1.1364267800000001</v>
      </c>
      <c r="G37" s="14">
        <v>8.9787446600000003</v>
      </c>
      <c r="H37" s="16">
        <v>1.01198031</v>
      </c>
      <c r="I37" s="14">
        <v>15.260373899999999</v>
      </c>
      <c r="J37" s="16">
        <v>1.1272307800000001</v>
      </c>
      <c r="K37" s="14">
        <v>15.74953855</v>
      </c>
      <c r="L37" s="16">
        <v>1.1044387200000001</v>
      </c>
      <c r="M37" s="14">
        <v>53.794932260000003</v>
      </c>
      <c r="N37" s="16">
        <v>1.98139938</v>
      </c>
      <c r="O37" s="14" t="s">
        <v>139</v>
      </c>
      <c r="P37" s="16" t="s">
        <v>139</v>
      </c>
      <c r="Q37" s="14">
        <v>0</v>
      </c>
      <c r="R37" s="16">
        <v>0</v>
      </c>
      <c r="S37" s="14">
        <v>0</v>
      </c>
      <c r="T37" s="16">
        <v>0</v>
      </c>
      <c r="U37" s="14">
        <v>0</v>
      </c>
      <c r="V37" s="16">
        <v>0</v>
      </c>
      <c r="W37" s="14">
        <v>0</v>
      </c>
      <c r="X37" s="16">
        <v>0</v>
      </c>
    </row>
    <row r="38" spans="1:24" x14ac:dyDescent="0.25">
      <c r="A38" s="11" t="s">
        <v>171</v>
      </c>
      <c r="B38" s="17" t="s">
        <v>154</v>
      </c>
      <c r="C38" s="17" t="s">
        <v>154</v>
      </c>
      <c r="D38" s="18" t="s">
        <v>154</v>
      </c>
      <c r="E38" s="17" t="s">
        <v>154</v>
      </c>
      <c r="F38" s="18" t="s">
        <v>154</v>
      </c>
      <c r="G38" s="17" t="s">
        <v>154</v>
      </c>
      <c r="H38" s="18" t="s">
        <v>154</v>
      </c>
      <c r="I38" s="17" t="s">
        <v>154</v>
      </c>
      <c r="J38" s="18" t="s">
        <v>154</v>
      </c>
      <c r="K38" s="17" t="s">
        <v>154</v>
      </c>
      <c r="L38" s="18" t="s">
        <v>154</v>
      </c>
      <c r="M38" s="17" t="s">
        <v>154</v>
      </c>
      <c r="N38" s="18" t="s">
        <v>154</v>
      </c>
      <c r="O38" s="17" t="s">
        <v>154</v>
      </c>
      <c r="P38" s="18" t="s">
        <v>154</v>
      </c>
      <c r="Q38" s="17" t="s">
        <v>154</v>
      </c>
      <c r="R38" s="18" t="s">
        <v>154</v>
      </c>
      <c r="S38" s="17" t="s">
        <v>154</v>
      </c>
      <c r="T38" s="18" t="s">
        <v>154</v>
      </c>
      <c r="U38" s="17" t="s">
        <v>154</v>
      </c>
      <c r="V38" s="18" t="s">
        <v>154</v>
      </c>
      <c r="W38" s="17" t="s">
        <v>154</v>
      </c>
      <c r="X38" s="18" t="s">
        <v>154</v>
      </c>
    </row>
    <row r="39" spans="1:24" x14ac:dyDescent="0.25">
      <c r="A39" s="11" t="s">
        <v>172</v>
      </c>
      <c r="B39" s="13">
        <v>5895</v>
      </c>
      <c r="C39" s="14">
        <f>(4865/B39*100)</f>
        <v>82.527565733672603</v>
      </c>
      <c r="D39" s="15">
        <v>1030</v>
      </c>
      <c r="E39" s="14">
        <v>21.060892920000001</v>
      </c>
      <c r="F39" s="16">
        <v>1.36628938</v>
      </c>
      <c r="G39" s="14">
        <v>11.667922000000001</v>
      </c>
      <c r="H39" s="16">
        <v>1.18278979</v>
      </c>
      <c r="I39" s="14">
        <v>25.422539149999999</v>
      </c>
      <c r="J39" s="16">
        <v>1.6829046999999999</v>
      </c>
      <c r="K39" s="14">
        <v>20.138794659999999</v>
      </c>
      <c r="L39" s="16">
        <v>1.2490656600000001</v>
      </c>
      <c r="M39" s="14">
        <v>21.709851270000001</v>
      </c>
      <c r="N39" s="16">
        <v>1.2839324999999999</v>
      </c>
      <c r="O39" s="14" t="s">
        <v>139</v>
      </c>
      <c r="P39" s="16" t="s">
        <v>139</v>
      </c>
      <c r="Q39" s="14">
        <v>0</v>
      </c>
      <c r="R39" s="16">
        <v>0</v>
      </c>
      <c r="S39" s="14">
        <v>0</v>
      </c>
      <c r="T39" s="16">
        <v>0</v>
      </c>
      <c r="U39" s="14">
        <v>0</v>
      </c>
      <c r="V39" s="16">
        <v>0</v>
      </c>
      <c r="W39" s="14">
        <v>0</v>
      </c>
      <c r="X39" s="16">
        <v>0</v>
      </c>
    </row>
    <row r="40" spans="1:24" x14ac:dyDescent="0.25">
      <c r="A40" s="11" t="s">
        <v>173</v>
      </c>
      <c r="B40" s="13">
        <v>14157</v>
      </c>
      <c r="C40" s="14">
        <f>(11680/B40*100)</f>
        <v>82.50335523062796</v>
      </c>
      <c r="D40" s="15">
        <v>2477</v>
      </c>
      <c r="E40" s="14">
        <v>4.5110728</v>
      </c>
      <c r="F40" s="16">
        <v>0.67343914000000005</v>
      </c>
      <c r="G40" s="14">
        <v>9.4873453199999993</v>
      </c>
      <c r="H40" s="16">
        <v>0.91599375999999999</v>
      </c>
      <c r="I40" s="14">
        <v>24.778846160000001</v>
      </c>
      <c r="J40" s="16">
        <v>1.31089363</v>
      </c>
      <c r="K40" s="14">
        <v>16.319697949999998</v>
      </c>
      <c r="L40" s="16">
        <v>1.1691319600000001</v>
      </c>
      <c r="M40" s="14">
        <v>44.903037759999997</v>
      </c>
      <c r="N40" s="16">
        <v>1.4544752700000001</v>
      </c>
      <c r="O40" s="14" t="s">
        <v>139</v>
      </c>
      <c r="P40" s="16" t="s">
        <v>139</v>
      </c>
      <c r="Q40" s="14">
        <v>0</v>
      </c>
      <c r="R40" s="16">
        <v>0</v>
      </c>
      <c r="S40" s="14">
        <v>0</v>
      </c>
      <c r="T40" s="16">
        <v>0</v>
      </c>
      <c r="U40" s="14">
        <v>0</v>
      </c>
      <c r="V40" s="16">
        <v>0</v>
      </c>
      <c r="W40" s="14">
        <v>0</v>
      </c>
      <c r="X40" s="16">
        <v>0</v>
      </c>
    </row>
    <row r="41" spans="1:24" x14ac:dyDescent="0.25">
      <c r="A41" s="11" t="s">
        <v>174</v>
      </c>
      <c r="B41" s="13">
        <v>5712</v>
      </c>
      <c r="C41" s="14">
        <f>(4763/B41*100)</f>
        <v>83.385854341736703</v>
      </c>
      <c r="D41" s="15">
        <v>949</v>
      </c>
      <c r="E41" s="14">
        <v>7.6239302100000002</v>
      </c>
      <c r="F41" s="16">
        <v>0.99689629000000002</v>
      </c>
      <c r="G41" s="14">
        <v>11.071870519999999</v>
      </c>
      <c r="H41" s="16">
        <v>1.1429617400000001</v>
      </c>
      <c r="I41" s="14">
        <v>24.976159410000001</v>
      </c>
      <c r="J41" s="16">
        <v>1.5059575300000001</v>
      </c>
      <c r="K41" s="14">
        <v>15.2540639</v>
      </c>
      <c r="L41" s="16">
        <v>1.1640633600000001</v>
      </c>
      <c r="M41" s="14">
        <v>41.073975969999999</v>
      </c>
      <c r="N41" s="16">
        <v>1.7696526299999999</v>
      </c>
      <c r="O41" s="14" t="s">
        <v>139</v>
      </c>
      <c r="P41" s="16" t="s">
        <v>139</v>
      </c>
      <c r="Q41" s="14">
        <v>0</v>
      </c>
      <c r="R41" s="16">
        <v>0</v>
      </c>
      <c r="S41" s="14">
        <v>0</v>
      </c>
      <c r="T41" s="16">
        <v>0</v>
      </c>
      <c r="U41" s="14">
        <v>0</v>
      </c>
      <c r="V41" s="16">
        <v>0</v>
      </c>
      <c r="W41" s="14">
        <v>0</v>
      </c>
      <c r="X41" s="16">
        <v>0</v>
      </c>
    </row>
    <row r="42" spans="1:24" x14ac:dyDescent="0.25">
      <c r="A42" s="11" t="s">
        <v>175</v>
      </c>
      <c r="B42" s="13">
        <f>IF(COUNT(B7:B41) &gt; 0, AVERAGE(B7:B41), "\u2014")</f>
        <v>7266.90625</v>
      </c>
      <c r="C42" s="14">
        <f>IF(COUNT(C7:C41) &gt; 0, AVERAGE(C7:C41), "—")</f>
        <v>83.243101146252428</v>
      </c>
      <c r="D42" s="15">
        <f>IF(COUNT(D7:D41) &gt; 0, AVERAGE(D7:D41), "—")</f>
        <v>1218.28125</v>
      </c>
      <c r="E42" s="14">
        <f>IF(COUNT(E7:E41) &gt; 0, AVERAGE(E7:E41), "—")</f>
        <v>7.9245584562500024</v>
      </c>
      <c r="F42" s="16">
        <f>IF(COUNT(F7:F41) &gt; 0, SQRT(SUMSQ(F7:F41)/(COUNT(F7:F41)*COUNT(F7:F41)) ), "—")</f>
        <v>0.17492616549078019</v>
      </c>
      <c r="G42" s="14">
        <f>IF(COUNT(G7:G41) &gt; 0, AVERAGE(G7:G41), "—")</f>
        <v>8.6760240465624978</v>
      </c>
      <c r="H42" s="16">
        <f>IF(COUNT(H7:H41) &gt; 0, SQRT(SUMSQ(H7:H41)/(COUNT(H7:H41)*COUNT(H7:H41)) ), "—")</f>
        <v>0.16551244659987482</v>
      </c>
      <c r="I42" s="14">
        <f>IF(COUNT(I7:I41) &gt; 0, AVERAGE(I7:I41), "—")</f>
        <v>21.172587982187501</v>
      </c>
      <c r="J42" s="16">
        <f>IF(COUNT(J7:J41) &gt; 0, SQRT(SUMSQ(J7:J41)/(COUNT(J7:J41)*COUNT(J7:J41)) ), "—")</f>
        <v>0.23578875588900194</v>
      </c>
      <c r="K42" s="14">
        <f>IF(COUNT(K7:K41) &gt; 0, AVERAGE(K7:K41), "—")</f>
        <v>18.003625913125003</v>
      </c>
      <c r="L42" s="16">
        <f>IF(COUNT(L7:L41) &gt; 0, SQRT(SUMSQ(L7:L41)/(COUNT(L7:L41)*COUNT(L7:L41)) ), "—")</f>
        <v>0.22341351538825935</v>
      </c>
      <c r="M42" s="14">
        <f>IF(COUNT(M7:M41) &gt; 0, AVERAGE(M7:M41), "—")</f>
        <v>44.223203603749994</v>
      </c>
      <c r="N42" s="16">
        <f>IF(COUNT(N7:N41) &gt; 0, SQRT(SUMSQ(N7:N41)/(COUNT(N7:N41)*COUNT(N7:N41)) ), "—")</f>
        <v>0.28658631804878898</v>
      </c>
      <c r="O42" s="14" t="str">
        <f>IF(COUNT(O7:O41) &gt; 0, AVERAGE(O7:O41), "—")</f>
        <v>—</v>
      </c>
      <c r="P42" s="16" t="str">
        <f>IF(COUNT(P7:P41) &gt; 0, SQRT(SUMSQ(P7:P41)/(COUNT(P7:P41)*COUNT(P7:P41)) ), "—")</f>
        <v>—</v>
      </c>
      <c r="Q42" s="14">
        <f>IF(COUNT(Q7:Q41) &gt; 0, AVERAGE(Q7:Q41), "—")</f>
        <v>0</v>
      </c>
      <c r="R42" s="16">
        <f>IF(COUNT(R7:R41) &gt; 0, SQRT(SUMSQ(R7:R41)/(COUNT(R7:R41)*COUNT(R7:R41)) ), "—")</f>
        <v>0</v>
      </c>
      <c r="S42" s="14">
        <f>IF(COUNT(S7:S41) &gt; 0, AVERAGE(S7:S41), "—")</f>
        <v>0</v>
      </c>
      <c r="T42" s="16">
        <f>IF(COUNT(T7:T41) &gt; 0, SQRT(SUMSQ(T7:T41)/(COUNT(T7:T41)*COUNT(T7:T41)) ), "—")</f>
        <v>0</v>
      </c>
      <c r="U42" s="14">
        <f>IF(COUNT(U7:U41) &gt; 0, AVERAGE(U7:U41), "—")</f>
        <v>0</v>
      </c>
      <c r="V42" s="16">
        <f>IF(COUNT(V7:V41) &gt; 0, SQRT(SUMSQ(V7:V41)/(COUNT(V7:V41)*COUNT(V7:V41)) ), "—")</f>
        <v>0</v>
      </c>
      <c r="W42" s="14">
        <f>IF(COUNT(W7:W41) &gt; 0, AVERAGE(W7:W41), "—")</f>
        <v>0</v>
      </c>
      <c r="X42" s="16">
        <f>IF(COUNT(X7:X41) &gt; 0, SQRT(SUMSQ(X7:X41)/(COUNT(X7:X41)*COUNT(X7:X41)) ), "—")</f>
        <v>0</v>
      </c>
    </row>
    <row r="43" spans="1:24" x14ac:dyDescent="0.25">
      <c r="A43" s="9" t="s">
        <v>176</v>
      </c>
      <c r="B43" s="10"/>
      <c r="C43" s="10"/>
      <c r="D43" s="11"/>
      <c r="E43" s="10"/>
      <c r="F43" s="11"/>
      <c r="G43" s="10"/>
      <c r="H43" s="11"/>
      <c r="I43" s="10"/>
      <c r="J43" s="11"/>
      <c r="K43" s="10"/>
      <c r="L43" s="11"/>
      <c r="M43" s="10"/>
      <c r="N43" s="11"/>
      <c r="O43" s="10"/>
      <c r="P43" s="11"/>
      <c r="Q43" s="10"/>
      <c r="R43" s="11"/>
      <c r="S43" s="10"/>
      <c r="T43" s="11"/>
      <c r="U43" s="10"/>
      <c r="V43" s="11"/>
      <c r="W43" s="10"/>
      <c r="X43" s="12"/>
    </row>
    <row r="44" spans="1:24" x14ac:dyDescent="0.25">
      <c r="A44" s="11" t="s">
        <v>177</v>
      </c>
      <c r="B44" s="17" t="s">
        <v>154</v>
      </c>
      <c r="C44" s="17" t="s">
        <v>154</v>
      </c>
      <c r="D44" s="18" t="s">
        <v>154</v>
      </c>
      <c r="E44" s="17" t="s">
        <v>154</v>
      </c>
      <c r="F44" s="18" t="s">
        <v>154</v>
      </c>
      <c r="G44" s="17" t="s">
        <v>154</v>
      </c>
      <c r="H44" s="18" t="s">
        <v>154</v>
      </c>
      <c r="I44" s="17" t="s">
        <v>154</v>
      </c>
      <c r="J44" s="18" t="s">
        <v>154</v>
      </c>
      <c r="K44" s="17" t="s">
        <v>154</v>
      </c>
      <c r="L44" s="18" t="s">
        <v>154</v>
      </c>
      <c r="M44" s="17" t="s">
        <v>154</v>
      </c>
      <c r="N44" s="18" t="s">
        <v>154</v>
      </c>
      <c r="O44" s="17" t="s">
        <v>154</v>
      </c>
      <c r="P44" s="18" t="s">
        <v>154</v>
      </c>
      <c r="Q44" s="17" t="s">
        <v>154</v>
      </c>
      <c r="R44" s="18" t="s">
        <v>154</v>
      </c>
      <c r="S44" s="17" t="s">
        <v>154</v>
      </c>
      <c r="T44" s="18" t="s">
        <v>154</v>
      </c>
      <c r="U44" s="17" t="s">
        <v>154</v>
      </c>
      <c r="V44" s="18" t="s">
        <v>154</v>
      </c>
      <c r="W44" s="17" t="s">
        <v>154</v>
      </c>
      <c r="X44" s="18" t="s">
        <v>154</v>
      </c>
    </row>
    <row r="45" spans="1:24" x14ac:dyDescent="0.25">
      <c r="A45" s="11" t="s">
        <v>178</v>
      </c>
      <c r="B45" s="17" t="s">
        <v>154</v>
      </c>
      <c r="C45" s="17" t="s">
        <v>154</v>
      </c>
      <c r="D45" s="18" t="s">
        <v>154</v>
      </c>
      <c r="E45" s="17" t="s">
        <v>154</v>
      </c>
      <c r="F45" s="18" t="s">
        <v>154</v>
      </c>
      <c r="G45" s="17" t="s">
        <v>154</v>
      </c>
      <c r="H45" s="18" t="s">
        <v>154</v>
      </c>
      <c r="I45" s="17" t="s">
        <v>154</v>
      </c>
      <c r="J45" s="18" t="s">
        <v>154</v>
      </c>
      <c r="K45" s="17" t="s">
        <v>154</v>
      </c>
      <c r="L45" s="18" t="s">
        <v>154</v>
      </c>
      <c r="M45" s="17" t="s">
        <v>154</v>
      </c>
      <c r="N45" s="18" t="s">
        <v>154</v>
      </c>
      <c r="O45" s="17" t="s">
        <v>154</v>
      </c>
      <c r="P45" s="18" t="s">
        <v>154</v>
      </c>
      <c r="Q45" s="17" t="s">
        <v>154</v>
      </c>
      <c r="R45" s="18" t="s">
        <v>154</v>
      </c>
      <c r="S45" s="17" t="s">
        <v>154</v>
      </c>
      <c r="T45" s="18" t="s">
        <v>154</v>
      </c>
      <c r="U45" s="17" t="s">
        <v>154</v>
      </c>
      <c r="V45" s="18" t="s">
        <v>154</v>
      </c>
      <c r="W45" s="17" t="s">
        <v>154</v>
      </c>
      <c r="X45" s="18" t="s">
        <v>154</v>
      </c>
    </row>
    <row r="46" spans="1:24" x14ac:dyDescent="0.25">
      <c r="A46" s="11" t="s">
        <v>179</v>
      </c>
      <c r="B46" s="13">
        <v>23141</v>
      </c>
      <c r="C46" s="14">
        <f>(20079/B46*100)</f>
        <v>86.768073981245408</v>
      </c>
      <c r="D46" s="15">
        <v>3062</v>
      </c>
      <c r="E46" s="14">
        <v>27.199063769999999</v>
      </c>
      <c r="F46" s="16">
        <v>1.19106997</v>
      </c>
      <c r="G46" s="14">
        <v>12.89173169</v>
      </c>
      <c r="H46" s="16">
        <v>0.74295001000000005</v>
      </c>
      <c r="I46" s="14">
        <v>22.632218430000002</v>
      </c>
      <c r="J46" s="16">
        <v>1.0252982100000001</v>
      </c>
      <c r="K46" s="14">
        <v>10.99077544</v>
      </c>
      <c r="L46" s="16">
        <v>0.84102116000000005</v>
      </c>
      <c r="M46" s="14">
        <v>26.286210669999999</v>
      </c>
      <c r="N46" s="16">
        <v>1.2223163800000001</v>
      </c>
      <c r="O46" s="14" t="s">
        <v>139</v>
      </c>
      <c r="P46" s="16" t="s">
        <v>139</v>
      </c>
      <c r="Q46" s="14">
        <v>0</v>
      </c>
      <c r="R46" s="16">
        <v>0</v>
      </c>
      <c r="S46" s="14">
        <v>0</v>
      </c>
      <c r="T46" s="16">
        <v>0</v>
      </c>
      <c r="U46" s="14">
        <v>0</v>
      </c>
      <c r="V46" s="16">
        <v>0</v>
      </c>
      <c r="W46" s="14">
        <v>0</v>
      </c>
      <c r="X46" s="16">
        <v>0</v>
      </c>
    </row>
    <row r="47" spans="1:24" x14ac:dyDescent="0.25">
      <c r="A47" s="11" t="s">
        <v>180</v>
      </c>
      <c r="B47" s="13">
        <v>5928</v>
      </c>
      <c r="C47" s="14">
        <f>(4949/B47*100)</f>
        <v>83.485155195681514</v>
      </c>
      <c r="D47" s="15">
        <v>979</v>
      </c>
      <c r="E47" s="14">
        <v>20.58286687</v>
      </c>
      <c r="F47" s="16">
        <v>1.6775953400000001</v>
      </c>
      <c r="G47" s="14">
        <v>11.61791888</v>
      </c>
      <c r="H47" s="16">
        <v>1.06624911</v>
      </c>
      <c r="I47" s="14">
        <v>27.012701759999999</v>
      </c>
      <c r="J47" s="16">
        <v>1.4617270099999999</v>
      </c>
      <c r="K47" s="14">
        <v>17.125829159999999</v>
      </c>
      <c r="L47" s="16">
        <v>1.2988002199999999</v>
      </c>
      <c r="M47" s="14">
        <v>23.660683330000001</v>
      </c>
      <c r="N47" s="16">
        <v>1.6702030800000001</v>
      </c>
      <c r="O47" s="14" t="s">
        <v>139</v>
      </c>
      <c r="P47" s="16" t="s">
        <v>139</v>
      </c>
      <c r="Q47" s="14">
        <v>0</v>
      </c>
      <c r="R47" s="16">
        <v>0</v>
      </c>
      <c r="S47" s="14">
        <v>0</v>
      </c>
      <c r="T47" s="16">
        <v>0</v>
      </c>
      <c r="U47" s="14">
        <v>0</v>
      </c>
      <c r="V47" s="16">
        <v>0</v>
      </c>
      <c r="W47" s="14">
        <v>0</v>
      </c>
      <c r="X47" s="16">
        <v>0</v>
      </c>
    </row>
    <row r="48" spans="1:24" x14ac:dyDescent="0.25">
      <c r="A48" s="11" t="s">
        <v>181</v>
      </c>
      <c r="B48" s="13">
        <v>9841</v>
      </c>
      <c r="C48" s="14">
        <f>(8141/B48*100)</f>
        <v>82.725332791382982</v>
      </c>
      <c r="D48" s="15">
        <v>1700</v>
      </c>
      <c r="E48" s="14">
        <v>15.653608439999999</v>
      </c>
      <c r="F48" s="16">
        <v>1.2842529300000001</v>
      </c>
      <c r="G48" s="14">
        <v>7.0185854599999997</v>
      </c>
      <c r="H48" s="16">
        <v>0.90812641000000005</v>
      </c>
      <c r="I48" s="14">
        <v>21.450869950000001</v>
      </c>
      <c r="J48" s="16">
        <v>1.30965161</v>
      </c>
      <c r="K48" s="14">
        <v>22.630607909999998</v>
      </c>
      <c r="L48" s="16">
        <v>1.3074656600000001</v>
      </c>
      <c r="M48" s="14">
        <v>33.246328249999998</v>
      </c>
      <c r="N48" s="16">
        <v>1.7804529600000001</v>
      </c>
      <c r="O48" s="14" t="s">
        <v>139</v>
      </c>
      <c r="P48" s="16" t="s">
        <v>139</v>
      </c>
      <c r="Q48" s="14">
        <v>0</v>
      </c>
      <c r="R48" s="16">
        <v>0</v>
      </c>
      <c r="S48" s="14">
        <v>0</v>
      </c>
      <c r="T48" s="16">
        <v>0</v>
      </c>
      <c r="U48" s="14">
        <v>0</v>
      </c>
      <c r="V48" s="16">
        <v>0</v>
      </c>
      <c r="W48" s="14">
        <v>0</v>
      </c>
      <c r="X48" s="16">
        <v>0</v>
      </c>
    </row>
    <row r="49" spans="1:24" x14ac:dyDescent="0.25">
      <c r="A49" s="11" t="s">
        <v>182</v>
      </c>
      <c r="B49" s="17" t="s">
        <v>154</v>
      </c>
      <c r="C49" s="17" t="s">
        <v>154</v>
      </c>
      <c r="D49" s="18" t="s">
        <v>154</v>
      </c>
      <c r="E49" s="17" t="s">
        <v>154</v>
      </c>
      <c r="F49" s="18" t="s">
        <v>154</v>
      </c>
      <c r="G49" s="17" t="s">
        <v>154</v>
      </c>
      <c r="H49" s="18" t="s">
        <v>154</v>
      </c>
      <c r="I49" s="17" t="s">
        <v>154</v>
      </c>
      <c r="J49" s="18" t="s">
        <v>154</v>
      </c>
      <c r="K49" s="17" t="s">
        <v>154</v>
      </c>
      <c r="L49" s="18" t="s">
        <v>154</v>
      </c>
      <c r="M49" s="17" t="s">
        <v>154</v>
      </c>
      <c r="N49" s="18" t="s">
        <v>154</v>
      </c>
      <c r="O49" s="17" t="s">
        <v>154</v>
      </c>
      <c r="P49" s="18" t="s">
        <v>154</v>
      </c>
      <c r="Q49" s="17" t="s">
        <v>154</v>
      </c>
      <c r="R49" s="18" t="s">
        <v>154</v>
      </c>
      <c r="S49" s="17" t="s">
        <v>154</v>
      </c>
      <c r="T49" s="18" t="s">
        <v>154</v>
      </c>
      <c r="U49" s="17" t="s">
        <v>154</v>
      </c>
      <c r="V49" s="18" t="s">
        <v>154</v>
      </c>
      <c r="W49" s="17" t="s">
        <v>154</v>
      </c>
      <c r="X49" s="18" t="s">
        <v>154</v>
      </c>
    </row>
    <row r="50" spans="1:24" x14ac:dyDescent="0.25">
      <c r="A50" s="11" t="s">
        <v>183</v>
      </c>
      <c r="B50" s="13">
        <v>11795</v>
      </c>
      <c r="C50" s="14">
        <f>(9899/B50*100)</f>
        <v>83.925392115303097</v>
      </c>
      <c r="D50" s="15">
        <v>1896</v>
      </c>
      <c r="E50" s="14">
        <v>24.798996240000001</v>
      </c>
      <c r="F50" s="16">
        <v>1.58245003</v>
      </c>
      <c r="G50" s="14">
        <v>11.070315620000001</v>
      </c>
      <c r="H50" s="16">
        <v>0.92245436000000003</v>
      </c>
      <c r="I50" s="14">
        <v>22.632671819999999</v>
      </c>
      <c r="J50" s="16">
        <v>1.21487758</v>
      </c>
      <c r="K50" s="14">
        <v>15.79542919</v>
      </c>
      <c r="L50" s="16">
        <v>1.0270971600000001</v>
      </c>
      <c r="M50" s="14">
        <v>25.702587130000001</v>
      </c>
      <c r="N50" s="16">
        <v>1.37180652</v>
      </c>
      <c r="O50" s="14" t="s">
        <v>139</v>
      </c>
      <c r="P50" s="16" t="s">
        <v>139</v>
      </c>
      <c r="Q50" s="14">
        <v>0</v>
      </c>
      <c r="R50" s="16">
        <v>0</v>
      </c>
      <c r="S50" s="14">
        <v>0</v>
      </c>
      <c r="T50" s="16">
        <v>0</v>
      </c>
      <c r="U50" s="14">
        <v>0</v>
      </c>
      <c r="V50" s="16">
        <v>0</v>
      </c>
      <c r="W50" s="14">
        <v>0</v>
      </c>
      <c r="X50" s="16">
        <v>0</v>
      </c>
    </row>
    <row r="51" spans="1:24" x14ac:dyDescent="0.25">
      <c r="A51" s="11" t="s">
        <v>184</v>
      </c>
      <c r="B51" s="13">
        <v>6866</v>
      </c>
      <c r="C51" s="14">
        <f>(5872/B51*100)</f>
        <v>85.522866297698812</v>
      </c>
      <c r="D51" s="15">
        <v>994</v>
      </c>
      <c r="E51" s="14">
        <v>16.08637422</v>
      </c>
      <c r="F51" s="16">
        <v>1.24488445</v>
      </c>
      <c r="G51" s="14">
        <v>12.57090449</v>
      </c>
      <c r="H51" s="16">
        <v>1.30887727</v>
      </c>
      <c r="I51" s="14">
        <v>23.412898970000001</v>
      </c>
      <c r="J51" s="16">
        <v>1.39640575</v>
      </c>
      <c r="K51" s="14">
        <v>19.157804729999999</v>
      </c>
      <c r="L51" s="16">
        <v>1.2013223200000001</v>
      </c>
      <c r="M51" s="14">
        <v>28.772017590000001</v>
      </c>
      <c r="N51" s="16">
        <v>1.42462154</v>
      </c>
      <c r="O51" s="14" t="s">
        <v>139</v>
      </c>
      <c r="P51" s="16" t="s">
        <v>139</v>
      </c>
      <c r="Q51" s="14">
        <v>0</v>
      </c>
      <c r="R51" s="16">
        <v>0</v>
      </c>
      <c r="S51" s="14">
        <v>0</v>
      </c>
      <c r="T51" s="16">
        <v>0</v>
      </c>
      <c r="U51" s="14">
        <v>0</v>
      </c>
      <c r="V51" s="16">
        <v>0</v>
      </c>
      <c r="W51" s="14">
        <v>0</v>
      </c>
      <c r="X51" s="16">
        <v>0</v>
      </c>
    </row>
    <row r="52" spans="1:24" x14ac:dyDescent="0.25">
      <c r="A52" s="11" t="s">
        <v>185</v>
      </c>
      <c r="B52" s="13">
        <v>5809</v>
      </c>
      <c r="C52" s="14">
        <f>(4826/B52*100)</f>
        <v>83.077982441039765</v>
      </c>
      <c r="D52" s="15">
        <v>983</v>
      </c>
      <c r="E52" s="14">
        <v>6.9773117899999999</v>
      </c>
      <c r="F52" s="16">
        <v>0.81167977000000002</v>
      </c>
      <c r="G52" s="14">
        <v>9.5828803699999998</v>
      </c>
      <c r="H52" s="16">
        <v>1.0780192500000001</v>
      </c>
      <c r="I52" s="14">
        <v>20.460993049999999</v>
      </c>
      <c r="J52" s="16">
        <v>1.15010035</v>
      </c>
      <c r="K52" s="14">
        <v>19.41356365</v>
      </c>
      <c r="L52" s="16">
        <v>1.4431022099999999</v>
      </c>
      <c r="M52" s="14">
        <v>43.56525113</v>
      </c>
      <c r="N52" s="16">
        <v>1.89102927</v>
      </c>
      <c r="O52" s="14" t="s">
        <v>139</v>
      </c>
      <c r="P52" s="16" t="s">
        <v>139</v>
      </c>
      <c r="Q52" s="14">
        <v>0</v>
      </c>
      <c r="R52" s="16">
        <v>0</v>
      </c>
      <c r="S52" s="14">
        <v>0</v>
      </c>
      <c r="T52" s="16">
        <v>0</v>
      </c>
      <c r="U52" s="14">
        <v>0</v>
      </c>
      <c r="V52" s="16">
        <v>0</v>
      </c>
      <c r="W52" s="14">
        <v>0</v>
      </c>
      <c r="X52" s="16">
        <v>0</v>
      </c>
    </row>
    <row r="53" spans="1:24" x14ac:dyDescent="0.25">
      <c r="A53" s="11" t="s">
        <v>186</v>
      </c>
      <c r="B53" s="13">
        <v>5571</v>
      </c>
      <c r="C53" s="14">
        <f>(4611/B53*100)</f>
        <v>82.767905223478735</v>
      </c>
      <c r="D53" s="15">
        <v>960</v>
      </c>
      <c r="E53" s="14">
        <v>14.556280490000001</v>
      </c>
      <c r="F53" s="16">
        <v>1.1911590299999999</v>
      </c>
      <c r="G53" s="14">
        <v>14.22191157</v>
      </c>
      <c r="H53" s="16">
        <v>1.2333065700000001</v>
      </c>
      <c r="I53" s="14">
        <v>23.631880070000001</v>
      </c>
      <c r="J53" s="16">
        <v>1.4492783199999999</v>
      </c>
      <c r="K53" s="14">
        <v>14.739330109999999</v>
      </c>
      <c r="L53" s="16">
        <v>1.3399619199999999</v>
      </c>
      <c r="M53" s="14">
        <v>32.850597759999999</v>
      </c>
      <c r="N53" s="16">
        <v>1.36768573</v>
      </c>
      <c r="O53" s="14" t="s">
        <v>139</v>
      </c>
      <c r="P53" s="16" t="s">
        <v>139</v>
      </c>
      <c r="Q53" s="14">
        <v>0</v>
      </c>
      <c r="R53" s="16">
        <v>0</v>
      </c>
      <c r="S53" s="14">
        <v>0</v>
      </c>
      <c r="T53" s="16">
        <v>0</v>
      </c>
      <c r="U53" s="14">
        <v>0</v>
      </c>
      <c r="V53" s="16">
        <v>0</v>
      </c>
      <c r="W53" s="14">
        <v>0</v>
      </c>
      <c r="X53" s="16">
        <v>0</v>
      </c>
    </row>
    <row r="54" spans="1:24" x14ac:dyDescent="0.25">
      <c r="A54" s="11" t="s">
        <v>187</v>
      </c>
      <c r="B54" s="17" t="s">
        <v>154</v>
      </c>
      <c r="C54" s="17" t="s">
        <v>154</v>
      </c>
      <c r="D54" s="18" t="s">
        <v>154</v>
      </c>
      <c r="E54" s="17" t="s">
        <v>154</v>
      </c>
      <c r="F54" s="18" t="s">
        <v>154</v>
      </c>
      <c r="G54" s="17" t="s">
        <v>154</v>
      </c>
      <c r="H54" s="18" t="s">
        <v>154</v>
      </c>
      <c r="I54" s="17" t="s">
        <v>154</v>
      </c>
      <c r="J54" s="18" t="s">
        <v>154</v>
      </c>
      <c r="K54" s="17" t="s">
        <v>154</v>
      </c>
      <c r="L54" s="18" t="s">
        <v>154</v>
      </c>
      <c r="M54" s="17" t="s">
        <v>154</v>
      </c>
      <c r="N54" s="18" t="s">
        <v>154</v>
      </c>
      <c r="O54" s="17" t="s">
        <v>154</v>
      </c>
      <c r="P54" s="18" t="s">
        <v>154</v>
      </c>
      <c r="Q54" s="17" t="s">
        <v>154</v>
      </c>
      <c r="R54" s="18" t="s">
        <v>154</v>
      </c>
      <c r="S54" s="17" t="s">
        <v>154</v>
      </c>
      <c r="T54" s="18" t="s">
        <v>154</v>
      </c>
      <c r="U54" s="17" t="s">
        <v>154</v>
      </c>
      <c r="V54" s="18" t="s">
        <v>154</v>
      </c>
      <c r="W54" s="17" t="s">
        <v>154</v>
      </c>
      <c r="X54" s="18" t="s">
        <v>154</v>
      </c>
    </row>
    <row r="55" spans="1:24" x14ac:dyDescent="0.25">
      <c r="A55" s="11" t="s">
        <v>188</v>
      </c>
      <c r="B55" s="17" t="s">
        <v>154</v>
      </c>
      <c r="C55" s="17" t="s">
        <v>154</v>
      </c>
      <c r="D55" s="18" t="s">
        <v>154</v>
      </c>
      <c r="E55" s="17" t="s">
        <v>154</v>
      </c>
      <c r="F55" s="18" t="s">
        <v>154</v>
      </c>
      <c r="G55" s="17" t="s">
        <v>154</v>
      </c>
      <c r="H55" s="18" t="s">
        <v>154</v>
      </c>
      <c r="I55" s="17" t="s">
        <v>154</v>
      </c>
      <c r="J55" s="18" t="s">
        <v>154</v>
      </c>
      <c r="K55" s="17" t="s">
        <v>154</v>
      </c>
      <c r="L55" s="18" t="s">
        <v>154</v>
      </c>
      <c r="M55" s="17" t="s">
        <v>154</v>
      </c>
      <c r="N55" s="18" t="s">
        <v>154</v>
      </c>
      <c r="O55" s="17" t="s">
        <v>154</v>
      </c>
      <c r="P55" s="18" t="s">
        <v>154</v>
      </c>
      <c r="Q55" s="17" t="s">
        <v>154</v>
      </c>
      <c r="R55" s="18" t="s">
        <v>154</v>
      </c>
      <c r="S55" s="17" t="s">
        <v>154</v>
      </c>
      <c r="T55" s="18" t="s">
        <v>154</v>
      </c>
      <c r="U55" s="17" t="s">
        <v>154</v>
      </c>
      <c r="V55" s="18" t="s">
        <v>154</v>
      </c>
      <c r="W55" s="17" t="s">
        <v>154</v>
      </c>
      <c r="X55" s="18" t="s">
        <v>154</v>
      </c>
    </row>
    <row r="56" spans="1:24" x14ac:dyDescent="0.25">
      <c r="A56" s="11" t="s">
        <v>189</v>
      </c>
      <c r="B56" s="13">
        <v>5359</v>
      </c>
      <c r="C56" s="14">
        <f>(4422/B56*100)</f>
        <v>82.515394663183429</v>
      </c>
      <c r="D56" s="15">
        <v>937</v>
      </c>
      <c r="E56" s="14">
        <v>3.6391160500000002</v>
      </c>
      <c r="F56" s="16">
        <v>0.60924639999999997</v>
      </c>
      <c r="G56" s="14">
        <v>4.5060036500000002</v>
      </c>
      <c r="H56" s="16">
        <v>0.63205811000000001</v>
      </c>
      <c r="I56" s="14">
        <v>28.751188299999999</v>
      </c>
      <c r="J56" s="16">
        <v>1.9906254000000001</v>
      </c>
      <c r="K56" s="14">
        <v>16.180976829999999</v>
      </c>
      <c r="L56" s="16">
        <v>1.1299904300000001</v>
      </c>
      <c r="M56" s="14">
        <v>46.922715160000003</v>
      </c>
      <c r="N56" s="16">
        <v>1.95325232</v>
      </c>
      <c r="O56" s="14" t="s">
        <v>139</v>
      </c>
      <c r="P56" s="16" t="s">
        <v>139</v>
      </c>
      <c r="Q56" s="14">
        <v>0</v>
      </c>
      <c r="R56" s="16">
        <v>0</v>
      </c>
      <c r="S56" s="14">
        <v>0</v>
      </c>
      <c r="T56" s="16">
        <v>0</v>
      </c>
      <c r="U56" s="14">
        <v>0</v>
      </c>
      <c r="V56" s="16">
        <v>0</v>
      </c>
      <c r="W56" s="14">
        <v>0</v>
      </c>
      <c r="X56" s="16">
        <v>0</v>
      </c>
    </row>
    <row r="57" spans="1:24" x14ac:dyDescent="0.25">
      <c r="A57" s="11" t="s">
        <v>190</v>
      </c>
      <c r="B57" s="17" t="s">
        <v>154</v>
      </c>
      <c r="C57" s="17" t="s">
        <v>154</v>
      </c>
      <c r="D57" s="18" t="s">
        <v>154</v>
      </c>
      <c r="E57" s="17" t="s">
        <v>154</v>
      </c>
      <c r="F57" s="18" t="s">
        <v>154</v>
      </c>
      <c r="G57" s="17" t="s">
        <v>154</v>
      </c>
      <c r="H57" s="18" t="s">
        <v>154</v>
      </c>
      <c r="I57" s="17" t="s">
        <v>154</v>
      </c>
      <c r="J57" s="18" t="s">
        <v>154</v>
      </c>
      <c r="K57" s="17" t="s">
        <v>154</v>
      </c>
      <c r="L57" s="18" t="s">
        <v>154</v>
      </c>
      <c r="M57" s="17" t="s">
        <v>154</v>
      </c>
      <c r="N57" s="18" t="s">
        <v>154</v>
      </c>
      <c r="O57" s="17" t="s">
        <v>154</v>
      </c>
      <c r="P57" s="18" t="s">
        <v>154</v>
      </c>
      <c r="Q57" s="17" t="s">
        <v>154</v>
      </c>
      <c r="R57" s="18" t="s">
        <v>154</v>
      </c>
      <c r="S57" s="17" t="s">
        <v>154</v>
      </c>
      <c r="T57" s="18" t="s">
        <v>154</v>
      </c>
      <c r="U57" s="17" t="s">
        <v>154</v>
      </c>
      <c r="V57" s="18" t="s">
        <v>154</v>
      </c>
      <c r="W57" s="17" t="s">
        <v>154</v>
      </c>
      <c r="X57" s="18" t="s">
        <v>154</v>
      </c>
    </row>
    <row r="58" spans="1:24" x14ac:dyDescent="0.25">
      <c r="A58" s="11" t="s">
        <v>191</v>
      </c>
      <c r="B58" s="17" t="s">
        <v>154</v>
      </c>
      <c r="C58" s="17" t="s">
        <v>154</v>
      </c>
      <c r="D58" s="18" t="s">
        <v>154</v>
      </c>
      <c r="E58" s="17" t="s">
        <v>154</v>
      </c>
      <c r="F58" s="18" t="s">
        <v>154</v>
      </c>
      <c r="G58" s="17" t="s">
        <v>154</v>
      </c>
      <c r="H58" s="18" t="s">
        <v>154</v>
      </c>
      <c r="I58" s="17" t="s">
        <v>154</v>
      </c>
      <c r="J58" s="18" t="s">
        <v>154</v>
      </c>
      <c r="K58" s="17" t="s">
        <v>154</v>
      </c>
      <c r="L58" s="18" t="s">
        <v>154</v>
      </c>
      <c r="M58" s="17" t="s">
        <v>154</v>
      </c>
      <c r="N58" s="18" t="s">
        <v>154</v>
      </c>
      <c r="O58" s="17" t="s">
        <v>154</v>
      </c>
      <c r="P58" s="18" t="s">
        <v>154</v>
      </c>
      <c r="Q58" s="17" t="s">
        <v>154</v>
      </c>
      <c r="R58" s="18" t="s">
        <v>154</v>
      </c>
      <c r="S58" s="17" t="s">
        <v>154</v>
      </c>
      <c r="T58" s="18" t="s">
        <v>154</v>
      </c>
      <c r="U58" s="17" t="s">
        <v>154</v>
      </c>
      <c r="V58" s="18" t="s">
        <v>154</v>
      </c>
      <c r="W58" s="17" t="s">
        <v>154</v>
      </c>
      <c r="X58" s="18" t="s">
        <v>154</v>
      </c>
    </row>
    <row r="59" spans="1:24" x14ac:dyDescent="0.25">
      <c r="A59" s="11" t="s">
        <v>192</v>
      </c>
      <c r="B59" s="17" t="s">
        <v>154</v>
      </c>
      <c r="C59" s="17" t="s">
        <v>154</v>
      </c>
      <c r="D59" s="18" t="s">
        <v>154</v>
      </c>
      <c r="E59" s="17" t="s">
        <v>154</v>
      </c>
      <c r="F59" s="18" t="s">
        <v>154</v>
      </c>
      <c r="G59" s="17" t="s">
        <v>154</v>
      </c>
      <c r="H59" s="18" t="s">
        <v>154</v>
      </c>
      <c r="I59" s="17" t="s">
        <v>154</v>
      </c>
      <c r="J59" s="18" t="s">
        <v>154</v>
      </c>
      <c r="K59" s="17" t="s">
        <v>154</v>
      </c>
      <c r="L59" s="18" t="s">
        <v>154</v>
      </c>
      <c r="M59" s="17" t="s">
        <v>154</v>
      </c>
      <c r="N59" s="18" t="s">
        <v>154</v>
      </c>
      <c r="O59" s="17" t="s">
        <v>154</v>
      </c>
      <c r="P59" s="18" t="s">
        <v>154</v>
      </c>
      <c r="Q59" s="17" t="s">
        <v>154</v>
      </c>
      <c r="R59" s="18" t="s">
        <v>154</v>
      </c>
      <c r="S59" s="17" t="s">
        <v>154</v>
      </c>
      <c r="T59" s="18" t="s">
        <v>154</v>
      </c>
      <c r="U59" s="17" t="s">
        <v>154</v>
      </c>
      <c r="V59" s="18" t="s">
        <v>154</v>
      </c>
      <c r="W59" s="17" t="s">
        <v>154</v>
      </c>
      <c r="X59" s="18" t="s">
        <v>154</v>
      </c>
    </row>
    <row r="60" spans="1:24" x14ac:dyDescent="0.25">
      <c r="A60" s="11" t="s">
        <v>193</v>
      </c>
      <c r="B60" s="17" t="s">
        <v>154</v>
      </c>
      <c r="C60" s="17" t="s">
        <v>154</v>
      </c>
      <c r="D60" s="18" t="s">
        <v>154</v>
      </c>
      <c r="E60" s="17" t="s">
        <v>154</v>
      </c>
      <c r="F60" s="18" t="s">
        <v>154</v>
      </c>
      <c r="G60" s="17" t="s">
        <v>154</v>
      </c>
      <c r="H60" s="18" t="s">
        <v>154</v>
      </c>
      <c r="I60" s="17" t="s">
        <v>154</v>
      </c>
      <c r="J60" s="18" t="s">
        <v>154</v>
      </c>
      <c r="K60" s="17" t="s">
        <v>154</v>
      </c>
      <c r="L60" s="18" t="s">
        <v>154</v>
      </c>
      <c r="M60" s="17" t="s">
        <v>154</v>
      </c>
      <c r="N60" s="18" t="s">
        <v>154</v>
      </c>
      <c r="O60" s="17" t="s">
        <v>154</v>
      </c>
      <c r="P60" s="18" t="s">
        <v>154</v>
      </c>
      <c r="Q60" s="17" t="s">
        <v>154</v>
      </c>
      <c r="R60" s="18" t="s">
        <v>154</v>
      </c>
      <c r="S60" s="17" t="s">
        <v>154</v>
      </c>
      <c r="T60" s="18" t="s">
        <v>154</v>
      </c>
      <c r="U60" s="17" t="s">
        <v>154</v>
      </c>
      <c r="V60" s="18" t="s">
        <v>154</v>
      </c>
      <c r="W60" s="17" t="s">
        <v>154</v>
      </c>
      <c r="X60" s="18" t="s">
        <v>154</v>
      </c>
    </row>
    <row r="61" spans="1:24" x14ac:dyDescent="0.25">
      <c r="A61" s="11" t="s">
        <v>194</v>
      </c>
      <c r="B61" s="13">
        <v>6525</v>
      </c>
      <c r="C61" s="14">
        <f>(5422/B61*100)</f>
        <v>83.095785440613028</v>
      </c>
      <c r="D61" s="15">
        <v>1103</v>
      </c>
      <c r="E61" s="14">
        <v>10.31478175</v>
      </c>
      <c r="F61" s="16">
        <v>1.0086019500000001</v>
      </c>
      <c r="G61" s="14">
        <v>10.018478910000001</v>
      </c>
      <c r="H61" s="16">
        <v>0.94877634</v>
      </c>
      <c r="I61" s="14">
        <v>21.755547849999999</v>
      </c>
      <c r="J61" s="16">
        <v>1.45982257</v>
      </c>
      <c r="K61" s="14">
        <v>20.64031344</v>
      </c>
      <c r="L61" s="16">
        <v>1.4107272200000001</v>
      </c>
      <c r="M61" s="14">
        <v>37.270878039999999</v>
      </c>
      <c r="N61" s="16">
        <v>1.5544312</v>
      </c>
      <c r="O61" s="14" t="s">
        <v>139</v>
      </c>
      <c r="P61" s="16" t="s">
        <v>139</v>
      </c>
      <c r="Q61" s="14">
        <v>0</v>
      </c>
      <c r="R61" s="16">
        <v>0</v>
      </c>
      <c r="S61" s="14">
        <v>0</v>
      </c>
      <c r="T61" s="16">
        <v>0</v>
      </c>
      <c r="U61" s="14">
        <v>0</v>
      </c>
      <c r="V61" s="16">
        <v>0</v>
      </c>
      <c r="W61" s="14">
        <v>0</v>
      </c>
      <c r="X61" s="16">
        <v>0</v>
      </c>
    </row>
    <row r="62" spans="1:24" x14ac:dyDescent="0.25">
      <c r="A62" s="11" t="s">
        <v>195</v>
      </c>
      <c r="B62" s="13">
        <v>4476</v>
      </c>
      <c r="C62" s="14">
        <f>(3726/B62*100)</f>
        <v>83.243967828418235</v>
      </c>
      <c r="D62" s="15">
        <v>750</v>
      </c>
      <c r="E62" s="14">
        <v>6.5342545699999999</v>
      </c>
      <c r="F62" s="16">
        <v>0.87714731000000001</v>
      </c>
      <c r="G62" s="14">
        <v>5.6094836600000004</v>
      </c>
      <c r="H62" s="16">
        <v>0.77421567999999996</v>
      </c>
      <c r="I62" s="14">
        <v>29.45956898</v>
      </c>
      <c r="J62" s="16">
        <v>1.6470257500000001</v>
      </c>
      <c r="K62" s="14">
        <v>16.134654309999998</v>
      </c>
      <c r="L62" s="16">
        <v>1.36013446</v>
      </c>
      <c r="M62" s="14">
        <v>42.262038490000002</v>
      </c>
      <c r="N62" s="16">
        <v>2.0952518100000002</v>
      </c>
      <c r="O62" s="14" t="s">
        <v>139</v>
      </c>
      <c r="P62" s="16" t="s">
        <v>139</v>
      </c>
      <c r="Q62" s="14">
        <v>0</v>
      </c>
      <c r="R62" s="16">
        <v>0</v>
      </c>
      <c r="S62" s="14">
        <v>0</v>
      </c>
      <c r="T62" s="16">
        <v>0</v>
      </c>
      <c r="U62" s="14">
        <v>0</v>
      </c>
      <c r="V62" s="16">
        <v>0</v>
      </c>
      <c r="W62" s="14">
        <v>0</v>
      </c>
      <c r="X62" s="16">
        <v>0</v>
      </c>
    </row>
    <row r="63" spans="1:24" x14ac:dyDescent="0.25">
      <c r="A63" s="11" t="s">
        <v>196</v>
      </c>
      <c r="B63" s="17" t="s">
        <v>154</v>
      </c>
      <c r="C63" s="17" t="s">
        <v>154</v>
      </c>
      <c r="D63" s="18" t="s">
        <v>154</v>
      </c>
      <c r="E63" s="17" t="s">
        <v>154</v>
      </c>
      <c r="F63" s="18" t="s">
        <v>154</v>
      </c>
      <c r="G63" s="17" t="s">
        <v>154</v>
      </c>
      <c r="H63" s="18" t="s">
        <v>154</v>
      </c>
      <c r="I63" s="17" t="s">
        <v>154</v>
      </c>
      <c r="J63" s="18" t="s">
        <v>154</v>
      </c>
      <c r="K63" s="17" t="s">
        <v>154</v>
      </c>
      <c r="L63" s="18" t="s">
        <v>154</v>
      </c>
      <c r="M63" s="17" t="s">
        <v>154</v>
      </c>
      <c r="N63" s="18" t="s">
        <v>154</v>
      </c>
      <c r="O63" s="17" t="s">
        <v>154</v>
      </c>
      <c r="P63" s="18" t="s">
        <v>154</v>
      </c>
      <c r="Q63" s="17" t="s">
        <v>154</v>
      </c>
      <c r="R63" s="18" t="s">
        <v>154</v>
      </c>
      <c r="S63" s="17" t="s">
        <v>154</v>
      </c>
      <c r="T63" s="18" t="s">
        <v>154</v>
      </c>
      <c r="U63" s="17" t="s">
        <v>154</v>
      </c>
      <c r="V63" s="18" t="s">
        <v>154</v>
      </c>
      <c r="W63" s="17" t="s">
        <v>154</v>
      </c>
      <c r="X63" s="18" t="s">
        <v>154</v>
      </c>
    </row>
    <row r="64" spans="1:24" x14ac:dyDescent="0.25">
      <c r="A64" s="11" t="s">
        <v>197</v>
      </c>
      <c r="B64" s="17" t="s">
        <v>154</v>
      </c>
      <c r="C64" s="17" t="s">
        <v>154</v>
      </c>
      <c r="D64" s="18" t="s">
        <v>154</v>
      </c>
      <c r="E64" s="17" t="s">
        <v>154</v>
      </c>
      <c r="F64" s="18" t="s">
        <v>154</v>
      </c>
      <c r="G64" s="17" t="s">
        <v>154</v>
      </c>
      <c r="H64" s="18" t="s">
        <v>154</v>
      </c>
      <c r="I64" s="17" t="s">
        <v>154</v>
      </c>
      <c r="J64" s="18" t="s">
        <v>154</v>
      </c>
      <c r="K64" s="17" t="s">
        <v>154</v>
      </c>
      <c r="L64" s="18" t="s">
        <v>154</v>
      </c>
      <c r="M64" s="17" t="s">
        <v>154</v>
      </c>
      <c r="N64" s="18" t="s">
        <v>154</v>
      </c>
      <c r="O64" s="17" t="s">
        <v>154</v>
      </c>
      <c r="P64" s="18" t="s">
        <v>154</v>
      </c>
      <c r="Q64" s="17" t="s">
        <v>154</v>
      </c>
      <c r="R64" s="18" t="s">
        <v>154</v>
      </c>
      <c r="S64" s="17" t="s">
        <v>154</v>
      </c>
      <c r="T64" s="18" t="s">
        <v>154</v>
      </c>
      <c r="U64" s="17" t="s">
        <v>154</v>
      </c>
      <c r="V64" s="18" t="s">
        <v>154</v>
      </c>
      <c r="W64" s="17" t="s">
        <v>154</v>
      </c>
      <c r="X64" s="18" t="s">
        <v>154</v>
      </c>
    </row>
    <row r="65" spans="1:24" x14ac:dyDescent="0.25">
      <c r="A65" s="11" t="s">
        <v>198</v>
      </c>
      <c r="B65" s="17" t="s">
        <v>154</v>
      </c>
      <c r="C65" s="17" t="s">
        <v>154</v>
      </c>
      <c r="D65" s="18" t="s">
        <v>154</v>
      </c>
      <c r="E65" s="17" t="s">
        <v>154</v>
      </c>
      <c r="F65" s="18" t="s">
        <v>154</v>
      </c>
      <c r="G65" s="17" t="s">
        <v>154</v>
      </c>
      <c r="H65" s="18" t="s">
        <v>154</v>
      </c>
      <c r="I65" s="17" t="s">
        <v>154</v>
      </c>
      <c r="J65" s="18" t="s">
        <v>154</v>
      </c>
      <c r="K65" s="17" t="s">
        <v>154</v>
      </c>
      <c r="L65" s="18" t="s">
        <v>154</v>
      </c>
      <c r="M65" s="17" t="s">
        <v>154</v>
      </c>
      <c r="N65" s="18" t="s">
        <v>154</v>
      </c>
      <c r="O65" s="17" t="s">
        <v>154</v>
      </c>
      <c r="P65" s="18" t="s">
        <v>154</v>
      </c>
      <c r="Q65" s="17" t="s">
        <v>154</v>
      </c>
      <c r="R65" s="18" t="s">
        <v>154</v>
      </c>
      <c r="S65" s="17" t="s">
        <v>154</v>
      </c>
      <c r="T65" s="18" t="s">
        <v>154</v>
      </c>
      <c r="U65" s="17" t="s">
        <v>154</v>
      </c>
      <c r="V65" s="18" t="s">
        <v>154</v>
      </c>
      <c r="W65" s="17" t="s">
        <v>154</v>
      </c>
      <c r="X65" s="18" t="s">
        <v>154</v>
      </c>
    </row>
    <row r="66" spans="1:24" x14ac:dyDescent="0.25">
      <c r="A66" s="11" t="s">
        <v>199</v>
      </c>
      <c r="B66" s="13">
        <v>5665</v>
      </c>
      <c r="C66" s="14">
        <f>(4731/B66*100)</f>
        <v>83.512797881729909</v>
      </c>
      <c r="D66" s="15">
        <v>934</v>
      </c>
      <c r="E66" s="14">
        <v>26.77076885</v>
      </c>
      <c r="F66" s="16">
        <v>1.47769233</v>
      </c>
      <c r="G66" s="14">
        <v>11.344277760000001</v>
      </c>
      <c r="H66" s="16">
        <v>1.09378464</v>
      </c>
      <c r="I66" s="14">
        <v>25.21674131</v>
      </c>
      <c r="J66" s="16">
        <v>1.3922966699999999</v>
      </c>
      <c r="K66" s="14">
        <v>14.907517070000001</v>
      </c>
      <c r="L66" s="16">
        <v>1.1634070400000001</v>
      </c>
      <c r="M66" s="14">
        <v>21.760695009999999</v>
      </c>
      <c r="N66" s="16">
        <v>1.15923354</v>
      </c>
      <c r="O66" s="14" t="s">
        <v>139</v>
      </c>
      <c r="P66" s="16" t="s">
        <v>139</v>
      </c>
      <c r="Q66" s="14">
        <v>0</v>
      </c>
      <c r="R66" s="16">
        <v>0</v>
      </c>
      <c r="S66" s="14">
        <v>0</v>
      </c>
      <c r="T66" s="16">
        <v>0</v>
      </c>
      <c r="U66" s="14">
        <v>0</v>
      </c>
      <c r="V66" s="16">
        <v>0</v>
      </c>
      <c r="W66" s="14">
        <v>0</v>
      </c>
      <c r="X66" s="16">
        <v>0</v>
      </c>
    </row>
    <row r="67" spans="1:24" x14ac:dyDescent="0.25">
      <c r="A67" s="11" t="s">
        <v>200</v>
      </c>
      <c r="B67" s="13">
        <v>6971</v>
      </c>
      <c r="C67" s="14">
        <f>(5956/B67*100)</f>
        <v>85.439678668770625</v>
      </c>
      <c r="D67" s="15">
        <v>1015</v>
      </c>
      <c r="E67" s="14">
        <v>26.70004497</v>
      </c>
      <c r="F67" s="16">
        <v>1.6739406100000001</v>
      </c>
      <c r="G67" s="14">
        <v>11.51559239</v>
      </c>
      <c r="H67" s="16">
        <v>1.0917130100000001</v>
      </c>
      <c r="I67" s="14">
        <v>19.116383670000001</v>
      </c>
      <c r="J67" s="16">
        <v>1.2761711499999999</v>
      </c>
      <c r="K67" s="14">
        <v>15.562705920000001</v>
      </c>
      <c r="L67" s="16">
        <v>1.1521087999999999</v>
      </c>
      <c r="M67" s="14">
        <v>27.105273050000001</v>
      </c>
      <c r="N67" s="16">
        <v>1.54804242</v>
      </c>
      <c r="O67" s="14" t="s">
        <v>139</v>
      </c>
      <c r="P67" s="16" t="s">
        <v>139</v>
      </c>
      <c r="Q67" s="14">
        <v>0</v>
      </c>
      <c r="R67" s="16">
        <v>0</v>
      </c>
      <c r="S67" s="14">
        <v>0</v>
      </c>
      <c r="T67" s="16">
        <v>0</v>
      </c>
      <c r="U67" s="14">
        <v>0</v>
      </c>
      <c r="V67" s="16">
        <v>0</v>
      </c>
      <c r="W67" s="14">
        <v>0</v>
      </c>
      <c r="X67" s="16">
        <v>0</v>
      </c>
    </row>
    <row r="68" spans="1:24" x14ac:dyDescent="0.25">
      <c r="A68" s="11" t="s">
        <v>201</v>
      </c>
      <c r="B68" s="17" t="s">
        <v>154</v>
      </c>
      <c r="C68" s="17" t="s">
        <v>154</v>
      </c>
      <c r="D68" s="18" t="s">
        <v>154</v>
      </c>
      <c r="E68" s="17" t="s">
        <v>154</v>
      </c>
      <c r="F68" s="18" t="s">
        <v>154</v>
      </c>
      <c r="G68" s="17" t="s">
        <v>154</v>
      </c>
      <c r="H68" s="18" t="s">
        <v>154</v>
      </c>
      <c r="I68" s="17" t="s">
        <v>154</v>
      </c>
      <c r="J68" s="18" t="s">
        <v>154</v>
      </c>
      <c r="K68" s="17" t="s">
        <v>154</v>
      </c>
      <c r="L68" s="18" t="s">
        <v>154</v>
      </c>
      <c r="M68" s="17" t="s">
        <v>154</v>
      </c>
      <c r="N68" s="18" t="s">
        <v>154</v>
      </c>
      <c r="O68" s="17" t="s">
        <v>154</v>
      </c>
      <c r="P68" s="18" t="s">
        <v>154</v>
      </c>
      <c r="Q68" s="17" t="s">
        <v>154</v>
      </c>
      <c r="R68" s="18" t="s">
        <v>154</v>
      </c>
      <c r="S68" s="17" t="s">
        <v>154</v>
      </c>
      <c r="T68" s="18" t="s">
        <v>154</v>
      </c>
      <c r="U68" s="17" t="s">
        <v>154</v>
      </c>
      <c r="V68" s="18" t="s">
        <v>154</v>
      </c>
      <c r="W68" s="17" t="s">
        <v>154</v>
      </c>
      <c r="X68" s="18" t="s">
        <v>154</v>
      </c>
    </row>
    <row r="69" spans="1:24" x14ac:dyDescent="0.25">
      <c r="A69" s="11" t="s">
        <v>202</v>
      </c>
      <c r="B69" s="17" t="s">
        <v>154</v>
      </c>
      <c r="C69" s="17" t="s">
        <v>154</v>
      </c>
      <c r="D69" s="18" t="s">
        <v>154</v>
      </c>
      <c r="E69" s="17" t="s">
        <v>154</v>
      </c>
      <c r="F69" s="18" t="s">
        <v>154</v>
      </c>
      <c r="G69" s="17" t="s">
        <v>154</v>
      </c>
      <c r="H69" s="18" t="s">
        <v>154</v>
      </c>
      <c r="I69" s="17" t="s">
        <v>154</v>
      </c>
      <c r="J69" s="18" t="s">
        <v>154</v>
      </c>
      <c r="K69" s="17" t="s">
        <v>154</v>
      </c>
      <c r="L69" s="18" t="s">
        <v>154</v>
      </c>
      <c r="M69" s="17" t="s">
        <v>154</v>
      </c>
      <c r="N69" s="18" t="s">
        <v>154</v>
      </c>
      <c r="O69" s="17" t="s">
        <v>154</v>
      </c>
      <c r="P69" s="18" t="s">
        <v>154</v>
      </c>
      <c r="Q69" s="17" t="s">
        <v>154</v>
      </c>
      <c r="R69" s="18" t="s">
        <v>154</v>
      </c>
      <c r="S69" s="17" t="s">
        <v>154</v>
      </c>
      <c r="T69" s="18" t="s">
        <v>154</v>
      </c>
      <c r="U69" s="17" t="s">
        <v>154</v>
      </c>
      <c r="V69" s="18" t="s">
        <v>154</v>
      </c>
      <c r="W69" s="17" t="s">
        <v>154</v>
      </c>
      <c r="X69" s="18" t="s">
        <v>154</v>
      </c>
    </row>
    <row r="70" spans="1:24" x14ac:dyDescent="0.25">
      <c r="A70" s="11" t="s">
        <v>203</v>
      </c>
      <c r="B70" s="13">
        <v>6036</v>
      </c>
      <c r="C70" s="14">
        <f>(5027/B70*100)</f>
        <v>83.283631544068911</v>
      </c>
      <c r="D70" s="15">
        <v>1009</v>
      </c>
      <c r="E70" s="14">
        <v>9.8471436000000008</v>
      </c>
      <c r="F70" s="16">
        <v>0.91727296000000003</v>
      </c>
      <c r="G70" s="14">
        <v>9.1363068399999996</v>
      </c>
      <c r="H70" s="16">
        <v>1.0560328299999999</v>
      </c>
      <c r="I70" s="14">
        <v>28.201717479999999</v>
      </c>
      <c r="J70" s="16">
        <v>1.15390678</v>
      </c>
      <c r="K70" s="14">
        <v>18.710868479999998</v>
      </c>
      <c r="L70" s="16">
        <v>1.38933788</v>
      </c>
      <c r="M70" s="14">
        <v>34.1039636</v>
      </c>
      <c r="N70" s="16">
        <v>2.0322729399999999</v>
      </c>
      <c r="O70" s="14" t="s">
        <v>139</v>
      </c>
      <c r="P70" s="16" t="s">
        <v>139</v>
      </c>
      <c r="Q70" s="14">
        <v>0</v>
      </c>
      <c r="R70" s="16">
        <v>0</v>
      </c>
      <c r="S70" s="14">
        <v>0</v>
      </c>
      <c r="T70" s="16">
        <v>0</v>
      </c>
      <c r="U70" s="14">
        <v>0</v>
      </c>
      <c r="V70" s="16">
        <v>0</v>
      </c>
      <c r="W70" s="14">
        <v>0</v>
      </c>
      <c r="X70" s="16">
        <v>0</v>
      </c>
    </row>
    <row r="71" spans="1:24" x14ac:dyDescent="0.25">
      <c r="A71" s="11" t="s">
        <v>204</v>
      </c>
      <c r="B71" s="17" t="s">
        <v>154</v>
      </c>
      <c r="C71" s="17" t="s">
        <v>154</v>
      </c>
      <c r="D71" s="18" t="s">
        <v>154</v>
      </c>
      <c r="E71" s="17" t="s">
        <v>154</v>
      </c>
      <c r="F71" s="18" t="s">
        <v>154</v>
      </c>
      <c r="G71" s="17" t="s">
        <v>154</v>
      </c>
      <c r="H71" s="18" t="s">
        <v>154</v>
      </c>
      <c r="I71" s="17" t="s">
        <v>154</v>
      </c>
      <c r="J71" s="18" t="s">
        <v>154</v>
      </c>
      <c r="K71" s="17" t="s">
        <v>154</v>
      </c>
      <c r="L71" s="18" t="s">
        <v>154</v>
      </c>
      <c r="M71" s="17" t="s">
        <v>154</v>
      </c>
      <c r="N71" s="18" t="s">
        <v>154</v>
      </c>
      <c r="O71" s="17" t="s">
        <v>154</v>
      </c>
      <c r="P71" s="18" t="s">
        <v>154</v>
      </c>
      <c r="Q71" s="17" t="s">
        <v>154</v>
      </c>
      <c r="R71" s="18" t="s">
        <v>154</v>
      </c>
      <c r="S71" s="17" t="s">
        <v>154</v>
      </c>
      <c r="T71" s="18" t="s">
        <v>154</v>
      </c>
      <c r="U71" s="17" t="s">
        <v>154</v>
      </c>
      <c r="V71" s="18" t="s">
        <v>154</v>
      </c>
      <c r="W71" s="17" t="s">
        <v>154</v>
      </c>
      <c r="X71" s="18" t="s">
        <v>154</v>
      </c>
    </row>
    <row r="72" spans="1:24" x14ac:dyDescent="0.25">
      <c r="A72" s="11" t="s">
        <v>205</v>
      </c>
      <c r="B72" s="13">
        <v>7708</v>
      </c>
      <c r="C72" s="14">
        <f>(6393/B72*100)</f>
        <v>82.939802802283353</v>
      </c>
      <c r="D72" s="15">
        <v>1315</v>
      </c>
      <c r="E72" s="14">
        <v>7.8194954599999997</v>
      </c>
      <c r="F72" s="16">
        <v>0.76941974000000002</v>
      </c>
      <c r="G72" s="14">
        <v>5.3636531700000001</v>
      </c>
      <c r="H72" s="16">
        <v>0.62871960999999998</v>
      </c>
      <c r="I72" s="14">
        <v>20.68574834</v>
      </c>
      <c r="J72" s="16">
        <v>1.04541248</v>
      </c>
      <c r="K72" s="14">
        <v>19.105687240000002</v>
      </c>
      <c r="L72" s="16">
        <v>1.07662239</v>
      </c>
      <c r="M72" s="14">
        <v>47.025415789999997</v>
      </c>
      <c r="N72" s="16">
        <v>1.3505454699999999</v>
      </c>
      <c r="O72" s="14" t="s">
        <v>139</v>
      </c>
      <c r="P72" s="16" t="s">
        <v>139</v>
      </c>
      <c r="Q72" s="14">
        <v>0</v>
      </c>
      <c r="R72" s="16">
        <v>0</v>
      </c>
      <c r="S72" s="14">
        <v>0</v>
      </c>
      <c r="T72" s="16">
        <v>0</v>
      </c>
      <c r="U72" s="14">
        <v>0</v>
      </c>
      <c r="V72" s="16">
        <v>0</v>
      </c>
      <c r="W72" s="14">
        <v>0</v>
      </c>
      <c r="X72" s="16">
        <v>0</v>
      </c>
    </row>
    <row r="73" spans="1:24" x14ac:dyDescent="0.25">
      <c r="A73" s="11" t="s">
        <v>206</v>
      </c>
      <c r="B73" s="13">
        <v>8249</v>
      </c>
      <c r="C73" s="14">
        <f>(6928/B73*100)</f>
        <v>83.9859376894169</v>
      </c>
      <c r="D73" s="15">
        <v>1321</v>
      </c>
      <c r="E73" s="14">
        <v>29.962390559999999</v>
      </c>
      <c r="F73" s="16">
        <v>1.7991736899999999</v>
      </c>
      <c r="G73" s="14">
        <v>13.234469130000001</v>
      </c>
      <c r="H73" s="16">
        <v>1.2051791599999999</v>
      </c>
      <c r="I73" s="14">
        <v>26.118478509999999</v>
      </c>
      <c r="J73" s="16">
        <v>1.70889815</v>
      </c>
      <c r="K73" s="14">
        <v>15.59769174</v>
      </c>
      <c r="L73" s="16">
        <v>1.29612682</v>
      </c>
      <c r="M73" s="14">
        <v>15.086970060000001</v>
      </c>
      <c r="N73" s="16">
        <v>1.22003946</v>
      </c>
      <c r="O73" s="14" t="s">
        <v>139</v>
      </c>
      <c r="P73" s="16" t="s">
        <v>139</v>
      </c>
      <c r="Q73" s="14">
        <v>0</v>
      </c>
      <c r="R73" s="16">
        <v>0</v>
      </c>
      <c r="S73" s="14">
        <v>0</v>
      </c>
      <c r="T73" s="16">
        <v>0</v>
      </c>
      <c r="U73" s="14">
        <v>0</v>
      </c>
      <c r="V73" s="16">
        <v>0</v>
      </c>
      <c r="W73" s="14">
        <v>0</v>
      </c>
      <c r="X73" s="16">
        <v>0</v>
      </c>
    </row>
    <row r="74" spans="1:24" x14ac:dyDescent="0.25">
      <c r="A74" s="11" t="s">
        <v>207</v>
      </c>
      <c r="B74" s="17" t="s">
        <v>154</v>
      </c>
      <c r="C74" s="17" t="s">
        <v>154</v>
      </c>
      <c r="D74" s="18" t="s">
        <v>154</v>
      </c>
      <c r="E74" s="17" t="s">
        <v>154</v>
      </c>
      <c r="F74" s="18" t="s">
        <v>154</v>
      </c>
      <c r="G74" s="17" t="s">
        <v>154</v>
      </c>
      <c r="H74" s="18" t="s">
        <v>154</v>
      </c>
      <c r="I74" s="17" t="s">
        <v>154</v>
      </c>
      <c r="J74" s="18" t="s">
        <v>154</v>
      </c>
      <c r="K74" s="17" t="s">
        <v>154</v>
      </c>
      <c r="L74" s="18" t="s">
        <v>154</v>
      </c>
      <c r="M74" s="17" t="s">
        <v>154</v>
      </c>
      <c r="N74" s="18" t="s">
        <v>154</v>
      </c>
      <c r="O74" s="17" t="s">
        <v>154</v>
      </c>
      <c r="P74" s="18" t="s">
        <v>154</v>
      </c>
      <c r="Q74" s="17" t="s">
        <v>154</v>
      </c>
      <c r="R74" s="18" t="s">
        <v>154</v>
      </c>
      <c r="S74" s="17" t="s">
        <v>154</v>
      </c>
      <c r="T74" s="18" t="s">
        <v>154</v>
      </c>
      <c r="U74" s="17" t="s">
        <v>154</v>
      </c>
      <c r="V74" s="18" t="s">
        <v>154</v>
      </c>
      <c r="W74" s="17" t="s">
        <v>154</v>
      </c>
      <c r="X74" s="18" t="s">
        <v>154</v>
      </c>
    </row>
    <row r="75" spans="1:24" x14ac:dyDescent="0.25">
      <c r="A75" s="11" t="s">
        <v>208</v>
      </c>
      <c r="B75" s="13">
        <v>5375</v>
      </c>
      <c r="C75" s="14">
        <f>(4579/B75*100)</f>
        <v>85.190697674418601</v>
      </c>
      <c r="D75" s="15">
        <v>796</v>
      </c>
      <c r="E75" s="14">
        <v>41.220632709999997</v>
      </c>
      <c r="F75" s="16">
        <v>2.0339870599999998</v>
      </c>
      <c r="G75" s="14">
        <v>20.40725952</v>
      </c>
      <c r="H75" s="16">
        <v>1.3535410000000001</v>
      </c>
      <c r="I75" s="14">
        <v>22.879441360000001</v>
      </c>
      <c r="J75" s="16">
        <v>1.4461335900000001</v>
      </c>
      <c r="K75" s="14">
        <v>6.9132960299999997</v>
      </c>
      <c r="L75" s="16">
        <v>0.93708166000000004</v>
      </c>
      <c r="M75" s="14">
        <v>8.5793703800000003</v>
      </c>
      <c r="N75" s="16">
        <v>0.89867668999999994</v>
      </c>
      <c r="O75" s="14" t="s">
        <v>139</v>
      </c>
      <c r="P75" s="16" t="s">
        <v>139</v>
      </c>
      <c r="Q75" s="14">
        <v>0</v>
      </c>
      <c r="R75" s="16">
        <v>0</v>
      </c>
      <c r="S75" s="14">
        <v>0</v>
      </c>
      <c r="T75" s="16">
        <v>0</v>
      </c>
      <c r="U75" s="14">
        <v>0</v>
      </c>
      <c r="V75" s="16">
        <v>0</v>
      </c>
      <c r="W75" s="14">
        <v>0</v>
      </c>
      <c r="X75" s="16">
        <v>0</v>
      </c>
    </row>
    <row r="76" spans="1:24" x14ac:dyDescent="0.25">
      <c r="A76" s="11" t="s">
        <v>209</v>
      </c>
      <c r="B76" s="13">
        <v>14167</v>
      </c>
      <c r="C76" s="14">
        <f>(11736/B76*100)</f>
        <v>82.840403755205756</v>
      </c>
      <c r="D76" s="15">
        <v>2431</v>
      </c>
      <c r="E76" s="14">
        <v>19.67539833</v>
      </c>
      <c r="F76" s="16">
        <v>1.1373014699999999</v>
      </c>
      <c r="G76" s="14">
        <v>14.619632579999999</v>
      </c>
      <c r="H76" s="16">
        <v>0.90825697999999999</v>
      </c>
      <c r="I76" s="14">
        <v>27.044959590000001</v>
      </c>
      <c r="J76" s="16">
        <v>1.1294251200000001</v>
      </c>
      <c r="K76" s="14">
        <v>13.65509919</v>
      </c>
      <c r="L76" s="16">
        <v>0.88229208000000003</v>
      </c>
      <c r="M76" s="14">
        <v>25.00491031</v>
      </c>
      <c r="N76" s="16">
        <v>1.09294578</v>
      </c>
      <c r="O76" s="14" t="s">
        <v>139</v>
      </c>
      <c r="P76" s="16" t="s">
        <v>139</v>
      </c>
      <c r="Q76" s="14">
        <v>0</v>
      </c>
      <c r="R76" s="16">
        <v>0</v>
      </c>
      <c r="S76" s="14">
        <v>0</v>
      </c>
      <c r="T76" s="16">
        <v>0</v>
      </c>
      <c r="U76" s="14">
        <v>0</v>
      </c>
      <c r="V76" s="16">
        <v>0</v>
      </c>
      <c r="W76" s="14">
        <v>0</v>
      </c>
      <c r="X76" s="16">
        <v>0</v>
      </c>
    </row>
    <row r="77" spans="1:24" x14ac:dyDescent="0.25">
      <c r="A77" s="11" t="s">
        <v>210</v>
      </c>
      <c r="B77" s="13">
        <v>6062</v>
      </c>
      <c r="C77" s="14">
        <f>(5052/B77*100)</f>
        <v>83.338832068624214</v>
      </c>
      <c r="D77" s="15">
        <v>1010</v>
      </c>
      <c r="E77" s="14">
        <v>18.088451450000001</v>
      </c>
      <c r="F77" s="16">
        <v>1.3946989599999999</v>
      </c>
      <c r="G77" s="14">
        <v>10.080384929999999</v>
      </c>
      <c r="H77" s="16">
        <v>1.0320063900000001</v>
      </c>
      <c r="I77" s="14">
        <v>18.088609930000001</v>
      </c>
      <c r="J77" s="16">
        <v>1.1888887800000001</v>
      </c>
      <c r="K77" s="14">
        <v>20.275399</v>
      </c>
      <c r="L77" s="16">
        <v>1.3743737499999999</v>
      </c>
      <c r="M77" s="14">
        <v>33.467154690000001</v>
      </c>
      <c r="N77" s="16">
        <v>1.7907171399999999</v>
      </c>
      <c r="O77" s="14" t="s">
        <v>139</v>
      </c>
      <c r="P77" s="16" t="s">
        <v>139</v>
      </c>
      <c r="Q77" s="14">
        <v>0</v>
      </c>
      <c r="R77" s="16">
        <v>0</v>
      </c>
      <c r="S77" s="14">
        <v>0</v>
      </c>
      <c r="T77" s="16">
        <v>0</v>
      </c>
      <c r="U77" s="14">
        <v>0</v>
      </c>
      <c r="V77" s="16">
        <v>0</v>
      </c>
      <c r="W77" s="14">
        <v>0</v>
      </c>
      <c r="X77" s="16">
        <v>0</v>
      </c>
    </row>
    <row r="78" spans="1:24" x14ac:dyDescent="0.25">
      <c r="A78" s="11" t="s">
        <v>211</v>
      </c>
      <c r="B78" s="17" t="s">
        <v>154</v>
      </c>
      <c r="C78" s="17" t="s">
        <v>154</v>
      </c>
      <c r="D78" s="18" t="s">
        <v>154</v>
      </c>
      <c r="E78" s="17" t="s">
        <v>154</v>
      </c>
      <c r="F78" s="18" t="s">
        <v>154</v>
      </c>
      <c r="G78" s="17" t="s">
        <v>154</v>
      </c>
      <c r="H78" s="18" t="s">
        <v>154</v>
      </c>
      <c r="I78" s="17" t="s">
        <v>154</v>
      </c>
      <c r="J78" s="18" t="s">
        <v>154</v>
      </c>
      <c r="K78" s="17" t="s">
        <v>154</v>
      </c>
      <c r="L78" s="18" t="s">
        <v>154</v>
      </c>
      <c r="M78" s="17" t="s">
        <v>154</v>
      </c>
      <c r="N78" s="18" t="s">
        <v>154</v>
      </c>
      <c r="O78" s="17" t="s">
        <v>154</v>
      </c>
      <c r="P78" s="18" t="s">
        <v>154</v>
      </c>
      <c r="Q78" s="17" t="s">
        <v>154</v>
      </c>
      <c r="R78" s="18" t="s">
        <v>154</v>
      </c>
      <c r="S78" s="17" t="s">
        <v>154</v>
      </c>
      <c r="T78" s="18" t="s">
        <v>154</v>
      </c>
      <c r="U78" s="17" t="s">
        <v>154</v>
      </c>
      <c r="V78" s="18" t="s">
        <v>154</v>
      </c>
      <c r="W78" s="17" t="s">
        <v>154</v>
      </c>
      <c r="X78" s="18" t="s">
        <v>154</v>
      </c>
    </row>
    <row r="79" spans="1:24" ht="24.95" customHeight="1" x14ac:dyDescent="0.25">
      <c r="A79" s="11" t="s">
        <v>212</v>
      </c>
      <c r="B79" s="17" t="s">
        <v>154</v>
      </c>
      <c r="C79" s="17" t="s">
        <v>154</v>
      </c>
      <c r="D79" s="18" t="s">
        <v>154</v>
      </c>
      <c r="E79" s="17" t="s">
        <v>154</v>
      </c>
      <c r="F79" s="18" t="s">
        <v>154</v>
      </c>
      <c r="G79" s="17" t="s">
        <v>154</v>
      </c>
      <c r="H79" s="18" t="s">
        <v>154</v>
      </c>
      <c r="I79" s="17" t="s">
        <v>154</v>
      </c>
      <c r="J79" s="18" t="s">
        <v>154</v>
      </c>
      <c r="K79" s="17" t="s">
        <v>154</v>
      </c>
      <c r="L79" s="18" t="s">
        <v>154</v>
      </c>
      <c r="M79" s="17" t="s">
        <v>154</v>
      </c>
      <c r="N79" s="18" t="s">
        <v>154</v>
      </c>
      <c r="O79" s="17" t="s">
        <v>154</v>
      </c>
      <c r="P79" s="18" t="s">
        <v>154</v>
      </c>
      <c r="Q79" s="17" t="s">
        <v>154</v>
      </c>
      <c r="R79" s="18" t="s">
        <v>154</v>
      </c>
      <c r="S79" s="17" t="s">
        <v>154</v>
      </c>
      <c r="T79" s="18" t="s">
        <v>154</v>
      </c>
      <c r="U79" s="17" t="s">
        <v>154</v>
      </c>
      <c r="V79" s="18" t="s">
        <v>154</v>
      </c>
      <c r="W79" s="17" t="s">
        <v>154</v>
      </c>
      <c r="X79" s="18" t="s">
        <v>154</v>
      </c>
    </row>
    <row r="80" spans="1:24" x14ac:dyDescent="0.25">
      <c r="A80" s="11" t="s">
        <v>213</v>
      </c>
      <c r="B80" s="17" t="s">
        <v>154</v>
      </c>
      <c r="C80" s="17" t="s">
        <v>154</v>
      </c>
      <c r="D80" s="18" t="s">
        <v>154</v>
      </c>
      <c r="E80" s="17" t="s">
        <v>154</v>
      </c>
      <c r="F80" s="18" t="s">
        <v>154</v>
      </c>
      <c r="G80" s="17" t="s">
        <v>154</v>
      </c>
      <c r="H80" s="18" t="s">
        <v>154</v>
      </c>
      <c r="I80" s="17" t="s">
        <v>154</v>
      </c>
      <c r="J80" s="18" t="s">
        <v>154</v>
      </c>
      <c r="K80" s="17" t="s">
        <v>154</v>
      </c>
      <c r="L80" s="18" t="s">
        <v>154</v>
      </c>
      <c r="M80" s="17" t="s">
        <v>154</v>
      </c>
      <c r="N80" s="18" t="s">
        <v>154</v>
      </c>
      <c r="O80" s="17" t="s">
        <v>154</v>
      </c>
      <c r="P80" s="18" t="s">
        <v>154</v>
      </c>
      <c r="Q80" s="17" t="s">
        <v>154</v>
      </c>
      <c r="R80" s="18" t="s">
        <v>154</v>
      </c>
      <c r="S80" s="17" t="s">
        <v>154</v>
      </c>
      <c r="T80" s="18" t="s">
        <v>154</v>
      </c>
      <c r="U80" s="17" t="s">
        <v>154</v>
      </c>
      <c r="V80" s="18" t="s">
        <v>154</v>
      </c>
      <c r="W80" s="17" t="s">
        <v>154</v>
      </c>
      <c r="X80" s="18" t="s">
        <v>154</v>
      </c>
    </row>
    <row r="81" spans="1:24" x14ac:dyDescent="0.25">
      <c r="A81" s="19" t="s">
        <v>214</v>
      </c>
      <c r="B81" s="13">
        <v>8861</v>
      </c>
      <c r="C81" s="14">
        <f>(8516/B81*100)</f>
        <v>96.106534251213176</v>
      </c>
      <c r="D81" s="15">
        <v>345</v>
      </c>
      <c r="E81" s="14">
        <v>12.606336840000001</v>
      </c>
      <c r="F81" s="16">
        <v>2.2151329799999999</v>
      </c>
      <c r="G81" s="14">
        <v>8.8507139499999994</v>
      </c>
      <c r="H81" s="16">
        <v>1.9119522799999999</v>
      </c>
      <c r="I81" s="14">
        <v>30.768633130000001</v>
      </c>
      <c r="J81" s="16">
        <v>3.0288083299999999</v>
      </c>
      <c r="K81" s="14">
        <v>21.164962150000001</v>
      </c>
      <c r="L81" s="16">
        <v>2.4266161300000002</v>
      </c>
      <c r="M81" s="14">
        <v>26.609353930000001</v>
      </c>
      <c r="N81" s="16">
        <v>2.53445002</v>
      </c>
      <c r="O81" s="14" t="s">
        <v>139</v>
      </c>
      <c r="P81" s="16" t="s">
        <v>139</v>
      </c>
      <c r="Q81" s="14">
        <v>0</v>
      </c>
      <c r="R81" s="16">
        <v>0</v>
      </c>
      <c r="S81" s="14">
        <v>0</v>
      </c>
      <c r="T81" s="16">
        <v>0</v>
      </c>
      <c r="U81" s="14">
        <v>0</v>
      </c>
      <c r="V81" s="16">
        <v>0</v>
      </c>
      <c r="W81" s="14">
        <v>0</v>
      </c>
      <c r="X81" s="16">
        <v>0</v>
      </c>
    </row>
    <row r="82" spans="1:24" x14ac:dyDescent="0.25">
      <c r="A82" s="20"/>
      <c r="B82" s="20" t="s">
        <v>215</v>
      </c>
      <c r="C82" s="20" t="s">
        <v>215</v>
      </c>
      <c r="D82" s="20" t="s">
        <v>215</v>
      </c>
      <c r="E82" s="20" t="s">
        <v>215</v>
      </c>
      <c r="F82" s="20" t="s">
        <v>215</v>
      </c>
      <c r="G82" s="20" t="s">
        <v>215</v>
      </c>
      <c r="H82" s="20" t="s">
        <v>215</v>
      </c>
      <c r="I82" s="20" t="s">
        <v>215</v>
      </c>
      <c r="J82" s="20" t="s">
        <v>215</v>
      </c>
      <c r="K82" s="20" t="s">
        <v>215</v>
      </c>
      <c r="L82" s="20" t="s">
        <v>215</v>
      </c>
      <c r="M82" s="20" t="s">
        <v>215</v>
      </c>
      <c r="N82" s="20" t="s">
        <v>215</v>
      </c>
      <c r="O82" s="20" t="s">
        <v>215</v>
      </c>
      <c r="P82" s="20" t="s">
        <v>215</v>
      </c>
      <c r="Q82" s="20" t="s">
        <v>215</v>
      </c>
      <c r="R82" s="20" t="s">
        <v>215</v>
      </c>
      <c r="S82" s="20" t="s">
        <v>215</v>
      </c>
      <c r="T82" s="20" t="s">
        <v>215</v>
      </c>
      <c r="U82" s="20" t="s">
        <v>215</v>
      </c>
      <c r="V82" s="20" t="s">
        <v>215</v>
      </c>
      <c r="W82" s="20" t="s">
        <v>215</v>
      </c>
      <c r="X82" s="20" t="s">
        <v>215</v>
      </c>
    </row>
    <row r="83" spans="1:24" x14ac:dyDescent="0.25">
      <c r="A83" s="3" t="s">
        <v>216</v>
      </c>
    </row>
    <row r="84" spans="1:24" x14ac:dyDescent="0.25">
      <c r="A84" s="22" t="s">
        <v>217</v>
      </c>
      <c r="B84" s="23"/>
      <c r="C84" s="23"/>
      <c r="D84" s="23"/>
      <c r="E84" s="23"/>
      <c r="F84" s="23"/>
      <c r="G84" s="23"/>
      <c r="H84" s="23"/>
      <c r="I84" s="23"/>
      <c r="J84" s="23"/>
      <c r="K84" s="23"/>
      <c r="L84" s="23"/>
      <c r="M84" s="23"/>
      <c r="N84" s="23"/>
      <c r="O84" s="23"/>
      <c r="P84" s="23"/>
      <c r="Q84" s="23"/>
      <c r="R84" s="23"/>
      <c r="S84" s="23"/>
      <c r="T84" s="23"/>
      <c r="U84" s="23"/>
      <c r="V84" s="23"/>
      <c r="W84" s="23"/>
      <c r="X84" s="23"/>
    </row>
    <row r="85" spans="1:24" x14ac:dyDescent="0.25">
      <c r="A85" s="22" t="s">
        <v>218</v>
      </c>
      <c r="B85" s="23"/>
      <c r="C85" s="23"/>
      <c r="D85" s="23"/>
      <c r="E85" s="23"/>
      <c r="F85" s="23"/>
      <c r="G85" s="23"/>
      <c r="H85" s="23"/>
      <c r="I85" s="23"/>
      <c r="J85" s="23"/>
      <c r="K85" s="23"/>
      <c r="L85" s="23"/>
      <c r="M85" s="23"/>
      <c r="N85" s="23"/>
      <c r="O85" s="23"/>
      <c r="P85" s="23"/>
      <c r="Q85" s="23"/>
      <c r="R85" s="23"/>
      <c r="S85" s="23"/>
      <c r="T85" s="23"/>
      <c r="U85" s="23"/>
      <c r="V85" s="23"/>
      <c r="W85" s="23"/>
      <c r="X85" s="23"/>
    </row>
    <row r="86" spans="1:24" ht="30" customHeight="1" x14ac:dyDescent="0.25">
      <c r="A86" s="22" t="s">
        <v>219</v>
      </c>
      <c r="B86" s="23"/>
      <c r="C86" s="23"/>
      <c r="D86" s="23"/>
      <c r="E86" s="23"/>
      <c r="F86" s="23"/>
      <c r="G86" s="23"/>
      <c r="H86" s="23"/>
      <c r="I86" s="23"/>
      <c r="J86" s="23"/>
      <c r="K86" s="23"/>
      <c r="L86" s="23"/>
      <c r="M86" s="23"/>
      <c r="N86" s="23"/>
      <c r="O86" s="23"/>
      <c r="P86" s="23"/>
      <c r="Q86" s="23"/>
      <c r="R86" s="23"/>
      <c r="S86" s="23"/>
      <c r="T86" s="23"/>
      <c r="U86" s="23"/>
      <c r="V86" s="23"/>
      <c r="W86" s="23"/>
      <c r="X86" s="23"/>
    </row>
    <row r="87" spans="1:24" ht="30" customHeight="1" x14ac:dyDescent="0.25">
      <c r="A87" s="22" t="s">
        <v>215</v>
      </c>
      <c r="B87" s="23"/>
      <c r="C87" s="23"/>
      <c r="D87" s="23"/>
      <c r="E87" s="23"/>
      <c r="F87" s="23"/>
      <c r="G87" s="23"/>
      <c r="H87" s="23"/>
      <c r="I87" s="23"/>
      <c r="J87" s="23"/>
      <c r="K87" s="23"/>
      <c r="L87" s="23"/>
      <c r="M87" s="23"/>
      <c r="N87" s="23"/>
      <c r="O87" s="23"/>
      <c r="P87" s="23"/>
      <c r="Q87" s="23"/>
      <c r="R87" s="23"/>
      <c r="S87" s="23"/>
      <c r="T87" s="23"/>
      <c r="U87" s="23"/>
      <c r="V87" s="23"/>
      <c r="W87" s="23"/>
      <c r="X87" s="23"/>
    </row>
    <row r="88" spans="1:24" ht="30" customHeight="1" x14ac:dyDescent="0.25">
      <c r="A88" s="22" t="s">
        <v>220</v>
      </c>
      <c r="B88" s="23"/>
      <c r="C88" s="23"/>
      <c r="D88" s="23"/>
      <c r="E88" s="23"/>
      <c r="F88" s="23"/>
      <c r="G88" s="23"/>
      <c r="H88" s="23"/>
      <c r="I88" s="23"/>
      <c r="J88" s="23"/>
      <c r="K88" s="23"/>
      <c r="L88" s="23"/>
      <c r="M88" s="23"/>
      <c r="N88" s="23"/>
      <c r="O88" s="23"/>
      <c r="P88" s="23"/>
      <c r="Q88" s="23"/>
      <c r="R88" s="23"/>
      <c r="S88" s="23"/>
      <c r="T88" s="23"/>
      <c r="U88" s="23"/>
      <c r="V88" s="23"/>
      <c r="W88" s="23"/>
      <c r="X88" s="23"/>
    </row>
    <row r="89" spans="1:24" ht="30" customHeight="1" x14ac:dyDescent="0.25">
      <c r="A89" s="22" t="s">
        <v>221</v>
      </c>
      <c r="B89" s="23"/>
      <c r="C89" s="23"/>
      <c r="D89" s="23"/>
      <c r="E89" s="23"/>
      <c r="F89" s="23"/>
      <c r="G89" s="23"/>
      <c r="H89" s="23"/>
      <c r="I89" s="23"/>
      <c r="J89" s="23"/>
      <c r="K89" s="23"/>
      <c r="L89" s="23"/>
      <c r="M89" s="23"/>
      <c r="N89" s="23"/>
      <c r="O89" s="23"/>
      <c r="P89" s="23"/>
      <c r="Q89" s="23"/>
      <c r="R89" s="23"/>
      <c r="S89" s="23"/>
      <c r="T89" s="23"/>
      <c r="U89" s="23"/>
      <c r="V89" s="23"/>
      <c r="W89" s="23"/>
      <c r="X89" s="23"/>
    </row>
    <row r="90" spans="1:24" ht="30" customHeight="1" x14ac:dyDescent="0.25">
      <c r="A90" s="22" t="s">
        <v>222</v>
      </c>
      <c r="B90" s="23"/>
      <c r="C90" s="23"/>
      <c r="D90" s="23"/>
      <c r="E90" s="23"/>
      <c r="F90" s="23"/>
      <c r="G90" s="23"/>
      <c r="H90" s="23"/>
      <c r="I90" s="23"/>
      <c r="J90" s="23"/>
      <c r="K90" s="23"/>
      <c r="L90" s="23"/>
      <c r="M90" s="23"/>
      <c r="N90" s="23"/>
      <c r="O90" s="23"/>
      <c r="P90" s="23"/>
      <c r="Q90" s="23"/>
      <c r="R90" s="23"/>
      <c r="S90" s="23"/>
      <c r="T90" s="23"/>
      <c r="U90" s="23"/>
      <c r="V90" s="23"/>
      <c r="W90" s="23"/>
      <c r="X90" s="23"/>
    </row>
    <row r="91" spans="1:24" ht="30" customHeight="1" x14ac:dyDescent="0.25">
      <c r="A91" s="22" t="s">
        <v>223</v>
      </c>
      <c r="B91" s="23"/>
      <c r="C91" s="23"/>
      <c r="D91" s="23"/>
      <c r="E91" s="23"/>
      <c r="F91" s="23"/>
      <c r="G91" s="23"/>
      <c r="H91" s="23"/>
      <c r="I91" s="23"/>
      <c r="J91" s="23"/>
      <c r="K91" s="23"/>
      <c r="L91" s="23"/>
      <c r="M91" s="23"/>
      <c r="N91" s="23"/>
      <c r="O91" s="23"/>
      <c r="P91" s="23"/>
      <c r="Q91" s="23"/>
      <c r="R91" s="23"/>
      <c r="S91" s="23"/>
      <c r="T91" s="23"/>
      <c r="U91" s="23"/>
      <c r="V91" s="23"/>
      <c r="W91" s="23"/>
      <c r="X91" s="23"/>
    </row>
    <row r="92" spans="1:24" ht="30" customHeight="1" x14ac:dyDescent="0.25">
      <c r="A92" s="22" t="s">
        <v>224</v>
      </c>
      <c r="B92" s="23"/>
      <c r="C92" s="23"/>
      <c r="D92" s="23"/>
      <c r="E92" s="23"/>
      <c r="F92" s="23"/>
      <c r="G92" s="23"/>
      <c r="H92" s="23"/>
      <c r="I92" s="23"/>
      <c r="J92" s="23"/>
      <c r="K92" s="23"/>
      <c r="L92" s="23"/>
      <c r="M92" s="23"/>
      <c r="N92" s="23"/>
      <c r="O92" s="23"/>
      <c r="P92" s="23"/>
      <c r="Q92" s="23"/>
      <c r="R92" s="23"/>
      <c r="S92" s="23"/>
      <c r="T92" s="23"/>
      <c r="U92" s="23"/>
      <c r="V92" s="23"/>
      <c r="W92" s="23"/>
      <c r="X92" s="23"/>
    </row>
    <row r="93" spans="1:24" ht="30" customHeight="1" x14ac:dyDescent="0.25">
      <c r="A93" s="22" t="s">
        <v>225</v>
      </c>
      <c r="B93" s="23"/>
      <c r="C93" s="23"/>
      <c r="D93" s="23"/>
      <c r="E93" s="23"/>
      <c r="F93" s="23"/>
      <c r="G93" s="23"/>
      <c r="H93" s="23"/>
      <c r="I93" s="23"/>
      <c r="J93" s="23"/>
      <c r="K93" s="23"/>
      <c r="L93" s="23"/>
      <c r="M93" s="23"/>
      <c r="N93" s="23"/>
      <c r="O93" s="23"/>
      <c r="P93" s="23"/>
      <c r="Q93" s="23"/>
      <c r="R93" s="23"/>
      <c r="S93" s="23"/>
      <c r="T93" s="23"/>
      <c r="U93" s="23"/>
      <c r="V93" s="23"/>
      <c r="W93" s="23"/>
      <c r="X93" s="23"/>
    </row>
    <row r="94" spans="1:24" ht="30" customHeight="1" x14ac:dyDescent="0.25">
      <c r="A94" s="22" t="s">
        <v>226</v>
      </c>
      <c r="B94" s="23"/>
      <c r="C94" s="23"/>
      <c r="D94" s="23"/>
      <c r="E94" s="23"/>
      <c r="F94" s="23"/>
      <c r="G94" s="23"/>
      <c r="H94" s="23"/>
      <c r="I94" s="23"/>
      <c r="J94" s="23"/>
      <c r="K94" s="23"/>
      <c r="L94" s="23"/>
      <c r="M94" s="23"/>
      <c r="N94" s="23"/>
      <c r="O94" s="23"/>
      <c r="P94" s="23"/>
      <c r="Q94" s="23"/>
      <c r="R94" s="23"/>
      <c r="S94" s="23"/>
      <c r="T94" s="23"/>
      <c r="U94" s="23"/>
      <c r="V94" s="23"/>
      <c r="W94" s="23"/>
      <c r="X94" s="23"/>
    </row>
    <row r="95" spans="1:24" ht="30" customHeight="1" x14ac:dyDescent="0.25">
      <c r="A95" s="22" t="s">
        <v>227</v>
      </c>
      <c r="B95" s="23"/>
      <c r="C95" s="23"/>
      <c r="D95" s="23"/>
      <c r="E95" s="23"/>
      <c r="F95" s="23"/>
      <c r="G95" s="23"/>
      <c r="H95" s="23"/>
      <c r="I95" s="23"/>
      <c r="J95" s="23"/>
      <c r="K95" s="23"/>
      <c r="L95" s="23"/>
      <c r="M95" s="23"/>
      <c r="N95" s="23"/>
      <c r="O95" s="23"/>
      <c r="P95" s="23"/>
      <c r="Q95" s="23"/>
      <c r="R95" s="23"/>
      <c r="S95" s="23"/>
      <c r="T95" s="23"/>
      <c r="U95" s="23"/>
      <c r="V95" s="23"/>
      <c r="W95" s="23"/>
      <c r="X95" s="23"/>
    </row>
    <row r="96" spans="1:24" ht="30" customHeight="1" x14ac:dyDescent="0.25">
      <c r="A96" s="22" t="s">
        <v>228</v>
      </c>
      <c r="B96" s="23"/>
      <c r="C96" s="23"/>
      <c r="D96" s="23"/>
      <c r="E96" s="23"/>
      <c r="F96" s="23"/>
      <c r="G96" s="23"/>
      <c r="H96" s="23"/>
      <c r="I96" s="23"/>
      <c r="J96" s="23"/>
      <c r="K96" s="23"/>
      <c r="L96" s="23"/>
      <c r="M96" s="23"/>
      <c r="N96" s="23"/>
      <c r="O96" s="23"/>
      <c r="P96" s="23"/>
      <c r="Q96" s="23"/>
      <c r="R96" s="23"/>
      <c r="S96" s="23"/>
      <c r="T96" s="23"/>
      <c r="U96" s="23"/>
      <c r="V96" s="23"/>
      <c r="W96" s="23"/>
      <c r="X96" s="23"/>
    </row>
  </sheetData>
  <mergeCells count="25">
    <mergeCell ref="A1:X1"/>
    <mergeCell ref="A2:X2"/>
    <mergeCell ref="A84:X84"/>
    <mergeCell ref="A85:X85"/>
    <mergeCell ref="A86:X86"/>
    <mergeCell ref="O4:P4"/>
    <mergeCell ref="Q4:R4"/>
    <mergeCell ref="S4:T4"/>
    <mergeCell ref="U4:V4"/>
    <mergeCell ref="W4:X4"/>
    <mergeCell ref="E4:F4"/>
    <mergeCell ref="G4:H4"/>
    <mergeCell ref="I4:J4"/>
    <mergeCell ref="K4:L4"/>
    <mergeCell ref="M4:N4"/>
    <mergeCell ref="A87:X87"/>
    <mergeCell ref="A88:X88"/>
    <mergeCell ref="A89:X89"/>
    <mergeCell ref="A90:X90"/>
    <mergeCell ref="A91:X91"/>
    <mergeCell ref="A92:X92"/>
    <mergeCell ref="A93:X93"/>
    <mergeCell ref="A94:X94"/>
    <mergeCell ref="A95:X95"/>
    <mergeCell ref="A96:X96"/>
  </mergeCells>
  <pageMargins left="0.75" right="0.75" top="1" bottom="1" header="0.5" footer="0.5"/>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3"/>
  <dimension ref="A1:R96"/>
  <sheetViews>
    <sheetView zoomScale="80" workbookViewId="0">
      <pane xSplit="4" topLeftCell="E1" activePane="topRight" state="frozen"/>
      <selection sqref="A1:R1"/>
      <selection pane="topRight" sqref="A1:R1"/>
    </sheetView>
  </sheetViews>
  <sheetFormatPr defaultColWidth="11.42578125" defaultRowHeight="15" x14ac:dyDescent="0.25"/>
  <cols>
    <col min="1" max="1" width="50" customWidth="1"/>
  </cols>
  <sheetData>
    <row r="1" spans="1:18" x14ac:dyDescent="0.25">
      <c r="A1" s="26" t="s">
        <v>122</v>
      </c>
      <c r="B1" s="23"/>
      <c r="C1" s="23"/>
      <c r="D1" s="23"/>
      <c r="E1" s="23"/>
      <c r="F1" s="23"/>
      <c r="G1" s="23"/>
      <c r="H1" s="23"/>
      <c r="I1" s="23"/>
      <c r="J1" s="23"/>
      <c r="K1" s="23"/>
      <c r="L1" s="23"/>
      <c r="M1" s="23"/>
      <c r="N1" s="23"/>
      <c r="O1" s="23"/>
      <c r="P1" s="23"/>
      <c r="Q1" s="23"/>
      <c r="R1" s="23"/>
    </row>
    <row r="2" spans="1:18" x14ac:dyDescent="0.25">
      <c r="A2" s="27" t="s">
        <v>299</v>
      </c>
      <c r="B2" s="23"/>
      <c r="C2" s="23"/>
      <c r="D2" s="23"/>
      <c r="E2" s="23"/>
      <c r="F2" s="23"/>
      <c r="G2" s="23"/>
      <c r="H2" s="23"/>
      <c r="I2" s="23"/>
      <c r="J2" s="23"/>
      <c r="K2" s="23"/>
      <c r="L2" s="23"/>
      <c r="M2" s="23"/>
      <c r="N2" s="23"/>
      <c r="O2" s="23"/>
      <c r="P2" s="23"/>
      <c r="Q2" s="23"/>
      <c r="R2" s="23"/>
    </row>
    <row r="4" spans="1:18" ht="30" customHeight="1" x14ac:dyDescent="0.25">
      <c r="A4" s="4"/>
      <c r="B4" s="5" t="s">
        <v>123</v>
      </c>
      <c r="C4" s="5" t="s">
        <v>124</v>
      </c>
      <c r="D4" s="6" t="s">
        <v>123</v>
      </c>
      <c r="E4" s="24" t="s">
        <v>125</v>
      </c>
      <c r="F4" s="25"/>
      <c r="G4" s="24" t="s">
        <v>126</v>
      </c>
      <c r="H4" s="25"/>
      <c r="I4" s="24" t="s">
        <v>127</v>
      </c>
      <c r="J4" s="25"/>
      <c r="K4" s="24" t="s">
        <v>128</v>
      </c>
      <c r="L4" s="25"/>
      <c r="M4" s="24" t="s">
        <v>129</v>
      </c>
      <c r="N4" s="25"/>
      <c r="O4" s="24" t="s">
        <v>130</v>
      </c>
      <c r="P4" s="25"/>
      <c r="Q4" s="24" t="s">
        <v>131</v>
      </c>
      <c r="R4" s="25"/>
    </row>
    <row r="5" spans="1:18" x14ac:dyDescent="0.25">
      <c r="A5" s="7"/>
      <c r="B5" s="8" t="s">
        <v>132</v>
      </c>
      <c r="C5" s="8" t="s">
        <v>133</v>
      </c>
      <c r="D5" s="7" t="s">
        <v>134</v>
      </c>
      <c r="E5" s="8" t="s">
        <v>135</v>
      </c>
      <c r="F5" s="7" t="s">
        <v>136</v>
      </c>
      <c r="G5" s="8" t="s">
        <v>135</v>
      </c>
      <c r="H5" s="7" t="s">
        <v>136</v>
      </c>
      <c r="I5" s="8" t="s">
        <v>135</v>
      </c>
      <c r="J5" s="7" t="s">
        <v>136</v>
      </c>
      <c r="K5" s="8" t="s">
        <v>135</v>
      </c>
      <c r="L5" s="7" t="s">
        <v>136</v>
      </c>
      <c r="M5" s="8" t="s">
        <v>135</v>
      </c>
      <c r="N5" s="7" t="s">
        <v>136</v>
      </c>
      <c r="O5" s="8" t="s">
        <v>135</v>
      </c>
      <c r="P5" s="7" t="s">
        <v>136</v>
      </c>
      <c r="Q5" s="8" t="s">
        <v>135</v>
      </c>
      <c r="R5" s="7" t="s">
        <v>136</v>
      </c>
    </row>
    <row r="6" spans="1:18" x14ac:dyDescent="0.25">
      <c r="A6" s="9" t="s">
        <v>137</v>
      </c>
      <c r="B6" s="10"/>
      <c r="C6" s="10"/>
      <c r="D6" s="11"/>
      <c r="E6" s="10"/>
      <c r="F6" s="11"/>
      <c r="G6" s="10"/>
      <c r="H6" s="11"/>
      <c r="I6" s="10"/>
      <c r="J6" s="11"/>
      <c r="K6" s="10"/>
      <c r="L6" s="11"/>
      <c r="M6" s="10"/>
      <c r="N6" s="11"/>
      <c r="O6" s="10"/>
      <c r="P6" s="11"/>
      <c r="Q6" s="10"/>
      <c r="R6" s="12"/>
    </row>
    <row r="7" spans="1:18" x14ac:dyDescent="0.25">
      <c r="A7" s="11" t="s">
        <v>138</v>
      </c>
      <c r="B7" s="13">
        <v>14530</v>
      </c>
      <c r="C7" s="14">
        <f>(12188/B7*100)</f>
        <v>83.881624225739841</v>
      </c>
      <c r="D7" s="15">
        <v>2342</v>
      </c>
      <c r="E7" s="14">
        <v>31.029745420000001</v>
      </c>
      <c r="F7" s="16">
        <v>1.21332325</v>
      </c>
      <c r="G7" s="14">
        <v>68.970254580000002</v>
      </c>
      <c r="H7" s="16">
        <v>1.21332325</v>
      </c>
      <c r="I7" s="14" t="s">
        <v>139</v>
      </c>
      <c r="J7" s="16" t="s">
        <v>139</v>
      </c>
      <c r="K7" s="14">
        <v>0</v>
      </c>
      <c r="L7" s="16">
        <v>0</v>
      </c>
      <c r="M7" s="14">
        <v>0</v>
      </c>
      <c r="N7" s="16">
        <v>0</v>
      </c>
      <c r="O7" s="14">
        <v>0</v>
      </c>
      <c r="P7" s="16">
        <v>0</v>
      </c>
      <c r="Q7" s="14">
        <v>0</v>
      </c>
      <c r="R7" s="16">
        <v>0</v>
      </c>
    </row>
    <row r="8" spans="1:18" x14ac:dyDescent="0.25">
      <c r="A8" s="11" t="s">
        <v>140</v>
      </c>
      <c r="B8" s="13">
        <v>7007</v>
      </c>
      <c r="C8" s="14">
        <f>(5837/B8*100)</f>
        <v>83.302411873840441</v>
      </c>
      <c r="D8" s="15">
        <v>1170</v>
      </c>
      <c r="E8" s="14">
        <v>30.089942000000001</v>
      </c>
      <c r="F8" s="16">
        <v>1.55629928</v>
      </c>
      <c r="G8" s="14">
        <v>69.910058000000006</v>
      </c>
      <c r="H8" s="16">
        <v>1.55629928</v>
      </c>
      <c r="I8" s="14" t="s">
        <v>139</v>
      </c>
      <c r="J8" s="16" t="s">
        <v>139</v>
      </c>
      <c r="K8" s="14">
        <v>0</v>
      </c>
      <c r="L8" s="16">
        <v>0</v>
      </c>
      <c r="M8" s="14">
        <v>0</v>
      </c>
      <c r="N8" s="16">
        <v>0</v>
      </c>
      <c r="O8" s="14">
        <v>0</v>
      </c>
      <c r="P8" s="16">
        <v>0</v>
      </c>
      <c r="Q8" s="14">
        <v>0</v>
      </c>
      <c r="R8" s="16">
        <v>0</v>
      </c>
    </row>
    <row r="9" spans="1:18" x14ac:dyDescent="0.25">
      <c r="A9" s="11" t="s">
        <v>141</v>
      </c>
      <c r="B9" s="13">
        <v>9651</v>
      </c>
      <c r="C9" s="14">
        <f>(8124/B9*100)</f>
        <v>84.17780540876592</v>
      </c>
      <c r="D9" s="15">
        <v>1527</v>
      </c>
      <c r="E9" s="14">
        <v>27.834849859999999</v>
      </c>
      <c r="F9" s="16">
        <v>1.3195167999999999</v>
      </c>
      <c r="G9" s="14">
        <v>72.165150139999994</v>
      </c>
      <c r="H9" s="16">
        <v>1.3195167999999999</v>
      </c>
      <c r="I9" s="14" t="s">
        <v>139</v>
      </c>
      <c r="J9" s="16" t="s">
        <v>139</v>
      </c>
      <c r="K9" s="14">
        <v>0</v>
      </c>
      <c r="L9" s="16">
        <v>0</v>
      </c>
      <c r="M9" s="14">
        <v>0</v>
      </c>
      <c r="N9" s="16">
        <v>0</v>
      </c>
      <c r="O9" s="14">
        <v>0</v>
      </c>
      <c r="P9" s="16">
        <v>0</v>
      </c>
      <c r="Q9" s="14">
        <v>0</v>
      </c>
      <c r="R9" s="16">
        <v>0</v>
      </c>
    </row>
    <row r="10" spans="1:18" x14ac:dyDescent="0.25">
      <c r="A10" s="11" t="s">
        <v>142</v>
      </c>
      <c r="B10" s="13">
        <v>20058</v>
      </c>
      <c r="C10" s="14">
        <f>(16690/B10*100)</f>
        <v>83.208694785123143</v>
      </c>
      <c r="D10" s="15">
        <v>3368</v>
      </c>
      <c r="E10" s="14">
        <v>29.030268329999998</v>
      </c>
      <c r="F10" s="16">
        <v>1.03271264</v>
      </c>
      <c r="G10" s="14">
        <v>70.969731670000002</v>
      </c>
      <c r="H10" s="16">
        <v>1.03271264</v>
      </c>
      <c r="I10" s="14" t="s">
        <v>139</v>
      </c>
      <c r="J10" s="16" t="s">
        <v>139</v>
      </c>
      <c r="K10" s="14">
        <v>0</v>
      </c>
      <c r="L10" s="16">
        <v>0</v>
      </c>
      <c r="M10" s="14">
        <v>0</v>
      </c>
      <c r="N10" s="16">
        <v>0</v>
      </c>
      <c r="O10" s="14">
        <v>0</v>
      </c>
      <c r="P10" s="16">
        <v>0</v>
      </c>
      <c r="Q10" s="14">
        <v>0</v>
      </c>
      <c r="R10" s="16">
        <v>0</v>
      </c>
    </row>
    <row r="11" spans="1:18" x14ac:dyDescent="0.25">
      <c r="A11" s="11" t="s">
        <v>143</v>
      </c>
      <c r="B11" s="13">
        <v>7053</v>
      </c>
      <c r="C11" s="14">
        <f>(5899/B11*100)</f>
        <v>83.638168155394865</v>
      </c>
      <c r="D11" s="15">
        <v>1154</v>
      </c>
      <c r="E11" s="14">
        <v>22.13848308</v>
      </c>
      <c r="F11" s="16">
        <v>1.4143420799999999</v>
      </c>
      <c r="G11" s="14">
        <v>77.86151692</v>
      </c>
      <c r="H11" s="16">
        <v>1.4143420799999999</v>
      </c>
      <c r="I11" s="14" t="s">
        <v>139</v>
      </c>
      <c r="J11" s="16" t="s">
        <v>139</v>
      </c>
      <c r="K11" s="14">
        <v>0</v>
      </c>
      <c r="L11" s="16">
        <v>0</v>
      </c>
      <c r="M11" s="14">
        <v>0</v>
      </c>
      <c r="N11" s="16">
        <v>0</v>
      </c>
      <c r="O11" s="14">
        <v>0</v>
      </c>
      <c r="P11" s="16">
        <v>0</v>
      </c>
      <c r="Q11" s="14">
        <v>0</v>
      </c>
      <c r="R11" s="16">
        <v>0</v>
      </c>
    </row>
    <row r="12" spans="1:18" x14ac:dyDescent="0.25">
      <c r="A12" s="11" t="s">
        <v>144</v>
      </c>
      <c r="B12" s="13">
        <v>6894</v>
      </c>
      <c r="C12" s="14">
        <f>(5764/B12*100)</f>
        <v>83.608935306063245</v>
      </c>
      <c r="D12" s="15">
        <v>1130</v>
      </c>
      <c r="E12" s="14">
        <v>30.98559659</v>
      </c>
      <c r="F12" s="16">
        <v>1.4312515800000001</v>
      </c>
      <c r="G12" s="14">
        <v>69.01440341</v>
      </c>
      <c r="H12" s="16">
        <v>1.4312515800000001</v>
      </c>
      <c r="I12" s="14" t="s">
        <v>139</v>
      </c>
      <c r="J12" s="16" t="s">
        <v>139</v>
      </c>
      <c r="K12" s="14">
        <v>0</v>
      </c>
      <c r="L12" s="16">
        <v>0</v>
      </c>
      <c r="M12" s="14">
        <v>0</v>
      </c>
      <c r="N12" s="16">
        <v>0</v>
      </c>
      <c r="O12" s="14">
        <v>0</v>
      </c>
      <c r="P12" s="16">
        <v>0</v>
      </c>
      <c r="Q12" s="14">
        <v>0</v>
      </c>
      <c r="R12" s="16">
        <v>0</v>
      </c>
    </row>
    <row r="13" spans="1:18" x14ac:dyDescent="0.25">
      <c r="A13" s="11" t="s">
        <v>145</v>
      </c>
      <c r="B13" s="13">
        <v>7161</v>
      </c>
      <c r="C13" s="14">
        <f>(6052/B13*100)</f>
        <v>84.513336126239352</v>
      </c>
      <c r="D13" s="15">
        <v>1109</v>
      </c>
      <c r="E13" s="14">
        <v>20.414062529999999</v>
      </c>
      <c r="F13" s="16">
        <v>1.4595764099999999</v>
      </c>
      <c r="G13" s="14">
        <v>79.585937470000005</v>
      </c>
      <c r="H13" s="16">
        <v>1.4595764099999999</v>
      </c>
      <c r="I13" s="14" t="s">
        <v>139</v>
      </c>
      <c r="J13" s="16" t="s">
        <v>139</v>
      </c>
      <c r="K13" s="14">
        <v>0</v>
      </c>
      <c r="L13" s="16">
        <v>0</v>
      </c>
      <c r="M13" s="14">
        <v>0</v>
      </c>
      <c r="N13" s="16">
        <v>0</v>
      </c>
      <c r="O13" s="14">
        <v>0</v>
      </c>
      <c r="P13" s="16">
        <v>0</v>
      </c>
      <c r="Q13" s="14">
        <v>0</v>
      </c>
      <c r="R13" s="16">
        <v>0</v>
      </c>
    </row>
    <row r="14" spans="1:18" x14ac:dyDescent="0.25">
      <c r="A14" s="11" t="s">
        <v>146</v>
      </c>
      <c r="B14" s="13">
        <v>5587</v>
      </c>
      <c r="C14" s="14">
        <f>(4649/B14*100)</f>
        <v>83.211025595131559</v>
      </c>
      <c r="D14" s="15">
        <v>938</v>
      </c>
      <c r="E14" s="14">
        <v>22.704702380000001</v>
      </c>
      <c r="F14" s="16">
        <v>1.52780823</v>
      </c>
      <c r="G14" s="14">
        <v>77.295297619999999</v>
      </c>
      <c r="H14" s="16">
        <v>1.52780823</v>
      </c>
      <c r="I14" s="14" t="s">
        <v>139</v>
      </c>
      <c r="J14" s="16" t="s">
        <v>139</v>
      </c>
      <c r="K14" s="14">
        <v>0</v>
      </c>
      <c r="L14" s="16">
        <v>0</v>
      </c>
      <c r="M14" s="14">
        <v>0</v>
      </c>
      <c r="N14" s="16">
        <v>0</v>
      </c>
      <c r="O14" s="14">
        <v>0</v>
      </c>
      <c r="P14" s="16">
        <v>0</v>
      </c>
      <c r="Q14" s="14">
        <v>0</v>
      </c>
      <c r="R14" s="16">
        <v>0</v>
      </c>
    </row>
    <row r="15" spans="1:18" x14ac:dyDescent="0.25">
      <c r="A15" s="11" t="s">
        <v>147</v>
      </c>
      <c r="B15" s="13">
        <v>5882</v>
      </c>
      <c r="C15" s="14">
        <f>(4896/B15*100)</f>
        <v>83.236994219653184</v>
      </c>
      <c r="D15" s="15">
        <v>986</v>
      </c>
      <c r="E15" s="14">
        <v>23.223943599999998</v>
      </c>
      <c r="F15" s="16">
        <v>1.34191945</v>
      </c>
      <c r="G15" s="14">
        <v>76.776056400000002</v>
      </c>
      <c r="H15" s="16">
        <v>1.34191945</v>
      </c>
      <c r="I15" s="14" t="s">
        <v>139</v>
      </c>
      <c r="J15" s="16" t="s">
        <v>139</v>
      </c>
      <c r="K15" s="14">
        <v>0</v>
      </c>
      <c r="L15" s="16">
        <v>0</v>
      </c>
      <c r="M15" s="14">
        <v>0</v>
      </c>
      <c r="N15" s="16">
        <v>0</v>
      </c>
      <c r="O15" s="14">
        <v>0</v>
      </c>
      <c r="P15" s="16">
        <v>0</v>
      </c>
      <c r="Q15" s="14">
        <v>0</v>
      </c>
      <c r="R15" s="16">
        <v>0</v>
      </c>
    </row>
    <row r="16" spans="1:18" x14ac:dyDescent="0.25">
      <c r="A16" s="11" t="s">
        <v>148</v>
      </c>
      <c r="B16" s="13">
        <v>6108</v>
      </c>
      <c r="C16" s="14">
        <f>(5078/B16*100)</f>
        <v>83.136869679109367</v>
      </c>
      <c r="D16" s="15">
        <v>1030</v>
      </c>
      <c r="E16" s="14">
        <v>32.617276140000001</v>
      </c>
      <c r="F16" s="16">
        <v>1.4125656600000001</v>
      </c>
      <c r="G16" s="14">
        <v>67.382723859999999</v>
      </c>
      <c r="H16" s="16">
        <v>1.4125656600000001</v>
      </c>
      <c r="I16" s="14" t="s">
        <v>139</v>
      </c>
      <c r="J16" s="16" t="s">
        <v>139</v>
      </c>
      <c r="K16" s="14">
        <v>0</v>
      </c>
      <c r="L16" s="16">
        <v>0</v>
      </c>
      <c r="M16" s="14">
        <v>0</v>
      </c>
      <c r="N16" s="16">
        <v>0</v>
      </c>
      <c r="O16" s="14">
        <v>0</v>
      </c>
      <c r="P16" s="16">
        <v>0</v>
      </c>
      <c r="Q16" s="14">
        <v>0</v>
      </c>
      <c r="R16" s="16">
        <v>0</v>
      </c>
    </row>
    <row r="17" spans="1:18" x14ac:dyDescent="0.25">
      <c r="A17" s="11" t="s">
        <v>149</v>
      </c>
      <c r="B17" s="13">
        <v>6504</v>
      </c>
      <c r="C17" s="14">
        <f>(5432/B17*100)</f>
        <v>83.517835178351788</v>
      </c>
      <c r="D17" s="15">
        <v>1072</v>
      </c>
      <c r="E17" s="14">
        <v>24.920863199999999</v>
      </c>
      <c r="F17" s="16">
        <v>1.3326089999999999</v>
      </c>
      <c r="G17" s="14">
        <v>75.079136800000001</v>
      </c>
      <c r="H17" s="16">
        <v>1.3326089999999999</v>
      </c>
      <c r="I17" s="14" t="s">
        <v>139</v>
      </c>
      <c r="J17" s="16" t="s">
        <v>139</v>
      </c>
      <c r="K17" s="14">
        <v>0</v>
      </c>
      <c r="L17" s="16">
        <v>0</v>
      </c>
      <c r="M17" s="14">
        <v>0</v>
      </c>
      <c r="N17" s="16">
        <v>0</v>
      </c>
      <c r="O17" s="14">
        <v>0</v>
      </c>
      <c r="P17" s="16">
        <v>0</v>
      </c>
      <c r="Q17" s="14">
        <v>0</v>
      </c>
      <c r="R17" s="16">
        <v>0</v>
      </c>
    </row>
    <row r="18" spans="1:18" x14ac:dyDescent="0.25">
      <c r="A18" s="11" t="s">
        <v>150</v>
      </c>
      <c r="B18" s="13">
        <v>5532</v>
      </c>
      <c r="C18" s="14">
        <f>(4633/B18*100)</f>
        <v>83.749096167751276</v>
      </c>
      <c r="D18" s="15">
        <v>899</v>
      </c>
      <c r="E18" s="14">
        <v>29.996728529999999</v>
      </c>
      <c r="F18" s="16">
        <v>1.69279066</v>
      </c>
      <c r="G18" s="14">
        <v>70.003271470000001</v>
      </c>
      <c r="H18" s="16">
        <v>1.69279066</v>
      </c>
      <c r="I18" s="14" t="s">
        <v>139</v>
      </c>
      <c r="J18" s="16" t="s">
        <v>139</v>
      </c>
      <c r="K18" s="14">
        <v>0</v>
      </c>
      <c r="L18" s="16">
        <v>0</v>
      </c>
      <c r="M18" s="14">
        <v>0</v>
      </c>
      <c r="N18" s="16">
        <v>0</v>
      </c>
      <c r="O18" s="14">
        <v>0</v>
      </c>
      <c r="P18" s="16">
        <v>0</v>
      </c>
      <c r="Q18" s="14">
        <v>0</v>
      </c>
      <c r="R18" s="16">
        <v>0</v>
      </c>
    </row>
    <row r="19" spans="1:18" x14ac:dyDescent="0.25">
      <c r="A19" s="11" t="s">
        <v>151</v>
      </c>
      <c r="B19" s="13">
        <v>5658</v>
      </c>
      <c r="C19" s="14">
        <f>(4733/B19*100)</f>
        <v>83.6514669494521</v>
      </c>
      <c r="D19" s="15">
        <v>925</v>
      </c>
      <c r="E19" s="14">
        <v>18.53899586</v>
      </c>
      <c r="F19" s="16">
        <v>1.65201778</v>
      </c>
      <c r="G19" s="14">
        <v>81.46100414</v>
      </c>
      <c r="H19" s="16">
        <v>1.65201778</v>
      </c>
      <c r="I19" s="14" t="s">
        <v>139</v>
      </c>
      <c r="J19" s="16" t="s">
        <v>139</v>
      </c>
      <c r="K19" s="14">
        <v>0</v>
      </c>
      <c r="L19" s="16">
        <v>0</v>
      </c>
      <c r="M19" s="14">
        <v>0</v>
      </c>
      <c r="N19" s="16">
        <v>0</v>
      </c>
      <c r="O19" s="14">
        <v>0</v>
      </c>
      <c r="P19" s="16">
        <v>0</v>
      </c>
      <c r="Q19" s="14">
        <v>0</v>
      </c>
      <c r="R19" s="16">
        <v>0</v>
      </c>
    </row>
    <row r="20" spans="1:18" x14ac:dyDescent="0.25">
      <c r="A20" s="11" t="s">
        <v>152</v>
      </c>
      <c r="B20" s="13">
        <v>3371</v>
      </c>
      <c r="C20" s="14">
        <f>(2823/B20*100)</f>
        <v>83.743696232571935</v>
      </c>
      <c r="D20" s="15">
        <v>548</v>
      </c>
      <c r="E20" s="14">
        <v>24.21891381</v>
      </c>
      <c r="F20" s="16">
        <v>1.7665618300000001</v>
      </c>
      <c r="G20" s="14">
        <v>75.781086189999996</v>
      </c>
      <c r="H20" s="16">
        <v>1.7665618300000001</v>
      </c>
      <c r="I20" s="14" t="s">
        <v>139</v>
      </c>
      <c r="J20" s="16" t="s">
        <v>139</v>
      </c>
      <c r="K20" s="14">
        <v>0</v>
      </c>
      <c r="L20" s="16">
        <v>0</v>
      </c>
      <c r="M20" s="14">
        <v>0</v>
      </c>
      <c r="N20" s="16">
        <v>0</v>
      </c>
      <c r="O20" s="14">
        <v>0</v>
      </c>
      <c r="P20" s="16">
        <v>0</v>
      </c>
      <c r="Q20" s="14">
        <v>0</v>
      </c>
      <c r="R20" s="16">
        <v>0</v>
      </c>
    </row>
    <row r="21" spans="1:18" x14ac:dyDescent="0.25">
      <c r="A21" s="11" t="s">
        <v>153</v>
      </c>
      <c r="B21" s="17" t="s">
        <v>154</v>
      </c>
      <c r="C21" s="17" t="s">
        <v>154</v>
      </c>
      <c r="D21" s="18" t="s">
        <v>154</v>
      </c>
      <c r="E21" s="17" t="s">
        <v>154</v>
      </c>
      <c r="F21" s="18" t="s">
        <v>154</v>
      </c>
      <c r="G21" s="17" t="s">
        <v>154</v>
      </c>
      <c r="H21" s="18" t="s">
        <v>154</v>
      </c>
      <c r="I21" s="17" t="s">
        <v>154</v>
      </c>
      <c r="J21" s="18" t="s">
        <v>154</v>
      </c>
      <c r="K21" s="17" t="s">
        <v>154</v>
      </c>
      <c r="L21" s="18" t="s">
        <v>154</v>
      </c>
      <c r="M21" s="17" t="s">
        <v>154</v>
      </c>
      <c r="N21" s="18" t="s">
        <v>154</v>
      </c>
      <c r="O21" s="17" t="s">
        <v>154</v>
      </c>
      <c r="P21" s="18" t="s">
        <v>154</v>
      </c>
      <c r="Q21" s="17" t="s">
        <v>154</v>
      </c>
      <c r="R21" s="18" t="s">
        <v>154</v>
      </c>
    </row>
    <row r="22" spans="1:18" x14ac:dyDescent="0.25">
      <c r="A22" s="11" t="s">
        <v>155</v>
      </c>
      <c r="B22" s="13">
        <v>6598</v>
      </c>
      <c r="C22" s="14">
        <f>(5586/B22*100)</f>
        <v>84.662018793573807</v>
      </c>
      <c r="D22" s="15">
        <v>1012</v>
      </c>
      <c r="E22" s="14">
        <v>27.446188880000001</v>
      </c>
      <c r="F22" s="16">
        <v>1.4811429199999999</v>
      </c>
      <c r="G22" s="14">
        <v>72.553811120000006</v>
      </c>
      <c r="H22" s="16">
        <v>1.4811429199999999</v>
      </c>
      <c r="I22" s="14" t="s">
        <v>139</v>
      </c>
      <c r="J22" s="16" t="s">
        <v>139</v>
      </c>
      <c r="K22" s="14">
        <v>0</v>
      </c>
      <c r="L22" s="16">
        <v>0</v>
      </c>
      <c r="M22" s="14">
        <v>0</v>
      </c>
      <c r="N22" s="16">
        <v>0</v>
      </c>
      <c r="O22" s="14">
        <v>0</v>
      </c>
      <c r="P22" s="16">
        <v>0</v>
      </c>
      <c r="Q22" s="14">
        <v>0</v>
      </c>
      <c r="R22" s="16">
        <v>0</v>
      </c>
    </row>
    <row r="23" spans="1:18" x14ac:dyDescent="0.25">
      <c r="A23" s="11" t="s">
        <v>156</v>
      </c>
      <c r="B23" s="13">
        <v>11583</v>
      </c>
      <c r="C23" s="14">
        <f>(9653/B23*100)</f>
        <v>83.337650004316671</v>
      </c>
      <c r="D23" s="15">
        <v>1930</v>
      </c>
      <c r="E23" s="14">
        <v>27.62763013</v>
      </c>
      <c r="F23" s="16">
        <v>1.6124424900000001</v>
      </c>
      <c r="G23" s="14">
        <v>72.37236987</v>
      </c>
      <c r="H23" s="16">
        <v>1.6124424900000001</v>
      </c>
      <c r="I23" s="14" t="s">
        <v>139</v>
      </c>
      <c r="J23" s="16" t="s">
        <v>139</v>
      </c>
      <c r="K23" s="14">
        <v>0</v>
      </c>
      <c r="L23" s="16">
        <v>0</v>
      </c>
      <c r="M23" s="14">
        <v>0</v>
      </c>
      <c r="N23" s="16">
        <v>0</v>
      </c>
      <c r="O23" s="14">
        <v>0</v>
      </c>
      <c r="P23" s="16">
        <v>0</v>
      </c>
      <c r="Q23" s="14">
        <v>0</v>
      </c>
      <c r="R23" s="16">
        <v>0</v>
      </c>
    </row>
    <row r="24" spans="1:18" x14ac:dyDescent="0.25">
      <c r="A24" s="11" t="s">
        <v>157</v>
      </c>
      <c r="B24" s="13">
        <v>6647</v>
      </c>
      <c r="C24" s="14">
        <f>(5482/B24*100)</f>
        <v>82.473296223860387</v>
      </c>
      <c r="D24" s="15">
        <v>1165</v>
      </c>
      <c r="E24" s="14">
        <v>28.59055597</v>
      </c>
      <c r="F24" s="16">
        <v>1.48349208</v>
      </c>
      <c r="G24" s="14">
        <v>71.409444030000003</v>
      </c>
      <c r="H24" s="16">
        <v>1.48349208</v>
      </c>
      <c r="I24" s="14" t="s">
        <v>139</v>
      </c>
      <c r="J24" s="16" t="s">
        <v>139</v>
      </c>
      <c r="K24" s="14">
        <v>0</v>
      </c>
      <c r="L24" s="16">
        <v>0</v>
      </c>
      <c r="M24" s="14">
        <v>0</v>
      </c>
      <c r="N24" s="16">
        <v>0</v>
      </c>
      <c r="O24" s="14">
        <v>0</v>
      </c>
      <c r="P24" s="16">
        <v>0</v>
      </c>
      <c r="Q24" s="14">
        <v>0</v>
      </c>
      <c r="R24" s="16">
        <v>0</v>
      </c>
    </row>
    <row r="25" spans="1:18" x14ac:dyDescent="0.25">
      <c r="A25" s="11" t="s">
        <v>158</v>
      </c>
      <c r="B25" s="13">
        <v>5581</v>
      </c>
      <c r="C25" s="14">
        <f>(4597/B25*100)</f>
        <v>82.368751119870993</v>
      </c>
      <c r="D25" s="15">
        <v>984</v>
      </c>
      <c r="E25" s="14">
        <v>13.7117421</v>
      </c>
      <c r="F25" s="16">
        <v>1.0045546000000001</v>
      </c>
      <c r="G25" s="14">
        <v>86.288257900000005</v>
      </c>
      <c r="H25" s="16">
        <v>1.0045546000000001</v>
      </c>
      <c r="I25" s="14" t="s">
        <v>139</v>
      </c>
      <c r="J25" s="16" t="s">
        <v>139</v>
      </c>
      <c r="K25" s="14">
        <v>0</v>
      </c>
      <c r="L25" s="16">
        <v>0</v>
      </c>
      <c r="M25" s="14">
        <v>0</v>
      </c>
      <c r="N25" s="16">
        <v>0</v>
      </c>
      <c r="O25" s="14">
        <v>0</v>
      </c>
      <c r="P25" s="16">
        <v>0</v>
      </c>
      <c r="Q25" s="14">
        <v>0</v>
      </c>
      <c r="R25" s="16">
        <v>0</v>
      </c>
    </row>
    <row r="26" spans="1:18" x14ac:dyDescent="0.25">
      <c r="A26" s="11" t="s">
        <v>159</v>
      </c>
      <c r="B26" s="13">
        <v>4869</v>
      </c>
      <c r="C26" s="14">
        <f>(4044/B26*100)</f>
        <v>83.056069008009857</v>
      </c>
      <c r="D26" s="15">
        <v>825</v>
      </c>
      <c r="E26" s="14">
        <v>18.607602979999999</v>
      </c>
      <c r="F26" s="16">
        <v>1.6210385</v>
      </c>
      <c r="G26" s="14">
        <v>81.392397020000004</v>
      </c>
      <c r="H26" s="16">
        <v>1.6210385</v>
      </c>
      <c r="I26" s="14" t="s">
        <v>139</v>
      </c>
      <c r="J26" s="16" t="s">
        <v>139</v>
      </c>
      <c r="K26" s="14">
        <v>0</v>
      </c>
      <c r="L26" s="16">
        <v>0</v>
      </c>
      <c r="M26" s="14">
        <v>0</v>
      </c>
      <c r="N26" s="16">
        <v>0</v>
      </c>
      <c r="O26" s="14">
        <v>0</v>
      </c>
      <c r="P26" s="16">
        <v>0</v>
      </c>
      <c r="Q26" s="14">
        <v>0</v>
      </c>
      <c r="R26" s="16">
        <v>0</v>
      </c>
    </row>
    <row r="27" spans="1:18" x14ac:dyDescent="0.25">
      <c r="A27" s="11" t="s">
        <v>160</v>
      </c>
      <c r="B27" s="13">
        <v>5299</v>
      </c>
      <c r="C27" s="14">
        <f>(4441/B27*100)</f>
        <v>83.808265710511421</v>
      </c>
      <c r="D27" s="15">
        <v>858</v>
      </c>
      <c r="E27" s="14">
        <v>30.441918770000001</v>
      </c>
      <c r="F27" s="16">
        <v>1.55602339</v>
      </c>
      <c r="G27" s="14">
        <v>69.558081229999999</v>
      </c>
      <c r="H27" s="16">
        <v>1.55602339</v>
      </c>
      <c r="I27" s="14" t="s">
        <v>139</v>
      </c>
      <c r="J27" s="16" t="s">
        <v>139</v>
      </c>
      <c r="K27" s="14">
        <v>0</v>
      </c>
      <c r="L27" s="16">
        <v>0</v>
      </c>
      <c r="M27" s="14">
        <v>0</v>
      </c>
      <c r="N27" s="16">
        <v>0</v>
      </c>
      <c r="O27" s="14">
        <v>0</v>
      </c>
      <c r="P27" s="16">
        <v>0</v>
      </c>
      <c r="Q27" s="14">
        <v>0</v>
      </c>
      <c r="R27" s="16">
        <v>0</v>
      </c>
    </row>
    <row r="28" spans="1:18" x14ac:dyDescent="0.25">
      <c r="A28" s="11" t="s">
        <v>161</v>
      </c>
      <c r="B28" s="13">
        <v>7568</v>
      </c>
      <c r="C28" s="14">
        <f>(6435/B28*100)</f>
        <v>85.029069767441854</v>
      </c>
      <c r="D28" s="15">
        <v>1133</v>
      </c>
      <c r="E28" s="14">
        <v>27.55289342</v>
      </c>
      <c r="F28" s="16">
        <v>1.3332327500000001</v>
      </c>
      <c r="G28" s="14">
        <v>72.447106579999996</v>
      </c>
      <c r="H28" s="16">
        <v>1.3332327500000001</v>
      </c>
      <c r="I28" s="14" t="s">
        <v>139</v>
      </c>
      <c r="J28" s="16" t="s">
        <v>139</v>
      </c>
      <c r="K28" s="14">
        <v>0</v>
      </c>
      <c r="L28" s="16">
        <v>0</v>
      </c>
      <c r="M28" s="14">
        <v>0</v>
      </c>
      <c r="N28" s="16">
        <v>0</v>
      </c>
      <c r="O28" s="14">
        <v>0</v>
      </c>
      <c r="P28" s="16">
        <v>0</v>
      </c>
      <c r="Q28" s="14">
        <v>0</v>
      </c>
      <c r="R28" s="16">
        <v>0</v>
      </c>
    </row>
    <row r="29" spans="1:18" x14ac:dyDescent="0.25">
      <c r="A29" s="11" t="s">
        <v>162</v>
      </c>
      <c r="B29" s="13">
        <v>5385</v>
      </c>
      <c r="C29" s="14">
        <f>(4468/B29*100)</f>
        <v>82.971216341689882</v>
      </c>
      <c r="D29" s="15">
        <v>917</v>
      </c>
      <c r="E29" s="14">
        <v>27.049853949999999</v>
      </c>
      <c r="F29" s="16">
        <v>1.75856145</v>
      </c>
      <c r="G29" s="14">
        <v>72.950146050000001</v>
      </c>
      <c r="H29" s="16">
        <v>1.75856145</v>
      </c>
      <c r="I29" s="14" t="s">
        <v>139</v>
      </c>
      <c r="J29" s="16" t="s">
        <v>139</v>
      </c>
      <c r="K29" s="14">
        <v>0</v>
      </c>
      <c r="L29" s="16">
        <v>0</v>
      </c>
      <c r="M29" s="14">
        <v>0</v>
      </c>
      <c r="N29" s="16">
        <v>0</v>
      </c>
      <c r="O29" s="14">
        <v>0</v>
      </c>
      <c r="P29" s="16">
        <v>0</v>
      </c>
      <c r="Q29" s="14">
        <v>0</v>
      </c>
      <c r="R29" s="16">
        <v>0</v>
      </c>
    </row>
    <row r="30" spans="1:18" x14ac:dyDescent="0.25">
      <c r="A30" s="11" t="s">
        <v>163</v>
      </c>
      <c r="B30" s="13">
        <v>4520</v>
      </c>
      <c r="C30" s="14">
        <f>(3789/B30*100)</f>
        <v>83.827433628318587</v>
      </c>
      <c r="D30" s="15">
        <v>731</v>
      </c>
      <c r="E30" s="14">
        <v>33.56425376</v>
      </c>
      <c r="F30" s="16">
        <v>1.86344785</v>
      </c>
      <c r="G30" s="14">
        <v>66.43574624</v>
      </c>
      <c r="H30" s="16">
        <v>1.86344785</v>
      </c>
      <c r="I30" s="14" t="s">
        <v>139</v>
      </c>
      <c r="J30" s="16" t="s">
        <v>139</v>
      </c>
      <c r="K30" s="14">
        <v>0</v>
      </c>
      <c r="L30" s="16">
        <v>0</v>
      </c>
      <c r="M30" s="14">
        <v>0</v>
      </c>
      <c r="N30" s="16">
        <v>0</v>
      </c>
      <c r="O30" s="14">
        <v>0</v>
      </c>
      <c r="P30" s="16">
        <v>0</v>
      </c>
      <c r="Q30" s="14">
        <v>0</v>
      </c>
      <c r="R30" s="16">
        <v>0</v>
      </c>
    </row>
    <row r="31" spans="1:18" x14ac:dyDescent="0.25">
      <c r="A31" s="11" t="s">
        <v>164</v>
      </c>
      <c r="B31" s="13">
        <v>5456</v>
      </c>
      <c r="C31" s="14">
        <f>(4512/B31*100)</f>
        <v>82.697947214076251</v>
      </c>
      <c r="D31" s="15">
        <v>944</v>
      </c>
      <c r="E31" s="14">
        <v>21.069856170000001</v>
      </c>
      <c r="F31" s="16">
        <v>1.3277917100000001</v>
      </c>
      <c r="G31" s="14">
        <v>78.930143830000006</v>
      </c>
      <c r="H31" s="16">
        <v>1.3277917100000001</v>
      </c>
      <c r="I31" s="14" t="s">
        <v>139</v>
      </c>
      <c r="J31" s="16" t="s">
        <v>139</v>
      </c>
      <c r="K31" s="14">
        <v>0</v>
      </c>
      <c r="L31" s="16">
        <v>0</v>
      </c>
      <c r="M31" s="14">
        <v>0</v>
      </c>
      <c r="N31" s="16">
        <v>0</v>
      </c>
      <c r="O31" s="14">
        <v>0</v>
      </c>
      <c r="P31" s="16">
        <v>0</v>
      </c>
      <c r="Q31" s="14">
        <v>0</v>
      </c>
      <c r="R31" s="16">
        <v>0</v>
      </c>
    </row>
    <row r="32" spans="1:18" x14ac:dyDescent="0.25">
      <c r="A32" s="11" t="s">
        <v>165</v>
      </c>
      <c r="B32" s="17" t="s">
        <v>154</v>
      </c>
      <c r="C32" s="17" t="s">
        <v>154</v>
      </c>
      <c r="D32" s="18" t="s">
        <v>154</v>
      </c>
      <c r="E32" s="17" t="s">
        <v>154</v>
      </c>
      <c r="F32" s="18" t="s">
        <v>154</v>
      </c>
      <c r="G32" s="17" t="s">
        <v>154</v>
      </c>
      <c r="H32" s="18" t="s">
        <v>154</v>
      </c>
      <c r="I32" s="17" t="s">
        <v>154</v>
      </c>
      <c r="J32" s="18" t="s">
        <v>154</v>
      </c>
      <c r="K32" s="17" t="s">
        <v>154</v>
      </c>
      <c r="L32" s="18" t="s">
        <v>154</v>
      </c>
      <c r="M32" s="17" t="s">
        <v>154</v>
      </c>
      <c r="N32" s="18" t="s">
        <v>154</v>
      </c>
      <c r="O32" s="17" t="s">
        <v>154</v>
      </c>
      <c r="P32" s="18" t="s">
        <v>154</v>
      </c>
      <c r="Q32" s="17" t="s">
        <v>154</v>
      </c>
      <c r="R32" s="18" t="s">
        <v>154</v>
      </c>
    </row>
    <row r="33" spans="1:18" x14ac:dyDescent="0.25">
      <c r="A33" s="11" t="s">
        <v>166</v>
      </c>
      <c r="B33" s="13">
        <v>7325</v>
      </c>
      <c r="C33" s="14">
        <f>(6115/B33*100)</f>
        <v>83.481228668941981</v>
      </c>
      <c r="D33" s="15">
        <v>1210</v>
      </c>
      <c r="E33" s="14">
        <v>35.954339220000001</v>
      </c>
      <c r="F33" s="16">
        <v>1.6101245900000001</v>
      </c>
      <c r="G33" s="14">
        <v>64.045660780000006</v>
      </c>
      <c r="H33" s="16">
        <v>1.6101245900000001</v>
      </c>
      <c r="I33" s="14" t="s">
        <v>139</v>
      </c>
      <c r="J33" s="16" t="s">
        <v>139</v>
      </c>
      <c r="K33" s="14">
        <v>0</v>
      </c>
      <c r="L33" s="16">
        <v>0</v>
      </c>
      <c r="M33" s="14">
        <v>0</v>
      </c>
      <c r="N33" s="16">
        <v>0</v>
      </c>
      <c r="O33" s="14">
        <v>0</v>
      </c>
      <c r="P33" s="16">
        <v>0</v>
      </c>
      <c r="Q33" s="14">
        <v>0</v>
      </c>
      <c r="R33" s="16">
        <v>0</v>
      </c>
    </row>
    <row r="34" spans="1:18" x14ac:dyDescent="0.25">
      <c r="A34" s="11" t="s">
        <v>167</v>
      </c>
      <c r="B34" s="13">
        <v>6350</v>
      </c>
      <c r="C34" s="14">
        <f>(5356/B34*100)</f>
        <v>84.346456692913392</v>
      </c>
      <c r="D34" s="15">
        <v>994</v>
      </c>
      <c r="E34" s="14">
        <v>34.630578589999999</v>
      </c>
      <c r="F34" s="16">
        <v>1.72891617</v>
      </c>
      <c r="G34" s="14">
        <v>65.369421410000001</v>
      </c>
      <c r="H34" s="16">
        <v>1.72891617</v>
      </c>
      <c r="I34" s="14" t="s">
        <v>139</v>
      </c>
      <c r="J34" s="16" t="s">
        <v>139</v>
      </c>
      <c r="K34" s="14">
        <v>0</v>
      </c>
      <c r="L34" s="16">
        <v>0</v>
      </c>
      <c r="M34" s="14">
        <v>0</v>
      </c>
      <c r="N34" s="16">
        <v>0</v>
      </c>
      <c r="O34" s="14">
        <v>0</v>
      </c>
      <c r="P34" s="16">
        <v>0</v>
      </c>
      <c r="Q34" s="14">
        <v>0</v>
      </c>
      <c r="R34" s="16">
        <v>0</v>
      </c>
    </row>
    <row r="35" spans="1:18" x14ac:dyDescent="0.25">
      <c r="A35" s="11" t="s">
        <v>168</v>
      </c>
      <c r="B35" s="13">
        <v>6406</v>
      </c>
      <c r="C35" s="14">
        <f>(5336/B35*100)</f>
        <v>83.296909147674057</v>
      </c>
      <c r="D35" s="15">
        <v>1070</v>
      </c>
      <c r="E35" s="14">
        <v>23.369202600000001</v>
      </c>
      <c r="F35" s="16">
        <v>1.4341095399999999</v>
      </c>
      <c r="G35" s="14">
        <v>76.630797400000006</v>
      </c>
      <c r="H35" s="16">
        <v>1.4341095399999999</v>
      </c>
      <c r="I35" s="14" t="s">
        <v>139</v>
      </c>
      <c r="J35" s="16" t="s">
        <v>139</v>
      </c>
      <c r="K35" s="14">
        <v>0</v>
      </c>
      <c r="L35" s="16">
        <v>0</v>
      </c>
      <c r="M35" s="14">
        <v>0</v>
      </c>
      <c r="N35" s="16">
        <v>0</v>
      </c>
      <c r="O35" s="14">
        <v>0</v>
      </c>
      <c r="P35" s="16">
        <v>0</v>
      </c>
      <c r="Q35" s="14">
        <v>0</v>
      </c>
      <c r="R35" s="16">
        <v>0</v>
      </c>
    </row>
    <row r="36" spans="1:18" x14ac:dyDescent="0.25">
      <c r="A36" s="11" t="s">
        <v>169</v>
      </c>
      <c r="B36" s="13">
        <v>6736</v>
      </c>
      <c r="C36" s="14">
        <f>(5649/B36*100)</f>
        <v>83.862826603325416</v>
      </c>
      <c r="D36" s="15">
        <v>1087</v>
      </c>
      <c r="E36" s="14">
        <v>23.70145467</v>
      </c>
      <c r="F36" s="16">
        <v>1.3103948400000001</v>
      </c>
      <c r="G36" s="14">
        <v>76.298545329999996</v>
      </c>
      <c r="H36" s="16">
        <v>1.3103948400000001</v>
      </c>
      <c r="I36" s="14" t="s">
        <v>139</v>
      </c>
      <c r="J36" s="16" t="s">
        <v>139</v>
      </c>
      <c r="K36" s="14">
        <v>0</v>
      </c>
      <c r="L36" s="16">
        <v>0</v>
      </c>
      <c r="M36" s="14">
        <v>0</v>
      </c>
      <c r="N36" s="16">
        <v>0</v>
      </c>
      <c r="O36" s="14">
        <v>0</v>
      </c>
      <c r="P36" s="16">
        <v>0</v>
      </c>
      <c r="Q36" s="14">
        <v>0</v>
      </c>
      <c r="R36" s="16">
        <v>0</v>
      </c>
    </row>
    <row r="37" spans="1:18" x14ac:dyDescent="0.25">
      <c r="A37" s="11" t="s">
        <v>170</v>
      </c>
      <c r="B37" s="13">
        <v>5458</v>
      </c>
      <c r="C37" s="14">
        <f>(4553/B37*100)</f>
        <v>83.418834737999276</v>
      </c>
      <c r="D37" s="15">
        <v>905</v>
      </c>
      <c r="E37" s="14">
        <v>27.134959469999998</v>
      </c>
      <c r="F37" s="16">
        <v>1.42018384</v>
      </c>
      <c r="G37" s="14">
        <v>72.865040530000002</v>
      </c>
      <c r="H37" s="16">
        <v>1.42018384</v>
      </c>
      <c r="I37" s="14" t="s">
        <v>139</v>
      </c>
      <c r="J37" s="16" t="s">
        <v>139</v>
      </c>
      <c r="K37" s="14">
        <v>0</v>
      </c>
      <c r="L37" s="16">
        <v>0</v>
      </c>
      <c r="M37" s="14">
        <v>0</v>
      </c>
      <c r="N37" s="16">
        <v>0</v>
      </c>
      <c r="O37" s="14">
        <v>0</v>
      </c>
      <c r="P37" s="16">
        <v>0</v>
      </c>
      <c r="Q37" s="14">
        <v>0</v>
      </c>
      <c r="R37" s="16">
        <v>0</v>
      </c>
    </row>
    <row r="38" spans="1:18" x14ac:dyDescent="0.25">
      <c r="A38" s="11" t="s">
        <v>171</v>
      </c>
      <c r="B38" s="17" t="s">
        <v>154</v>
      </c>
      <c r="C38" s="17" t="s">
        <v>154</v>
      </c>
      <c r="D38" s="18" t="s">
        <v>154</v>
      </c>
      <c r="E38" s="17" t="s">
        <v>154</v>
      </c>
      <c r="F38" s="18" t="s">
        <v>154</v>
      </c>
      <c r="G38" s="17" t="s">
        <v>154</v>
      </c>
      <c r="H38" s="18" t="s">
        <v>154</v>
      </c>
      <c r="I38" s="17" t="s">
        <v>154</v>
      </c>
      <c r="J38" s="18" t="s">
        <v>154</v>
      </c>
      <c r="K38" s="17" t="s">
        <v>154</v>
      </c>
      <c r="L38" s="18" t="s">
        <v>154</v>
      </c>
      <c r="M38" s="17" t="s">
        <v>154</v>
      </c>
      <c r="N38" s="18" t="s">
        <v>154</v>
      </c>
      <c r="O38" s="17" t="s">
        <v>154</v>
      </c>
      <c r="P38" s="18" t="s">
        <v>154</v>
      </c>
      <c r="Q38" s="17" t="s">
        <v>154</v>
      </c>
      <c r="R38" s="18" t="s">
        <v>154</v>
      </c>
    </row>
    <row r="39" spans="1:18" x14ac:dyDescent="0.25">
      <c r="A39" s="11" t="s">
        <v>172</v>
      </c>
      <c r="B39" s="13">
        <v>5895</v>
      </c>
      <c r="C39" s="14">
        <f>(4865/B39*100)</f>
        <v>82.527565733672603</v>
      </c>
      <c r="D39" s="15">
        <v>1030</v>
      </c>
      <c r="E39" s="14">
        <v>27.501378580000001</v>
      </c>
      <c r="F39" s="16">
        <v>1.5688794399999999</v>
      </c>
      <c r="G39" s="14">
        <v>72.498621420000006</v>
      </c>
      <c r="H39" s="16">
        <v>1.5688794399999999</v>
      </c>
      <c r="I39" s="14" t="s">
        <v>139</v>
      </c>
      <c r="J39" s="16" t="s">
        <v>139</v>
      </c>
      <c r="K39" s="14">
        <v>0</v>
      </c>
      <c r="L39" s="16">
        <v>0</v>
      </c>
      <c r="M39" s="14">
        <v>0</v>
      </c>
      <c r="N39" s="16">
        <v>0</v>
      </c>
      <c r="O39" s="14">
        <v>0</v>
      </c>
      <c r="P39" s="16">
        <v>0</v>
      </c>
      <c r="Q39" s="14">
        <v>0</v>
      </c>
      <c r="R39" s="16">
        <v>0</v>
      </c>
    </row>
    <row r="40" spans="1:18" x14ac:dyDescent="0.25">
      <c r="A40" s="11" t="s">
        <v>173</v>
      </c>
      <c r="B40" s="13">
        <v>14157</v>
      </c>
      <c r="C40" s="14">
        <f>(11700/B40*100)</f>
        <v>82.644628099173559</v>
      </c>
      <c r="D40" s="15">
        <v>2457</v>
      </c>
      <c r="E40" s="14">
        <v>34.544920359999999</v>
      </c>
      <c r="F40" s="16">
        <v>1.2854978399999999</v>
      </c>
      <c r="G40" s="14">
        <v>65.455079639999994</v>
      </c>
      <c r="H40" s="16">
        <v>1.2854978399999999</v>
      </c>
      <c r="I40" s="14" t="s">
        <v>139</v>
      </c>
      <c r="J40" s="16" t="s">
        <v>139</v>
      </c>
      <c r="K40" s="14">
        <v>0</v>
      </c>
      <c r="L40" s="16">
        <v>0</v>
      </c>
      <c r="M40" s="14">
        <v>0</v>
      </c>
      <c r="N40" s="16">
        <v>0</v>
      </c>
      <c r="O40" s="14">
        <v>0</v>
      </c>
      <c r="P40" s="16">
        <v>0</v>
      </c>
      <c r="Q40" s="14">
        <v>0</v>
      </c>
      <c r="R40" s="16">
        <v>0</v>
      </c>
    </row>
    <row r="41" spans="1:18" x14ac:dyDescent="0.25">
      <c r="A41" s="11" t="s">
        <v>174</v>
      </c>
      <c r="B41" s="13">
        <v>5712</v>
      </c>
      <c r="C41" s="14">
        <f>(4785/B41*100)</f>
        <v>83.77100840336135</v>
      </c>
      <c r="D41" s="15">
        <v>927</v>
      </c>
      <c r="E41" s="14">
        <v>26.90510184</v>
      </c>
      <c r="F41" s="16">
        <v>1.77951244</v>
      </c>
      <c r="G41" s="14">
        <v>73.09489816</v>
      </c>
      <c r="H41" s="16">
        <v>1.77951244</v>
      </c>
      <c r="I41" s="14" t="s">
        <v>139</v>
      </c>
      <c r="J41" s="16" t="s">
        <v>139</v>
      </c>
      <c r="K41" s="14">
        <v>0</v>
      </c>
      <c r="L41" s="16">
        <v>0</v>
      </c>
      <c r="M41" s="14">
        <v>0</v>
      </c>
      <c r="N41" s="16">
        <v>0</v>
      </c>
      <c r="O41" s="14">
        <v>0</v>
      </c>
      <c r="P41" s="16">
        <v>0</v>
      </c>
      <c r="Q41" s="14">
        <v>0</v>
      </c>
      <c r="R41" s="16">
        <v>0</v>
      </c>
    </row>
    <row r="42" spans="1:18" x14ac:dyDescent="0.25">
      <c r="A42" s="11" t="s">
        <v>175</v>
      </c>
      <c r="B42" s="13">
        <f>IF(COUNT(B7:B41) &gt; 0, AVERAGE(B7:B41), "\u2014")</f>
        <v>7266.90625</v>
      </c>
      <c r="C42" s="14">
        <f>IF(COUNT(C7:C41) &gt; 0, AVERAGE(C7:C41), "—")</f>
        <v>83.504972993809972</v>
      </c>
      <c r="D42" s="15">
        <f>IF(COUNT(D7:D41) &gt; 0, AVERAGE(D7:D41), "—")</f>
        <v>1199.28125</v>
      </c>
      <c r="E42" s="14">
        <f>IF(COUNT(E7:E41) &gt; 0, AVERAGE(E7:E41), "—")</f>
        <v>26.785900087187503</v>
      </c>
      <c r="F42" s="16">
        <f>IF(COUNT(F7:F41) &gt; 0, SQRT(SUMSQ(F7:F41)/(COUNT(F7:F41)*COUNT(F7:F41)) ), "—")</f>
        <v>0.26389821603689417</v>
      </c>
      <c r="G42" s="14">
        <f>IF(COUNT(G7:G41) &gt; 0, AVERAGE(G7:G41), "—")</f>
        <v>73.2140999128125</v>
      </c>
      <c r="H42" s="16">
        <f>IF(COUNT(H7:H41) &gt; 0, SQRT(SUMSQ(H7:H41)/(COUNT(H7:H41)*COUNT(H7:H41)) ), "—")</f>
        <v>0.26389821603689417</v>
      </c>
      <c r="I42" s="14" t="str">
        <f>IF(COUNT(I7:I41) &gt; 0, AVERAGE(I7:I41), "—")</f>
        <v>—</v>
      </c>
      <c r="J42" s="16" t="str">
        <f>IF(COUNT(J7:J41) &gt; 0, SQRT(SUMSQ(J7:J41)/(COUNT(J7:J41)*COUNT(J7:J41)) ), "—")</f>
        <v>—</v>
      </c>
      <c r="K42" s="14">
        <f>IF(COUNT(K7:K41) &gt; 0, AVERAGE(K7:K41), "—")</f>
        <v>0</v>
      </c>
      <c r="L42" s="16">
        <f>IF(COUNT(L7:L41) &gt; 0, SQRT(SUMSQ(L7:L41)/(COUNT(L7:L41)*COUNT(L7:L41)) ), "—")</f>
        <v>0</v>
      </c>
      <c r="M42" s="14">
        <f>IF(COUNT(M7:M41) &gt; 0, AVERAGE(M7:M41), "—")</f>
        <v>0</v>
      </c>
      <c r="N42" s="16">
        <f>IF(COUNT(N7:N41) &gt; 0, SQRT(SUMSQ(N7:N41)/(COUNT(N7:N41)*COUNT(N7:N41)) ), "—")</f>
        <v>0</v>
      </c>
      <c r="O42" s="14">
        <f>IF(COUNT(O7:O41) &gt; 0, AVERAGE(O7:O41), "—")</f>
        <v>0</v>
      </c>
      <c r="P42" s="16">
        <f>IF(COUNT(P7:P41) &gt; 0, SQRT(SUMSQ(P7:P41)/(COUNT(P7:P41)*COUNT(P7:P41)) ), "—")</f>
        <v>0</v>
      </c>
      <c r="Q42" s="14">
        <f>IF(COUNT(Q7:Q41) &gt; 0, AVERAGE(Q7:Q41), "—")</f>
        <v>0</v>
      </c>
      <c r="R42" s="16">
        <f>IF(COUNT(R7:R41) &gt; 0, SQRT(SUMSQ(R7:R41)/(COUNT(R7:R41)*COUNT(R7:R41)) ), "—")</f>
        <v>0</v>
      </c>
    </row>
    <row r="43" spans="1:18" x14ac:dyDescent="0.25">
      <c r="A43" s="9" t="s">
        <v>176</v>
      </c>
      <c r="B43" s="10"/>
      <c r="C43" s="10"/>
      <c r="D43" s="11"/>
      <c r="E43" s="10"/>
      <c r="F43" s="11"/>
      <c r="G43" s="10"/>
      <c r="H43" s="11"/>
      <c r="I43" s="10"/>
      <c r="J43" s="11"/>
      <c r="K43" s="10"/>
      <c r="L43" s="11"/>
      <c r="M43" s="10"/>
      <c r="N43" s="11"/>
      <c r="O43" s="10"/>
      <c r="P43" s="11"/>
      <c r="Q43" s="10"/>
      <c r="R43" s="12"/>
    </row>
    <row r="44" spans="1:18" x14ac:dyDescent="0.25">
      <c r="A44" s="11" t="s">
        <v>177</v>
      </c>
      <c r="B44" s="17" t="s">
        <v>154</v>
      </c>
      <c r="C44" s="17" t="s">
        <v>154</v>
      </c>
      <c r="D44" s="18" t="s">
        <v>154</v>
      </c>
      <c r="E44" s="17" t="s">
        <v>154</v>
      </c>
      <c r="F44" s="18" t="s">
        <v>154</v>
      </c>
      <c r="G44" s="17" t="s">
        <v>154</v>
      </c>
      <c r="H44" s="18" t="s">
        <v>154</v>
      </c>
      <c r="I44" s="17" t="s">
        <v>154</v>
      </c>
      <c r="J44" s="18" t="s">
        <v>154</v>
      </c>
      <c r="K44" s="17" t="s">
        <v>154</v>
      </c>
      <c r="L44" s="18" t="s">
        <v>154</v>
      </c>
      <c r="M44" s="17" t="s">
        <v>154</v>
      </c>
      <c r="N44" s="18" t="s">
        <v>154</v>
      </c>
      <c r="O44" s="17" t="s">
        <v>154</v>
      </c>
      <c r="P44" s="18" t="s">
        <v>154</v>
      </c>
      <c r="Q44" s="17" t="s">
        <v>154</v>
      </c>
      <c r="R44" s="18" t="s">
        <v>154</v>
      </c>
    </row>
    <row r="45" spans="1:18" x14ac:dyDescent="0.25">
      <c r="A45" s="11" t="s">
        <v>178</v>
      </c>
      <c r="B45" s="17" t="s">
        <v>154</v>
      </c>
      <c r="C45" s="17" t="s">
        <v>154</v>
      </c>
      <c r="D45" s="18" t="s">
        <v>154</v>
      </c>
      <c r="E45" s="17" t="s">
        <v>154</v>
      </c>
      <c r="F45" s="18" t="s">
        <v>154</v>
      </c>
      <c r="G45" s="17" t="s">
        <v>154</v>
      </c>
      <c r="H45" s="18" t="s">
        <v>154</v>
      </c>
      <c r="I45" s="17" t="s">
        <v>154</v>
      </c>
      <c r="J45" s="18" t="s">
        <v>154</v>
      </c>
      <c r="K45" s="17" t="s">
        <v>154</v>
      </c>
      <c r="L45" s="18" t="s">
        <v>154</v>
      </c>
      <c r="M45" s="17" t="s">
        <v>154</v>
      </c>
      <c r="N45" s="18" t="s">
        <v>154</v>
      </c>
      <c r="O45" s="17" t="s">
        <v>154</v>
      </c>
      <c r="P45" s="18" t="s">
        <v>154</v>
      </c>
      <c r="Q45" s="17" t="s">
        <v>154</v>
      </c>
      <c r="R45" s="18" t="s">
        <v>154</v>
      </c>
    </row>
    <row r="46" spans="1:18" x14ac:dyDescent="0.25">
      <c r="A46" s="11" t="s">
        <v>179</v>
      </c>
      <c r="B46" s="13">
        <v>23141</v>
      </c>
      <c r="C46" s="14">
        <f>(20323/B46*100)</f>
        <v>87.822479581694822</v>
      </c>
      <c r="D46" s="15">
        <v>2818</v>
      </c>
      <c r="E46" s="14">
        <v>32.992786479999999</v>
      </c>
      <c r="F46" s="16">
        <v>1.22257255</v>
      </c>
      <c r="G46" s="14">
        <v>67.007213519999993</v>
      </c>
      <c r="H46" s="16">
        <v>1.22257255</v>
      </c>
      <c r="I46" s="14" t="s">
        <v>139</v>
      </c>
      <c r="J46" s="16" t="s">
        <v>139</v>
      </c>
      <c r="K46" s="14">
        <v>0</v>
      </c>
      <c r="L46" s="16">
        <v>0</v>
      </c>
      <c r="M46" s="14">
        <v>0</v>
      </c>
      <c r="N46" s="16">
        <v>0</v>
      </c>
      <c r="O46" s="14">
        <v>0</v>
      </c>
      <c r="P46" s="16">
        <v>0</v>
      </c>
      <c r="Q46" s="14">
        <v>0</v>
      </c>
      <c r="R46" s="16">
        <v>0</v>
      </c>
    </row>
    <row r="47" spans="1:18" x14ac:dyDescent="0.25">
      <c r="A47" s="11" t="s">
        <v>180</v>
      </c>
      <c r="B47" s="13">
        <v>5928</v>
      </c>
      <c r="C47" s="14">
        <f>(4983/B47*100)</f>
        <v>84.058704453441294</v>
      </c>
      <c r="D47" s="15">
        <v>945</v>
      </c>
      <c r="E47" s="14">
        <v>35.645339730000003</v>
      </c>
      <c r="F47" s="16">
        <v>1.9008769599999999</v>
      </c>
      <c r="G47" s="14">
        <v>64.354660269999997</v>
      </c>
      <c r="H47" s="16">
        <v>1.9008769599999999</v>
      </c>
      <c r="I47" s="14" t="s">
        <v>139</v>
      </c>
      <c r="J47" s="16" t="s">
        <v>139</v>
      </c>
      <c r="K47" s="14">
        <v>0</v>
      </c>
      <c r="L47" s="16">
        <v>0</v>
      </c>
      <c r="M47" s="14">
        <v>0</v>
      </c>
      <c r="N47" s="16">
        <v>0</v>
      </c>
      <c r="O47" s="14">
        <v>0</v>
      </c>
      <c r="P47" s="16">
        <v>0</v>
      </c>
      <c r="Q47" s="14">
        <v>0</v>
      </c>
      <c r="R47" s="16">
        <v>0</v>
      </c>
    </row>
    <row r="48" spans="1:18" x14ac:dyDescent="0.25">
      <c r="A48" s="11" t="s">
        <v>181</v>
      </c>
      <c r="B48" s="13">
        <v>9841</v>
      </c>
      <c r="C48" s="14">
        <f>(8156/B48*100)</f>
        <v>82.877756325576669</v>
      </c>
      <c r="D48" s="15">
        <v>1685</v>
      </c>
      <c r="E48" s="14">
        <v>19.65943532</v>
      </c>
      <c r="F48" s="16">
        <v>1.34051791</v>
      </c>
      <c r="G48" s="14">
        <v>80.34056468</v>
      </c>
      <c r="H48" s="16">
        <v>1.34051791</v>
      </c>
      <c r="I48" s="14" t="s">
        <v>139</v>
      </c>
      <c r="J48" s="16" t="s">
        <v>139</v>
      </c>
      <c r="K48" s="14">
        <v>0</v>
      </c>
      <c r="L48" s="16">
        <v>0</v>
      </c>
      <c r="M48" s="14">
        <v>0</v>
      </c>
      <c r="N48" s="16">
        <v>0</v>
      </c>
      <c r="O48" s="14">
        <v>0</v>
      </c>
      <c r="P48" s="16">
        <v>0</v>
      </c>
      <c r="Q48" s="14">
        <v>0</v>
      </c>
      <c r="R48" s="16">
        <v>0</v>
      </c>
    </row>
    <row r="49" spans="1:18" x14ac:dyDescent="0.25">
      <c r="A49" s="11" t="s">
        <v>182</v>
      </c>
      <c r="B49" s="17" t="s">
        <v>154</v>
      </c>
      <c r="C49" s="17" t="s">
        <v>154</v>
      </c>
      <c r="D49" s="18" t="s">
        <v>154</v>
      </c>
      <c r="E49" s="17" t="s">
        <v>154</v>
      </c>
      <c r="F49" s="18" t="s">
        <v>154</v>
      </c>
      <c r="G49" s="17" t="s">
        <v>154</v>
      </c>
      <c r="H49" s="18" t="s">
        <v>154</v>
      </c>
      <c r="I49" s="17" t="s">
        <v>154</v>
      </c>
      <c r="J49" s="18" t="s">
        <v>154</v>
      </c>
      <c r="K49" s="17" t="s">
        <v>154</v>
      </c>
      <c r="L49" s="18" t="s">
        <v>154</v>
      </c>
      <c r="M49" s="17" t="s">
        <v>154</v>
      </c>
      <c r="N49" s="18" t="s">
        <v>154</v>
      </c>
      <c r="O49" s="17" t="s">
        <v>154</v>
      </c>
      <c r="P49" s="18" t="s">
        <v>154</v>
      </c>
      <c r="Q49" s="17" t="s">
        <v>154</v>
      </c>
      <c r="R49" s="18" t="s">
        <v>154</v>
      </c>
    </row>
    <row r="50" spans="1:18" x14ac:dyDescent="0.25">
      <c r="A50" s="11" t="s">
        <v>183</v>
      </c>
      <c r="B50" s="13">
        <v>11795</v>
      </c>
      <c r="C50" s="14">
        <f>(9958/B50*100)</f>
        <v>84.425604069520986</v>
      </c>
      <c r="D50" s="15">
        <v>1837</v>
      </c>
      <c r="E50" s="14">
        <v>27.790305180000001</v>
      </c>
      <c r="F50" s="16">
        <v>1.2977447499999999</v>
      </c>
      <c r="G50" s="14">
        <v>72.209694819999996</v>
      </c>
      <c r="H50" s="16">
        <v>1.2977447499999999</v>
      </c>
      <c r="I50" s="14" t="s">
        <v>139</v>
      </c>
      <c r="J50" s="16" t="s">
        <v>139</v>
      </c>
      <c r="K50" s="14">
        <v>0</v>
      </c>
      <c r="L50" s="16">
        <v>0</v>
      </c>
      <c r="M50" s="14">
        <v>0</v>
      </c>
      <c r="N50" s="16">
        <v>0</v>
      </c>
      <c r="O50" s="14">
        <v>0</v>
      </c>
      <c r="P50" s="16">
        <v>0</v>
      </c>
      <c r="Q50" s="14">
        <v>0</v>
      </c>
      <c r="R50" s="16">
        <v>0</v>
      </c>
    </row>
    <row r="51" spans="1:18" x14ac:dyDescent="0.25">
      <c r="A51" s="11" t="s">
        <v>184</v>
      </c>
      <c r="B51" s="13">
        <v>6866</v>
      </c>
      <c r="C51" s="14">
        <f>(5911/B51*100)</f>
        <v>86.090882609962122</v>
      </c>
      <c r="D51" s="15">
        <v>955</v>
      </c>
      <c r="E51" s="14">
        <v>15.880818420000001</v>
      </c>
      <c r="F51" s="16">
        <v>1.12297406</v>
      </c>
      <c r="G51" s="14">
        <v>84.119181580000003</v>
      </c>
      <c r="H51" s="16">
        <v>1.12297406</v>
      </c>
      <c r="I51" s="14" t="s">
        <v>139</v>
      </c>
      <c r="J51" s="16" t="s">
        <v>139</v>
      </c>
      <c r="K51" s="14">
        <v>0</v>
      </c>
      <c r="L51" s="16">
        <v>0</v>
      </c>
      <c r="M51" s="14">
        <v>0</v>
      </c>
      <c r="N51" s="16">
        <v>0</v>
      </c>
      <c r="O51" s="14">
        <v>0</v>
      </c>
      <c r="P51" s="16">
        <v>0</v>
      </c>
      <c r="Q51" s="14">
        <v>0</v>
      </c>
      <c r="R51" s="16">
        <v>0</v>
      </c>
    </row>
    <row r="52" spans="1:18" x14ac:dyDescent="0.25">
      <c r="A52" s="11" t="s">
        <v>185</v>
      </c>
      <c r="B52" s="13">
        <v>5809</v>
      </c>
      <c r="C52" s="14">
        <f>(4832/B52*100)</f>
        <v>83.181270442416945</v>
      </c>
      <c r="D52" s="15">
        <v>977</v>
      </c>
      <c r="E52" s="14">
        <v>28.525788460000001</v>
      </c>
      <c r="F52" s="16">
        <v>1.67315247</v>
      </c>
      <c r="G52" s="14">
        <v>71.474211539999999</v>
      </c>
      <c r="H52" s="16">
        <v>1.67315247</v>
      </c>
      <c r="I52" s="14" t="s">
        <v>139</v>
      </c>
      <c r="J52" s="16" t="s">
        <v>139</v>
      </c>
      <c r="K52" s="14">
        <v>0</v>
      </c>
      <c r="L52" s="16">
        <v>0</v>
      </c>
      <c r="M52" s="14">
        <v>0</v>
      </c>
      <c r="N52" s="16">
        <v>0</v>
      </c>
      <c r="O52" s="14">
        <v>0</v>
      </c>
      <c r="P52" s="16">
        <v>0</v>
      </c>
      <c r="Q52" s="14">
        <v>0</v>
      </c>
      <c r="R52" s="16">
        <v>0</v>
      </c>
    </row>
    <row r="53" spans="1:18" x14ac:dyDescent="0.25">
      <c r="A53" s="11" t="s">
        <v>186</v>
      </c>
      <c r="B53" s="13">
        <v>5571</v>
      </c>
      <c r="C53" s="14">
        <f>(4622/B53*100)</f>
        <v>82.965356309459708</v>
      </c>
      <c r="D53" s="15">
        <v>949</v>
      </c>
      <c r="E53" s="14">
        <v>34.640282069999998</v>
      </c>
      <c r="F53" s="16">
        <v>1.5505980500000001</v>
      </c>
      <c r="G53" s="14">
        <v>65.359717930000002</v>
      </c>
      <c r="H53" s="16">
        <v>1.5505980500000001</v>
      </c>
      <c r="I53" s="14" t="s">
        <v>139</v>
      </c>
      <c r="J53" s="16" t="s">
        <v>139</v>
      </c>
      <c r="K53" s="14">
        <v>0</v>
      </c>
      <c r="L53" s="16">
        <v>0</v>
      </c>
      <c r="M53" s="14">
        <v>0</v>
      </c>
      <c r="N53" s="16">
        <v>0</v>
      </c>
      <c r="O53" s="14">
        <v>0</v>
      </c>
      <c r="P53" s="16">
        <v>0</v>
      </c>
      <c r="Q53" s="14">
        <v>0</v>
      </c>
      <c r="R53" s="16">
        <v>0</v>
      </c>
    </row>
    <row r="54" spans="1:18" x14ac:dyDescent="0.25">
      <c r="A54" s="11" t="s">
        <v>187</v>
      </c>
      <c r="B54" s="17" t="s">
        <v>154</v>
      </c>
      <c r="C54" s="17" t="s">
        <v>154</v>
      </c>
      <c r="D54" s="18" t="s">
        <v>154</v>
      </c>
      <c r="E54" s="17" t="s">
        <v>154</v>
      </c>
      <c r="F54" s="18" t="s">
        <v>154</v>
      </c>
      <c r="G54" s="17" t="s">
        <v>154</v>
      </c>
      <c r="H54" s="18" t="s">
        <v>154</v>
      </c>
      <c r="I54" s="17" t="s">
        <v>154</v>
      </c>
      <c r="J54" s="18" t="s">
        <v>154</v>
      </c>
      <c r="K54" s="17" t="s">
        <v>154</v>
      </c>
      <c r="L54" s="18" t="s">
        <v>154</v>
      </c>
      <c r="M54" s="17" t="s">
        <v>154</v>
      </c>
      <c r="N54" s="18" t="s">
        <v>154</v>
      </c>
      <c r="O54" s="17" t="s">
        <v>154</v>
      </c>
      <c r="P54" s="18" t="s">
        <v>154</v>
      </c>
      <c r="Q54" s="17" t="s">
        <v>154</v>
      </c>
      <c r="R54" s="18" t="s">
        <v>154</v>
      </c>
    </row>
    <row r="55" spans="1:18" x14ac:dyDescent="0.25">
      <c r="A55" s="11" t="s">
        <v>188</v>
      </c>
      <c r="B55" s="17" t="s">
        <v>154</v>
      </c>
      <c r="C55" s="17" t="s">
        <v>154</v>
      </c>
      <c r="D55" s="18" t="s">
        <v>154</v>
      </c>
      <c r="E55" s="17" t="s">
        <v>154</v>
      </c>
      <c r="F55" s="18" t="s">
        <v>154</v>
      </c>
      <c r="G55" s="17" t="s">
        <v>154</v>
      </c>
      <c r="H55" s="18" t="s">
        <v>154</v>
      </c>
      <c r="I55" s="17" t="s">
        <v>154</v>
      </c>
      <c r="J55" s="18" t="s">
        <v>154</v>
      </c>
      <c r="K55" s="17" t="s">
        <v>154</v>
      </c>
      <c r="L55" s="18" t="s">
        <v>154</v>
      </c>
      <c r="M55" s="17" t="s">
        <v>154</v>
      </c>
      <c r="N55" s="18" t="s">
        <v>154</v>
      </c>
      <c r="O55" s="17" t="s">
        <v>154</v>
      </c>
      <c r="P55" s="18" t="s">
        <v>154</v>
      </c>
      <c r="Q55" s="17" t="s">
        <v>154</v>
      </c>
      <c r="R55" s="18" t="s">
        <v>154</v>
      </c>
    </row>
    <row r="56" spans="1:18" x14ac:dyDescent="0.25">
      <c r="A56" s="11" t="s">
        <v>189</v>
      </c>
      <c r="B56" s="13">
        <v>5359</v>
      </c>
      <c r="C56" s="14">
        <f>(4423/B56*100)</f>
        <v>82.534054860981527</v>
      </c>
      <c r="D56" s="15">
        <v>936</v>
      </c>
      <c r="E56" s="14">
        <v>20.23475766</v>
      </c>
      <c r="F56" s="16">
        <v>1.35296043</v>
      </c>
      <c r="G56" s="14">
        <v>79.76524234</v>
      </c>
      <c r="H56" s="16">
        <v>1.35296043</v>
      </c>
      <c r="I56" s="14" t="s">
        <v>139</v>
      </c>
      <c r="J56" s="16" t="s">
        <v>139</v>
      </c>
      <c r="K56" s="14">
        <v>0</v>
      </c>
      <c r="L56" s="16">
        <v>0</v>
      </c>
      <c r="M56" s="14">
        <v>0</v>
      </c>
      <c r="N56" s="16">
        <v>0</v>
      </c>
      <c r="O56" s="14">
        <v>0</v>
      </c>
      <c r="P56" s="16">
        <v>0</v>
      </c>
      <c r="Q56" s="14">
        <v>0</v>
      </c>
      <c r="R56" s="16">
        <v>0</v>
      </c>
    </row>
    <row r="57" spans="1:18" x14ac:dyDescent="0.25">
      <c r="A57" s="11" t="s">
        <v>190</v>
      </c>
      <c r="B57" s="17" t="s">
        <v>154</v>
      </c>
      <c r="C57" s="17" t="s">
        <v>154</v>
      </c>
      <c r="D57" s="18" t="s">
        <v>154</v>
      </c>
      <c r="E57" s="17" t="s">
        <v>154</v>
      </c>
      <c r="F57" s="18" t="s">
        <v>154</v>
      </c>
      <c r="G57" s="17" t="s">
        <v>154</v>
      </c>
      <c r="H57" s="18" t="s">
        <v>154</v>
      </c>
      <c r="I57" s="17" t="s">
        <v>154</v>
      </c>
      <c r="J57" s="18" t="s">
        <v>154</v>
      </c>
      <c r="K57" s="17" t="s">
        <v>154</v>
      </c>
      <c r="L57" s="18" t="s">
        <v>154</v>
      </c>
      <c r="M57" s="17" t="s">
        <v>154</v>
      </c>
      <c r="N57" s="18" t="s">
        <v>154</v>
      </c>
      <c r="O57" s="17" t="s">
        <v>154</v>
      </c>
      <c r="P57" s="18" t="s">
        <v>154</v>
      </c>
      <c r="Q57" s="17" t="s">
        <v>154</v>
      </c>
      <c r="R57" s="18" t="s">
        <v>154</v>
      </c>
    </row>
    <row r="58" spans="1:18" x14ac:dyDescent="0.25">
      <c r="A58" s="11" t="s">
        <v>191</v>
      </c>
      <c r="B58" s="17" t="s">
        <v>154</v>
      </c>
      <c r="C58" s="17" t="s">
        <v>154</v>
      </c>
      <c r="D58" s="18" t="s">
        <v>154</v>
      </c>
      <c r="E58" s="17" t="s">
        <v>154</v>
      </c>
      <c r="F58" s="18" t="s">
        <v>154</v>
      </c>
      <c r="G58" s="17" t="s">
        <v>154</v>
      </c>
      <c r="H58" s="18" t="s">
        <v>154</v>
      </c>
      <c r="I58" s="17" t="s">
        <v>154</v>
      </c>
      <c r="J58" s="18" t="s">
        <v>154</v>
      </c>
      <c r="K58" s="17" t="s">
        <v>154</v>
      </c>
      <c r="L58" s="18" t="s">
        <v>154</v>
      </c>
      <c r="M58" s="17" t="s">
        <v>154</v>
      </c>
      <c r="N58" s="18" t="s">
        <v>154</v>
      </c>
      <c r="O58" s="17" t="s">
        <v>154</v>
      </c>
      <c r="P58" s="18" t="s">
        <v>154</v>
      </c>
      <c r="Q58" s="17" t="s">
        <v>154</v>
      </c>
      <c r="R58" s="18" t="s">
        <v>154</v>
      </c>
    </row>
    <row r="59" spans="1:18" x14ac:dyDescent="0.25">
      <c r="A59" s="11" t="s">
        <v>192</v>
      </c>
      <c r="B59" s="17" t="s">
        <v>154</v>
      </c>
      <c r="C59" s="17" t="s">
        <v>154</v>
      </c>
      <c r="D59" s="18" t="s">
        <v>154</v>
      </c>
      <c r="E59" s="17" t="s">
        <v>154</v>
      </c>
      <c r="F59" s="18" t="s">
        <v>154</v>
      </c>
      <c r="G59" s="17" t="s">
        <v>154</v>
      </c>
      <c r="H59" s="18" t="s">
        <v>154</v>
      </c>
      <c r="I59" s="17" t="s">
        <v>154</v>
      </c>
      <c r="J59" s="18" t="s">
        <v>154</v>
      </c>
      <c r="K59" s="17" t="s">
        <v>154</v>
      </c>
      <c r="L59" s="18" t="s">
        <v>154</v>
      </c>
      <c r="M59" s="17" t="s">
        <v>154</v>
      </c>
      <c r="N59" s="18" t="s">
        <v>154</v>
      </c>
      <c r="O59" s="17" t="s">
        <v>154</v>
      </c>
      <c r="P59" s="18" t="s">
        <v>154</v>
      </c>
      <c r="Q59" s="17" t="s">
        <v>154</v>
      </c>
      <c r="R59" s="18" t="s">
        <v>154</v>
      </c>
    </row>
    <row r="60" spans="1:18" x14ac:dyDescent="0.25">
      <c r="A60" s="11" t="s">
        <v>193</v>
      </c>
      <c r="B60" s="17" t="s">
        <v>154</v>
      </c>
      <c r="C60" s="17" t="s">
        <v>154</v>
      </c>
      <c r="D60" s="18" t="s">
        <v>154</v>
      </c>
      <c r="E60" s="17" t="s">
        <v>154</v>
      </c>
      <c r="F60" s="18" t="s">
        <v>154</v>
      </c>
      <c r="G60" s="17" t="s">
        <v>154</v>
      </c>
      <c r="H60" s="18" t="s">
        <v>154</v>
      </c>
      <c r="I60" s="17" t="s">
        <v>154</v>
      </c>
      <c r="J60" s="18" t="s">
        <v>154</v>
      </c>
      <c r="K60" s="17" t="s">
        <v>154</v>
      </c>
      <c r="L60" s="18" t="s">
        <v>154</v>
      </c>
      <c r="M60" s="17" t="s">
        <v>154</v>
      </c>
      <c r="N60" s="18" t="s">
        <v>154</v>
      </c>
      <c r="O60" s="17" t="s">
        <v>154</v>
      </c>
      <c r="P60" s="18" t="s">
        <v>154</v>
      </c>
      <c r="Q60" s="17" t="s">
        <v>154</v>
      </c>
      <c r="R60" s="18" t="s">
        <v>154</v>
      </c>
    </row>
    <row r="61" spans="1:18" x14ac:dyDescent="0.25">
      <c r="A61" s="11" t="s">
        <v>194</v>
      </c>
      <c r="B61" s="13">
        <v>6525</v>
      </c>
      <c r="C61" s="14">
        <f>(5438/B61*100)</f>
        <v>83.340996168582365</v>
      </c>
      <c r="D61" s="15">
        <v>1087</v>
      </c>
      <c r="E61" s="14">
        <v>26.22008606</v>
      </c>
      <c r="F61" s="16">
        <v>1.60627765</v>
      </c>
      <c r="G61" s="14">
        <v>73.77991394</v>
      </c>
      <c r="H61" s="16">
        <v>1.60627765</v>
      </c>
      <c r="I61" s="14" t="s">
        <v>139</v>
      </c>
      <c r="J61" s="16" t="s">
        <v>139</v>
      </c>
      <c r="K61" s="14">
        <v>0</v>
      </c>
      <c r="L61" s="16">
        <v>0</v>
      </c>
      <c r="M61" s="14">
        <v>0</v>
      </c>
      <c r="N61" s="16">
        <v>0</v>
      </c>
      <c r="O61" s="14">
        <v>0</v>
      </c>
      <c r="P61" s="16">
        <v>0</v>
      </c>
      <c r="Q61" s="14">
        <v>0</v>
      </c>
      <c r="R61" s="16">
        <v>0</v>
      </c>
    </row>
    <row r="62" spans="1:18" x14ac:dyDescent="0.25">
      <c r="A62" s="11" t="s">
        <v>195</v>
      </c>
      <c r="B62" s="13">
        <v>4476</v>
      </c>
      <c r="C62" s="14">
        <f>(3742/B62*100)</f>
        <v>83.601429848078652</v>
      </c>
      <c r="D62" s="15">
        <v>734</v>
      </c>
      <c r="E62" s="14">
        <v>18.73848164</v>
      </c>
      <c r="F62" s="16">
        <v>1.4964468799999999</v>
      </c>
      <c r="G62" s="14">
        <v>81.261518359999997</v>
      </c>
      <c r="H62" s="16">
        <v>1.4964468799999999</v>
      </c>
      <c r="I62" s="14" t="s">
        <v>139</v>
      </c>
      <c r="J62" s="16" t="s">
        <v>139</v>
      </c>
      <c r="K62" s="14">
        <v>0</v>
      </c>
      <c r="L62" s="16">
        <v>0</v>
      </c>
      <c r="M62" s="14">
        <v>0</v>
      </c>
      <c r="N62" s="16">
        <v>0</v>
      </c>
      <c r="O62" s="14">
        <v>0</v>
      </c>
      <c r="P62" s="16">
        <v>0</v>
      </c>
      <c r="Q62" s="14">
        <v>0</v>
      </c>
      <c r="R62" s="16">
        <v>0</v>
      </c>
    </row>
    <row r="63" spans="1:18" x14ac:dyDescent="0.25">
      <c r="A63" s="11" t="s">
        <v>196</v>
      </c>
      <c r="B63" s="17" t="s">
        <v>154</v>
      </c>
      <c r="C63" s="17" t="s">
        <v>154</v>
      </c>
      <c r="D63" s="18" t="s">
        <v>154</v>
      </c>
      <c r="E63" s="17" t="s">
        <v>154</v>
      </c>
      <c r="F63" s="18" t="s">
        <v>154</v>
      </c>
      <c r="G63" s="17" t="s">
        <v>154</v>
      </c>
      <c r="H63" s="18" t="s">
        <v>154</v>
      </c>
      <c r="I63" s="17" t="s">
        <v>154</v>
      </c>
      <c r="J63" s="18" t="s">
        <v>154</v>
      </c>
      <c r="K63" s="17" t="s">
        <v>154</v>
      </c>
      <c r="L63" s="18" t="s">
        <v>154</v>
      </c>
      <c r="M63" s="17" t="s">
        <v>154</v>
      </c>
      <c r="N63" s="18" t="s">
        <v>154</v>
      </c>
      <c r="O63" s="17" t="s">
        <v>154</v>
      </c>
      <c r="P63" s="18" t="s">
        <v>154</v>
      </c>
      <c r="Q63" s="17" t="s">
        <v>154</v>
      </c>
      <c r="R63" s="18" t="s">
        <v>154</v>
      </c>
    </row>
    <row r="64" spans="1:18" x14ac:dyDescent="0.25">
      <c r="A64" s="11" t="s">
        <v>197</v>
      </c>
      <c r="B64" s="17" t="s">
        <v>154</v>
      </c>
      <c r="C64" s="17" t="s">
        <v>154</v>
      </c>
      <c r="D64" s="18" t="s">
        <v>154</v>
      </c>
      <c r="E64" s="17" t="s">
        <v>154</v>
      </c>
      <c r="F64" s="18" t="s">
        <v>154</v>
      </c>
      <c r="G64" s="17" t="s">
        <v>154</v>
      </c>
      <c r="H64" s="18" t="s">
        <v>154</v>
      </c>
      <c r="I64" s="17" t="s">
        <v>154</v>
      </c>
      <c r="J64" s="18" t="s">
        <v>154</v>
      </c>
      <c r="K64" s="17" t="s">
        <v>154</v>
      </c>
      <c r="L64" s="18" t="s">
        <v>154</v>
      </c>
      <c r="M64" s="17" t="s">
        <v>154</v>
      </c>
      <c r="N64" s="18" t="s">
        <v>154</v>
      </c>
      <c r="O64" s="17" t="s">
        <v>154</v>
      </c>
      <c r="P64" s="18" t="s">
        <v>154</v>
      </c>
      <c r="Q64" s="17" t="s">
        <v>154</v>
      </c>
      <c r="R64" s="18" t="s">
        <v>154</v>
      </c>
    </row>
    <row r="65" spans="1:18" x14ac:dyDescent="0.25">
      <c r="A65" s="11" t="s">
        <v>198</v>
      </c>
      <c r="B65" s="17" t="s">
        <v>154</v>
      </c>
      <c r="C65" s="17" t="s">
        <v>154</v>
      </c>
      <c r="D65" s="18" t="s">
        <v>154</v>
      </c>
      <c r="E65" s="17" t="s">
        <v>154</v>
      </c>
      <c r="F65" s="18" t="s">
        <v>154</v>
      </c>
      <c r="G65" s="17" t="s">
        <v>154</v>
      </c>
      <c r="H65" s="18" t="s">
        <v>154</v>
      </c>
      <c r="I65" s="17" t="s">
        <v>154</v>
      </c>
      <c r="J65" s="18" t="s">
        <v>154</v>
      </c>
      <c r="K65" s="17" t="s">
        <v>154</v>
      </c>
      <c r="L65" s="18" t="s">
        <v>154</v>
      </c>
      <c r="M65" s="17" t="s">
        <v>154</v>
      </c>
      <c r="N65" s="18" t="s">
        <v>154</v>
      </c>
      <c r="O65" s="17" t="s">
        <v>154</v>
      </c>
      <c r="P65" s="18" t="s">
        <v>154</v>
      </c>
      <c r="Q65" s="17" t="s">
        <v>154</v>
      </c>
      <c r="R65" s="18" t="s">
        <v>154</v>
      </c>
    </row>
    <row r="66" spans="1:18" x14ac:dyDescent="0.25">
      <c r="A66" s="11" t="s">
        <v>199</v>
      </c>
      <c r="B66" s="13">
        <v>5665</v>
      </c>
      <c r="C66" s="14">
        <f>(4754/B66*100)</f>
        <v>83.918799646954994</v>
      </c>
      <c r="D66" s="15">
        <v>911</v>
      </c>
      <c r="E66" s="14">
        <v>33.292874840000003</v>
      </c>
      <c r="F66" s="16">
        <v>1.5463886099999999</v>
      </c>
      <c r="G66" s="14">
        <v>66.707125160000004</v>
      </c>
      <c r="H66" s="16">
        <v>1.5463886099999999</v>
      </c>
      <c r="I66" s="14" t="s">
        <v>139</v>
      </c>
      <c r="J66" s="16" t="s">
        <v>139</v>
      </c>
      <c r="K66" s="14">
        <v>0</v>
      </c>
      <c r="L66" s="16">
        <v>0</v>
      </c>
      <c r="M66" s="14">
        <v>0</v>
      </c>
      <c r="N66" s="16">
        <v>0</v>
      </c>
      <c r="O66" s="14">
        <v>0</v>
      </c>
      <c r="P66" s="16">
        <v>0</v>
      </c>
      <c r="Q66" s="14">
        <v>0</v>
      </c>
      <c r="R66" s="16">
        <v>0</v>
      </c>
    </row>
    <row r="67" spans="1:18" x14ac:dyDescent="0.25">
      <c r="A67" s="11" t="s">
        <v>200</v>
      </c>
      <c r="B67" s="13">
        <v>6971</v>
      </c>
      <c r="C67" s="14">
        <f>(6010/B67*100)</f>
        <v>86.214316453880357</v>
      </c>
      <c r="D67" s="15">
        <v>961</v>
      </c>
      <c r="E67" s="14">
        <v>25.69578937</v>
      </c>
      <c r="F67" s="16">
        <v>1.5099484000000001</v>
      </c>
      <c r="G67" s="14">
        <v>74.30421063</v>
      </c>
      <c r="H67" s="16">
        <v>1.5099484000000001</v>
      </c>
      <c r="I67" s="14" t="s">
        <v>139</v>
      </c>
      <c r="J67" s="16" t="s">
        <v>139</v>
      </c>
      <c r="K67" s="14">
        <v>0</v>
      </c>
      <c r="L67" s="16">
        <v>0</v>
      </c>
      <c r="M67" s="14">
        <v>0</v>
      </c>
      <c r="N67" s="16">
        <v>0</v>
      </c>
      <c r="O67" s="14">
        <v>0</v>
      </c>
      <c r="P67" s="16">
        <v>0</v>
      </c>
      <c r="Q67" s="14">
        <v>0</v>
      </c>
      <c r="R67" s="16">
        <v>0</v>
      </c>
    </row>
    <row r="68" spans="1:18" x14ac:dyDescent="0.25">
      <c r="A68" s="11" t="s">
        <v>201</v>
      </c>
      <c r="B68" s="17" t="s">
        <v>154</v>
      </c>
      <c r="C68" s="17" t="s">
        <v>154</v>
      </c>
      <c r="D68" s="18" t="s">
        <v>154</v>
      </c>
      <c r="E68" s="17" t="s">
        <v>154</v>
      </c>
      <c r="F68" s="18" t="s">
        <v>154</v>
      </c>
      <c r="G68" s="17" t="s">
        <v>154</v>
      </c>
      <c r="H68" s="18" t="s">
        <v>154</v>
      </c>
      <c r="I68" s="17" t="s">
        <v>154</v>
      </c>
      <c r="J68" s="18" t="s">
        <v>154</v>
      </c>
      <c r="K68" s="17" t="s">
        <v>154</v>
      </c>
      <c r="L68" s="18" t="s">
        <v>154</v>
      </c>
      <c r="M68" s="17" t="s">
        <v>154</v>
      </c>
      <c r="N68" s="18" t="s">
        <v>154</v>
      </c>
      <c r="O68" s="17" t="s">
        <v>154</v>
      </c>
      <c r="P68" s="18" t="s">
        <v>154</v>
      </c>
      <c r="Q68" s="17" t="s">
        <v>154</v>
      </c>
      <c r="R68" s="18" t="s">
        <v>154</v>
      </c>
    </row>
    <row r="69" spans="1:18" x14ac:dyDescent="0.25">
      <c r="A69" s="11" t="s">
        <v>202</v>
      </c>
      <c r="B69" s="17" t="s">
        <v>154</v>
      </c>
      <c r="C69" s="17" t="s">
        <v>154</v>
      </c>
      <c r="D69" s="18" t="s">
        <v>154</v>
      </c>
      <c r="E69" s="17" t="s">
        <v>154</v>
      </c>
      <c r="F69" s="18" t="s">
        <v>154</v>
      </c>
      <c r="G69" s="17" t="s">
        <v>154</v>
      </c>
      <c r="H69" s="18" t="s">
        <v>154</v>
      </c>
      <c r="I69" s="17" t="s">
        <v>154</v>
      </c>
      <c r="J69" s="18" t="s">
        <v>154</v>
      </c>
      <c r="K69" s="17" t="s">
        <v>154</v>
      </c>
      <c r="L69" s="18" t="s">
        <v>154</v>
      </c>
      <c r="M69" s="17" t="s">
        <v>154</v>
      </c>
      <c r="N69" s="18" t="s">
        <v>154</v>
      </c>
      <c r="O69" s="17" t="s">
        <v>154</v>
      </c>
      <c r="P69" s="18" t="s">
        <v>154</v>
      </c>
      <c r="Q69" s="17" t="s">
        <v>154</v>
      </c>
      <c r="R69" s="18" t="s">
        <v>154</v>
      </c>
    </row>
    <row r="70" spans="1:18" x14ac:dyDescent="0.25">
      <c r="A70" s="11" t="s">
        <v>203</v>
      </c>
      <c r="B70" s="13">
        <v>6036</v>
      </c>
      <c r="C70" s="14">
        <f>(5043/B70*100)</f>
        <v>83.548707753479121</v>
      </c>
      <c r="D70" s="15">
        <v>993</v>
      </c>
      <c r="E70" s="14">
        <v>28.073010100000001</v>
      </c>
      <c r="F70" s="16">
        <v>1.7512846200000001</v>
      </c>
      <c r="G70" s="14">
        <v>71.926989899999995</v>
      </c>
      <c r="H70" s="16">
        <v>1.7512846200000001</v>
      </c>
      <c r="I70" s="14" t="s">
        <v>139</v>
      </c>
      <c r="J70" s="16" t="s">
        <v>139</v>
      </c>
      <c r="K70" s="14">
        <v>0</v>
      </c>
      <c r="L70" s="16">
        <v>0</v>
      </c>
      <c r="M70" s="14">
        <v>0</v>
      </c>
      <c r="N70" s="16">
        <v>0</v>
      </c>
      <c r="O70" s="14">
        <v>0</v>
      </c>
      <c r="P70" s="16">
        <v>0</v>
      </c>
      <c r="Q70" s="14">
        <v>0</v>
      </c>
      <c r="R70" s="16">
        <v>0</v>
      </c>
    </row>
    <row r="71" spans="1:18" x14ac:dyDescent="0.25">
      <c r="A71" s="11" t="s">
        <v>204</v>
      </c>
      <c r="B71" s="17" t="s">
        <v>154</v>
      </c>
      <c r="C71" s="17" t="s">
        <v>154</v>
      </c>
      <c r="D71" s="18" t="s">
        <v>154</v>
      </c>
      <c r="E71" s="17" t="s">
        <v>154</v>
      </c>
      <c r="F71" s="18" t="s">
        <v>154</v>
      </c>
      <c r="G71" s="17" t="s">
        <v>154</v>
      </c>
      <c r="H71" s="18" t="s">
        <v>154</v>
      </c>
      <c r="I71" s="17" t="s">
        <v>154</v>
      </c>
      <c r="J71" s="18" t="s">
        <v>154</v>
      </c>
      <c r="K71" s="17" t="s">
        <v>154</v>
      </c>
      <c r="L71" s="18" t="s">
        <v>154</v>
      </c>
      <c r="M71" s="17" t="s">
        <v>154</v>
      </c>
      <c r="N71" s="18" t="s">
        <v>154</v>
      </c>
      <c r="O71" s="17" t="s">
        <v>154</v>
      </c>
      <c r="P71" s="18" t="s">
        <v>154</v>
      </c>
      <c r="Q71" s="17" t="s">
        <v>154</v>
      </c>
      <c r="R71" s="18" t="s">
        <v>154</v>
      </c>
    </row>
    <row r="72" spans="1:18" x14ac:dyDescent="0.25">
      <c r="A72" s="11" t="s">
        <v>205</v>
      </c>
      <c r="B72" s="13">
        <v>7708</v>
      </c>
      <c r="C72" s="14">
        <f>(6395/B72*100)</f>
        <v>82.965749870264659</v>
      </c>
      <c r="D72" s="15">
        <v>1313</v>
      </c>
      <c r="E72" s="14">
        <v>17.011947060000001</v>
      </c>
      <c r="F72" s="16">
        <v>1.0072220999999999</v>
      </c>
      <c r="G72" s="14">
        <v>82.988052940000003</v>
      </c>
      <c r="H72" s="16">
        <v>1.0072220999999999</v>
      </c>
      <c r="I72" s="14" t="s">
        <v>139</v>
      </c>
      <c r="J72" s="16" t="s">
        <v>139</v>
      </c>
      <c r="K72" s="14">
        <v>0</v>
      </c>
      <c r="L72" s="16">
        <v>0</v>
      </c>
      <c r="M72" s="14">
        <v>0</v>
      </c>
      <c r="N72" s="16">
        <v>0</v>
      </c>
      <c r="O72" s="14">
        <v>0</v>
      </c>
      <c r="P72" s="16">
        <v>0</v>
      </c>
      <c r="Q72" s="14">
        <v>0</v>
      </c>
      <c r="R72" s="16">
        <v>0</v>
      </c>
    </row>
    <row r="73" spans="1:18" x14ac:dyDescent="0.25">
      <c r="A73" s="11" t="s">
        <v>206</v>
      </c>
      <c r="B73" s="13">
        <v>8249</v>
      </c>
      <c r="C73" s="14">
        <f>(6966/B73*100)</f>
        <v>84.446599587828828</v>
      </c>
      <c r="D73" s="15">
        <v>1283</v>
      </c>
      <c r="E73" s="14">
        <v>42.162061129999998</v>
      </c>
      <c r="F73" s="16">
        <v>1.92231847</v>
      </c>
      <c r="G73" s="14">
        <v>57.837938870000002</v>
      </c>
      <c r="H73" s="16">
        <v>1.92231847</v>
      </c>
      <c r="I73" s="14" t="s">
        <v>139</v>
      </c>
      <c r="J73" s="16" t="s">
        <v>139</v>
      </c>
      <c r="K73" s="14">
        <v>0</v>
      </c>
      <c r="L73" s="16">
        <v>0</v>
      </c>
      <c r="M73" s="14">
        <v>0</v>
      </c>
      <c r="N73" s="16">
        <v>0</v>
      </c>
      <c r="O73" s="14">
        <v>0</v>
      </c>
      <c r="P73" s="16">
        <v>0</v>
      </c>
      <c r="Q73" s="14">
        <v>0</v>
      </c>
      <c r="R73" s="16">
        <v>0</v>
      </c>
    </row>
    <row r="74" spans="1:18" x14ac:dyDescent="0.25">
      <c r="A74" s="11" t="s">
        <v>207</v>
      </c>
      <c r="B74" s="17" t="s">
        <v>154</v>
      </c>
      <c r="C74" s="17" t="s">
        <v>154</v>
      </c>
      <c r="D74" s="18" t="s">
        <v>154</v>
      </c>
      <c r="E74" s="17" t="s">
        <v>154</v>
      </c>
      <c r="F74" s="18" t="s">
        <v>154</v>
      </c>
      <c r="G74" s="17" t="s">
        <v>154</v>
      </c>
      <c r="H74" s="18" t="s">
        <v>154</v>
      </c>
      <c r="I74" s="17" t="s">
        <v>154</v>
      </c>
      <c r="J74" s="18" t="s">
        <v>154</v>
      </c>
      <c r="K74" s="17" t="s">
        <v>154</v>
      </c>
      <c r="L74" s="18" t="s">
        <v>154</v>
      </c>
      <c r="M74" s="17" t="s">
        <v>154</v>
      </c>
      <c r="N74" s="18" t="s">
        <v>154</v>
      </c>
      <c r="O74" s="17" t="s">
        <v>154</v>
      </c>
      <c r="P74" s="18" t="s">
        <v>154</v>
      </c>
      <c r="Q74" s="17" t="s">
        <v>154</v>
      </c>
      <c r="R74" s="18" t="s">
        <v>154</v>
      </c>
    </row>
    <row r="75" spans="1:18" x14ac:dyDescent="0.25">
      <c r="A75" s="11" t="s">
        <v>208</v>
      </c>
      <c r="B75" s="13">
        <v>5375</v>
      </c>
      <c r="C75" s="14">
        <f>(4595/B75*100)</f>
        <v>85.488372093023258</v>
      </c>
      <c r="D75" s="15">
        <v>780</v>
      </c>
      <c r="E75" s="14">
        <v>54.027748959999997</v>
      </c>
      <c r="F75" s="16">
        <v>1.9260252</v>
      </c>
      <c r="G75" s="14">
        <v>45.972251040000003</v>
      </c>
      <c r="H75" s="16">
        <v>1.9260252</v>
      </c>
      <c r="I75" s="14" t="s">
        <v>139</v>
      </c>
      <c r="J75" s="16" t="s">
        <v>139</v>
      </c>
      <c r="K75" s="14">
        <v>0</v>
      </c>
      <c r="L75" s="16">
        <v>0</v>
      </c>
      <c r="M75" s="14">
        <v>0</v>
      </c>
      <c r="N75" s="16">
        <v>0</v>
      </c>
      <c r="O75" s="14">
        <v>0</v>
      </c>
      <c r="P75" s="16">
        <v>0</v>
      </c>
      <c r="Q75" s="14">
        <v>0</v>
      </c>
      <c r="R75" s="16">
        <v>0</v>
      </c>
    </row>
    <row r="76" spans="1:18" x14ac:dyDescent="0.25">
      <c r="A76" s="11" t="s">
        <v>209</v>
      </c>
      <c r="B76" s="13">
        <v>14167</v>
      </c>
      <c r="C76" s="14">
        <f>(11740/B76*100)</f>
        <v>82.868638384979178</v>
      </c>
      <c r="D76" s="15">
        <v>2427</v>
      </c>
      <c r="E76" s="14">
        <v>36.865746950000002</v>
      </c>
      <c r="F76" s="16">
        <v>1.29023059</v>
      </c>
      <c r="G76" s="14">
        <v>63.134253049999998</v>
      </c>
      <c r="H76" s="16">
        <v>1.29023059</v>
      </c>
      <c r="I76" s="14" t="s">
        <v>139</v>
      </c>
      <c r="J76" s="16" t="s">
        <v>139</v>
      </c>
      <c r="K76" s="14">
        <v>0</v>
      </c>
      <c r="L76" s="16">
        <v>0</v>
      </c>
      <c r="M76" s="14">
        <v>0</v>
      </c>
      <c r="N76" s="16">
        <v>0</v>
      </c>
      <c r="O76" s="14">
        <v>0</v>
      </c>
      <c r="P76" s="16">
        <v>0</v>
      </c>
      <c r="Q76" s="14">
        <v>0</v>
      </c>
      <c r="R76" s="16">
        <v>0</v>
      </c>
    </row>
    <row r="77" spans="1:18" x14ac:dyDescent="0.25">
      <c r="A77" s="11" t="s">
        <v>210</v>
      </c>
      <c r="B77" s="13">
        <v>6062</v>
      </c>
      <c r="C77" s="14">
        <f>(5082/B77*100)</f>
        <v>83.833718244803691</v>
      </c>
      <c r="D77" s="15">
        <v>980</v>
      </c>
      <c r="E77" s="14">
        <v>28.828962700000002</v>
      </c>
      <c r="F77" s="16">
        <v>1.51571251</v>
      </c>
      <c r="G77" s="14">
        <v>71.171037299999995</v>
      </c>
      <c r="H77" s="16">
        <v>1.51571251</v>
      </c>
      <c r="I77" s="14" t="s">
        <v>139</v>
      </c>
      <c r="J77" s="16" t="s">
        <v>139</v>
      </c>
      <c r="K77" s="14">
        <v>0</v>
      </c>
      <c r="L77" s="16">
        <v>0</v>
      </c>
      <c r="M77" s="14">
        <v>0</v>
      </c>
      <c r="N77" s="16">
        <v>0</v>
      </c>
      <c r="O77" s="14">
        <v>0</v>
      </c>
      <c r="P77" s="16">
        <v>0</v>
      </c>
      <c r="Q77" s="14">
        <v>0</v>
      </c>
      <c r="R77" s="16">
        <v>0</v>
      </c>
    </row>
    <row r="78" spans="1:18" x14ac:dyDescent="0.25">
      <c r="A78" s="11" t="s">
        <v>211</v>
      </c>
      <c r="B78" s="17" t="s">
        <v>154</v>
      </c>
      <c r="C78" s="17" t="s">
        <v>154</v>
      </c>
      <c r="D78" s="18" t="s">
        <v>154</v>
      </c>
      <c r="E78" s="17" t="s">
        <v>154</v>
      </c>
      <c r="F78" s="18" t="s">
        <v>154</v>
      </c>
      <c r="G78" s="17" t="s">
        <v>154</v>
      </c>
      <c r="H78" s="18" t="s">
        <v>154</v>
      </c>
      <c r="I78" s="17" t="s">
        <v>154</v>
      </c>
      <c r="J78" s="18" t="s">
        <v>154</v>
      </c>
      <c r="K78" s="17" t="s">
        <v>154</v>
      </c>
      <c r="L78" s="18" t="s">
        <v>154</v>
      </c>
      <c r="M78" s="17" t="s">
        <v>154</v>
      </c>
      <c r="N78" s="18" t="s">
        <v>154</v>
      </c>
      <c r="O78" s="17" t="s">
        <v>154</v>
      </c>
      <c r="P78" s="18" t="s">
        <v>154</v>
      </c>
      <c r="Q78" s="17" t="s">
        <v>154</v>
      </c>
      <c r="R78" s="18" t="s">
        <v>154</v>
      </c>
    </row>
    <row r="79" spans="1:18" ht="24.95" customHeight="1" x14ac:dyDescent="0.25">
      <c r="A79" s="11" t="s">
        <v>212</v>
      </c>
      <c r="B79" s="17" t="s">
        <v>154</v>
      </c>
      <c r="C79" s="17" t="s">
        <v>154</v>
      </c>
      <c r="D79" s="18" t="s">
        <v>154</v>
      </c>
      <c r="E79" s="17" t="s">
        <v>154</v>
      </c>
      <c r="F79" s="18" t="s">
        <v>154</v>
      </c>
      <c r="G79" s="17" t="s">
        <v>154</v>
      </c>
      <c r="H79" s="18" t="s">
        <v>154</v>
      </c>
      <c r="I79" s="17" t="s">
        <v>154</v>
      </c>
      <c r="J79" s="18" t="s">
        <v>154</v>
      </c>
      <c r="K79" s="17" t="s">
        <v>154</v>
      </c>
      <c r="L79" s="18" t="s">
        <v>154</v>
      </c>
      <c r="M79" s="17" t="s">
        <v>154</v>
      </c>
      <c r="N79" s="18" t="s">
        <v>154</v>
      </c>
      <c r="O79" s="17" t="s">
        <v>154</v>
      </c>
      <c r="P79" s="18" t="s">
        <v>154</v>
      </c>
      <c r="Q79" s="17" t="s">
        <v>154</v>
      </c>
      <c r="R79" s="18" t="s">
        <v>154</v>
      </c>
    </row>
    <row r="80" spans="1:18" x14ac:dyDescent="0.25">
      <c r="A80" s="11" t="s">
        <v>213</v>
      </c>
      <c r="B80" s="17" t="s">
        <v>154</v>
      </c>
      <c r="C80" s="17" t="s">
        <v>154</v>
      </c>
      <c r="D80" s="18" t="s">
        <v>154</v>
      </c>
      <c r="E80" s="17" t="s">
        <v>154</v>
      </c>
      <c r="F80" s="18" t="s">
        <v>154</v>
      </c>
      <c r="G80" s="17" t="s">
        <v>154</v>
      </c>
      <c r="H80" s="18" t="s">
        <v>154</v>
      </c>
      <c r="I80" s="17" t="s">
        <v>154</v>
      </c>
      <c r="J80" s="18" t="s">
        <v>154</v>
      </c>
      <c r="K80" s="17" t="s">
        <v>154</v>
      </c>
      <c r="L80" s="18" t="s">
        <v>154</v>
      </c>
      <c r="M80" s="17" t="s">
        <v>154</v>
      </c>
      <c r="N80" s="18" t="s">
        <v>154</v>
      </c>
      <c r="O80" s="17" t="s">
        <v>154</v>
      </c>
      <c r="P80" s="18" t="s">
        <v>154</v>
      </c>
      <c r="Q80" s="17" t="s">
        <v>154</v>
      </c>
      <c r="R80" s="18" t="s">
        <v>154</v>
      </c>
    </row>
    <row r="81" spans="1:18" x14ac:dyDescent="0.25">
      <c r="A81" s="19" t="s">
        <v>214</v>
      </c>
      <c r="B81" s="13">
        <v>8861</v>
      </c>
      <c r="C81" s="14">
        <f>(7385/B81*100)</f>
        <v>83.342737839972912</v>
      </c>
      <c r="D81" s="15">
        <v>1476</v>
      </c>
      <c r="E81" s="14">
        <v>42.387780970000001</v>
      </c>
      <c r="F81" s="16">
        <v>1.7537422600000001</v>
      </c>
      <c r="G81" s="14">
        <v>57.612219029999999</v>
      </c>
      <c r="H81" s="16">
        <v>1.7537422600000001</v>
      </c>
      <c r="I81" s="14" t="s">
        <v>139</v>
      </c>
      <c r="J81" s="16" t="s">
        <v>139</v>
      </c>
      <c r="K81" s="14">
        <v>0</v>
      </c>
      <c r="L81" s="16">
        <v>0</v>
      </c>
      <c r="M81" s="14">
        <v>0</v>
      </c>
      <c r="N81" s="16">
        <v>0</v>
      </c>
      <c r="O81" s="14">
        <v>0</v>
      </c>
      <c r="P81" s="16">
        <v>0</v>
      </c>
      <c r="Q81" s="14">
        <v>0</v>
      </c>
      <c r="R81" s="16">
        <v>0</v>
      </c>
    </row>
    <row r="82" spans="1:18" x14ac:dyDescent="0.25">
      <c r="A82" s="20"/>
      <c r="B82" s="20" t="s">
        <v>215</v>
      </c>
      <c r="C82" s="20" t="s">
        <v>215</v>
      </c>
      <c r="D82" s="20" t="s">
        <v>215</v>
      </c>
      <c r="E82" s="20" t="s">
        <v>215</v>
      </c>
      <c r="F82" s="20" t="s">
        <v>215</v>
      </c>
      <c r="G82" s="20" t="s">
        <v>215</v>
      </c>
      <c r="H82" s="20" t="s">
        <v>215</v>
      </c>
      <c r="I82" s="20" t="s">
        <v>215</v>
      </c>
      <c r="J82" s="20" t="s">
        <v>215</v>
      </c>
      <c r="K82" s="20" t="s">
        <v>215</v>
      </c>
      <c r="L82" s="20" t="s">
        <v>215</v>
      </c>
      <c r="M82" s="20" t="s">
        <v>215</v>
      </c>
      <c r="N82" s="20" t="s">
        <v>215</v>
      </c>
      <c r="O82" s="20" t="s">
        <v>215</v>
      </c>
      <c r="P82" s="20" t="s">
        <v>215</v>
      </c>
      <c r="Q82" s="20" t="s">
        <v>215</v>
      </c>
      <c r="R82" s="20" t="s">
        <v>215</v>
      </c>
    </row>
    <row r="83" spans="1:18" x14ac:dyDescent="0.25">
      <c r="A83" s="3" t="s">
        <v>216</v>
      </c>
    </row>
    <row r="84" spans="1:18" x14ac:dyDescent="0.25">
      <c r="A84" s="22" t="s">
        <v>217</v>
      </c>
      <c r="B84" s="23"/>
      <c r="C84" s="23"/>
      <c r="D84" s="23"/>
      <c r="E84" s="23"/>
      <c r="F84" s="23"/>
      <c r="G84" s="23"/>
      <c r="H84" s="23"/>
      <c r="I84" s="23"/>
      <c r="J84" s="23"/>
      <c r="K84" s="23"/>
      <c r="L84" s="23"/>
      <c r="M84" s="23"/>
      <c r="N84" s="23"/>
      <c r="O84" s="23"/>
      <c r="P84" s="23"/>
      <c r="Q84" s="23"/>
      <c r="R84" s="23"/>
    </row>
    <row r="85" spans="1:18" x14ac:dyDescent="0.25">
      <c r="A85" s="22" t="s">
        <v>218</v>
      </c>
      <c r="B85" s="23"/>
      <c r="C85" s="23"/>
      <c r="D85" s="23"/>
      <c r="E85" s="23"/>
      <c r="F85" s="23"/>
      <c r="G85" s="23"/>
      <c r="H85" s="23"/>
      <c r="I85" s="23"/>
      <c r="J85" s="23"/>
      <c r="K85" s="23"/>
      <c r="L85" s="23"/>
      <c r="M85" s="23"/>
      <c r="N85" s="23"/>
      <c r="O85" s="23"/>
      <c r="P85" s="23"/>
      <c r="Q85" s="23"/>
      <c r="R85" s="23"/>
    </row>
    <row r="86" spans="1:18" ht="30" customHeight="1" x14ac:dyDescent="0.25">
      <c r="A86" s="22" t="s">
        <v>219</v>
      </c>
      <c r="B86" s="23"/>
      <c r="C86" s="23"/>
      <c r="D86" s="23"/>
      <c r="E86" s="23"/>
      <c r="F86" s="23"/>
      <c r="G86" s="23"/>
      <c r="H86" s="23"/>
      <c r="I86" s="23"/>
      <c r="J86" s="23"/>
      <c r="K86" s="23"/>
      <c r="L86" s="23"/>
      <c r="M86" s="23"/>
      <c r="N86" s="23"/>
      <c r="O86" s="23"/>
      <c r="P86" s="23"/>
      <c r="Q86" s="23"/>
      <c r="R86" s="23"/>
    </row>
    <row r="87" spans="1:18" ht="30" customHeight="1" x14ac:dyDescent="0.25">
      <c r="A87" s="22" t="s">
        <v>215</v>
      </c>
      <c r="B87" s="23"/>
      <c r="C87" s="23"/>
      <c r="D87" s="23"/>
      <c r="E87" s="23"/>
      <c r="F87" s="23"/>
      <c r="G87" s="23"/>
      <c r="H87" s="23"/>
      <c r="I87" s="23"/>
      <c r="J87" s="23"/>
      <c r="K87" s="23"/>
      <c r="L87" s="23"/>
      <c r="M87" s="23"/>
      <c r="N87" s="23"/>
      <c r="O87" s="23"/>
      <c r="P87" s="23"/>
      <c r="Q87" s="23"/>
      <c r="R87" s="23"/>
    </row>
    <row r="88" spans="1:18" ht="30" customHeight="1" x14ac:dyDescent="0.25">
      <c r="A88" s="22" t="s">
        <v>220</v>
      </c>
      <c r="B88" s="23"/>
      <c r="C88" s="23"/>
      <c r="D88" s="23"/>
      <c r="E88" s="23"/>
      <c r="F88" s="23"/>
      <c r="G88" s="23"/>
      <c r="H88" s="23"/>
      <c r="I88" s="23"/>
      <c r="J88" s="23"/>
      <c r="K88" s="23"/>
      <c r="L88" s="23"/>
      <c r="M88" s="23"/>
      <c r="N88" s="23"/>
      <c r="O88" s="23"/>
      <c r="P88" s="23"/>
      <c r="Q88" s="23"/>
      <c r="R88" s="23"/>
    </row>
    <row r="89" spans="1:18" ht="30" customHeight="1" x14ac:dyDescent="0.25">
      <c r="A89" s="22" t="s">
        <v>221</v>
      </c>
      <c r="B89" s="23"/>
      <c r="C89" s="23"/>
      <c r="D89" s="23"/>
      <c r="E89" s="23"/>
      <c r="F89" s="23"/>
      <c r="G89" s="23"/>
      <c r="H89" s="23"/>
      <c r="I89" s="23"/>
      <c r="J89" s="23"/>
      <c r="K89" s="23"/>
      <c r="L89" s="23"/>
      <c r="M89" s="23"/>
      <c r="N89" s="23"/>
      <c r="O89" s="23"/>
      <c r="P89" s="23"/>
      <c r="Q89" s="23"/>
      <c r="R89" s="23"/>
    </row>
    <row r="90" spans="1:18" ht="30" customHeight="1" x14ac:dyDescent="0.25">
      <c r="A90" s="22" t="s">
        <v>222</v>
      </c>
      <c r="B90" s="23"/>
      <c r="C90" s="23"/>
      <c r="D90" s="23"/>
      <c r="E90" s="23"/>
      <c r="F90" s="23"/>
      <c r="G90" s="23"/>
      <c r="H90" s="23"/>
      <c r="I90" s="23"/>
      <c r="J90" s="23"/>
      <c r="K90" s="23"/>
      <c r="L90" s="23"/>
      <c r="M90" s="23"/>
      <c r="N90" s="23"/>
      <c r="O90" s="23"/>
      <c r="P90" s="23"/>
      <c r="Q90" s="23"/>
      <c r="R90" s="23"/>
    </row>
    <row r="91" spans="1:18" ht="30" customHeight="1" x14ac:dyDescent="0.25">
      <c r="A91" s="22" t="s">
        <v>223</v>
      </c>
      <c r="B91" s="23"/>
      <c r="C91" s="23"/>
      <c r="D91" s="23"/>
      <c r="E91" s="23"/>
      <c r="F91" s="23"/>
      <c r="G91" s="23"/>
      <c r="H91" s="23"/>
      <c r="I91" s="23"/>
      <c r="J91" s="23"/>
      <c r="K91" s="23"/>
      <c r="L91" s="23"/>
      <c r="M91" s="23"/>
      <c r="N91" s="23"/>
      <c r="O91" s="23"/>
      <c r="P91" s="23"/>
      <c r="Q91" s="23"/>
      <c r="R91" s="23"/>
    </row>
    <row r="92" spans="1:18" ht="30" customHeight="1" x14ac:dyDescent="0.25">
      <c r="A92" s="22" t="s">
        <v>224</v>
      </c>
      <c r="B92" s="23"/>
      <c r="C92" s="23"/>
      <c r="D92" s="23"/>
      <c r="E92" s="23"/>
      <c r="F92" s="23"/>
      <c r="G92" s="23"/>
      <c r="H92" s="23"/>
      <c r="I92" s="23"/>
      <c r="J92" s="23"/>
      <c r="K92" s="23"/>
      <c r="L92" s="23"/>
      <c r="M92" s="23"/>
      <c r="N92" s="23"/>
      <c r="O92" s="23"/>
      <c r="P92" s="23"/>
      <c r="Q92" s="23"/>
      <c r="R92" s="23"/>
    </row>
    <row r="93" spans="1:18" ht="30" customHeight="1" x14ac:dyDescent="0.25">
      <c r="A93" s="22" t="s">
        <v>225</v>
      </c>
      <c r="B93" s="23"/>
      <c r="C93" s="23"/>
      <c r="D93" s="23"/>
      <c r="E93" s="23"/>
      <c r="F93" s="23"/>
      <c r="G93" s="23"/>
      <c r="H93" s="23"/>
      <c r="I93" s="23"/>
      <c r="J93" s="23"/>
      <c r="K93" s="23"/>
      <c r="L93" s="23"/>
      <c r="M93" s="23"/>
      <c r="N93" s="23"/>
      <c r="O93" s="23"/>
      <c r="P93" s="23"/>
      <c r="Q93" s="23"/>
      <c r="R93" s="23"/>
    </row>
    <row r="94" spans="1:18" ht="30" customHeight="1" x14ac:dyDescent="0.25">
      <c r="A94" s="22" t="s">
        <v>226</v>
      </c>
      <c r="B94" s="23"/>
      <c r="C94" s="23"/>
      <c r="D94" s="23"/>
      <c r="E94" s="23"/>
      <c r="F94" s="23"/>
      <c r="G94" s="23"/>
      <c r="H94" s="23"/>
      <c r="I94" s="23"/>
      <c r="J94" s="23"/>
      <c r="K94" s="23"/>
      <c r="L94" s="23"/>
      <c r="M94" s="23"/>
      <c r="N94" s="23"/>
      <c r="O94" s="23"/>
      <c r="P94" s="23"/>
      <c r="Q94" s="23"/>
      <c r="R94" s="23"/>
    </row>
    <row r="95" spans="1:18" ht="30" customHeight="1" x14ac:dyDescent="0.25">
      <c r="A95" s="22" t="s">
        <v>227</v>
      </c>
      <c r="B95" s="23"/>
      <c r="C95" s="23"/>
      <c r="D95" s="23"/>
      <c r="E95" s="23"/>
      <c r="F95" s="23"/>
      <c r="G95" s="23"/>
      <c r="H95" s="23"/>
      <c r="I95" s="23"/>
      <c r="J95" s="23"/>
      <c r="K95" s="23"/>
      <c r="L95" s="23"/>
      <c r="M95" s="23"/>
      <c r="N95" s="23"/>
      <c r="O95" s="23"/>
      <c r="P95" s="23"/>
      <c r="Q95" s="23"/>
      <c r="R95" s="23"/>
    </row>
    <row r="96" spans="1:18" ht="30" customHeight="1" x14ac:dyDescent="0.25">
      <c r="A96" s="22" t="s">
        <v>228</v>
      </c>
      <c r="B96" s="23"/>
      <c r="C96" s="23"/>
      <c r="D96" s="23"/>
      <c r="E96" s="23"/>
      <c r="F96" s="23"/>
      <c r="G96" s="23"/>
      <c r="H96" s="23"/>
      <c r="I96" s="23"/>
      <c r="J96" s="23"/>
      <c r="K96" s="23"/>
      <c r="L96" s="23"/>
      <c r="M96" s="23"/>
      <c r="N96" s="23"/>
      <c r="O96" s="23"/>
      <c r="P96" s="23"/>
      <c r="Q96" s="23"/>
      <c r="R96" s="23"/>
    </row>
  </sheetData>
  <mergeCells count="22">
    <mergeCell ref="O4:P4"/>
    <mergeCell ref="Q4:R4"/>
    <mergeCell ref="A1:R1"/>
    <mergeCell ref="A2:R2"/>
    <mergeCell ref="A84:R84"/>
    <mergeCell ref="E4:F4"/>
    <mergeCell ref="G4:H4"/>
    <mergeCell ref="I4:J4"/>
    <mergeCell ref="K4:L4"/>
    <mergeCell ref="M4:N4"/>
    <mergeCell ref="A85:R85"/>
    <mergeCell ref="A86:R86"/>
    <mergeCell ref="A87:R87"/>
    <mergeCell ref="A88:R88"/>
    <mergeCell ref="A89:R89"/>
    <mergeCell ref="A95:R95"/>
    <mergeCell ref="A96:R96"/>
    <mergeCell ref="A90:R90"/>
    <mergeCell ref="A91:R91"/>
    <mergeCell ref="A92:R92"/>
    <mergeCell ref="A93:R93"/>
    <mergeCell ref="A94:R94"/>
  </mergeCells>
  <pageMargins left="0.75" right="0.75" top="1" bottom="1" header="0.5" footer="0.5"/>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4"/>
  <dimension ref="A1:R96"/>
  <sheetViews>
    <sheetView zoomScale="80" workbookViewId="0">
      <pane xSplit="4" topLeftCell="E1" activePane="topRight" state="frozen"/>
      <selection sqref="A1:R1"/>
      <selection pane="topRight" sqref="A1:R1"/>
    </sheetView>
  </sheetViews>
  <sheetFormatPr defaultColWidth="11.42578125" defaultRowHeight="15" x14ac:dyDescent="0.25"/>
  <cols>
    <col min="1" max="1" width="50" customWidth="1"/>
  </cols>
  <sheetData>
    <row r="1" spans="1:18" x14ac:dyDescent="0.25">
      <c r="A1" s="26" t="s">
        <v>122</v>
      </c>
      <c r="B1" s="23"/>
      <c r="C1" s="23"/>
      <c r="D1" s="23"/>
      <c r="E1" s="23"/>
      <c r="F1" s="23"/>
      <c r="G1" s="23"/>
      <c r="H1" s="23"/>
      <c r="I1" s="23"/>
      <c r="J1" s="23"/>
      <c r="K1" s="23"/>
      <c r="L1" s="23"/>
      <c r="M1" s="23"/>
      <c r="N1" s="23"/>
      <c r="O1" s="23"/>
      <c r="P1" s="23"/>
      <c r="Q1" s="23"/>
      <c r="R1" s="23"/>
    </row>
    <row r="2" spans="1:18" x14ac:dyDescent="0.25">
      <c r="A2" s="27" t="s">
        <v>300</v>
      </c>
      <c r="B2" s="23"/>
      <c r="C2" s="23"/>
      <c r="D2" s="23"/>
      <c r="E2" s="23"/>
      <c r="F2" s="23"/>
      <c r="G2" s="23"/>
      <c r="H2" s="23"/>
      <c r="I2" s="23"/>
      <c r="J2" s="23"/>
      <c r="K2" s="23"/>
      <c r="L2" s="23"/>
      <c r="M2" s="23"/>
      <c r="N2" s="23"/>
      <c r="O2" s="23"/>
      <c r="P2" s="23"/>
      <c r="Q2" s="23"/>
      <c r="R2" s="23"/>
    </row>
    <row r="4" spans="1:18" ht="30" customHeight="1" x14ac:dyDescent="0.25">
      <c r="A4" s="4"/>
      <c r="B4" s="5" t="s">
        <v>123</v>
      </c>
      <c r="C4" s="5" t="s">
        <v>124</v>
      </c>
      <c r="D4" s="6" t="s">
        <v>123</v>
      </c>
      <c r="E4" s="24" t="s">
        <v>125</v>
      </c>
      <c r="F4" s="25"/>
      <c r="G4" s="24" t="s">
        <v>126</v>
      </c>
      <c r="H4" s="25"/>
      <c r="I4" s="24" t="s">
        <v>127</v>
      </c>
      <c r="J4" s="25"/>
      <c r="K4" s="24" t="s">
        <v>128</v>
      </c>
      <c r="L4" s="25"/>
      <c r="M4" s="24" t="s">
        <v>129</v>
      </c>
      <c r="N4" s="25"/>
      <c r="O4" s="24" t="s">
        <v>130</v>
      </c>
      <c r="P4" s="25"/>
      <c r="Q4" s="24" t="s">
        <v>131</v>
      </c>
      <c r="R4" s="25"/>
    </row>
    <row r="5" spans="1:18" x14ac:dyDescent="0.25">
      <c r="A5" s="7"/>
      <c r="B5" s="8" t="s">
        <v>132</v>
      </c>
      <c r="C5" s="8" t="s">
        <v>133</v>
      </c>
      <c r="D5" s="7" t="s">
        <v>134</v>
      </c>
      <c r="E5" s="8" t="s">
        <v>135</v>
      </c>
      <c r="F5" s="7" t="s">
        <v>136</v>
      </c>
      <c r="G5" s="8" t="s">
        <v>135</v>
      </c>
      <c r="H5" s="7" t="s">
        <v>136</v>
      </c>
      <c r="I5" s="8" t="s">
        <v>135</v>
      </c>
      <c r="J5" s="7" t="s">
        <v>136</v>
      </c>
      <c r="K5" s="8" t="s">
        <v>135</v>
      </c>
      <c r="L5" s="7" t="s">
        <v>136</v>
      </c>
      <c r="M5" s="8" t="s">
        <v>135</v>
      </c>
      <c r="N5" s="7" t="s">
        <v>136</v>
      </c>
      <c r="O5" s="8" t="s">
        <v>135</v>
      </c>
      <c r="P5" s="7" t="s">
        <v>136</v>
      </c>
      <c r="Q5" s="8" t="s">
        <v>135</v>
      </c>
      <c r="R5" s="7" t="s">
        <v>136</v>
      </c>
    </row>
    <row r="6" spans="1:18" x14ac:dyDescent="0.25">
      <c r="A6" s="9" t="s">
        <v>137</v>
      </c>
      <c r="B6" s="10"/>
      <c r="C6" s="10"/>
      <c r="D6" s="11"/>
      <c r="E6" s="10"/>
      <c r="F6" s="11"/>
      <c r="G6" s="10"/>
      <c r="H6" s="11"/>
      <c r="I6" s="10"/>
      <c r="J6" s="11"/>
      <c r="K6" s="10"/>
      <c r="L6" s="11"/>
      <c r="M6" s="10"/>
      <c r="N6" s="11"/>
      <c r="O6" s="10"/>
      <c r="P6" s="11"/>
      <c r="Q6" s="10"/>
      <c r="R6" s="12"/>
    </row>
    <row r="7" spans="1:18" x14ac:dyDescent="0.25">
      <c r="A7" s="11" t="s">
        <v>138</v>
      </c>
      <c r="B7" s="13">
        <v>14530</v>
      </c>
      <c r="C7" s="14">
        <f>(12188/B7*100)</f>
        <v>83.881624225739841</v>
      </c>
      <c r="D7" s="15">
        <v>2342</v>
      </c>
      <c r="E7" s="14">
        <v>15.551627910000001</v>
      </c>
      <c r="F7" s="16">
        <v>0.76652571000000003</v>
      </c>
      <c r="G7" s="14">
        <v>84.448372090000007</v>
      </c>
      <c r="H7" s="16">
        <v>0.76652571000000003</v>
      </c>
      <c r="I7" s="14" t="s">
        <v>139</v>
      </c>
      <c r="J7" s="16" t="s">
        <v>139</v>
      </c>
      <c r="K7" s="14">
        <v>0</v>
      </c>
      <c r="L7" s="16">
        <v>0</v>
      </c>
      <c r="M7" s="14">
        <v>0</v>
      </c>
      <c r="N7" s="16">
        <v>0</v>
      </c>
      <c r="O7" s="14">
        <v>0</v>
      </c>
      <c r="P7" s="16">
        <v>0</v>
      </c>
      <c r="Q7" s="14">
        <v>0</v>
      </c>
      <c r="R7" s="16">
        <v>0</v>
      </c>
    </row>
    <row r="8" spans="1:18" x14ac:dyDescent="0.25">
      <c r="A8" s="11" t="s">
        <v>140</v>
      </c>
      <c r="B8" s="13">
        <v>7007</v>
      </c>
      <c r="C8" s="14">
        <f>(5837/B8*100)</f>
        <v>83.302411873840441</v>
      </c>
      <c r="D8" s="15">
        <v>1170</v>
      </c>
      <c r="E8" s="14">
        <v>23.79107265</v>
      </c>
      <c r="F8" s="16">
        <v>1.4342014000000001</v>
      </c>
      <c r="G8" s="14">
        <v>76.208927349999996</v>
      </c>
      <c r="H8" s="16">
        <v>1.4342014000000001</v>
      </c>
      <c r="I8" s="14" t="s">
        <v>139</v>
      </c>
      <c r="J8" s="16" t="s">
        <v>139</v>
      </c>
      <c r="K8" s="14">
        <v>0</v>
      </c>
      <c r="L8" s="16">
        <v>0</v>
      </c>
      <c r="M8" s="14">
        <v>0</v>
      </c>
      <c r="N8" s="16">
        <v>0</v>
      </c>
      <c r="O8" s="14">
        <v>0</v>
      </c>
      <c r="P8" s="16">
        <v>0</v>
      </c>
      <c r="Q8" s="14">
        <v>0</v>
      </c>
      <c r="R8" s="16">
        <v>0</v>
      </c>
    </row>
    <row r="9" spans="1:18" x14ac:dyDescent="0.25">
      <c r="A9" s="11" t="s">
        <v>141</v>
      </c>
      <c r="B9" s="13">
        <v>9651</v>
      </c>
      <c r="C9" s="14">
        <f>(8124/B9*100)</f>
        <v>84.17780540876592</v>
      </c>
      <c r="D9" s="15">
        <v>1527</v>
      </c>
      <c r="E9" s="14">
        <v>21.17666633</v>
      </c>
      <c r="F9" s="16">
        <v>1.12677681</v>
      </c>
      <c r="G9" s="14">
        <v>78.823333669999997</v>
      </c>
      <c r="H9" s="16">
        <v>1.12677681</v>
      </c>
      <c r="I9" s="14" t="s">
        <v>139</v>
      </c>
      <c r="J9" s="16" t="s">
        <v>139</v>
      </c>
      <c r="K9" s="14">
        <v>0</v>
      </c>
      <c r="L9" s="16">
        <v>0</v>
      </c>
      <c r="M9" s="14">
        <v>0</v>
      </c>
      <c r="N9" s="16">
        <v>0</v>
      </c>
      <c r="O9" s="14">
        <v>0</v>
      </c>
      <c r="P9" s="16">
        <v>0</v>
      </c>
      <c r="Q9" s="14">
        <v>0</v>
      </c>
      <c r="R9" s="16">
        <v>0</v>
      </c>
    </row>
    <row r="10" spans="1:18" x14ac:dyDescent="0.25">
      <c r="A10" s="11" t="s">
        <v>142</v>
      </c>
      <c r="B10" s="13">
        <v>20058</v>
      </c>
      <c r="C10" s="14">
        <f>(16690/B10*100)</f>
        <v>83.208694785123143</v>
      </c>
      <c r="D10" s="15">
        <v>3368</v>
      </c>
      <c r="E10" s="14">
        <v>12.37718555</v>
      </c>
      <c r="F10" s="16">
        <v>0.80655074999999998</v>
      </c>
      <c r="G10" s="14">
        <v>87.622814450000007</v>
      </c>
      <c r="H10" s="16">
        <v>0.80655074999999998</v>
      </c>
      <c r="I10" s="14" t="s">
        <v>139</v>
      </c>
      <c r="J10" s="16" t="s">
        <v>139</v>
      </c>
      <c r="K10" s="14">
        <v>0</v>
      </c>
      <c r="L10" s="16">
        <v>0</v>
      </c>
      <c r="M10" s="14">
        <v>0</v>
      </c>
      <c r="N10" s="16">
        <v>0</v>
      </c>
      <c r="O10" s="14">
        <v>0</v>
      </c>
      <c r="P10" s="16">
        <v>0</v>
      </c>
      <c r="Q10" s="14">
        <v>0</v>
      </c>
      <c r="R10" s="16">
        <v>0</v>
      </c>
    </row>
    <row r="11" spans="1:18" x14ac:dyDescent="0.25">
      <c r="A11" s="11" t="s">
        <v>143</v>
      </c>
      <c r="B11" s="13">
        <v>7053</v>
      </c>
      <c r="C11" s="14">
        <f>(5899/B11*100)</f>
        <v>83.638168155394865</v>
      </c>
      <c r="D11" s="15">
        <v>1154</v>
      </c>
      <c r="E11" s="14">
        <v>35.060358170000001</v>
      </c>
      <c r="F11" s="16">
        <v>1.63836016</v>
      </c>
      <c r="G11" s="14">
        <v>64.939641829999999</v>
      </c>
      <c r="H11" s="16">
        <v>1.63836016</v>
      </c>
      <c r="I11" s="14" t="s">
        <v>139</v>
      </c>
      <c r="J11" s="16" t="s">
        <v>139</v>
      </c>
      <c r="K11" s="14">
        <v>0</v>
      </c>
      <c r="L11" s="16">
        <v>0</v>
      </c>
      <c r="M11" s="14">
        <v>0</v>
      </c>
      <c r="N11" s="16">
        <v>0</v>
      </c>
      <c r="O11" s="14">
        <v>0</v>
      </c>
      <c r="P11" s="16">
        <v>0</v>
      </c>
      <c r="Q11" s="14">
        <v>0</v>
      </c>
      <c r="R11" s="16">
        <v>0</v>
      </c>
    </row>
    <row r="12" spans="1:18" x14ac:dyDescent="0.25">
      <c r="A12" s="11" t="s">
        <v>144</v>
      </c>
      <c r="B12" s="13">
        <v>6894</v>
      </c>
      <c r="C12" s="14">
        <f>(5764/B12*100)</f>
        <v>83.608935306063245</v>
      </c>
      <c r="D12" s="15">
        <v>1130</v>
      </c>
      <c r="E12" s="14">
        <v>21.142509539999999</v>
      </c>
      <c r="F12" s="16">
        <v>1.33556319</v>
      </c>
      <c r="G12" s="14">
        <v>78.857490459999994</v>
      </c>
      <c r="H12" s="16">
        <v>1.33556319</v>
      </c>
      <c r="I12" s="14" t="s">
        <v>139</v>
      </c>
      <c r="J12" s="16" t="s">
        <v>139</v>
      </c>
      <c r="K12" s="14">
        <v>0</v>
      </c>
      <c r="L12" s="16">
        <v>0</v>
      </c>
      <c r="M12" s="14">
        <v>0</v>
      </c>
      <c r="N12" s="16">
        <v>0</v>
      </c>
      <c r="O12" s="14">
        <v>0</v>
      </c>
      <c r="P12" s="16">
        <v>0</v>
      </c>
      <c r="Q12" s="14">
        <v>0</v>
      </c>
      <c r="R12" s="16">
        <v>0</v>
      </c>
    </row>
    <row r="13" spans="1:18" x14ac:dyDescent="0.25">
      <c r="A13" s="11" t="s">
        <v>145</v>
      </c>
      <c r="B13" s="13">
        <v>7161</v>
      </c>
      <c r="C13" s="14">
        <f>(6052/B13*100)</f>
        <v>84.513336126239352</v>
      </c>
      <c r="D13" s="15">
        <v>1109</v>
      </c>
      <c r="E13" s="14">
        <v>15.401694300000001</v>
      </c>
      <c r="F13" s="16">
        <v>1.10189666</v>
      </c>
      <c r="G13" s="14">
        <v>84.598305699999997</v>
      </c>
      <c r="H13" s="16">
        <v>1.10189666</v>
      </c>
      <c r="I13" s="14" t="s">
        <v>139</v>
      </c>
      <c r="J13" s="16" t="s">
        <v>139</v>
      </c>
      <c r="K13" s="14">
        <v>0</v>
      </c>
      <c r="L13" s="16">
        <v>0</v>
      </c>
      <c r="M13" s="14">
        <v>0</v>
      </c>
      <c r="N13" s="16">
        <v>0</v>
      </c>
      <c r="O13" s="14">
        <v>0</v>
      </c>
      <c r="P13" s="16">
        <v>0</v>
      </c>
      <c r="Q13" s="14">
        <v>0</v>
      </c>
      <c r="R13" s="16">
        <v>0</v>
      </c>
    </row>
    <row r="14" spans="1:18" x14ac:dyDescent="0.25">
      <c r="A14" s="11" t="s">
        <v>146</v>
      </c>
      <c r="B14" s="13">
        <v>5587</v>
      </c>
      <c r="C14" s="14">
        <f>(4649/B14*100)</f>
        <v>83.211025595131559</v>
      </c>
      <c r="D14" s="15">
        <v>938</v>
      </c>
      <c r="E14" s="14">
        <v>13.026924380000001</v>
      </c>
      <c r="F14" s="16">
        <v>1.3563348399999999</v>
      </c>
      <c r="G14" s="14">
        <v>86.973075620000003</v>
      </c>
      <c r="H14" s="16">
        <v>1.3563348399999999</v>
      </c>
      <c r="I14" s="14" t="s">
        <v>139</v>
      </c>
      <c r="J14" s="16" t="s">
        <v>139</v>
      </c>
      <c r="K14" s="14">
        <v>0</v>
      </c>
      <c r="L14" s="16">
        <v>0</v>
      </c>
      <c r="M14" s="14">
        <v>0</v>
      </c>
      <c r="N14" s="16">
        <v>0</v>
      </c>
      <c r="O14" s="14">
        <v>0</v>
      </c>
      <c r="P14" s="16">
        <v>0</v>
      </c>
      <c r="Q14" s="14">
        <v>0</v>
      </c>
      <c r="R14" s="16">
        <v>0</v>
      </c>
    </row>
    <row r="15" spans="1:18" x14ac:dyDescent="0.25">
      <c r="A15" s="11" t="s">
        <v>147</v>
      </c>
      <c r="B15" s="13">
        <v>5882</v>
      </c>
      <c r="C15" s="14">
        <f>(4896/B15*100)</f>
        <v>83.236994219653184</v>
      </c>
      <c r="D15" s="15">
        <v>986</v>
      </c>
      <c r="E15" s="14">
        <v>15.771939140000001</v>
      </c>
      <c r="F15" s="16">
        <v>1.1307985199999999</v>
      </c>
      <c r="G15" s="14">
        <v>84.228060859999999</v>
      </c>
      <c r="H15" s="16">
        <v>1.1307985199999999</v>
      </c>
      <c r="I15" s="14" t="s">
        <v>139</v>
      </c>
      <c r="J15" s="16" t="s">
        <v>139</v>
      </c>
      <c r="K15" s="14">
        <v>0</v>
      </c>
      <c r="L15" s="16">
        <v>0</v>
      </c>
      <c r="M15" s="14">
        <v>0</v>
      </c>
      <c r="N15" s="16">
        <v>0</v>
      </c>
      <c r="O15" s="14">
        <v>0</v>
      </c>
      <c r="P15" s="16">
        <v>0</v>
      </c>
      <c r="Q15" s="14">
        <v>0</v>
      </c>
      <c r="R15" s="16">
        <v>0</v>
      </c>
    </row>
    <row r="16" spans="1:18" x14ac:dyDescent="0.25">
      <c r="A16" s="11" t="s">
        <v>148</v>
      </c>
      <c r="B16" s="13">
        <v>6108</v>
      </c>
      <c r="C16" s="14">
        <f>(5078/B16*100)</f>
        <v>83.136869679109367</v>
      </c>
      <c r="D16" s="15">
        <v>1030</v>
      </c>
      <c r="E16" s="14">
        <v>21.912120699999999</v>
      </c>
      <c r="F16" s="16">
        <v>1.44642173</v>
      </c>
      <c r="G16" s="14">
        <v>78.087879299999997</v>
      </c>
      <c r="H16" s="16">
        <v>1.44642173</v>
      </c>
      <c r="I16" s="14" t="s">
        <v>139</v>
      </c>
      <c r="J16" s="16" t="s">
        <v>139</v>
      </c>
      <c r="K16" s="14">
        <v>0</v>
      </c>
      <c r="L16" s="16">
        <v>0</v>
      </c>
      <c r="M16" s="14">
        <v>0</v>
      </c>
      <c r="N16" s="16">
        <v>0</v>
      </c>
      <c r="O16" s="14">
        <v>0</v>
      </c>
      <c r="P16" s="16">
        <v>0</v>
      </c>
      <c r="Q16" s="14">
        <v>0</v>
      </c>
      <c r="R16" s="16">
        <v>0</v>
      </c>
    </row>
    <row r="17" spans="1:18" x14ac:dyDescent="0.25">
      <c r="A17" s="11" t="s">
        <v>149</v>
      </c>
      <c r="B17" s="13">
        <v>6504</v>
      </c>
      <c r="C17" s="14">
        <f>(5432/B17*100)</f>
        <v>83.517835178351788</v>
      </c>
      <c r="D17" s="15">
        <v>1072</v>
      </c>
      <c r="E17" s="14">
        <v>16.56377569</v>
      </c>
      <c r="F17" s="16">
        <v>1.00581125</v>
      </c>
      <c r="G17" s="14">
        <v>83.43622431</v>
      </c>
      <c r="H17" s="16">
        <v>1.00581125</v>
      </c>
      <c r="I17" s="14" t="s">
        <v>139</v>
      </c>
      <c r="J17" s="16" t="s">
        <v>139</v>
      </c>
      <c r="K17" s="14">
        <v>0</v>
      </c>
      <c r="L17" s="16">
        <v>0</v>
      </c>
      <c r="M17" s="14">
        <v>0</v>
      </c>
      <c r="N17" s="16">
        <v>0</v>
      </c>
      <c r="O17" s="14">
        <v>0</v>
      </c>
      <c r="P17" s="16">
        <v>0</v>
      </c>
      <c r="Q17" s="14">
        <v>0</v>
      </c>
      <c r="R17" s="16">
        <v>0</v>
      </c>
    </row>
    <row r="18" spans="1:18" x14ac:dyDescent="0.25">
      <c r="A18" s="11" t="s">
        <v>150</v>
      </c>
      <c r="B18" s="13">
        <v>5532</v>
      </c>
      <c r="C18" s="14">
        <f>(4633/B18*100)</f>
        <v>83.749096167751276</v>
      </c>
      <c r="D18" s="15">
        <v>899</v>
      </c>
      <c r="E18" s="14">
        <v>31.28936861</v>
      </c>
      <c r="F18" s="16">
        <v>2.0469431199999999</v>
      </c>
      <c r="G18" s="14">
        <v>68.710631390000003</v>
      </c>
      <c r="H18" s="16">
        <v>2.0469431199999999</v>
      </c>
      <c r="I18" s="14" t="s">
        <v>139</v>
      </c>
      <c r="J18" s="16" t="s">
        <v>139</v>
      </c>
      <c r="K18" s="14">
        <v>0</v>
      </c>
      <c r="L18" s="16">
        <v>0</v>
      </c>
      <c r="M18" s="14">
        <v>0</v>
      </c>
      <c r="N18" s="16">
        <v>0</v>
      </c>
      <c r="O18" s="14">
        <v>0</v>
      </c>
      <c r="P18" s="16">
        <v>0</v>
      </c>
      <c r="Q18" s="14">
        <v>0</v>
      </c>
      <c r="R18" s="16">
        <v>0</v>
      </c>
    </row>
    <row r="19" spans="1:18" x14ac:dyDescent="0.25">
      <c r="A19" s="11" t="s">
        <v>151</v>
      </c>
      <c r="B19" s="13">
        <v>5658</v>
      </c>
      <c r="C19" s="14">
        <f>(4733/B19*100)</f>
        <v>83.6514669494521</v>
      </c>
      <c r="D19" s="15">
        <v>925</v>
      </c>
      <c r="E19" s="14">
        <v>27.99273453</v>
      </c>
      <c r="F19" s="16">
        <v>1.5450671199999999</v>
      </c>
      <c r="G19" s="14">
        <v>72.007265469999993</v>
      </c>
      <c r="H19" s="16">
        <v>1.5450671199999999</v>
      </c>
      <c r="I19" s="14" t="s">
        <v>139</v>
      </c>
      <c r="J19" s="16" t="s">
        <v>139</v>
      </c>
      <c r="K19" s="14">
        <v>0</v>
      </c>
      <c r="L19" s="16">
        <v>0</v>
      </c>
      <c r="M19" s="14">
        <v>0</v>
      </c>
      <c r="N19" s="16">
        <v>0</v>
      </c>
      <c r="O19" s="14">
        <v>0</v>
      </c>
      <c r="P19" s="16">
        <v>0</v>
      </c>
      <c r="Q19" s="14">
        <v>0</v>
      </c>
      <c r="R19" s="16">
        <v>0</v>
      </c>
    </row>
    <row r="20" spans="1:18" x14ac:dyDescent="0.25">
      <c r="A20" s="11" t="s">
        <v>152</v>
      </c>
      <c r="B20" s="13">
        <v>3371</v>
      </c>
      <c r="C20" s="14">
        <f>(2823/B20*100)</f>
        <v>83.743696232571935</v>
      </c>
      <c r="D20" s="15">
        <v>548</v>
      </c>
      <c r="E20" s="14">
        <v>21.951593500000001</v>
      </c>
      <c r="F20" s="16">
        <v>2.0325906200000001</v>
      </c>
      <c r="G20" s="14">
        <v>78.048406499999999</v>
      </c>
      <c r="H20" s="16">
        <v>2.0325906200000001</v>
      </c>
      <c r="I20" s="14" t="s">
        <v>139</v>
      </c>
      <c r="J20" s="16" t="s">
        <v>139</v>
      </c>
      <c r="K20" s="14">
        <v>0</v>
      </c>
      <c r="L20" s="16">
        <v>0</v>
      </c>
      <c r="M20" s="14">
        <v>0</v>
      </c>
      <c r="N20" s="16">
        <v>0</v>
      </c>
      <c r="O20" s="14">
        <v>0</v>
      </c>
      <c r="P20" s="16">
        <v>0</v>
      </c>
      <c r="Q20" s="14">
        <v>0</v>
      </c>
      <c r="R20" s="16">
        <v>0</v>
      </c>
    </row>
    <row r="21" spans="1:18" x14ac:dyDescent="0.25">
      <c r="A21" s="11" t="s">
        <v>153</v>
      </c>
      <c r="B21" s="17" t="s">
        <v>154</v>
      </c>
      <c r="C21" s="17" t="s">
        <v>154</v>
      </c>
      <c r="D21" s="18" t="s">
        <v>154</v>
      </c>
      <c r="E21" s="17" t="s">
        <v>154</v>
      </c>
      <c r="F21" s="18" t="s">
        <v>154</v>
      </c>
      <c r="G21" s="17" t="s">
        <v>154</v>
      </c>
      <c r="H21" s="18" t="s">
        <v>154</v>
      </c>
      <c r="I21" s="17" t="s">
        <v>154</v>
      </c>
      <c r="J21" s="18" t="s">
        <v>154</v>
      </c>
      <c r="K21" s="17" t="s">
        <v>154</v>
      </c>
      <c r="L21" s="18" t="s">
        <v>154</v>
      </c>
      <c r="M21" s="17" t="s">
        <v>154</v>
      </c>
      <c r="N21" s="18" t="s">
        <v>154</v>
      </c>
      <c r="O21" s="17" t="s">
        <v>154</v>
      </c>
      <c r="P21" s="18" t="s">
        <v>154</v>
      </c>
      <c r="Q21" s="17" t="s">
        <v>154</v>
      </c>
      <c r="R21" s="18" t="s">
        <v>154</v>
      </c>
    </row>
    <row r="22" spans="1:18" x14ac:dyDescent="0.25">
      <c r="A22" s="11" t="s">
        <v>155</v>
      </c>
      <c r="B22" s="13">
        <v>6598</v>
      </c>
      <c r="C22" s="14">
        <f>(5586/B22*100)</f>
        <v>84.662018793573807</v>
      </c>
      <c r="D22" s="15">
        <v>1012</v>
      </c>
      <c r="E22" s="14">
        <v>28.554463219999999</v>
      </c>
      <c r="F22" s="16">
        <v>1.8442608599999999</v>
      </c>
      <c r="G22" s="14">
        <v>71.445536779999998</v>
      </c>
      <c r="H22" s="16">
        <v>1.8442608599999999</v>
      </c>
      <c r="I22" s="14" t="s">
        <v>139</v>
      </c>
      <c r="J22" s="16" t="s">
        <v>139</v>
      </c>
      <c r="K22" s="14">
        <v>0</v>
      </c>
      <c r="L22" s="16">
        <v>0</v>
      </c>
      <c r="M22" s="14">
        <v>0</v>
      </c>
      <c r="N22" s="16">
        <v>0</v>
      </c>
      <c r="O22" s="14">
        <v>0</v>
      </c>
      <c r="P22" s="16">
        <v>0</v>
      </c>
      <c r="Q22" s="14">
        <v>0</v>
      </c>
      <c r="R22" s="16">
        <v>0</v>
      </c>
    </row>
    <row r="23" spans="1:18" x14ac:dyDescent="0.25">
      <c r="A23" s="11" t="s">
        <v>156</v>
      </c>
      <c r="B23" s="13">
        <v>11583</v>
      </c>
      <c r="C23" s="14">
        <f>(9653/B23*100)</f>
        <v>83.337650004316671</v>
      </c>
      <c r="D23" s="15">
        <v>1930</v>
      </c>
      <c r="E23" s="14">
        <v>33.506649869999997</v>
      </c>
      <c r="F23" s="16">
        <v>1.5152180399999999</v>
      </c>
      <c r="G23" s="14">
        <v>66.493350129999996</v>
      </c>
      <c r="H23" s="16">
        <v>1.5152180399999999</v>
      </c>
      <c r="I23" s="14" t="s">
        <v>139</v>
      </c>
      <c r="J23" s="16" t="s">
        <v>139</v>
      </c>
      <c r="K23" s="14">
        <v>0</v>
      </c>
      <c r="L23" s="16">
        <v>0</v>
      </c>
      <c r="M23" s="14">
        <v>0</v>
      </c>
      <c r="N23" s="16">
        <v>0</v>
      </c>
      <c r="O23" s="14">
        <v>0</v>
      </c>
      <c r="P23" s="16">
        <v>0</v>
      </c>
      <c r="Q23" s="14">
        <v>0</v>
      </c>
      <c r="R23" s="16">
        <v>0</v>
      </c>
    </row>
    <row r="24" spans="1:18" x14ac:dyDescent="0.25">
      <c r="A24" s="11" t="s">
        <v>157</v>
      </c>
      <c r="B24" s="13">
        <v>6647</v>
      </c>
      <c r="C24" s="14">
        <f>(5482/B24*100)</f>
        <v>82.473296223860387</v>
      </c>
      <c r="D24" s="15">
        <v>1165</v>
      </c>
      <c r="E24" s="14">
        <v>13.595980539999999</v>
      </c>
      <c r="F24" s="16">
        <v>1.22010548</v>
      </c>
      <c r="G24" s="14">
        <v>86.404019460000001</v>
      </c>
      <c r="H24" s="16">
        <v>1.22010548</v>
      </c>
      <c r="I24" s="14" t="s">
        <v>139</v>
      </c>
      <c r="J24" s="16" t="s">
        <v>139</v>
      </c>
      <c r="K24" s="14">
        <v>0</v>
      </c>
      <c r="L24" s="16">
        <v>0</v>
      </c>
      <c r="M24" s="14">
        <v>0</v>
      </c>
      <c r="N24" s="16">
        <v>0</v>
      </c>
      <c r="O24" s="14">
        <v>0</v>
      </c>
      <c r="P24" s="16">
        <v>0</v>
      </c>
      <c r="Q24" s="14">
        <v>0</v>
      </c>
      <c r="R24" s="16">
        <v>0</v>
      </c>
    </row>
    <row r="25" spans="1:18" x14ac:dyDescent="0.25">
      <c r="A25" s="11" t="s">
        <v>158</v>
      </c>
      <c r="B25" s="13">
        <v>5581</v>
      </c>
      <c r="C25" s="14">
        <f>(4597/B25*100)</f>
        <v>82.368751119870993</v>
      </c>
      <c r="D25" s="15">
        <v>984</v>
      </c>
      <c r="E25" s="14">
        <v>14.644972539999999</v>
      </c>
      <c r="F25" s="16">
        <v>1.1489729799999999</v>
      </c>
      <c r="G25" s="14">
        <v>85.355027460000002</v>
      </c>
      <c r="H25" s="16">
        <v>1.1489729799999999</v>
      </c>
      <c r="I25" s="14" t="s">
        <v>139</v>
      </c>
      <c r="J25" s="16" t="s">
        <v>139</v>
      </c>
      <c r="K25" s="14">
        <v>0</v>
      </c>
      <c r="L25" s="16">
        <v>0</v>
      </c>
      <c r="M25" s="14">
        <v>0</v>
      </c>
      <c r="N25" s="16">
        <v>0</v>
      </c>
      <c r="O25" s="14">
        <v>0</v>
      </c>
      <c r="P25" s="16">
        <v>0</v>
      </c>
      <c r="Q25" s="14">
        <v>0</v>
      </c>
      <c r="R25" s="16">
        <v>0</v>
      </c>
    </row>
    <row r="26" spans="1:18" x14ac:dyDescent="0.25">
      <c r="A26" s="11" t="s">
        <v>159</v>
      </c>
      <c r="B26" s="13">
        <v>4869</v>
      </c>
      <c r="C26" s="14">
        <f>(4044/B26*100)</f>
        <v>83.056069008009857</v>
      </c>
      <c r="D26" s="15">
        <v>825</v>
      </c>
      <c r="E26" s="14">
        <v>22.7264239</v>
      </c>
      <c r="F26" s="16">
        <v>1.5705168300000001</v>
      </c>
      <c r="G26" s="14">
        <v>77.2735761</v>
      </c>
      <c r="H26" s="16">
        <v>1.5705168300000001</v>
      </c>
      <c r="I26" s="14" t="s">
        <v>139</v>
      </c>
      <c r="J26" s="16" t="s">
        <v>139</v>
      </c>
      <c r="K26" s="14">
        <v>0</v>
      </c>
      <c r="L26" s="16">
        <v>0</v>
      </c>
      <c r="M26" s="14">
        <v>0</v>
      </c>
      <c r="N26" s="16">
        <v>0</v>
      </c>
      <c r="O26" s="14">
        <v>0</v>
      </c>
      <c r="P26" s="16">
        <v>0</v>
      </c>
      <c r="Q26" s="14">
        <v>0</v>
      </c>
      <c r="R26" s="16">
        <v>0</v>
      </c>
    </row>
    <row r="27" spans="1:18" x14ac:dyDescent="0.25">
      <c r="A27" s="11" t="s">
        <v>160</v>
      </c>
      <c r="B27" s="13">
        <v>5299</v>
      </c>
      <c r="C27" s="14">
        <f>(4441/B27*100)</f>
        <v>83.808265710511421</v>
      </c>
      <c r="D27" s="15">
        <v>858</v>
      </c>
      <c r="E27" s="14">
        <v>29.059980410000001</v>
      </c>
      <c r="F27" s="16">
        <v>1.3519915600000001</v>
      </c>
      <c r="G27" s="14">
        <v>70.940019590000006</v>
      </c>
      <c r="H27" s="16">
        <v>1.3519915600000001</v>
      </c>
      <c r="I27" s="14" t="s">
        <v>139</v>
      </c>
      <c r="J27" s="16" t="s">
        <v>139</v>
      </c>
      <c r="K27" s="14">
        <v>0</v>
      </c>
      <c r="L27" s="16">
        <v>0</v>
      </c>
      <c r="M27" s="14">
        <v>0</v>
      </c>
      <c r="N27" s="16">
        <v>0</v>
      </c>
      <c r="O27" s="14">
        <v>0</v>
      </c>
      <c r="P27" s="16">
        <v>0</v>
      </c>
      <c r="Q27" s="14">
        <v>0</v>
      </c>
      <c r="R27" s="16">
        <v>0</v>
      </c>
    </row>
    <row r="28" spans="1:18" x14ac:dyDescent="0.25">
      <c r="A28" s="11" t="s">
        <v>161</v>
      </c>
      <c r="B28" s="13">
        <v>7568</v>
      </c>
      <c r="C28" s="14">
        <f>(6435/B28*100)</f>
        <v>85.029069767441854</v>
      </c>
      <c r="D28" s="15">
        <v>1133</v>
      </c>
      <c r="E28" s="14">
        <v>35.769487259999998</v>
      </c>
      <c r="F28" s="16">
        <v>1.5287290099999999</v>
      </c>
      <c r="G28" s="14">
        <v>64.230512739999995</v>
      </c>
      <c r="H28" s="16">
        <v>1.5287290099999999</v>
      </c>
      <c r="I28" s="14" t="s">
        <v>139</v>
      </c>
      <c r="J28" s="16" t="s">
        <v>139</v>
      </c>
      <c r="K28" s="14">
        <v>0</v>
      </c>
      <c r="L28" s="16">
        <v>0</v>
      </c>
      <c r="M28" s="14">
        <v>0</v>
      </c>
      <c r="N28" s="16">
        <v>0</v>
      </c>
      <c r="O28" s="14">
        <v>0</v>
      </c>
      <c r="P28" s="16">
        <v>0</v>
      </c>
      <c r="Q28" s="14">
        <v>0</v>
      </c>
      <c r="R28" s="16">
        <v>0</v>
      </c>
    </row>
    <row r="29" spans="1:18" x14ac:dyDescent="0.25">
      <c r="A29" s="11" t="s">
        <v>162</v>
      </c>
      <c r="B29" s="13">
        <v>5385</v>
      </c>
      <c r="C29" s="14">
        <f>(4468/B29*100)</f>
        <v>82.971216341689882</v>
      </c>
      <c r="D29" s="15">
        <v>917</v>
      </c>
      <c r="E29" s="14">
        <v>17.488884280000001</v>
      </c>
      <c r="F29" s="16">
        <v>1.3788412400000001</v>
      </c>
      <c r="G29" s="14">
        <v>82.511115720000006</v>
      </c>
      <c r="H29" s="16">
        <v>1.3788412400000001</v>
      </c>
      <c r="I29" s="14" t="s">
        <v>139</v>
      </c>
      <c r="J29" s="16" t="s">
        <v>139</v>
      </c>
      <c r="K29" s="14">
        <v>0</v>
      </c>
      <c r="L29" s="16">
        <v>0</v>
      </c>
      <c r="M29" s="14">
        <v>0</v>
      </c>
      <c r="N29" s="16">
        <v>0</v>
      </c>
      <c r="O29" s="14">
        <v>0</v>
      </c>
      <c r="P29" s="16">
        <v>0</v>
      </c>
      <c r="Q29" s="14">
        <v>0</v>
      </c>
      <c r="R29" s="16">
        <v>0</v>
      </c>
    </row>
    <row r="30" spans="1:18" x14ac:dyDescent="0.25">
      <c r="A30" s="11" t="s">
        <v>163</v>
      </c>
      <c r="B30" s="13">
        <v>4520</v>
      </c>
      <c r="C30" s="14">
        <f>(3789/B30*100)</f>
        <v>83.827433628318587</v>
      </c>
      <c r="D30" s="15">
        <v>731</v>
      </c>
      <c r="E30" s="14">
        <v>15.812401169999999</v>
      </c>
      <c r="F30" s="16">
        <v>1.36960733</v>
      </c>
      <c r="G30" s="14">
        <v>84.187598829999999</v>
      </c>
      <c r="H30" s="16">
        <v>1.36960733</v>
      </c>
      <c r="I30" s="14" t="s">
        <v>139</v>
      </c>
      <c r="J30" s="16" t="s">
        <v>139</v>
      </c>
      <c r="K30" s="14">
        <v>0</v>
      </c>
      <c r="L30" s="16">
        <v>0</v>
      </c>
      <c r="M30" s="14">
        <v>0</v>
      </c>
      <c r="N30" s="16">
        <v>0</v>
      </c>
      <c r="O30" s="14">
        <v>0</v>
      </c>
      <c r="P30" s="16">
        <v>0</v>
      </c>
      <c r="Q30" s="14">
        <v>0</v>
      </c>
      <c r="R30" s="16">
        <v>0</v>
      </c>
    </row>
    <row r="31" spans="1:18" x14ac:dyDescent="0.25">
      <c r="A31" s="11" t="s">
        <v>164</v>
      </c>
      <c r="B31" s="13">
        <v>5456</v>
      </c>
      <c r="C31" s="14">
        <f>(4512/B31*100)</f>
        <v>82.697947214076251</v>
      </c>
      <c r="D31" s="15">
        <v>944</v>
      </c>
      <c r="E31" s="14">
        <v>24.067205269999999</v>
      </c>
      <c r="F31" s="16">
        <v>1.3893621700000001</v>
      </c>
      <c r="G31" s="14">
        <v>75.932794729999998</v>
      </c>
      <c r="H31" s="16">
        <v>1.3893621700000001</v>
      </c>
      <c r="I31" s="14" t="s">
        <v>139</v>
      </c>
      <c r="J31" s="16" t="s">
        <v>139</v>
      </c>
      <c r="K31" s="14">
        <v>0</v>
      </c>
      <c r="L31" s="16">
        <v>0</v>
      </c>
      <c r="M31" s="14">
        <v>0</v>
      </c>
      <c r="N31" s="16">
        <v>0</v>
      </c>
      <c r="O31" s="14">
        <v>0</v>
      </c>
      <c r="P31" s="16">
        <v>0</v>
      </c>
      <c r="Q31" s="14">
        <v>0</v>
      </c>
      <c r="R31" s="16">
        <v>0</v>
      </c>
    </row>
    <row r="32" spans="1:18" x14ac:dyDescent="0.25">
      <c r="A32" s="11" t="s">
        <v>165</v>
      </c>
      <c r="B32" s="17" t="s">
        <v>154</v>
      </c>
      <c r="C32" s="17" t="s">
        <v>154</v>
      </c>
      <c r="D32" s="18" t="s">
        <v>154</v>
      </c>
      <c r="E32" s="17" t="s">
        <v>154</v>
      </c>
      <c r="F32" s="18" t="s">
        <v>154</v>
      </c>
      <c r="G32" s="17" t="s">
        <v>154</v>
      </c>
      <c r="H32" s="18" t="s">
        <v>154</v>
      </c>
      <c r="I32" s="17" t="s">
        <v>154</v>
      </c>
      <c r="J32" s="18" t="s">
        <v>154</v>
      </c>
      <c r="K32" s="17" t="s">
        <v>154</v>
      </c>
      <c r="L32" s="18" t="s">
        <v>154</v>
      </c>
      <c r="M32" s="17" t="s">
        <v>154</v>
      </c>
      <c r="N32" s="18" t="s">
        <v>154</v>
      </c>
      <c r="O32" s="17" t="s">
        <v>154</v>
      </c>
      <c r="P32" s="18" t="s">
        <v>154</v>
      </c>
      <c r="Q32" s="17" t="s">
        <v>154</v>
      </c>
      <c r="R32" s="18" t="s">
        <v>154</v>
      </c>
    </row>
    <row r="33" spans="1:18" x14ac:dyDescent="0.25">
      <c r="A33" s="11" t="s">
        <v>166</v>
      </c>
      <c r="B33" s="13">
        <v>7325</v>
      </c>
      <c r="C33" s="14">
        <f>(6115/B33*100)</f>
        <v>83.481228668941981</v>
      </c>
      <c r="D33" s="15">
        <v>1210</v>
      </c>
      <c r="E33" s="14">
        <v>21.83236132</v>
      </c>
      <c r="F33" s="16">
        <v>1.52906952</v>
      </c>
      <c r="G33" s="14">
        <v>78.167638679999996</v>
      </c>
      <c r="H33" s="16">
        <v>1.52906952</v>
      </c>
      <c r="I33" s="14" t="s">
        <v>139</v>
      </c>
      <c r="J33" s="16" t="s">
        <v>139</v>
      </c>
      <c r="K33" s="14">
        <v>0</v>
      </c>
      <c r="L33" s="16">
        <v>0</v>
      </c>
      <c r="M33" s="14">
        <v>0</v>
      </c>
      <c r="N33" s="16">
        <v>0</v>
      </c>
      <c r="O33" s="14">
        <v>0</v>
      </c>
      <c r="P33" s="16">
        <v>0</v>
      </c>
      <c r="Q33" s="14">
        <v>0</v>
      </c>
      <c r="R33" s="16">
        <v>0</v>
      </c>
    </row>
    <row r="34" spans="1:18" x14ac:dyDescent="0.25">
      <c r="A34" s="11" t="s">
        <v>167</v>
      </c>
      <c r="B34" s="13">
        <v>6350</v>
      </c>
      <c r="C34" s="14">
        <f>(5356/B34*100)</f>
        <v>84.346456692913392</v>
      </c>
      <c r="D34" s="15">
        <v>994</v>
      </c>
      <c r="E34" s="14">
        <v>29.1995933</v>
      </c>
      <c r="F34" s="16">
        <v>1.58323189</v>
      </c>
      <c r="G34" s="14">
        <v>70.800406699999996</v>
      </c>
      <c r="H34" s="16">
        <v>1.58323189</v>
      </c>
      <c r="I34" s="14" t="s">
        <v>139</v>
      </c>
      <c r="J34" s="16" t="s">
        <v>139</v>
      </c>
      <c r="K34" s="14">
        <v>0</v>
      </c>
      <c r="L34" s="16">
        <v>0</v>
      </c>
      <c r="M34" s="14">
        <v>0</v>
      </c>
      <c r="N34" s="16">
        <v>0</v>
      </c>
      <c r="O34" s="14">
        <v>0</v>
      </c>
      <c r="P34" s="16">
        <v>0</v>
      </c>
      <c r="Q34" s="14">
        <v>0</v>
      </c>
      <c r="R34" s="16">
        <v>0</v>
      </c>
    </row>
    <row r="35" spans="1:18" x14ac:dyDescent="0.25">
      <c r="A35" s="11" t="s">
        <v>168</v>
      </c>
      <c r="B35" s="13">
        <v>6406</v>
      </c>
      <c r="C35" s="14">
        <f>(5336/B35*100)</f>
        <v>83.296909147674057</v>
      </c>
      <c r="D35" s="15">
        <v>1070</v>
      </c>
      <c r="E35" s="14">
        <v>25.927384239999999</v>
      </c>
      <c r="F35" s="16">
        <v>1.3697977699999999</v>
      </c>
      <c r="G35" s="14">
        <v>74.072615760000005</v>
      </c>
      <c r="H35" s="16">
        <v>1.3697977699999999</v>
      </c>
      <c r="I35" s="14" t="s">
        <v>139</v>
      </c>
      <c r="J35" s="16" t="s">
        <v>139</v>
      </c>
      <c r="K35" s="14">
        <v>0</v>
      </c>
      <c r="L35" s="16">
        <v>0</v>
      </c>
      <c r="M35" s="14">
        <v>0</v>
      </c>
      <c r="N35" s="16">
        <v>0</v>
      </c>
      <c r="O35" s="14">
        <v>0</v>
      </c>
      <c r="P35" s="16">
        <v>0</v>
      </c>
      <c r="Q35" s="14">
        <v>0</v>
      </c>
      <c r="R35" s="16">
        <v>0</v>
      </c>
    </row>
    <row r="36" spans="1:18" x14ac:dyDescent="0.25">
      <c r="A36" s="11" t="s">
        <v>169</v>
      </c>
      <c r="B36" s="13">
        <v>6736</v>
      </c>
      <c r="C36" s="14">
        <f>(5649/B36*100)</f>
        <v>83.862826603325416</v>
      </c>
      <c r="D36" s="15">
        <v>1087</v>
      </c>
      <c r="E36" s="14">
        <v>24.639759529999999</v>
      </c>
      <c r="F36" s="16">
        <v>1.2354533400000001</v>
      </c>
      <c r="G36" s="14">
        <v>75.360240469999994</v>
      </c>
      <c r="H36" s="16">
        <v>1.2354533400000001</v>
      </c>
      <c r="I36" s="14" t="s">
        <v>139</v>
      </c>
      <c r="J36" s="16" t="s">
        <v>139</v>
      </c>
      <c r="K36" s="14">
        <v>0</v>
      </c>
      <c r="L36" s="16">
        <v>0</v>
      </c>
      <c r="M36" s="14">
        <v>0</v>
      </c>
      <c r="N36" s="16">
        <v>0</v>
      </c>
      <c r="O36" s="14">
        <v>0</v>
      </c>
      <c r="P36" s="16">
        <v>0</v>
      </c>
      <c r="Q36" s="14">
        <v>0</v>
      </c>
      <c r="R36" s="16">
        <v>0</v>
      </c>
    </row>
    <row r="37" spans="1:18" x14ac:dyDescent="0.25">
      <c r="A37" s="11" t="s">
        <v>170</v>
      </c>
      <c r="B37" s="13">
        <v>5458</v>
      </c>
      <c r="C37" s="14">
        <f>(4553/B37*100)</f>
        <v>83.418834737999276</v>
      </c>
      <c r="D37" s="15">
        <v>905</v>
      </c>
      <c r="E37" s="14">
        <v>19.376041229999998</v>
      </c>
      <c r="F37" s="16">
        <v>1.4154158400000001</v>
      </c>
      <c r="G37" s="14">
        <v>80.623958770000002</v>
      </c>
      <c r="H37" s="16">
        <v>1.4154158400000001</v>
      </c>
      <c r="I37" s="14" t="s">
        <v>139</v>
      </c>
      <c r="J37" s="16" t="s">
        <v>139</v>
      </c>
      <c r="K37" s="14">
        <v>0</v>
      </c>
      <c r="L37" s="16">
        <v>0</v>
      </c>
      <c r="M37" s="14">
        <v>0</v>
      </c>
      <c r="N37" s="16">
        <v>0</v>
      </c>
      <c r="O37" s="14">
        <v>0</v>
      </c>
      <c r="P37" s="16">
        <v>0</v>
      </c>
      <c r="Q37" s="14">
        <v>0</v>
      </c>
      <c r="R37" s="16">
        <v>0</v>
      </c>
    </row>
    <row r="38" spans="1:18" x14ac:dyDescent="0.25">
      <c r="A38" s="11" t="s">
        <v>171</v>
      </c>
      <c r="B38" s="17" t="s">
        <v>154</v>
      </c>
      <c r="C38" s="17" t="s">
        <v>154</v>
      </c>
      <c r="D38" s="18" t="s">
        <v>154</v>
      </c>
      <c r="E38" s="17" t="s">
        <v>154</v>
      </c>
      <c r="F38" s="18" t="s">
        <v>154</v>
      </c>
      <c r="G38" s="17" t="s">
        <v>154</v>
      </c>
      <c r="H38" s="18" t="s">
        <v>154</v>
      </c>
      <c r="I38" s="17" t="s">
        <v>154</v>
      </c>
      <c r="J38" s="18" t="s">
        <v>154</v>
      </c>
      <c r="K38" s="17" t="s">
        <v>154</v>
      </c>
      <c r="L38" s="18" t="s">
        <v>154</v>
      </c>
      <c r="M38" s="17" t="s">
        <v>154</v>
      </c>
      <c r="N38" s="18" t="s">
        <v>154</v>
      </c>
      <c r="O38" s="17" t="s">
        <v>154</v>
      </c>
      <c r="P38" s="18" t="s">
        <v>154</v>
      </c>
      <c r="Q38" s="17" t="s">
        <v>154</v>
      </c>
      <c r="R38" s="18" t="s">
        <v>154</v>
      </c>
    </row>
    <row r="39" spans="1:18" x14ac:dyDescent="0.25">
      <c r="A39" s="11" t="s">
        <v>172</v>
      </c>
      <c r="B39" s="13">
        <v>5895</v>
      </c>
      <c r="C39" s="14">
        <f>(4865/B39*100)</f>
        <v>82.527565733672603</v>
      </c>
      <c r="D39" s="15">
        <v>1030</v>
      </c>
      <c r="E39" s="14">
        <v>44.736416769999998</v>
      </c>
      <c r="F39" s="16">
        <v>1.9045478300000001</v>
      </c>
      <c r="G39" s="14">
        <v>55.263583230000002</v>
      </c>
      <c r="H39" s="16">
        <v>1.9045478300000001</v>
      </c>
      <c r="I39" s="14" t="s">
        <v>139</v>
      </c>
      <c r="J39" s="16" t="s">
        <v>139</v>
      </c>
      <c r="K39" s="14">
        <v>0</v>
      </c>
      <c r="L39" s="16">
        <v>0</v>
      </c>
      <c r="M39" s="14">
        <v>0</v>
      </c>
      <c r="N39" s="16">
        <v>0</v>
      </c>
      <c r="O39" s="14">
        <v>0</v>
      </c>
      <c r="P39" s="16">
        <v>0</v>
      </c>
      <c r="Q39" s="14">
        <v>0</v>
      </c>
      <c r="R39" s="16">
        <v>0</v>
      </c>
    </row>
    <row r="40" spans="1:18" x14ac:dyDescent="0.25">
      <c r="A40" s="11" t="s">
        <v>173</v>
      </c>
      <c r="B40" s="13">
        <v>14157</v>
      </c>
      <c r="C40" s="14">
        <f>(11700/B40*100)</f>
        <v>82.644628099173559</v>
      </c>
      <c r="D40" s="15">
        <v>2457</v>
      </c>
      <c r="E40" s="14">
        <v>17.11852777</v>
      </c>
      <c r="F40" s="16">
        <v>1.2263159299999999</v>
      </c>
      <c r="G40" s="14">
        <v>82.88147223</v>
      </c>
      <c r="H40" s="16">
        <v>1.2263159299999999</v>
      </c>
      <c r="I40" s="14" t="s">
        <v>139</v>
      </c>
      <c r="J40" s="16" t="s">
        <v>139</v>
      </c>
      <c r="K40" s="14">
        <v>0</v>
      </c>
      <c r="L40" s="16">
        <v>0</v>
      </c>
      <c r="M40" s="14">
        <v>0</v>
      </c>
      <c r="N40" s="16">
        <v>0</v>
      </c>
      <c r="O40" s="14">
        <v>0</v>
      </c>
      <c r="P40" s="16">
        <v>0</v>
      </c>
      <c r="Q40" s="14">
        <v>0</v>
      </c>
      <c r="R40" s="16">
        <v>0</v>
      </c>
    </row>
    <row r="41" spans="1:18" x14ac:dyDescent="0.25">
      <c r="A41" s="11" t="s">
        <v>174</v>
      </c>
      <c r="B41" s="13">
        <v>5712</v>
      </c>
      <c r="C41" s="14">
        <f>(4785/B41*100)</f>
        <v>83.77100840336135</v>
      </c>
      <c r="D41" s="15">
        <v>927</v>
      </c>
      <c r="E41" s="14">
        <v>13.53854864</v>
      </c>
      <c r="F41" s="16">
        <v>1.1425723299999999</v>
      </c>
      <c r="G41" s="14">
        <v>86.461451359999998</v>
      </c>
      <c r="H41" s="16">
        <v>1.1425723299999999</v>
      </c>
      <c r="I41" s="14" t="s">
        <v>139</v>
      </c>
      <c r="J41" s="16" t="s">
        <v>139</v>
      </c>
      <c r="K41" s="14">
        <v>0</v>
      </c>
      <c r="L41" s="16">
        <v>0</v>
      </c>
      <c r="M41" s="14">
        <v>0</v>
      </c>
      <c r="N41" s="16">
        <v>0</v>
      </c>
      <c r="O41" s="14">
        <v>0</v>
      </c>
      <c r="P41" s="16">
        <v>0</v>
      </c>
      <c r="Q41" s="14">
        <v>0</v>
      </c>
      <c r="R41" s="16">
        <v>0</v>
      </c>
    </row>
    <row r="42" spans="1:18" x14ac:dyDescent="0.25">
      <c r="A42" s="11" t="s">
        <v>175</v>
      </c>
      <c r="B42" s="13">
        <f>IF(COUNT(B7:B41) &gt; 0, AVERAGE(B7:B41), "\u2014")</f>
        <v>7266.90625</v>
      </c>
      <c r="C42" s="14">
        <f>IF(COUNT(C7:C41) &gt; 0, AVERAGE(C7:C41), "—")</f>
        <v>83.504972993809972</v>
      </c>
      <c r="D42" s="15">
        <f>IF(COUNT(D7:D41) &gt; 0, AVERAGE(D7:D41), "—")</f>
        <v>1199.28125</v>
      </c>
      <c r="E42" s="14">
        <f>IF(COUNT(E7:E41) &gt; 0, AVERAGE(E7:E41), "—")</f>
        <v>22.643895383125002</v>
      </c>
      <c r="F42" s="16">
        <f>IF(COUNT(F7:F41) &gt; 0, SQRT(SUMSQ(F7:F41)/(COUNT(F7:F41)*COUNT(F7:F41)) ), "—")</f>
        <v>0.25138230217168211</v>
      </c>
      <c r="G42" s="14">
        <f>IF(COUNT(G7:G41) &gt; 0, AVERAGE(G7:G41), "—")</f>
        <v>77.356104616875001</v>
      </c>
      <c r="H42" s="16">
        <f>IF(COUNT(H7:H41) &gt; 0, SQRT(SUMSQ(H7:H41)/(COUNT(H7:H41)*COUNT(H7:H41)) ), "—")</f>
        <v>0.25138230217168211</v>
      </c>
      <c r="I42" s="14" t="str">
        <f>IF(COUNT(I7:I41) &gt; 0, AVERAGE(I7:I41), "—")</f>
        <v>—</v>
      </c>
      <c r="J42" s="16" t="str">
        <f>IF(COUNT(J7:J41) &gt; 0, SQRT(SUMSQ(J7:J41)/(COUNT(J7:J41)*COUNT(J7:J41)) ), "—")</f>
        <v>—</v>
      </c>
      <c r="K42" s="14">
        <f>IF(COUNT(K7:K41) &gt; 0, AVERAGE(K7:K41), "—")</f>
        <v>0</v>
      </c>
      <c r="L42" s="16">
        <f>IF(COUNT(L7:L41) &gt; 0, SQRT(SUMSQ(L7:L41)/(COUNT(L7:L41)*COUNT(L7:L41)) ), "—")</f>
        <v>0</v>
      </c>
      <c r="M42" s="14">
        <f>IF(COUNT(M7:M41) &gt; 0, AVERAGE(M7:M41), "—")</f>
        <v>0</v>
      </c>
      <c r="N42" s="16">
        <f>IF(COUNT(N7:N41) &gt; 0, SQRT(SUMSQ(N7:N41)/(COUNT(N7:N41)*COUNT(N7:N41)) ), "—")</f>
        <v>0</v>
      </c>
      <c r="O42" s="14">
        <f>IF(COUNT(O7:O41) &gt; 0, AVERAGE(O7:O41), "—")</f>
        <v>0</v>
      </c>
      <c r="P42" s="16">
        <f>IF(COUNT(P7:P41) &gt; 0, SQRT(SUMSQ(P7:P41)/(COUNT(P7:P41)*COUNT(P7:P41)) ), "—")</f>
        <v>0</v>
      </c>
      <c r="Q42" s="14">
        <f>IF(COUNT(Q7:Q41) &gt; 0, AVERAGE(Q7:Q41), "—")</f>
        <v>0</v>
      </c>
      <c r="R42" s="16">
        <f>IF(COUNT(R7:R41) &gt; 0, SQRT(SUMSQ(R7:R41)/(COUNT(R7:R41)*COUNT(R7:R41)) ), "—")</f>
        <v>0</v>
      </c>
    </row>
    <row r="43" spans="1:18" x14ac:dyDescent="0.25">
      <c r="A43" s="9" t="s">
        <v>176</v>
      </c>
      <c r="B43" s="10"/>
      <c r="C43" s="10"/>
      <c r="D43" s="11"/>
      <c r="E43" s="10"/>
      <c r="F43" s="11"/>
      <c r="G43" s="10"/>
      <c r="H43" s="11"/>
      <c r="I43" s="10"/>
      <c r="J43" s="11"/>
      <c r="K43" s="10"/>
      <c r="L43" s="11"/>
      <c r="M43" s="10"/>
      <c r="N43" s="11"/>
      <c r="O43" s="10"/>
      <c r="P43" s="11"/>
      <c r="Q43" s="10"/>
      <c r="R43" s="12"/>
    </row>
    <row r="44" spans="1:18" x14ac:dyDescent="0.25">
      <c r="A44" s="11" t="s">
        <v>177</v>
      </c>
      <c r="B44" s="17" t="s">
        <v>154</v>
      </c>
      <c r="C44" s="17" t="s">
        <v>154</v>
      </c>
      <c r="D44" s="18" t="s">
        <v>154</v>
      </c>
      <c r="E44" s="17" t="s">
        <v>154</v>
      </c>
      <c r="F44" s="18" t="s">
        <v>154</v>
      </c>
      <c r="G44" s="17" t="s">
        <v>154</v>
      </c>
      <c r="H44" s="18" t="s">
        <v>154</v>
      </c>
      <c r="I44" s="17" t="s">
        <v>154</v>
      </c>
      <c r="J44" s="18" t="s">
        <v>154</v>
      </c>
      <c r="K44" s="17" t="s">
        <v>154</v>
      </c>
      <c r="L44" s="18" t="s">
        <v>154</v>
      </c>
      <c r="M44" s="17" t="s">
        <v>154</v>
      </c>
      <c r="N44" s="18" t="s">
        <v>154</v>
      </c>
      <c r="O44" s="17" t="s">
        <v>154</v>
      </c>
      <c r="P44" s="18" t="s">
        <v>154</v>
      </c>
      <c r="Q44" s="17" t="s">
        <v>154</v>
      </c>
      <c r="R44" s="18" t="s">
        <v>154</v>
      </c>
    </row>
    <row r="45" spans="1:18" x14ac:dyDescent="0.25">
      <c r="A45" s="11" t="s">
        <v>178</v>
      </c>
      <c r="B45" s="17" t="s">
        <v>154</v>
      </c>
      <c r="C45" s="17" t="s">
        <v>154</v>
      </c>
      <c r="D45" s="18" t="s">
        <v>154</v>
      </c>
      <c r="E45" s="17" t="s">
        <v>154</v>
      </c>
      <c r="F45" s="18" t="s">
        <v>154</v>
      </c>
      <c r="G45" s="17" t="s">
        <v>154</v>
      </c>
      <c r="H45" s="18" t="s">
        <v>154</v>
      </c>
      <c r="I45" s="17" t="s">
        <v>154</v>
      </c>
      <c r="J45" s="18" t="s">
        <v>154</v>
      </c>
      <c r="K45" s="17" t="s">
        <v>154</v>
      </c>
      <c r="L45" s="18" t="s">
        <v>154</v>
      </c>
      <c r="M45" s="17" t="s">
        <v>154</v>
      </c>
      <c r="N45" s="18" t="s">
        <v>154</v>
      </c>
      <c r="O45" s="17" t="s">
        <v>154</v>
      </c>
      <c r="P45" s="18" t="s">
        <v>154</v>
      </c>
      <c r="Q45" s="17" t="s">
        <v>154</v>
      </c>
      <c r="R45" s="18" t="s">
        <v>154</v>
      </c>
    </row>
    <row r="46" spans="1:18" x14ac:dyDescent="0.25">
      <c r="A46" s="11" t="s">
        <v>179</v>
      </c>
      <c r="B46" s="13">
        <v>23141</v>
      </c>
      <c r="C46" s="14">
        <f>(20323/B46*100)</f>
        <v>87.822479581694822</v>
      </c>
      <c r="D46" s="15">
        <v>2818</v>
      </c>
      <c r="E46" s="14">
        <v>40.131399500000001</v>
      </c>
      <c r="F46" s="16">
        <v>1.23420288</v>
      </c>
      <c r="G46" s="14">
        <v>59.868600499999999</v>
      </c>
      <c r="H46" s="16">
        <v>1.23420288</v>
      </c>
      <c r="I46" s="14" t="s">
        <v>139</v>
      </c>
      <c r="J46" s="16" t="s">
        <v>139</v>
      </c>
      <c r="K46" s="14">
        <v>0</v>
      </c>
      <c r="L46" s="16">
        <v>0</v>
      </c>
      <c r="M46" s="14">
        <v>0</v>
      </c>
      <c r="N46" s="16">
        <v>0</v>
      </c>
      <c r="O46" s="14">
        <v>0</v>
      </c>
      <c r="P46" s="16">
        <v>0</v>
      </c>
      <c r="Q46" s="14">
        <v>0</v>
      </c>
      <c r="R46" s="16">
        <v>0</v>
      </c>
    </row>
    <row r="47" spans="1:18" x14ac:dyDescent="0.25">
      <c r="A47" s="11" t="s">
        <v>180</v>
      </c>
      <c r="B47" s="13">
        <v>5928</v>
      </c>
      <c r="C47" s="14">
        <f>(4983/B47*100)</f>
        <v>84.058704453441294</v>
      </c>
      <c r="D47" s="15">
        <v>945</v>
      </c>
      <c r="E47" s="14">
        <v>36.0733958</v>
      </c>
      <c r="F47" s="16">
        <v>1.7522193500000001</v>
      </c>
      <c r="G47" s="14">
        <v>63.9266042</v>
      </c>
      <c r="H47" s="16">
        <v>1.7522193500000001</v>
      </c>
      <c r="I47" s="14" t="s">
        <v>139</v>
      </c>
      <c r="J47" s="16" t="s">
        <v>139</v>
      </c>
      <c r="K47" s="14">
        <v>0</v>
      </c>
      <c r="L47" s="16">
        <v>0</v>
      </c>
      <c r="M47" s="14">
        <v>0</v>
      </c>
      <c r="N47" s="16">
        <v>0</v>
      </c>
      <c r="O47" s="14">
        <v>0</v>
      </c>
      <c r="P47" s="16">
        <v>0</v>
      </c>
      <c r="Q47" s="14">
        <v>0</v>
      </c>
      <c r="R47" s="16">
        <v>0</v>
      </c>
    </row>
    <row r="48" spans="1:18" x14ac:dyDescent="0.25">
      <c r="A48" s="11" t="s">
        <v>181</v>
      </c>
      <c r="B48" s="13">
        <v>9841</v>
      </c>
      <c r="C48" s="14">
        <f>(8156/B48*100)</f>
        <v>82.877756325576669</v>
      </c>
      <c r="D48" s="15">
        <v>1685</v>
      </c>
      <c r="E48" s="14">
        <v>23.9978157</v>
      </c>
      <c r="F48" s="16">
        <v>1.53899505</v>
      </c>
      <c r="G48" s="14">
        <v>76.002184299999996</v>
      </c>
      <c r="H48" s="16">
        <v>1.53899505</v>
      </c>
      <c r="I48" s="14" t="s">
        <v>139</v>
      </c>
      <c r="J48" s="16" t="s">
        <v>139</v>
      </c>
      <c r="K48" s="14">
        <v>0</v>
      </c>
      <c r="L48" s="16">
        <v>0</v>
      </c>
      <c r="M48" s="14">
        <v>0</v>
      </c>
      <c r="N48" s="16">
        <v>0</v>
      </c>
      <c r="O48" s="14">
        <v>0</v>
      </c>
      <c r="P48" s="16">
        <v>0</v>
      </c>
      <c r="Q48" s="14">
        <v>0</v>
      </c>
      <c r="R48" s="16">
        <v>0</v>
      </c>
    </row>
    <row r="49" spans="1:18" x14ac:dyDescent="0.25">
      <c r="A49" s="11" t="s">
        <v>182</v>
      </c>
      <c r="B49" s="17" t="s">
        <v>154</v>
      </c>
      <c r="C49" s="17" t="s">
        <v>154</v>
      </c>
      <c r="D49" s="18" t="s">
        <v>154</v>
      </c>
      <c r="E49" s="17" t="s">
        <v>154</v>
      </c>
      <c r="F49" s="18" t="s">
        <v>154</v>
      </c>
      <c r="G49" s="17" t="s">
        <v>154</v>
      </c>
      <c r="H49" s="18" t="s">
        <v>154</v>
      </c>
      <c r="I49" s="17" t="s">
        <v>154</v>
      </c>
      <c r="J49" s="18" t="s">
        <v>154</v>
      </c>
      <c r="K49" s="17" t="s">
        <v>154</v>
      </c>
      <c r="L49" s="18" t="s">
        <v>154</v>
      </c>
      <c r="M49" s="17" t="s">
        <v>154</v>
      </c>
      <c r="N49" s="18" t="s">
        <v>154</v>
      </c>
      <c r="O49" s="17" t="s">
        <v>154</v>
      </c>
      <c r="P49" s="18" t="s">
        <v>154</v>
      </c>
      <c r="Q49" s="17" t="s">
        <v>154</v>
      </c>
      <c r="R49" s="18" t="s">
        <v>154</v>
      </c>
    </row>
    <row r="50" spans="1:18" x14ac:dyDescent="0.25">
      <c r="A50" s="11" t="s">
        <v>183</v>
      </c>
      <c r="B50" s="13">
        <v>11795</v>
      </c>
      <c r="C50" s="14">
        <f>(9958/B50*100)</f>
        <v>84.425604069520986</v>
      </c>
      <c r="D50" s="15">
        <v>1837</v>
      </c>
      <c r="E50" s="14">
        <v>41.016795569999999</v>
      </c>
      <c r="F50" s="16">
        <v>1.63279295</v>
      </c>
      <c r="G50" s="14">
        <v>58.983204430000001</v>
      </c>
      <c r="H50" s="16">
        <v>1.63279295</v>
      </c>
      <c r="I50" s="14" t="s">
        <v>139</v>
      </c>
      <c r="J50" s="16" t="s">
        <v>139</v>
      </c>
      <c r="K50" s="14">
        <v>0</v>
      </c>
      <c r="L50" s="16">
        <v>0</v>
      </c>
      <c r="M50" s="14">
        <v>0</v>
      </c>
      <c r="N50" s="16">
        <v>0</v>
      </c>
      <c r="O50" s="14">
        <v>0</v>
      </c>
      <c r="P50" s="16">
        <v>0</v>
      </c>
      <c r="Q50" s="14">
        <v>0</v>
      </c>
      <c r="R50" s="16">
        <v>0</v>
      </c>
    </row>
    <row r="51" spans="1:18" x14ac:dyDescent="0.25">
      <c r="A51" s="11" t="s">
        <v>184</v>
      </c>
      <c r="B51" s="13">
        <v>6866</v>
      </c>
      <c r="C51" s="14">
        <f>(5911/B51*100)</f>
        <v>86.090882609962122</v>
      </c>
      <c r="D51" s="15">
        <v>955</v>
      </c>
      <c r="E51" s="14">
        <v>37.616379340000002</v>
      </c>
      <c r="F51" s="16">
        <v>1.8730075399999999</v>
      </c>
      <c r="G51" s="14">
        <v>62.383620659999998</v>
      </c>
      <c r="H51" s="16">
        <v>1.8730075399999999</v>
      </c>
      <c r="I51" s="14" t="s">
        <v>139</v>
      </c>
      <c r="J51" s="16" t="s">
        <v>139</v>
      </c>
      <c r="K51" s="14">
        <v>0</v>
      </c>
      <c r="L51" s="16">
        <v>0</v>
      </c>
      <c r="M51" s="14">
        <v>0</v>
      </c>
      <c r="N51" s="16">
        <v>0</v>
      </c>
      <c r="O51" s="14">
        <v>0</v>
      </c>
      <c r="P51" s="16">
        <v>0</v>
      </c>
      <c r="Q51" s="14">
        <v>0</v>
      </c>
      <c r="R51" s="16">
        <v>0</v>
      </c>
    </row>
    <row r="52" spans="1:18" x14ac:dyDescent="0.25">
      <c r="A52" s="11" t="s">
        <v>185</v>
      </c>
      <c r="B52" s="13">
        <v>5809</v>
      </c>
      <c r="C52" s="14">
        <f>(4832/B52*100)</f>
        <v>83.181270442416945</v>
      </c>
      <c r="D52" s="15">
        <v>977</v>
      </c>
      <c r="E52" s="14">
        <v>27.302068859999999</v>
      </c>
      <c r="F52" s="16">
        <v>1.3552721700000001</v>
      </c>
      <c r="G52" s="14">
        <v>72.697931139999994</v>
      </c>
      <c r="H52" s="16">
        <v>1.3552721700000001</v>
      </c>
      <c r="I52" s="14" t="s">
        <v>139</v>
      </c>
      <c r="J52" s="16" t="s">
        <v>139</v>
      </c>
      <c r="K52" s="14">
        <v>0</v>
      </c>
      <c r="L52" s="16">
        <v>0</v>
      </c>
      <c r="M52" s="14">
        <v>0</v>
      </c>
      <c r="N52" s="16">
        <v>0</v>
      </c>
      <c r="O52" s="14">
        <v>0</v>
      </c>
      <c r="P52" s="16">
        <v>0</v>
      </c>
      <c r="Q52" s="14">
        <v>0</v>
      </c>
      <c r="R52" s="16">
        <v>0</v>
      </c>
    </row>
    <row r="53" spans="1:18" x14ac:dyDescent="0.25">
      <c r="A53" s="11" t="s">
        <v>186</v>
      </c>
      <c r="B53" s="13">
        <v>5571</v>
      </c>
      <c r="C53" s="14">
        <f>(4622/B53*100)</f>
        <v>82.965356309459708</v>
      </c>
      <c r="D53" s="15">
        <v>949</v>
      </c>
      <c r="E53" s="14">
        <v>40.707895469999997</v>
      </c>
      <c r="F53" s="16">
        <v>1.51373487</v>
      </c>
      <c r="G53" s="14">
        <v>59.292104530000003</v>
      </c>
      <c r="H53" s="16">
        <v>1.51373487</v>
      </c>
      <c r="I53" s="14" t="s">
        <v>139</v>
      </c>
      <c r="J53" s="16" t="s">
        <v>139</v>
      </c>
      <c r="K53" s="14">
        <v>0</v>
      </c>
      <c r="L53" s="16">
        <v>0</v>
      </c>
      <c r="M53" s="14">
        <v>0</v>
      </c>
      <c r="N53" s="16">
        <v>0</v>
      </c>
      <c r="O53" s="14">
        <v>0</v>
      </c>
      <c r="P53" s="16">
        <v>0</v>
      </c>
      <c r="Q53" s="14">
        <v>0</v>
      </c>
      <c r="R53" s="16">
        <v>0</v>
      </c>
    </row>
    <row r="54" spans="1:18" x14ac:dyDescent="0.25">
      <c r="A54" s="11" t="s">
        <v>187</v>
      </c>
      <c r="B54" s="17" t="s">
        <v>154</v>
      </c>
      <c r="C54" s="17" t="s">
        <v>154</v>
      </c>
      <c r="D54" s="18" t="s">
        <v>154</v>
      </c>
      <c r="E54" s="17" t="s">
        <v>154</v>
      </c>
      <c r="F54" s="18" t="s">
        <v>154</v>
      </c>
      <c r="G54" s="17" t="s">
        <v>154</v>
      </c>
      <c r="H54" s="18" t="s">
        <v>154</v>
      </c>
      <c r="I54" s="17" t="s">
        <v>154</v>
      </c>
      <c r="J54" s="18" t="s">
        <v>154</v>
      </c>
      <c r="K54" s="17" t="s">
        <v>154</v>
      </c>
      <c r="L54" s="18" t="s">
        <v>154</v>
      </c>
      <c r="M54" s="17" t="s">
        <v>154</v>
      </c>
      <c r="N54" s="18" t="s">
        <v>154</v>
      </c>
      <c r="O54" s="17" t="s">
        <v>154</v>
      </c>
      <c r="P54" s="18" t="s">
        <v>154</v>
      </c>
      <c r="Q54" s="17" t="s">
        <v>154</v>
      </c>
      <c r="R54" s="18" t="s">
        <v>154</v>
      </c>
    </row>
    <row r="55" spans="1:18" x14ac:dyDescent="0.25">
      <c r="A55" s="11" t="s">
        <v>188</v>
      </c>
      <c r="B55" s="17" t="s">
        <v>154</v>
      </c>
      <c r="C55" s="17" t="s">
        <v>154</v>
      </c>
      <c r="D55" s="18" t="s">
        <v>154</v>
      </c>
      <c r="E55" s="17" t="s">
        <v>154</v>
      </c>
      <c r="F55" s="18" t="s">
        <v>154</v>
      </c>
      <c r="G55" s="17" t="s">
        <v>154</v>
      </c>
      <c r="H55" s="18" t="s">
        <v>154</v>
      </c>
      <c r="I55" s="17" t="s">
        <v>154</v>
      </c>
      <c r="J55" s="18" t="s">
        <v>154</v>
      </c>
      <c r="K55" s="17" t="s">
        <v>154</v>
      </c>
      <c r="L55" s="18" t="s">
        <v>154</v>
      </c>
      <c r="M55" s="17" t="s">
        <v>154</v>
      </c>
      <c r="N55" s="18" t="s">
        <v>154</v>
      </c>
      <c r="O55" s="17" t="s">
        <v>154</v>
      </c>
      <c r="P55" s="18" t="s">
        <v>154</v>
      </c>
      <c r="Q55" s="17" t="s">
        <v>154</v>
      </c>
      <c r="R55" s="18" t="s">
        <v>154</v>
      </c>
    </row>
    <row r="56" spans="1:18" x14ac:dyDescent="0.25">
      <c r="A56" s="11" t="s">
        <v>189</v>
      </c>
      <c r="B56" s="13">
        <v>5359</v>
      </c>
      <c r="C56" s="14">
        <f>(4423/B56*100)</f>
        <v>82.534054860981527</v>
      </c>
      <c r="D56" s="15">
        <v>936</v>
      </c>
      <c r="E56" s="14">
        <v>14.355868279999999</v>
      </c>
      <c r="F56" s="16">
        <v>1.4454170200000001</v>
      </c>
      <c r="G56" s="14">
        <v>85.644131720000004</v>
      </c>
      <c r="H56" s="16">
        <v>1.4454170200000001</v>
      </c>
      <c r="I56" s="14" t="s">
        <v>139</v>
      </c>
      <c r="J56" s="16" t="s">
        <v>139</v>
      </c>
      <c r="K56" s="14">
        <v>0</v>
      </c>
      <c r="L56" s="16">
        <v>0</v>
      </c>
      <c r="M56" s="14">
        <v>0</v>
      </c>
      <c r="N56" s="16">
        <v>0</v>
      </c>
      <c r="O56" s="14">
        <v>0</v>
      </c>
      <c r="P56" s="16">
        <v>0</v>
      </c>
      <c r="Q56" s="14">
        <v>0</v>
      </c>
      <c r="R56" s="16">
        <v>0</v>
      </c>
    </row>
    <row r="57" spans="1:18" x14ac:dyDescent="0.25">
      <c r="A57" s="11" t="s">
        <v>190</v>
      </c>
      <c r="B57" s="17" t="s">
        <v>154</v>
      </c>
      <c r="C57" s="17" t="s">
        <v>154</v>
      </c>
      <c r="D57" s="18" t="s">
        <v>154</v>
      </c>
      <c r="E57" s="17" t="s">
        <v>154</v>
      </c>
      <c r="F57" s="18" t="s">
        <v>154</v>
      </c>
      <c r="G57" s="17" t="s">
        <v>154</v>
      </c>
      <c r="H57" s="18" t="s">
        <v>154</v>
      </c>
      <c r="I57" s="17" t="s">
        <v>154</v>
      </c>
      <c r="J57" s="18" t="s">
        <v>154</v>
      </c>
      <c r="K57" s="17" t="s">
        <v>154</v>
      </c>
      <c r="L57" s="18" t="s">
        <v>154</v>
      </c>
      <c r="M57" s="17" t="s">
        <v>154</v>
      </c>
      <c r="N57" s="18" t="s">
        <v>154</v>
      </c>
      <c r="O57" s="17" t="s">
        <v>154</v>
      </c>
      <c r="P57" s="18" t="s">
        <v>154</v>
      </c>
      <c r="Q57" s="17" t="s">
        <v>154</v>
      </c>
      <c r="R57" s="18" t="s">
        <v>154</v>
      </c>
    </row>
    <row r="58" spans="1:18" x14ac:dyDescent="0.25">
      <c r="A58" s="11" t="s">
        <v>191</v>
      </c>
      <c r="B58" s="17" t="s">
        <v>154</v>
      </c>
      <c r="C58" s="17" t="s">
        <v>154</v>
      </c>
      <c r="D58" s="18" t="s">
        <v>154</v>
      </c>
      <c r="E58" s="17" t="s">
        <v>154</v>
      </c>
      <c r="F58" s="18" t="s">
        <v>154</v>
      </c>
      <c r="G58" s="17" t="s">
        <v>154</v>
      </c>
      <c r="H58" s="18" t="s">
        <v>154</v>
      </c>
      <c r="I58" s="17" t="s">
        <v>154</v>
      </c>
      <c r="J58" s="18" t="s">
        <v>154</v>
      </c>
      <c r="K58" s="17" t="s">
        <v>154</v>
      </c>
      <c r="L58" s="18" t="s">
        <v>154</v>
      </c>
      <c r="M58" s="17" t="s">
        <v>154</v>
      </c>
      <c r="N58" s="18" t="s">
        <v>154</v>
      </c>
      <c r="O58" s="17" t="s">
        <v>154</v>
      </c>
      <c r="P58" s="18" t="s">
        <v>154</v>
      </c>
      <c r="Q58" s="17" t="s">
        <v>154</v>
      </c>
      <c r="R58" s="18" t="s">
        <v>154</v>
      </c>
    </row>
    <row r="59" spans="1:18" x14ac:dyDescent="0.25">
      <c r="A59" s="11" t="s">
        <v>192</v>
      </c>
      <c r="B59" s="17" t="s">
        <v>154</v>
      </c>
      <c r="C59" s="17" t="s">
        <v>154</v>
      </c>
      <c r="D59" s="18" t="s">
        <v>154</v>
      </c>
      <c r="E59" s="17" t="s">
        <v>154</v>
      </c>
      <c r="F59" s="18" t="s">
        <v>154</v>
      </c>
      <c r="G59" s="17" t="s">
        <v>154</v>
      </c>
      <c r="H59" s="18" t="s">
        <v>154</v>
      </c>
      <c r="I59" s="17" t="s">
        <v>154</v>
      </c>
      <c r="J59" s="18" t="s">
        <v>154</v>
      </c>
      <c r="K59" s="17" t="s">
        <v>154</v>
      </c>
      <c r="L59" s="18" t="s">
        <v>154</v>
      </c>
      <c r="M59" s="17" t="s">
        <v>154</v>
      </c>
      <c r="N59" s="18" t="s">
        <v>154</v>
      </c>
      <c r="O59" s="17" t="s">
        <v>154</v>
      </c>
      <c r="P59" s="18" t="s">
        <v>154</v>
      </c>
      <c r="Q59" s="17" t="s">
        <v>154</v>
      </c>
      <c r="R59" s="18" t="s">
        <v>154</v>
      </c>
    </row>
    <row r="60" spans="1:18" x14ac:dyDescent="0.25">
      <c r="A60" s="11" t="s">
        <v>193</v>
      </c>
      <c r="B60" s="17" t="s">
        <v>154</v>
      </c>
      <c r="C60" s="17" t="s">
        <v>154</v>
      </c>
      <c r="D60" s="18" t="s">
        <v>154</v>
      </c>
      <c r="E60" s="17" t="s">
        <v>154</v>
      </c>
      <c r="F60" s="18" t="s">
        <v>154</v>
      </c>
      <c r="G60" s="17" t="s">
        <v>154</v>
      </c>
      <c r="H60" s="18" t="s">
        <v>154</v>
      </c>
      <c r="I60" s="17" t="s">
        <v>154</v>
      </c>
      <c r="J60" s="18" t="s">
        <v>154</v>
      </c>
      <c r="K60" s="17" t="s">
        <v>154</v>
      </c>
      <c r="L60" s="18" t="s">
        <v>154</v>
      </c>
      <c r="M60" s="17" t="s">
        <v>154</v>
      </c>
      <c r="N60" s="18" t="s">
        <v>154</v>
      </c>
      <c r="O60" s="17" t="s">
        <v>154</v>
      </c>
      <c r="P60" s="18" t="s">
        <v>154</v>
      </c>
      <c r="Q60" s="17" t="s">
        <v>154</v>
      </c>
      <c r="R60" s="18" t="s">
        <v>154</v>
      </c>
    </row>
    <row r="61" spans="1:18" x14ac:dyDescent="0.25">
      <c r="A61" s="11" t="s">
        <v>194</v>
      </c>
      <c r="B61" s="13">
        <v>6525</v>
      </c>
      <c r="C61" s="14">
        <f>(5438/B61*100)</f>
        <v>83.340996168582365</v>
      </c>
      <c r="D61" s="15">
        <v>1087</v>
      </c>
      <c r="E61" s="14">
        <v>25.702864000000002</v>
      </c>
      <c r="F61" s="16">
        <v>1.4056964199999999</v>
      </c>
      <c r="G61" s="14">
        <v>74.297135999999995</v>
      </c>
      <c r="H61" s="16">
        <v>1.4056964199999999</v>
      </c>
      <c r="I61" s="14" t="s">
        <v>139</v>
      </c>
      <c r="J61" s="16" t="s">
        <v>139</v>
      </c>
      <c r="K61" s="14">
        <v>0</v>
      </c>
      <c r="L61" s="16">
        <v>0</v>
      </c>
      <c r="M61" s="14">
        <v>0</v>
      </c>
      <c r="N61" s="16">
        <v>0</v>
      </c>
      <c r="O61" s="14">
        <v>0</v>
      </c>
      <c r="P61" s="16">
        <v>0</v>
      </c>
      <c r="Q61" s="14">
        <v>0</v>
      </c>
      <c r="R61" s="16">
        <v>0</v>
      </c>
    </row>
    <row r="62" spans="1:18" x14ac:dyDescent="0.25">
      <c r="A62" s="11" t="s">
        <v>195</v>
      </c>
      <c r="B62" s="13">
        <v>4476</v>
      </c>
      <c r="C62" s="14">
        <f>(3742/B62*100)</f>
        <v>83.601429848078652</v>
      </c>
      <c r="D62" s="15">
        <v>734</v>
      </c>
      <c r="E62" s="14">
        <v>18.969921490000001</v>
      </c>
      <c r="F62" s="16">
        <v>1.49536706</v>
      </c>
      <c r="G62" s="14">
        <v>81.030078509999996</v>
      </c>
      <c r="H62" s="16">
        <v>1.49536706</v>
      </c>
      <c r="I62" s="14" t="s">
        <v>139</v>
      </c>
      <c r="J62" s="16" t="s">
        <v>139</v>
      </c>
      <c r="K62" s="14">
        <v>0</v>
      </c>
      <c r="L62" s="16">
        <v>0</v>
      </c>
      <c r="M62" s="14">
        <v>0</v>
      </c>
      <c r="N62" s="16">
        <v>0</v>
      </c>
      <c r="O62" s="14">
        <v>0</v>
      </c>
      <c r="P62" s="16">
        <v>0</v>
      </c>
      <c r="Q62" s="14">
        <v>0</v>
      </c>
      <c r="R62" s="16">
        <v>0</v>
      </c>
    </row>
    <row r="63" spans="1:18" x14ac:dyDescent="0.25">
      <c r="A63" s="11" t="s">
        <v>196</v>
      </c>
      <c r="B63" s="17" t="s">
        <v>154</v>
      </c>
      <c r="C63" s="17" t="s">
        <v>154</v>
      </c>
      <c r="D63" s="18" t="s">
        <v>154</v>
      </c>
      <c r="E63" s="17" t="s">
        <v>154</v>
      </c>
      <c r="F63" s="18" t="s">
        <v>154</v>
      </c>
      <c r="G63" s="17" t="s">
        <v>154</v>
      </c>
      <c r="H63" s="18" t="s">
        <v>154</v>
      </c>
      <c r="I63" s="17" t="s">
        <v>154</v>
      </c>
      <c r="J63" s="18" t="s">
        <v>154</v>
      </c>
      <c r="K63" s="17" t="s">
        <v>154</v>
      </c>
      <c r="L63" s="18" t="s">
        <v>154</v>
      </c>
      <c r="M63" s="17" t="s">
        <v>154</v>
      </c>
      <c r="N63" s="18" t="s">
        <v>154</v>
      </c>
      <c r="O63" s="17" t="s">
        <v>154</v>
      </c>
      <c r="P63" s="18" t="s">
        <v>154</v>
      </c>
      <c r="Q63" s="17" t="s">
        <v>154</v>
      </c>
      <c r="R63" s="18" t="s">
        <v>154</v>
      </c>
    </row>
    <row r="64" spans="1:18" x14ac:dyDescent="0.25">
      <c r="A64" s="11" t="s">
        <v>197</v>
      </c>
      <c r="B64" s="17" t="s">
        <v>154</v>
      </c>
      <c r="C64" s="17" t="s">
        <v>154</v>
      </c>
      <c r="D64" s="18" t="s">
        <v>154</v>
      </c>
      <c r="E64" s="17" t="s">
        <v>154</v>
      </c>
      <c r="F64" s="18" t="s">
        <v>154</v>
      </c>
      <c r="G64" s="17" t="s">
        <v>154</v>
      </c>
      <c r="H64" s="18" t="s">
        <v>154</v>
      </c>
      <c r="I64" s="17" t="s">
        <v>154</v>
      </c>
      <c r="J64" s="18" t="s">
        <v>154</v>
      </c>
      <c r="K64" s="17" t="s">
        <v>154</v>
      </c>
      <c r="L64" s="18" t="s">
        <v>154</v>
      </c>
      <c r="M64" s="17" t="s">
        <v>154</v>
      </c>
      <c r="N64" s="18" t="s">
        <v>154</v>
      </c>
      <c r="O64" s="17" t="s">
        <v>154</v>
      </c>
      <c r="P64" s="18" t="s">
        <v>154</v>
      </c>
      <c r="Q64" s="17" t="s">
        <v>154</v>
      </c>
      <c r="R64" s="18" t="s">
        <v>154</v>
      </c>
    </row>
    <row r="65" spans="1:18" x14ac:dyDescent="0.25">
      <c r="A65" s="11" t="s">
        <v>198</v>
      </c>
      <c r="B65" s="17" t="s">
        <v>154</v>
      </c>
      <c r="C65" s="17" t="s">
        <v>154</v>
      </c>
      <c r="D65" s="18" t="s">
        <v>154</v>
      </c>
      <c r="E65" s="17" t="s">
        <v>154</v>
      </c>
      <c r="F65" s="18" t="s">
        <v>154</v>
      </c>
      <c r="G65" s="17" t="s">
        <v>154</v>
      </c>
      <c r="H65" s="18" t="s">
        <v>154</v>
      </c>
      <c r="I65" s="17" t="s">
        <v>154</v>
      </c>
      <c r="J65" s="18" t="s">
        <v>154</v>
      </c>
      <c r="K65" s="17" t="s">
        <v>154</v>
      </c>
      <c r="L65" s="18" t="s">
        <v>154</v>
      </c>
      <c r="M65" s="17" t="s">
        <v>154</v>
      </c>
      <c r="N65" s="18" t="s">
        <v>154</v>
      </c>
      <c r="O65" s="17" t="s">
        <v>154</v>
      </c>
      <c r="P65" s="18" t="s">
        <v>154</v>
      </c>
      <c r="Q65" s="17" t="s">
        <v>154</v>
      </c>
      <c r="R65" s="18" t="s">
        <v>154</v>
      </c>
    </row>
    <row r="66" spans="1:18" x14ac:dyDescent="0.25">
      <c r="A66" s="11" t="s">
        <v>199</v>
      </c>
      <c r="B66" s="13">
        <v>5665</v>
      </c>
      <c r="C66" s="14">
        <f>(4754/B66*100)</f>
        <v>83.918799646954994</v>
      </c>
      <c r="D66" s="15">
        <v>911</v>
      </c>
      <c r="E66" s="14">
        <v>44.570570969999999</v>
      </c>
      <c r="F66" s="16">
        <v>1.61823808</v>
      </c>
      <c r="G66" s="14">
        <v>55.429429030000001</v>
      </c>
      <c r="H66" s="16">
        <v>1.61823808</v>
      </c>
      <c r="I66" s="14" t="s">
        <v>139</v>
      </c>
      <c r="J66" s="16" t="s">
        <v>139</v>
      </c>
      <c r="K66" s="14">
        <v>0</v>
      </c>
      <c r="L66" s="16">
        <v>0</v>
      </c>
      <c r="M66" s="14">
        <v>0</v>
      </c>
      <c r="N66" s="16">
        <v>0</v>
      </c>
      <c r="O66" s="14">
        <v>0</v>
      </c>
      <c r="P66" s="16">
        <v>0</v>
      </c>
      <c r="Q66" s="14">
        <v>0</v>
      </c>
      <c r="R66" s="16">
        <v>0</v>
      </c>
    </row>
    <row r="67" spans="1:18" x14ac:dyDescent="0.25">
      <c r="A67" s="11" t="s">
        <v>200</v>
      </c>
      <c r="B67" s="13">
        <v>6971</v>
      </c>
      <c r="C67" s="14">
        <f>(6010/B67*100)</f>
        <v>86.214316453880357</v>
      </c>
      <c r="D67" s="15">
        <v>961</v>
      </c>
      <c r="E67" s="14">
        <v>43.91560862</v>
      </c>
      <c r="F67" s="16">
        <v>1.6313910899999999</v>
      </c>
      <c r="G67" s="14">
        <v>56.08439138</v>
      </c>
      <c r="H67" s="16">
        <v>1.6313910899999999</v>
      </c>
      <c r="I67" s="14" t="s">
        <v>139</v>
      </c>
      <c r="J67" s="16" t="s">
        <v>139</v>
      </c>
      <c r="K67" s="14">
        <v>0</v>
      </c>
      <c r="L67" s="16">
        <v>0</v>
      </c>
      <c r="M67" s="14">
        <v>0</v>
      </c>
      <c r="N67" s="16">
        <v>0</v>
      </c>
      <c r="O67" s="14">
        <v>0</v>
      </c>
      <c r="P67" s="16">
        <v>0</v>
      </c>
      <c r="Q67" s="14">
        <v>0</v>
      </c>
      <c r="R67" s="16">
        <v>0</v>
      </c>
    </row>
    <row r="68" spans="1:18" x14ac:dyDescent="0.25">
      <c r="A68" s="11" t="s">
        <v>201</v>
      </c>
      <c r="B68" s="17" t="s">
        <v>154</v>
      </c>
      <c r="C68" s="17" t="s">
        <v>154</v>
      </c>
      <c r="D68" s="18" t="s">
        <v>154</v>
      </c>
      <c r="E68" s="17" t="s">
        <v>154</v>
      </c>
      <c r="F68" s="18" t="s">
        <v>154</v>
      </c>
      <c r="G68" s="17" t="s">
        <v>154</v>
      </c>
      <c r="H68" s="18" t="s">
        <v>154</v>
      </c>
      <c r="I68" s="17" t="s">
        <v>154</v>
      </c>
      <c r="J68" s="18" t="s">
        <v>154</v>
      </c>
      <c r="K68" s="17" t="s">
        <v>154</v>
      </c>
      <c r="L68" s="18" t="s">
        <v>154</v>
      </c>
      <c r="M68" s="17" t="s">
        <v>154</v>
      </c>
      <c r="N68" s="18" t="s">
        <v>154</v>
      </c>
      <c r="O68" s="17" t="s">
        <v>154</v>
      </c>
      <c r="P68" s="18" t="s">
        <v>154</v>
      </c>
      <c r="Q68" s="17" t="s">
        <v>154</v>
      </c>
      <c r="R68" s="18" t="s">
        <v>154</v>
      </c>
    </row>
    <row r="69" spans="1:18" x14ac:dyDescent="0.25">
      <c r="A69" s="11" t="s">
        <v>202</v>
      </c>
      <c r="B69" s="17" t="s">
        <v>154</v>
      </c>
      <c r="C69" s="17" t="s">
        <v>154</v>
      </c>
      <c r="D69" s="18" t="s">
        <v>154</v>
      </c>
      <c r="E69" s="17" t="s">
        <v>154</v>
      </c>
      <c r="F69" s="18" t="s">
        <v>154</v>
      </c>
      <c r="G69" s="17" t="s">
        <v>154</v>
      </c>
      <c r="H69" s="18" t="s">
        <v>154</v>
      </c>
      <c r="I69" s="17" t="s">
        <v>154</v>
      </c>
      <c r="J69" s="18" t="s">
        <v>154</v>
      </c>
      <c r="K69" s="17" t="s">
        <v>154</v>
      </c>
      <c r="L69" s="18" t="s">
        <v>154</v>
      </c>
      <c r="M69" s="17" t="s">
        <v>154</v>
      </c>
      <c r="N69" s="18" t="s">
        <v>154</v>
      </c>
      <c r="O69" s="17" t="s">
        <v>154</v>
      </c>
      <c r="P69" s="18" t="s">
        <v>154</v>
      </c>
      <c r="Q69" s="17" t="s">
        <v>154</v>
      </c>
      <c r="R69" s="18" t="s">
        <v>154</v>
      </c>
    </row>
    <row r="70" spans="1:18" x14ac:dyDescent="0.25">
      <c r="A70" s="11" t="s">
        <v>203</v>
      </c>
      <c r="B70" s="13">
        <v>6036</v>
      </c>
      <c r="C70" s="14">
        <f>(5043/B70*100)</f>
        <v>83.548707753479121</v>
      </c>
      <c r="D70" s="15">
        <v>993</v>
      </c>
      <c r="E70" s="14">
        <v>24.79444969</v>
      </c>
      <c r="F70" s="16">
        <v>1.8483563700000001</v>
      </c>
      <c r="G70" s="14">
        <v>75.205550310000007</v>
      </c>
      <c r="H70" s="16">
        <v>1.8483563700000001</v>
      </c>
      <c r="I70" s="14" t="s">
        <v>139</v>
      </c>
      <c r="J70" s="16" t="s">
        <v>139</v>
      </c>
      <c r="K70" s="14">
        <v>0</v>
      </c>
      <c r="L70" s="16">
        <v>0</v>
      </c>
      <c r="M70" s="14">
        <v>0</v>
      </c>
      <c r="N70" s="16">
        <v>0</v>
      </c>
      <c r="O70" s="14">
        <v>0</v>
      </c>
      <c r="P70" s="16">
        <v>0</v>
      </c>
      <c r="Q70" s="14">
        <v>0</v>
      </c>
      <c r="R70" s="16">
        <v>0</v>
      </c>
    </row>
    <row r="71" spans="1:18" x14ac:dyDescent="0.25">
      <c r="A71" s="11" t="s">
        <v>204</v>
      </c>
      <c r="B71" s="17" t="s">
        <v>154</v>
      </c>
      <c r="C71" s="17" t="s">
        <v>154</v>
      </c>
      <c r="D71" s="18" t="s">
        <v>154</v>
      </c>
      <c r="E71" s="17" t="s">
        <v>154</v>
      </c>
      <c r="F71" s="18" t="s">
        <v>154</v>
      </c>
      <c r="G71" s="17" t="s">
        <v>154</v>
      </c>
      <c r="H71" s="18" t="s">
        <v>154</v>
      </c>
      <c r="I71" s="17" t="s">
        <v>154</v>
      </c>
      <c r="J71" s="18" t="s">
        <v>154</v>
      </c>
      <c r="K71" s="17" t="s">
        <v>154</v>
      </c>
      <c r="L71" s="18" t="s">
        <v>154</v>
      </c>
      <c r="M71" s="17" t="s">
        <v>154</v>
      </c>
      <c r="N71" s="18" t="s">
        <v>154</v>
      </c>
      <c r="O71" s="17" t="s">
        <v>154</v>
      </c>
      <c r="P71" s="18" t="s">
        <v>154</v>
      </c>
      <c r="Q71" s="17" t="s">
        <v>154</v>
      </c>
      <c r="R71" s="18" t="s">
        <v>154</v>
      </c>
    </row>
    <row r="72" spans="1:18" x14ac:dyDescent="0.25">
      <c r="A72" s="11" t="s">
        <v>205</v>
      </c>
      <c r="B72" s="13">
        <v>7708</v>
      </c>
      <c r="C72" s="14">
        <f>(6395/B72*100)</f>
        <v>82.965749870264659</v>
      </c>
      <c r="D72" s="15">
        <v>1313</v>
      </c>
      <c r="E72" s="14">
        <v>15.182076179999999</v>
      </c>
      <c r="F72" s="16">
        <v>0.93048964000000001</v>
      </c>
      <c r="G72" s="14">
        <v>84.817923820000004</v>
      </c>
      <c r="H72" s="16">
        <v>0.93048964000000001</v>
      </c>
      <c r="I72" s="14" t="s">
        <v>139</v>
      </c>
      <c r="J72" s="16" t="s">
        <v>139</v>
      </c>
      <c r="K72" s="14">
        <v>0</v>
      </c>
      <c r="L72" s="16">
        <v>0</v>
      </c>
      <c r="M72" s="14">
        <v>0</v>
      </c>
      <c r="N72" s="16">
        <v>0</v>
      </c>
      <c r="O72" s="14">
        <v>0</v>
      </c>
      <c r="P72" s="16">
        <v>0</v>
      </c>
      <c r="Q72" s="14">
        <v>0</v>
      </c>
      <c r="R72" s="16">
        <v>0</v>
      </c>
    </row>
    <row r="73" spans="1:18" x14ac:dyDescent="0.25">
      <c r="A73" s="11" t="s">
        <v>206</v>
      </c>
      <c r="B73" s="13">
        <v>8249</v>
      </c>
      <c r="C73" s="14">
        <f>(6966/B73*100)</f>
        <v>84.446599587828828</v>
      </c>
      <c r="D73" s="15">
        <v>1283</v>
      </c>
      <c r="E73" s="14">
        <v>44.805684339999999</v>
      </c>
      <c r="F73" s="16">
        <v>1.7816056300000001</v>
      </c>
      <c r="G73" s="14">
        <v>55.194315660000001</v>
      </c>
      <c r="H73" s="16">
        <v>1.7816056300000001</v>
      </c>
      <c r="I73" s="14" t="s">
        <v>139</v>
      </c>
      <c r="J73" s="16" t="s">
        <v>139</v>
      </c>
      <c r="K73" s="14">
        <v>0</v>
      </c>
      <c r="L73" s="16">
        <v>0</v>
      </c>
      <c r="M73" s="14">
        <v>0</v>
      </c>
      <c r="N73" s="16">
        <v>0</v>
      </c>
      <c r="O73" s="14">
        <v>0</v>
      </c>
      <c r="P73" s="16">
        <v>0</v>
      </c>
      <c r="Q73" s="14">
        <v>0</v>
      </c>
      <c r="R73" s="16">
        <v>0</v>
      </c>
    </row>
    <row r="74" spans="1:18" x14ac:dyDescent="0.25">
      <c r="A74" s="11" t="s">
        <v>207</v>
      </c>
      <c r="B74" s="17" t="s">
        <v>154</v>
      </c>
      <c r="C74" s="17" t="s">
        <v>154</v>
      </c>
      <c r="D74" s="18" t="s">
        <v>154</v>
      </c>
      <c r="E74" s="17" t="s">
        <v>154</v>
      </c>
      <c r="F74" s="18" t="s">
        <v>154</v>
      </c>
      <c r="G74" s="17" t="s">
        <v>154</v>
      </c>
      <c r="H74" s="18" t="s">
        <v>154</v>
      </c>
      <c r="I74" s="17" t="s">
        <v>154</v>
      </c>
      <c r="J74" s="18" t="s">
        <v>154</v>
      </c>
      <c r="K74" s="17" t="s">
        <v>154</v>
      </c>
      <c r="L74" s="18" t="s">
        <v>154</v>
      </c>
      <c r="M74" s="17" t="s">
        <v>154</v>
      </c>
      <c r="N74" s="18" t="s">
        <v>154</v>
      </c>
      <c r="O74" s="17" t="s">
        <v>154</v>
      </c>
      <c r="P74" s="18" t="s">
        <v>154</v>
      </c>
      <c r="Q74" s="17" t="s">
        <v>154</v>
      </c>
      <c r="R74" s="18" t="s">
        <v>154</v>
      </c>
    </row>
    <row r="75" spans="1:18" x14ac:dyDescent="0.25">
      <c r="A75" s="11" t="s">
        <v>208</v>
      </c>
      <c r="B75" s="13">
        <v>5375</v>
      </c>
      <c r="C75" s="14">
        <f>(4595/B75*100)</f>
        <v>85.488372093023258</v>
      </c>
      <c r="D75" s="15">
        <v>780</v>
      </c>
      <c r="E75" s="14">
        <v>46.373674780000002</v>
      </c>
      <c r="F75" s="16">
        <v>1.74087243</v>
      </c>
      <c r="G75" s="14">
        <v>53.626325219999998</v>
      </c>
      <c r="H75" s="16">
        <v>1.74087243</v>
      </c>
      <c r="I75" s="14" t="s">
        <v>139</v>
      </c>
      <c r="J75" s="16" t="s">
        <v>139</v>
      </c>
      <c r="K75" s="14">
        <v>0</v>
      </c>
      <c r="L75" s="16">
        <v>0</v>
      </c>
      <c r="M75" s="14">
        <v>0</v>
      </c>
      <c r="N75" s="16">
        <v>0</v>
      </c>
      <c r="O75" s="14">
        <v>0</v>
      </c>
      <c r="P75" s="16">
        <v>0</v>
      </c>
      <c r="Q75" s="14">
        <v>0</v>
      </c>
      <c r="R75" s="16">
        <v>0</v>
      </c>
    </row>
    <row r="76" spans="1:18" x14ac:dyDescent="0.25">
      <c r="A76" s="11" t="s">
        <v>209</v>
      </c>
      <c r="B76" s="13">
        <v>14167</v>
      </c>
      <c r="C76" s="14">
        <f>(11740/B76*100)</f>
        <v>82.868638384979178</v>
      </c>
      <c r="D76" s="15">
        <v>2427</v>
      </c>
      <c r="E76" s="14">
        <v>37.613346040000003</v>
      </c>
      <c r="F76" s="16">
        <v>1.1858483099999999</v>
      </c>
      <c r="G76" s="14">
        <v>62.386653959999997</v>
      </c>
      <c r="H76" s="16">
        <v>1.1858483099999999</v>
      </c>
      <c r="I76" s="14" t="s">
        <v>139</v>
      </c>
      <c r="J76" s="16" t="s">
        <v>139</v>
      </c>
      <c r="K76" s="14">
        <v>0</v>
      </c>
      <c r="L76" s="16">
        <v>0</v>
      </c>
      <c r="M76" s="14">
        <v>0</v>
      </c>
      <c r="N76" s="16">
        <v>0</v>
      </c>
      <c r="O76" s="14">
        <v>0</v>
      </c>
      <c r="P76" s="16">
        <v>0</v>
      </c>
      <c r="Q76" s="14">
        <v>0</v>
      </c>
      <c r="R76" s="16">
        <v>0</v>
      </c>
    </row>
    <row r="77" spans="1:18" x14ac:dyDescent="0.25">
      <c r="A77" s="11" t="s">
        <v>210</v>
      </c>
      <c r="B77" s="13">
        <v>6062</v>
      </c>
      <c r="C77" s="14">
        <f>(5082/B77*100)</f>
        <v>83.833718244803691</v>
      </c>
      <c r="D77" s="15">
        <v>980</v>
      </c>
      <c r="E77" s="14">
        <v>38.374230400000002</v>
      </c>
      <c r="F77" s="16">
        <v>1.4954379099999999</v>
      </c>
      <c r="G77" s="14">
        <v>61.625769599999998</v>
      </c>
      <c r="H77" s="16">
        <v>1.4954379099999999</v>
      </c>
      <c r="I77" s="14" t="s">
        <v>139</v>
      </c>
      <c r="J77" s="16" t="s">
        <v>139</v>
      </c>
      <c r="K77" s="14">
        <v>0</v>
      </c>
      <c r="L77" s="16">
        <v>0</v>
      </c>
      <c r="M77" s="14">
        <v>0</v>
      </c>
      <c r="N77" s="16">
        <v>0</v>
      </c>
      <c r="O77" s="14">
        <v>0</v>
      </c>
      <c r="P77" s="16">
        <v>0</v>
      </c>
      <c r="Q77" s="14">
        <v>0</v>
      </c>
      <c r="R77" s="16">
        <v>0</v>
      </c>
    </row>
    <row r="78" spans="1:18" x14ac:dyDescent="0.25">
      <c r="A78" s="11" t="s">
        <v>211</v>
      </c>
      <c r="B78" s="17" t="s">
        <v>154</v>
      </c>
      <c r="C78" s="17" t="s">
        <v>154</v>
      </c>
      <c r="D78" s="18" t="s">
        <v>154</v>
      </c>
      <c r="E78" s="17" t="s">
        <v>154</v>
      </c>
      <c r="F78" s="18" t="s">
        <v>154</v>
      </c>
      <c r="G78" s="17" t="s">
        <v>154</v>
      </c>
      <c r="H78" s="18" t="s">
        <v>154</v>
      </c>
      <c r="I78" s="17" t="s">
        <v>154</v>
      </c>
      <c r="J78" s="18" t="s">
        <v>154</v>
      </c>
      <c r="K78" s="17" t="s">
        <v>154</v>
      </c>
      <c r="L78" s="18" t="s">
        <v>154</v>
      </c>
      <c r="M78" s="17" t="s">
        <v>154</v>
      </c>
      <c r="N78" s="18" t="s">
        <v>154</v>
      </c>
      <c r="O78" s="17" t="s">
        <v>154</v>
      </c>
      <c r="P78" s="18" t="s">
        <v>154</v>
      </c>
      <c r="Q78" s="17" t="s">
        <v>154</v>
      </c>
      <c r="R78" s="18" t="s">
        <v>154</v>
      </c>
    </row>
    <row r="79" spans="1:18" ht="24.95" customHeight="1" x14ac:dyDescent="0.25">
      <c r="A79" s="11" t="s">
        <v>212</v>
      </c>
      <c r="B79" s="17" t="s">
        <v>154</v>
      </c>
      <c r="C79" s="17" t="s">
        <v>154</v>
      </c>
      <c r="D79" s="18" t="s">
        <v>154</v>
      </c>
      <c r="E79" s="17" t="s">
        <v>154</v>
      </c>
      <c r="F79" s="18" t="s">
        <v>154</v>
      </c>
      <c r="G79" s="17" t="s">
        <v>154</v>
      </c>
      <c r="H79" s="18" t="s">
        <v>154</v>
      </c>
      <c r="I79" s="17" t="s">
        <v>154</v>
      </c>
      <c r="J79" s="18" t="s">
        <v>154</v>
      </c>
      <c r="K79" s="17" t="s">
        <v>154</v>
      </c>
      <c r="L79" s="18" t="s">
        <v>154</v>
      </c>
      <c r="M79" s="17" t="s">
        <v>154</v>
      </c>
      <c r="N79" s="18" t="s">
        <v>154</v>
      </c>
      <c r="O79" s="17" t="s">
        <v>154</v>
      </c>
      <c r="P79" s="18" t="s">
        <v>154</v>
      </c>
      <c r="Q79" s="17" t="s">
        <v>154</v>
      </c>
      <c r="R79" s="18" t="s">
        <v>154</v>
      </c>
    </row>
    <row r="80" spans="1:18" x14ac:dyDescent="0.25">
      <c r="A80" s="11" t="s">
        <v>213</v>
      </c>
      <c r="B80" s="17" t="s">
        <v>154</v>
      </c>
      <c r="C80" s="17" t="s">
        <v>154</v>
      </c>
      <c r="D80" s="18" t="s">
        <v>154</v>
      </c>
      <c r="E80" s="17" t="s">
        <v>154</v>
      </c>
      <c r="F80" s="18" t="s">
        <v>154</v>
      </c>
      <c r="G80" s="17" t="s">
        <v>154</v>
      </c>
      <c r="H80" s="18" t="s">
        <v>154</v>
      </c>
      <c r="I80" s="17" t="s">
        <v>154</v>
      </c>
      <c r="J80" s="18" t="s">
        <v>154</v>
      </c>
      <c r="K80" s="17" t="s">
        <v>154</v>
      </c>
      <c r="L80" s="18" t="s">
        <v>154</v>
      </c>
      <c r="M80" s="17" t="s">
        <v>154</v>
      </c>
      <c r="N80" s="18" t="s">
        <v>154</v>
      </c>
      <c r="O80" s="17" t="s">
        <v>154</v>
      </c>
      <c r="P80" s="18" t="s">
        <v>154</v>
      </c>
      <c r="Q80" s="17" t="s">
        <v>154</v>
      </c>
      <c r="R80" s="18" t="s">
        <v>154</v>
      </c>
    </row>
    <row r="81" spans="1:18" x14ac:dyDescent="0.25">
      <c r="A81" s="19" t="s">
        <v>214</v>
      </c>
      <c r="B81" s="13">
        <v>8861</v>
      </c>
      <c r="C81" s="14">
        <f>(7385/B81*100)</f>
        <v>83.342737839972912</v>
      </c>
      <c r="D81" s="15">
        <v>1476</v>
      </c>
      <c r="E81" s="14">
        <v>48.335931819999999</v>
      </c>
      <c r="F81" s="16">
        <v>1.68445004</v>
      </c>
      <c r="G81" s="14">
        <v>51.664068180000001</v>
      </c>
      <c r="H81" s="16">
        <v>1.68445004</v>
      </c>
      <c r="I81" s="14" t="s">
        <v>139</v>
      </c>
      <c r="J81" s="16" t="s">
        <v>139</v>
      </c>
      <c r="K81" s="14">
        <v>0</v>
      </c>
      <c r="L81" s="16">
        <v>0</v>
      </c>
      <c r="M81" s="14">
        <v>0</v>
      </c>
      <c r="N81" s="16">
        <v>0</v>
      </c>
      <c r="O81" s="14">
        <v>0</v>
      </c>
      <c r="P81" s="16">
        <v>0</v>
      </c>
      <c r="Q81" s="14">
        <v>0</v>
      </c>
      <c r="R81" s="16">
        <v>0</v>
      </c>
    </row>
    <row r="82" spans="1:18" x14ac:dyDescent="0.25">
      <c r="A82" s="20"/>
      <c r="B82" s="20" t="s">
        <v>215</v>
      </c>
      <c r="C82" s="20" t="s">
        <v>215</v>
      </c>
      <c r="D82" s="20" t="s">
        <v>215</v>
      </c>
      <c r="E82" s="20" t="s">
        <v>215</v>
      </c>
      <c r="F82" s="20" t="s">
        <v>215</v>
      </c>
      <c r="G82" s="20" t="s">
        <v>215</v>
      </c>
      <c r="H82" s="20" t="s">
        <v>215</v>
      </c>
      <c r="I82" s="20" t="s">
        <v>215</v>
      </c>
      <c r="J82" s="20" t="s">
        <v>215</v>
      </c>
      <c r="K82" s="20" t="s">
        <v>215</v>
      </c>
      <c r="L82" s="20" t="s">
        <v>215</v>
      </c>
      <c r="M82" s="20" t="s">
        <v>215</v>
      </c>
      <c r="N82" s="20" t="s">
        <v>215</v>
      </c>
      <c r="O82" s="20" t="s">
        <v>215</v>
      </c>
      <c r="P82" s="20" t="s">
        <v>215</v>
      </c>
      <c r="Q82" s="20" t="s">
        <v>215</v>
      </c>
      <c r="R82" s="20" t="s">
        <v>215</v>
      </c>
    </row>
    <row r="83" spans="1:18" x14ac:dyDescent="0.25">
      <c r="A83" s="3" t="s">
        <v>216</v>
      </c>
    </row>
    <row r="84" spans="1:18" x14ac:dyDescent="0.25">
      <c r="A84" s="22" t="s">
        <v>217</v>
      </c>
      <c r="B84" s="23"/>
      <c r="C84" s="23"/>
      <c r="D84" s="23"/>
      <c r="E84" s="23"/>
      <c r="F84" s="23"/>
      <c r="G84" s="23"/>
      <c r="H84" s="23"/>
      <c r="I84" s="23"/>
      <c r="J84" s="23"/>
      <c r="K84" s="23"/>
      <c r="L84" s="23"/>
      <c r="M84" s="23"/>
      <c r="N84" s="23"/>
      <c r="O84" s="23"/>
      <c r="P84" s="23"/>
      <c r="Q84" s="23"/>
      <c r="R84" s="23"/>
    </row>
    <row r="85" spans="1:18" x14ac:dyDescent="0.25">
      <c r="A85" s="22" t="s">
        <v>218</v>
      </c>
      <c r="B85" s="23"/>
      <c r="C85" s="23"/>
      <c r="D85" s="23"/>
      <c r="E85" s="23"/>
      <c r="F85" s="23"/>
      <c r="G85" s="23"/>
      <c r="H85" s="23"/>
      <c r="I85" s="23"/>
      <c r="J85" s="23"/>
      <c r="K85" s="23"/>
      <c r="L85" s="23"/>
      <c r="M85" s="23"/>
      <c r="N85" s="23"/>
      <c r="O85" s="23"/>
      <c r="P85" s="23"/>
      <c r="Q85" s="23"/>
      <c r="R85" s="23"/>
    </row>
    <row r="86" spans="1:18" ht="30" customHeight="1" x14ac:dyDescent="0.25">
      <c r="A86" s="22" t="s">
        <v>219</v>
      </c>
      <c r="B86" s="23"/>
      <c r="C86" s="23"/>
      <c r="D86" s="23"/>
      <c r="E86" s="23"/>
      <c r="F86" s="23"/>
      <c r="G86" s="23"/>
      <c r="H86" s="23"/>
      <c r="I86" s="23"/>
      <c r="J86" s="23"/>
      <c r="K86" s="23"/>
      <c r="L86" s="23"/>
      <c r="M86" s="23"/>
      <c r="N86" s="23"/>
      <c r="O86" s="23"/>
      <c r="P86" s="23"/>
      <c r="Q86" s="23"/>
      <c r="R86" s="23"/>
    </row>
    <row r="87" spans="1:18" ht="30" customHeight="1" x14ac:dyDescent="0.25">
      <c r="A87" s="22" t="s">
        <v>215</v>
      </c>
      <c r="B87" s="23"/>
      <c r="C87" s="23"/>
      <c r="D87" s="23"/>
      <c r="E87" s="23"/>
      <c r="F87" s="23"/>
      <c r="G87" s="23"/>
      <c r="H87" s="23"/>
      <c r="I87" s="23"/>
      <c r="J87" s="23"/>
      <c r="K87" s="23"/>
      <c r="L87" s="23"/>
      <c r="M87" s="23"/>
      <c r="N87" s="23"/>
      <c r="O87" s="23"/>
      <c r="P87" s="23"/>
      <c r="Q87" s="23"/>
      <c r="R87" s="23"/>
    </row>
    <row r="88" spans="1:18" ht="30" customHeight="1" x14ac:dyDescent="0.25">
      <c r="A88" s="22" t="s">
        <v>220</v>
      </c>
      <c r="B88" s="23"/>
      <c r="C88" s="23"/>
      <c r="D88" s="23"/>
      <c r="E88" s="23"/>
      <c r="F88" s="23"/>
      <c r="G88" s="23"/>
      <c r="H88" s="23"/>
      <c r="I88" s="23"/>
      <c r="J88" s="23"/>
      <c r="K88" s="23"/>
      <c r="L88" s="23"/>
      <c r="M88" s="23"/>
      <c r="N88" s="23"/>
      <c r="O88" s="23"/>
      <c r="P88" s="23"/>
      <c r="Q88" s="23"/>
      <c r="R88" s="23"/>
    </row>
    <row r="89" spans="1:18" ht="30" customHeight="1" x14ac:dyDescent="0.25">
      <c r="A89" s="22" t="s">
        <v>221</v>
      </c>
      <c r="B89" s="23"/>
      <c r="C89" s="23"/>
      <c r="D89" s="23"/>
      <c r="E89" s="23"/>
      <c r="F89" s="23"/>
      <c r="G89" s="23"/>
      <c r="H89" s="23"/>
      <c r="I89" s="23"/>
      <c r="J89" s="23"/>
      <c r="K89" s="23"/>
      <c r="L89" s="23"/>
      <c r="M89" s="23"/>
      <c r="N89" s="23"/>
      <c r="O89" s="23"/>
      <c r="P89" s="23"/>
      <c r="Q89" s="23"/>
      <c r="R89" s="23"/>
    </row>
    <row r="90" spans="1:18" ht="30" customHeight="1" x14ac:dyDescent="0.25">
      <c r="A90" s="22" t="s">
        <v>222</v>
      </c>
      <c r="B90" s="23"/>
      <c r="C90" s="23"/>
      <c r="D90" s="23"/>
      <c r="E90" s="23"/>
      <c r="F90" s="23"/>
      <c r="G90" s="23"/>
      <c r="H90" s="23"/>
      <c r="I90" s="23"/>
      <c r="J90" s="23"/>
      <c r="K90" s="23"/>
      <c r="L90" s="23"/>
      <c r="M90" s="23"/>
      <c r="N90" s="23"/>
      <c r="O90" s="23"/>
      <c r="P90" s="23"/>
      <c r="Q90" s="23"/>
      <c r="R90" s="23"/>
    </row>
    <row r="91" spans="1:18" ht="30" customHeight="1" x14ac:dyDescent="0.25">
      <c r="A91" s="22" t="s">
        <v>223</v>
      </c>
      <c r="B91" s="23"/>
      <c r="C91" s="23"/>
      <c r="D91" s="23"/>
      <c r="E91" s="23"/>
      <c r="F91" s="23"/>
      <c r="G91" s="23"/>
      <c r="H91" s="23"/>
      <c r="I91" s="23"/>
      <c r="J91" s="23"/>
      <c r="K91" s="23"/>
      <c r="L91" s="23"/>
      <c r="M91" s="23"/>
      <c r="N91" s="23"/>
      <c r="O91" s="23"/>
      <c r="P91" s="23"/>
      <c r="Q91" s="23"/>
      <c r="R91" s="23"/>
    </row>
    <row r="92" spans="1:18" ht="30" customHeight="1" x14ac:dyDescent="0.25">
      <c r="A92" s="22" t="s">
        <v>224</v>
      </c>
      <c r="B92" s="23"/>
      <c r="C92" s="23"/>
      <c r="D92" s="23"/>
      <c r="E92" s="23"/>
      <c r="F92" s="23"/>
      <c r="G92" s="23"/>
      <c r="H92" s="23"/>
      <c r="I92" s="23"/>
      <c r="J92" s="23"/>
      <c r="K92" s="23"/>
      <c r="L92" s="23"/>
      <c r="M92" s="23"/>
      <c r="N92" s="23"/>
      <c r="O92" s="23"/>
      <c r="P92" s="23"/>
      <c r="Q92" s="23"/>
      <c r="R92" s="23"/>
    </row>
    <row r="93" spans="1:18" ht="30" customHeight="1" x14ac:dyDescent="0.25">
      <c r="A93" s="22" t="s">
        <v>225</v>
      </c>
      <c r="B93" s="23"/>
      <c r="C93" s="23"/>
      <c r="D93" s="23"/>
      <c r="E93" s="23"/>
      <c r="F93" s="23"/>
      <c r="G93" s="23"/>
      <c r="H93" s="23"/>
      <c r="I93" s="23"/>
      <c r="J93" s="23"/>
      <c r="K93" s="23"/>
      <c r="L93" s="23"/>
      <c r="M93" s="23"/>
      <c r="N93" s="23"/>
      <c r="O93" s="23"/>
      <c r="P93" s="23"/>
      <c r="Q93" s="23"/>
      <c r="R93" s="23"/>
    </row>
    <row r="94" spans="1:18" ht="30" customHeight="1" x14ac:dyDescent="0.25">
      <c r="A94" s="22" t="s">
        <v>226</v>
      </c>
      <c r="B94" s="23"/>
      <c r="C94" s="23"/>
      <c r="D94" s="23"/>
      <c r="E94" s="23"/>
      <c r="F94" s="23"/>
      <c r="G94" s="23"/>
      <c r="H94" s="23"/>
      <c r="I94" s="23"/>
      <c r="J94" s="23"/>
      <c r="K94" s="23"/>
      <c r="L94" s="23"/>
      <c r="M94" s="23"/>
      <c r="N94" s="23"/>
      <c r="O94" s="23"/>
      <c r="P94" s="23"/>
      <c r="Q94" s="23"/>
      <c r="R94" s="23"/>
    </row>
    <row r="95" spans="1:18" ht="30" customHeight="1" x14ac:dyDescent="0.25">
      <c r="A95" s="22" t="s">
        <v>227</v>
      </c>
      <c r="B95" s="23"/>
      <c r="C95" s="23"/>
      <c r="D95" s="23"/>
      <c r="E95" s="23"/>
      <c r="F95" s="23"/>
      <c r="G95" s="23"/>
      <c r="H95" s="23"/>
      <c r="I95" s="23"/>
      <c r="J95" s="23"/>
      <c r="K95" s="23"/>
      <c r="L95" s="23"/>
      <c r="M95" s="23"/>
      <c r="N95" s="23"/>
      <c r="O95" s="23"/>
      <c r="P95" s="23"/>
      <c r="Q95" s="23"/>
      <c r="R95" s="23"/>
    </row>
    <row r="96" spans="1:18" ht="30" customHeight="1" x14ac:dyDescent="0.25">
      <c r="A96" s="22" t="s">
        <v>228</v>
      </c>
      <c r="B96" s="23"/>
      <c r="C96" s="23"/>
      <c r="D96" s="23"/>
      <c r="E96" s="23"/>
      <c r="F96" s="23"/>
      <c r="G96" s="23"/>
      <c r="H96" s="23"/>
      <c r="I96" s="23"/>
      <c r="J96" s="23"/>
      <c r="K96" s="23"/>
      <c r="L96" s="23"/>
      <c r="M96" s="23"/>
      <c r="N96" s="23"/>
      <c r="O96" s="23"/>
      <c r="P96" s="23"/>
      <c r="Q96" s="23"/>
      <c r="R96" s="23"/>
    </row>
  </sheetData>
  <mergeCells count="22">
    <mergeCell ref="O4:P4"/>
    <mergeCell ref="Q4:R4"/>
    <mergeCell ref="A1:R1"/>
    <mergeCell ref="A2:R2"/>
    <mergeCell ref="A84:R84"/>
    <mergeCell ref="E4:F4"/>
    <mergeCell ref="G4:H4"/>
    <mergeCell ref="I4:J4"/>
    <mergeCell ref="K4:L4"/>
    <mergeCell ref="M4:N4"/>
    <mergeCell ref="A85:R85"/>
    <mergeCell ref="A86:R86"/>
    <mergeCell ref="A87:R87"/>
    <mergeCell ref="A88:R88"/>
    <mergeCell ref="A89:R89"/>
    <mergeCell ref="A95:R95"/>
    <mergeCell ref="A96:R96"/>
    <mergeCell ref="A90:R90"/>
    <mergeCell ref="A91:R91"/>
    <mergeCell ref="A92:R92"/>
    <mergeCell ref="A93:R93"/>
    <mergeCell ref="A94:R94"/>
  </mergeCells>
  <pageMargins left="0.75" right="0.75" top="1" bottom="1" header="0.5" footer="0.5"/>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5"/>
  <dimension ref="A1:R96"/>
  <sheetViews>
    <sheetView zoomScale="80" workbookViewId="0">
      <pane xSplit="4" topLeftCell="E1" activePane="topRight" state="frozen"/>
      <selection sqref="A1:R1"/>
      <selection pane="topRight" sqref="A1:R1"/>
    </sheetView>
  </sheetViews>
  <sheetFormatPr defaultColWidth="11.42578125" defaultRowHeight="15" x14ac:dyDescent="0.25"/>
  <cols>
    <col min="1" max="1" width="50" customWidth="1"/>
  </cols>
  <sheetData>
    <row r="1" spans="1:18" x14ac:dyDescent="0.25">
      <c r="A1" s="26" t="s">
        <v>122</v>
      </c>
      <c r="B1" s="23"/>
      <c r="C1" s="23"/>
      <c r="D1" s="23"/>
      <c r="E1" s="23"/>
      <c r="F1" s="23"/>
      <c r="G1" s="23"/>
      <c r="H1" s="23"/>
      <c r="I1" s="23"/>
      <c r="J1" s="23"/>
      <c r="K1" s="23"/>
      <c r="L1" s="23"/>
      <c r="M1" s="23"/>
      <c r="N1" s="23"/>
      <c r="O1" s="23"/>
      <c r="P1" s="23"/>
      <c r="Q1" s="23"/>
      <c r="R1" s="23"/>
    </row>
    <row r="2" spans="1:18" x14ac:dyDescent="0.25">
      <c r="A2" s="27" t="s">
        <v>301</v>
      </c>
      <c r="B2" s="23"/>
      <c r="C2" s="23"/>
      <c r="D2" s="23"/>
      <c r="E2" s="23"/>
      <c r="F2" s="23"/>
      <c r="G2" s="23"/>
      <c r="H2" s="23"/>
      <c r="I2" s="23"/>
      <c r="J2" s="23"/>
      <c r="K2" s="23"/>
      <c r="L2" s="23"/>
      <c r="M2" s="23"/>
      <c r="N2" s="23"/>
      <c r="O2" s="23"/>
      <c r="P2" s="23"/>
      <c r="Q2" s="23"/>
      <c r="R2" s="23"/>
    </row>
    <row r="4" spans="1:18" ht="30" customHeight="1" x14ac:dyDescent="0.25">
      <c r="A4" s="4"/>
      <c r="B4" s="5" t="s">
        <v>123</v>
      </c>
      <c r="C4" s="5" t="s">
        <v>124</v>
      </c>
      <c r="D4" s="6" t="s">
        <v>123</v>
      </c>
      <c r="E4" s="24" t="s">
        <v>125</v>
      </c>
      <c r="F4" s="25"/>
      <c r="G4" s="24" t="s">
        <v>126</v>
      </c>
      <c r="H4" s="25"/>
      <c r="I4" s="24" t="s">
        <v>127</v>
      </c>
      <c r="J4" s="25"/>
      <c r="K4" s="24" t="s">
        <v>128</v>
      </c>
      <c r="L4" s="25"/>
      <c r="M4" s="24" t="s">
        <v>129</v>
      </c>
      <c r="N4" s="25"/>
      <c r="O4" s="24" t="s">
        <v>130</v>
      </c>
      <c r="P4" s="25"/>
      <c r="Q4" s="24" t="s">
        <v>131</v>
      </c>
      <c r="R4" s="25"/>
    </row>
    <row r="5" spans="1:18" x14ac:dyDescent="0.25">
      <c r="A5" s="7"/>
      <c r="B5" s="8" t="s">
        <v>132</v>
      </c>
      <c r="C5" s="8" t="s">
        <v>133</v>
      </c>
      <c r="D5" s="7" t="s">
        <v>134</v>
      </c>
      <c r="E5" s="8" t="s">
        <v>135</v>
      </c>
      <c r="F5" s="7" t="s">
        <v>136</v>
      </c>
      <c r="G5" s="8" t="s">
        <v>135</v>
      </c>
      <c r="H5" s="7" t="s">
        <v>136</v>
      </c>
      <c r="I5" s="8" t="s">
        <v>135</v>
      </c>
      <c r="J5" s="7" t="s">
        <v>136</v>
      </c>
      <c r="K5" s="8" t="s">
        <v>135</v>
      </c>
      <c r="L5" s="7" t="s">
        <v>136</v>
      </c>
      <c r="M5" s="8" t="s">
        <v>135</v>
      </c>
      <c r="N5" s="7" t="s">
        <v>136</v>
      </c>
      <c r="O5" s="8" t="s">
        <v>135</v>
      </c>
      <c r="P5" s="7" t="s">
        <v>136</v>
      </c>
      <c r="Q5" s="8" t="s">
        <v>135</v>
      </c>
      <c r="R5" s="7" t="s">
        <v>136</v>
      </c>
    </row>
    <row r="6" spans="1:18" x14ac:dyDescent="0.25">
      <c r="A6" s="9" t="s">
        <v>137</v>
      </c>
      <c r="B6" s="10"/>
      <c r="C6" s="10"/>
      <c r="D6" s="11"/>
      <c r="E6" s="10"/>
      <c r="F6" s="11"/>
      <c r="G6" s="10"/>
      <c r="H6" s="11"/>
      <c r="I6" s="10"/>
      <c r="J6" s="11"/>
      <c r="K6" s="10"/>
      <c r="L6" s="11"/>
      <c r="M6" s="10"/>
      <c r="N6" s="11"/>
      <c r="O6" s="10"/>
      <c r="P6" s="11"/>
      <c r="Q6" s="10"/>
      <c r="R6" s="12"/>
    </row>
    <row r="7" spans="1:18" x14ac:dyDescent="0.25">
      <c r="A7" s="11" t="s">
        <v>138</v>
      </c>
      <c r="B7" s="13">
        <v>14530</v>
      </c>
      <c r="C7" s="14">
        <f>(12188/B7*100)</f>
        <v>83.881624225739841</v>
      </c>
      <c r="D7" s="15">
        <v>2342</v>
      </c>
      <c r="E7" s="14">
        <v>41.071358940000003</v>
      </c>
      <c r="F7" s="16">
        <v>1.2332103800000001</v>
      </c>
      <c r="G7" s="14">
        <v>58.928641059999997</v>
      </c>
      <c r="H7" s="16">
        <v>1.2332103800000001</v>
      </c>
      <c r="I7" s="14" t="s">
        <v>139</v>
      </c>
      <c r="J7" s="16" t="s">
        <v>139</v>
      </c>
      <c r="K7" s="14">
        <v>0</v>
      </c>
      <c r="L7" s="16">
        <v>0</v>
      </c>
      <c r="M7" s="14">
        <v>0</v>
      </c>
      <c r="N7" s="16">
        <v>0</v>
      </c>
      <c r="O7" s="14">
        <v>0</v>
      </c>
      <c r="P7" s="16">
        <v>0</v>
      </c>
      <c r="Q7" s="14">
        <v>0</v>
      </c>
      <c r="R7" s="16">
        <v>0</v>
      </c>
    </row>
    <row r="8" spans="1:18" x14ac:dyDescent="0.25">
      <c r="A8" s="11" t="s">
        <v>140</v>
      </c>
      <c r="B8" s="13">
        <v>7007</v>
      </c>
      <c r="C8" s="14">
        <f>(5837/B8*100)</f>
        <v>83.302411873840441</v>
      </c>
      <c r="D8" s="15">
        <v>1170</v>
      </c>
      <c r="E8" s="14">
        <v>46.900837039999999</v>
      </c>
      <c r="F8" s="16">
        <v>1.5649276599999999</v>
      </c>
      <c r="G8" s="14">
        <v>53.099162960000001</v>
      </c>
      <c r="H8" s="16">
        <v>1.5649276599999999</v>
      </c>
      <c r="I8" s="14" t="s">
        <v>139</v>
      </c>
      <c r="J8" s="16" t="s">
        <v>139</v>
      </c>
      <c r="K8" s="14">
        <v>0</v>
      </c>
      <c r="L8" s="16">
        <v>0</v>
      </c>
      <c r="M8" s="14">
        <v>0</v>
      </c>
      <c r="N8" s="16">
        <v>0</v>
      </c>
      <c r="O8" s="14">
        <v>0</v>
      </c>
      <c r="P8" s="16">
        <v>0</v>
      </c>
      <c r="Q8" s="14">
        <v>0</v>
      </c>
      <c r="R8" s="16">
        <v>0</v>
      </c>
    </row>
    <row r="9" spans="1:18" x14ac:dyDescent="0.25">
      <c r="A9" s="11" t="s">
        <v>141</v>
      </c>
      <c r="B9" s="13">
        <v>9651</v>
      </c>
      <c r="C9" s="14">
        <f>(8124/B9*100)</f>
        <v>84.17780540876592</v>
      </c>
      <c r="D9" s="15">
        <v>1527</v>
      </c>
      <c r="E9" s="14">
        <v>46.186695710000002</v>
      </c>
      <c r="F9" s="16">
        <v>1.3682470099999999</v>
      </c>
      <c r="G9" s="14">
        <v>53.813304289999998</v>
      </c>
      <c r="H9" s="16">
        <v>1.3682470099999999</v>
      </c>
      <c r="I9" s="14" t="s">
        <v>139</v>
      </c>
      <c r="J9" s="16" t="s">
        <v>139</v>
      </c>
      <c r="K9" s="14">
        <v>0</v>
      </c>
      <c r="L9" s="16">
        <v>0</v>
      </c>
      <c r="M9" s="14">
        <v>0</v>
      </c>
      <c r="N9" s="16">
        <v>0</v>
      </c>
      <c r="O9" s="14">
        <v>0</v>
      </c>
      <c r="P9" s="16">
        <v>0</v>
      </c>
      <c r="Q9" s="14">
        <v>0</v>
      </c>
      <c r="R9" s="16">
        <v>0</v>
      </c>
    </row>
    <row r="10" spans="1:18" x14ac:dyDescent="0.25">
      <c r="A10" s="11" t="s">
        <v>142</v>
      </c>
      <c r="B10" s="13">
        <v>20058</v>
      </c>
      <c r="C10" s="14">
        <f>(16690/B10*100)</f>
        <v>83.208694785123143</v>
      </c>
      <c r="D10" s="15">
        <v>3368</v>
      </c>
      <c r="E10" s="14">
        <v>41.006378949999998</v>
      </c>
      <c r="F10" s="16">
        <v>1.18503615</v>
      </c>
      <c r="G10" s="14">
        <v>58.993621050000002</v>
      </c>
      <c r="H10" s="16">
        <v>1.18503615</v>
      </c>
      <c r="I10" s="14" t="s">
        <v>139</v>
      </c>
      <c r="J10" s="16" t="s">
        <v>139</v>
      </c>
      <c r="K10" s="14">
        <v>0</v>
      </c>
      <c r="L10" s="16">
        <v>0</v>
      </c>
      <c r="M10" s="14">
        <v>0</v>
      </c>
      <c r="N10" s="16">
        <v>0</v>
      </c>
      <c r="O10" s="14">
        <v>0</v>
      </c>
      <c r="P10" s="16">
        <v>0</v>
      </c>
      <c r="Q10" s="14">
        <v>0</v>
      </c>
      <c r="R10" s="16">
        <v>0</v>
      </c>
    </row>
    <row r="11" spans="1:18" x14ac:dyDescent="0.25">
      <c r="A11" s="11" t="s">
        <v>143</v>
      </c>
      <c r="B11" s="13">
        <v>7053</v>
      </c>
      <c r="C11" s="14">
        <f>(5899/B11*100)</f>
        <v>83.638168155394865</v>
      </c>
      <c r="D11" s="15">
        <v>1154</v>
      </c>
      <c r="E11" s="14">
        <v>51.701210439999997</v>
      </c>
      <c r="F11" s="16">
        <v>1.56852323</v>
      </c>
      <c r="G11" s="14">
        <v>48.298789560000003</v>
      </c>
      <c r="H11" s="16">
        <v>1.56852323</v>
      </c>
      <c r="I11" s="14" t="s">
        <v>139</v>
      </c>
      <c r="J11" s="16" t="s">
        <v>139</v>
      </c>
      <c r="K11" s="14">
        <v>0</v>
      </c>
      <c r="L11" s="16">
        <v>0</v>
      </c>
      <c r="M11" s="14">
        <v>0</v>
      </c>
      <c r="N11" s="16">
        <v>0</v>
      </c>
      <c r="O11" s="14">
        <v>0</v>
      </c>
      <c r="P11" s="16">
        <v>0</v>
      </c>
      <c r="Q11" s="14">
        <v>0</v>
      </c>
      <c r="R11" s="16">
        <v>0</v>
      </c>
    </row>
    <row r="12" spans="1:18" x14ac:dyDescent="0.25">
      <c r="A12" s="11" t="s">
        <v>144</v>
      </c>
      <c r="B12" s="13">
        <v>6894</v>
      </c>
      <c r="C12" s="14">
        <f>(5764/B12*100)</f>
        <v>83.608935306063245</v>
      </c>
      <c r="D12" s="15">
        <v>1130</v>
      </c>
      <c r="E12" s="14">
        <v>52.838580950000001</v>
      </c>
      <c r="F12" s="16">
        <v>1.9024698799999999</v>
      </c>
      <c r="G12" s="14">
        <v>47.161419049999999</v>
      </c>
      <c r="H12" s="16">
        <v>1.9024698799999999</v>
      </c>
      <c r="I12" s="14" t="s">
        <v>139</v>
      </c>
      <c r="J12" s="16" t="s">
        <v>139</v>
      </c>
      <c r="K12" s="14">
        <v>0</v>
      </c>
      <c r="L12" s="16">
        <v>0</v>
      </c>
      <c r="M12" s="14">
        <v>0</v>
      </c>
      <c r="N12" s="16">
        <v>0</v>
      </c>
      <c r="O12" s="14">
        <v>0</v>
      </c>
      <c r="P12" s="16">
        <v>0</v>
      </c>
      <c r="Q12" s="14">
        <v>0</v>
      </c>
      <c r="R12" s="16">
        <v>0</v>
      </c>
    </row>
    <row r="13" spans="1:18" x14ac:dyDescent="0.25">
      <c r="A13" s="11" t="s">
        <v>145</v>
      </c>
      <c r="B13" s="13">
        <v>7161</v>
      </c>
      <c r="C13" s="14">
        <f>(6052/B13*100)</f>
        <v>84.513336126239352</v>
      </c>
      <c r="D13" s="15">
        <v>1109</v>
      </c>
      <c r="E13" s="14">
        <v>45.635046799999998</v>
      </c>
      <c r="F13" s="16">
        <v>1.95011497</v>
      </c>
      <c r="G13" s="14">
        <v>54.364953200000002</v>
      </c>
      <c r="H13" s="16">
        <v>1.95011497</v>
      </c>
      <c r="I13" s="14" t="s">
        <v>139</v>
      </c>
      <c r="J13" s="16" t="s">
        <v>139</v>
      </c>
      <c r="K13" s="14">
        <v>0</v>
      </c>
      <c r="L13" s="16">
        <v>0</v>
      </c>
      <c r="M13" s="14">
        <v>0</v>
      </c>
      <c r="N13" s="16">
        <v>0</v>
      </c>
      <c r="O13" s="14">
        <v>0</v>
      </c>
      <c r="P13" s="16">
        <v>0</v>
      </c>
      <c r="Q13" s="14">
        <v>0</v>
      </c>
      <c r="R13" s="16">
        <v>0</v>
      </c>
    </row>
    <row r="14" spans="1:18" x14ac:dyDescent="0.25">
      <c r="A14" s="11" t="s">
        <v>146</v>
      </c>
      <c r="B14" s="13">
        <v>5587</v>
      </c>
      <c r="C14" s="14">
        <f>(4649/B14*100)</f>
        <v>83.211025595131559</v>
      </c>
      <c r="D14" s="15">
        <v>938</v>
      </c>
      <c r="E14" s="14">
        <v>39.945010940000003</v>
      </c>
      <c r="F14" s="16">
        <v>1.60869021</v>
      </c>
      <c r="G14" s="14">
        <v>60.054989059999997</v>
      </c>
      <c r="H14" s="16">
        <v>1.60869021</v>
      </c>
      <c r="I14" s="14" t="s">
        <v>139</v>
      </c>
      <c r="J14" s="16" t="s">
        <v>139</v>
      </c>
      <c r="K14" s="14">
        <v>0</v>
      </c>
      <c r="L14" s="16">
        <v>0</v>
      </c>
      <c r="M14" s="14">
        <v>0</v>
      </c>
      <c r="N14" s="16">
        <v>0</v>
      </c>
      <c r="O14" s="14">
        <v>0</v>
      </c>
      <c r="P14" s="16">
        <v>0</v>
      </c>
      <c r="Q14" s="14">
        <v>0</v>
      </c>
      <c r="R14" s="16">
        <v>0</v>
      </c>
    </row>
    <row r="15" spans="1:18" x14ac:dyDescent="0.25">
      <c r="A15" s="11" t="s">
        <v>147</v>
      </c>
      <c r="B15" s="13">
        <v>5882</v>
      </c>
      <c r="C15" s="14">
        <f>(4896/B15*100)</f>
        <v>83.236994219653184</v>
      </c>
      <c r="D15" s="15">
        <v>986</v>
      </c>
      <c r="E15" s="14">
        <v>44.265663119999999</v>
      </c>
      <c r="F15" s="16">
        <v>1.73985908</v>
      </c>
      <c r="G15" s="14">
        <v>55.734336880000001</v>
      </c>
      <c r="H15" s="16">
        <v>1.73985908</v>
      </c>
      <c r="I15" s="14" t="s">
        <v>139</v>
      </c>
      <c r="J15" s="16" t="s">
        <v>139</v>
      </c>
      <c r="K15" s="14">
        <v>0</v>
      </c>
      <c r="L15" s="16">
        <v>0</v>
      </c>
      <c r="M15" s="14">
        <v>0</v>
      </c>
      <c r="N15" s="16">
        <v>0</v>
      </c>
      <c r="O15" s="14">
        <v>0</v>
      </c>
      <c r="P15" s="16">
        <v>0</v>
      </c>
      <c r="Q15" s="14">
        <v>0</v>
      </c>
      <c r="R15" s="16">
        <v>0</v>
      </c>
    </row>
    <row r="16" spans="1:18" x14ac:dyDescent="0.25">
      <c r="A16" s="11" t="s">
        <v>148</v>
      </c>
      <c r="B16" s="13">
        <v>6108</v>
      </c>
      <c r="C16" s="14">
        <f>(5078/B16*100)</f>
        <v>83.136869679109367</v>
      </c>
      <c r="D16" s="15">
        <v>1030</v>
      </c>
      <c r="E16" s="14">
        <v>48.350419989999999</v>
      </c>
      <c r="F16" s="16">
        <v>1.6343522699999999</v>
      </c>
      <c r="G16" s="14">
        <v>51.649580010000001</v>
      </c>
      <c r="H16" s="16">
        <v>1.6343522699999999</v>
      </c>
      <c r="I16" s="14" t="s">
        <v>139</v>
      </c>
      <c r="J16" s="16" t="s">
        <v>139</v>
      </c>
      <c r="K16" s="14">
        <v>0</v>
      </c>
      <c r="L16" s="16">
        <v>0</v>
      </c>
      <c r="M16" s="14">
        <v>0</v>
      </c>
      <c r="N16" s="16">
        <v>0</v>
      </c>
      <c r="O16" s="14">
        <v>0</v>
      </c>
      <c r="P16" s="16">
        <v>0</v>
      </c>
      <c r="Q16" s="14">
        <v>0</v>
      </c>
      <c r="R16" s="16">
        <v>0</v>
      </c>
    </row>
    <row r="17" spans="1:18" x14ac:dyDescent="0.25">
      <c r="A17" s="11" t="s">
        <v>149</v>
      </c>
      <c r="B17" s="13">
        <v>6504</v>
      </c>
      <c r="C17" s="14">
        <f>(5432/B17*100)</f>
        <v>83.517835178351788</v>
      </c>
      <c r="D17" s="15">
        <v>1072</v>
      </c>
      <c r="E17" s="14">
        <v>41.013984260000001</v>
      </c>
      <c r="F17" s="16">
        <v>1.3265849199999999</v>
      </c>
      <c r="G17" s="14">
        <v>58.986015739999999</v>
      </c>
      <c r="H17" s="16">
        <v>1.3265849199999999</v>
      </c>
      <c r="I17" s="14" t="s">
        <v>139</v>
      </c>
      <c r="J17" s="16" t="s">
        <v>139</v>
      </c>
      <c r="K17" s="14">
        <v>0</v>
      </c>
      <c r="L17" s="16">
        <v>0</v>
      </c>
      <c r="M17" s="14">
        <v>0</v>
      </c>
      <c r="N17" s="16">
        <v>0</v>
      </c>
      <c r="O17" s="14">
        <v>0</v>
      </c>
      <c r="P17" s="16">
        <v>0</v>
      </c>
      <c r="Q17" s="14">
        <v>0</v>
      </c>
      <c r="R17" s="16">
        <v>0</v>
      </c>
    </row>
    <row r="18" spans="1:18" x14ac:dyDescent="0.25">
      <c r="A18" s="11" t="s">
        <v>150</v>
      </c>
      <c r="B18" s="13">
        <v>5532</v>
      </c>
      <c r="C18" s="14">
        <f>(4633/B18*100)</f>
        <v>83.749096167751276</v>
      </c>
      <c r="D18" s="15">
        <v>899</v>
      </c>
      <c r="E18" s="14">
        <v>61.129093930000003</v>
      </c>
      <c r="F18" s="16">
        <v>2.1030631999999998</v>
      </c>
      <c r="G18" s="14">
        <v>38.870906069999997</v>
      </c>
      <c r="H18" s="16">
        <v>2.1030631999999998</v>
      </c>
      <c r="I18" s="14" t="s">
        <v>139</v>
      </c>
      <c r="J18" s="16" t="s">
        <v>139</v>
      </c>
      <c r="K18" s="14">
        <v>0</v>
      </c>
      <c r="L18" s="16">
        <v>0</v>
      </c>
      <c r="M18" s="14">
        <v>0</v>
      </c>
      <c r="N18" s="16">
        <v>0</v>
      </c>
      <c r="O18" s="14">
        <v>0</v>
      </c>
      <c r="P18" s="16">
        <v>0</v>
      </c>
      <c r="Q18" s="14">
        <v>0</v>
      </c>
      <c r="R18" s="16">
        <v>0</v>
      </c>
    </row>
    <row r="19" spans="1:18" x14ac:dyDescent="0.25">
      <c r="A19" s="11" t="s">
        <v>151</v>
      </c>
      <c r="B19" s="13">
        <v>5658</v>
      </c>
      <c r="C19" s="14">
        <f>(4733/B19*100)</f>
        <v>83.6514669494521</v>
      </c>
      <c r="D19" s="15">
        <v>925</v>
      </c>
      <c r="E19" s="14">
        <v>53.414307749999999</v>
      </c>
      <c r="F19" s="16">
        <v>1.7713994900000001</v>
      </c>
      <c r="G19" s="14">
        <v>46.585692250000001</v>
      </c>
      <c r="H19" s="16">
        <v>1.7713994900000001</v>
      </c>
      <c r="I19" s="14" t="s">
        <v>139</v>
      </c>
      <c r="J19" s="16" t="s">
        <v>139</v>
      </c>
      <c r="K19" s="14">
        <v>0</v>
      </c>
      <c r="L19" s="16">
        <v>0</v>
      </c>
      <c r="M19" s="14">
        <v>0</v>
      </c>
      <c r="N19" s="16">
        <v>0</v>
      </c>
      <c r="O19" s="14">
        <v>0</v>
      </c>
      <c r="P19" s="16">
        <v>0</v>
      </c>
      <c r="Q19" s="14">
        <v>0</v>
      </c>
      <c r="R19" s="16">
        <v>0</v>
      </c>
    </row>
    <row r="20" spans="1:18" x14ac:dyDescent="0.25">
      <c r="A20" s="11" t="s">
        <v>152</v>
      </c>
      <c r="B20" s="13">
        <v>3371</v>
      </c>
      <c r="C20" s="14">
        <f>(2823/B20*100)</f>
        <v>83.743696232571935</v>
      </c>
      <c r="D20" s="15">
        <v>548</v>
      </c>
      <c r="E20" s="14">
        <v>52.25447776</v>
      </c>
      <c r="F20" s="16">
        <v>2.2098441499999999</v>
      </c>
      <c r="G20" s="14">
        <v>47.74552224</v>
      </c>
      <c r="H20" s="16">
        <v>2.2098441499999999</v>
      </c>
      <c r="I20" s="14" t="s">
        <v>139</v>
      </c>
      <c r="J20" s="16" t="s">
        <v>139</v>
      </c>
      <c r="K20" s="14">
        <v>0</v>
      </c>
      <c r="L20" s="16">
        <v>0</v>
      </c>
      <c r="M20" s="14">
        <v>0</v>
      </c>
      <c r="N20" s="16">
        <v>0</v>
      </c>
      <c r="O20" s="14">
        <v>0</v>
      </c>
      <c r="P20" s="16">
        <v>0</v>
      </c>
      <c r="Q20" s="14">
        <v>0</v>
      </c>
      <c r="R20" s="16">
        <v>0</v>
      </c>
    </row>
    <row r="21" spans="1:18" x14ac:dyDescent="0.25">
      <c r="A21" s="11" t="s">
        <v>153</v>
      </c>
      <c r="B21" s="17" t="s">
        <v>154</v>
      </c>
      <c r="C21" s="17" t="s">
        <v>154</v>
      </c>
      <c r="D21" s="18" t="s">
        <v>154</v>
      </c>
      <c r="E21" s="17" t="s">
        <v>154</v>
      </c>
      <c r="F21" s="18" t="s">
        <v>154</v>
      </c>
      <c r="G21" s="17" t="s">
        <v>154</v>
      </c>
      <c r="H21" s="18" t="s">
        <v>154</v>
      </c>
      <c r="I21" s="17" t="s">
        <v>154</v>
      </c>
      <c r="J21" s="18" t="s">
        <v>154</v>
      </c>
      <c r="K21" s="17" t="s">
        <v>154</v>
      </c>
      <c r="L21" s="18" t="s">
        <v>154</v>
      </c>
      <c r="M21" s="17" t="s">
        <v>154</v>
      </c>
      <c r="N21" s="18" t="s">
        <v>154</v>
      </c>
      <c r="O21" s="17" t="s">
        <v>154</v>
      </c>
      <c r="P21" s="18" t="s">
        <v>154</v>
      </c>
      <c r="Q21" s="17" t="s">
        <v>154</v>
      </c>
      <c r="R21" s="18" t="s">
        <v>154</v>
      </c>
    </row>
    <row r="22" spans="1:18" x14ac:dyDescent="0.25">
      <c r="A22" s="11" t="s">
        <v>155</v>
      </c>
      <c r="B22" s="13">
        <v>6598</v>
      </c>
      <c r="C22" s="14">
        <f>(5586/B22*100)</f>
        <v>84.662018793573807</v>
      </c>
      <c r="D22" s="15">
        <v>1012</v>
      </c>
      <c r="E22" s="14">
        <v>61.186493310000003</v>
      </c>
      <c r="F22" s="16">
        <v>1.8391263200000001</v>
      </c>
      <c r="G22" s="14">
        <v>38.813506689999997</v>
      </c>
      <c r="H22" s="16">
        <v>1.8391263200000001</v>
      </c>
      <c r="I22" s="14" t="s">
        <v>139</v>
      </c>
      <c r="J22" s="16" t="s">
        <v>139</v>
      </c>
      <c r="K22" s="14">
        <v>0</v>
      </c>
      <c r="L22" s="16">
        <v>0</v>
      </c>
      <c r="M22" s="14">
        <v>0</v>
      </c>
      <c r="N22" s="16">
        <v>0</v>
      </c>
      <c r="O22" s="14">
        <v>0</v>
      </c>
      <c r="P22" s="16">
        <v>0</v>
      </c>
      <c r="Q22" s="14">
        <v>0</v>
      </c>
      <c r="R22" s="16">
        <v>0</v>
      </c>
    </row>
    <row r="23" spans="1:18" x14ac:dyDescent="0.25">
      <c r="A23" s="11" t="s">
        <v>156</v>
      </c>
      <c r="B23" s="13">
        <v>11583</v>
      </c>
      <c r="C23" s="14">
        <f>(9653/B23*100)</f>
        <v>83.337650004316671</v>
      </c>
      <c r="D23" s="15">
        <v>1930</v>
      </c>
      <c r="E23" s="14">
        <v>49.720553930000001</v>
      </c>
      <c r="F23" s="16">
        <v>1.6575222000000001</v>
      </c>
      <c r="G23" s="14">
        <v>50.279446069999999</v>
      </c>
      <c r="H23" s="16">
        <v>1.6575222000000001</v>
      </c>
      <c r="I23" s="14" t="s">
        <v>139</v>
      </c>
      <c r="J23" s="16" t="s">
        <v>139</v>
      </c>
      <c r="K23" s="14">
        <v>0</v>
      </c>
      <c r="L23" s="16">
        <v>0</v>
      </c>
      <c r="M23" s="14">
        <v>0</v>
      </c>
      <c r="N23" s="16">
        <v>0</v>
      </c>
      <c r="O23" s="14">
        <v>0</v>
      </c>
      <c r="P23" s="16">
        <v>0</v>
      </c>
      <c r="Q23" s="14">
        <v>0</v>
      </c>
      <c r="R23" s="16">
        <v>0</v>
      </c>
    </row>
    <row r="24" spans="1:18" x14ac:dyDescent="0.25">
      <c r="A24" s="11" t="s">
        <v>157</v>
      </c>
      <c r="B24" s="13">
        <v>6647</v>
      </c>
      <c r="C24" s="14">
        <f>(5482/B24*100)</f>
        <v>82.473296223860387</v>
      </c>
      <c r="D24" s="15">
        <v>1165</v>
      </c>
      <c r="E24" s="14">
        <v>32.349699100000002</v>
      </c>
      <c r="F24" s="16">
        <v>1.3159887699999999</v>
      </c>
      <c r="G24" s="14">
        <v>67.650300900000005</v>
      </c>
      <c r="H24" s="16">
        <v>1.3159887699999999</v>
      </c>
      <c r="I24" s="14" t="s">
        <v>139</v>
      </c>
      <c r="J24" s="16" t="s">
        <v>139</v>
      </c>
      <c r="K24" s="14">
        <v>0</v>
      </c>
      <c r="L24" s="16">
        <v>0</v>
      </c>
      <c r="M24" s="14">
        <v>0</v>
      </c>
      <c r="N24" s="16">
        <v>0</v>
      </c>
      <c r="O24" s="14">
        <v>0</v>
      </c>
      <c r="P24" s="16">
        <v>0</v>
      </c>
      <c r="Q24" s="14">
        <v>0</v>
      </c>
      <c r="R24" s="16">
        <v>0</v>
      </c>
    </row>
    <row r="25" spans="1:18" x14ac:dyDescent="0.25">
      <c r="A25" s="11" t="s">
        <v>158</v>
      </c>
      <c r="B25" s="13">
        <v>5581</v>
      </c>
      <c r="C25" s="14">
        <f>(4597/B25*100)</f>
        <v>82.368751119870993</v>
      </c>
      <c r="D25" s="15">
        <v>984</v>
      </c>
      <c r="E25" s="14">
        <v>27.28960404</v>
      </c>
      <c r="F25" s="16">
        <v>1.2538854399999999</v>
      </c>
      <c r="G25" s="14">
        <v>72.71039596</v>
      </c>
      <c r="H25" s="16">
        <v>1.2538854399999999</v>
      </c>
      <c r="I25" s="14" t="s">
        <v>139</v>
      </c>
      <c r="J25" s="16" t="s">
        <v>139</v>
      </c>
      <c r="K25" s="14">
        <v>0</v>
      </c>
      <c r="L25" s="16">
        <v>0</v>
      </c>
      <c r="M25" s="14">
        <v>0</v>
      </c>
      <c r="N25" s="16">
        <v>0</v>
      </c>
      <c r="O25" s="14">
        <v>0</v>
      </c>
      <c r="P25" s="16">
        <v>0</v>
      </c>
      <c r="Q25" s="14">
        <v>0</v>
      </c>
      <c r="R25" s="16">
        <v>0</v>
      </c>
    </row>
    <row r="26" spans="1:18" x14ac:dyDescent="0.25">
      <c r="A26" s="11" t="s">
        <v>159</v>
      </c>
      <c r="B26" s="13">
        <v>4869</v>
      </c>
      <c r="C26" s="14">
        <f>(4044/B26*100)</f>
        <v>83.056069008009857</v>
      </c>
      <c r="D26" s="15">
        <v>825</v>
      </c>
      <c r="E26" s="14">
        <v>53.889223659999999</v>
      </c>
      <c r="F26" s="16">
        <v>1.7538536899999999</v>
      </c>
      <c r="G26" s="14">
        <v>46.110776340000001</v>
      </c>
      <c r="H26" s="16">
        <v>1.7538536899999999</v>
      </c>
      <c r="I26" s="14" t="s">
        <v>139</v>
      </c>
      <c r="J26" s="16" t="s">
        <v>139</v>
      </c>
      <c r="K26" s="14">
        <v>0</v>
      </c>
      <c r="L26" s="16">
        <v>0</v>
      </c>
      <c r="M26" s="14">
        <v>0</v>
      </c>
      <c r="N26" s="16">
        <v>0</v>
      </c>
      <c r="O26" s="14">
        <v>0</v>
      </c>
      <c r="P26" s="16">
        <v>0</v>
      </c>
      <c r="Q26" s="14">
        <v>0</v>
      </c>
      <c r="R26" s="16">
        <v>0</v>
      </c>
    </row>
    <row r="27" spans="1:18" x14ac:dyDescent="0.25">
      <c r="A27" s="11" t="s">
        <v>160</v>
      </c>
      <c r="B27" s="13">
        <v>5299</v>
      </c>
      <c r="C27" s="14">
        <f>(4441/B27*100)</f>
        <v>83.808265710511421</v>
      </c>
      <c r="D27" s="15">
        <v>858</v>
      </c>
      <c r="E27" s="14">
        <v>50.35172377</v>
      </c>
      <c r="F27" s="16">
        <v>1.6582120899999999</v>
      </c>
      <c r="G27" s="14">
        <v>49.64827623</v>
      </c>
      <c r="H27" s="16">
        <v>1.6582120899999999</v>
      </c>
      <c r="I27" s="14" t="s">
        <v>139</v>
      </c>
      <c r="J27" s="16" t="s">
        <v>139</v>
      </c>
      <c r="K27" s="14">
        <v>0</v>
      </c>
      <c r="L27" s="16">
        <v>0</v>
      </c>
      <c r="M27" s="14">
        <v>0</v>
      </c>
      <c r="N27" s="16">
        <v>0</v>
      </c>
      <c r="O27" s="14">
        <v>0</v>
      </c>
      <c r="P27" s="16">
        <v>0</v>
      </c>
      <c r="Q27" s="14">
        <v>0</v>
      </c>
      <c r="R27" s="16">
        <v>0</v>
      </c>
    </row>
    <row r="28" spans="1:18" x14ac:dyDescent="0.25">
      <c r="A28" s="11" t="s">
        <v>161</v>
      </c>
      <c r="B28" s="13">
        <v>7568</v>
      </c>
      <c r="C28" s="14">
        <f>(6435/B28*100)</f>
        <v>85.029069767441854</v>
      </c>
      <c r="D28" s="15">
        <v>1133</v>
      </c>
      <c r="E28" s="14">
        <v>64.074969859999996</v>
      </c>
      <c r="F28" s="16">
        <v>1.5842004199999999</v>
      </c>
      <c r="G28" s="14">
        <v>35.925030139999997</v>
      </c>
      <c r="H28" s="16">
        <v>1.5842004199999999</v>
      </c>
      <c r="I28" s="14" t="s">
        <v>139</v>
      </c>
      <c r="J28" s="16" t="s">
        <v>139</v>
      </c>
      <c r="K28" s="14">
        <v>0</v>
      </c>
      <c r="L28" s="16">
        <v>0</v>
      </c>
      <c r="M28" s="14">
        <v>0</v>
      </c>
      <c r="N28" s="16">
        <v>0</v>
      </c>
      <c r="O28" s="14">
        <v>0</v>
      </c>
      <c r="P28" s="16">
        <v>0</v>
      </c>
      <c r="Q28" s="14">
        <v>0</v>
      </c>
      <c r="R28" s="16">
        <v>0</v>
      </c>
    </row>
    <row r="29" spans="1:18" x14ac:dyDescent="0.25">
      <c r="A29" s="11" t="s">
        <v>162</v>
      </c>
      <c r="B29" s="13">
        <v>5385</v>
      </c>
      <c r="C29" s="14">
        <f>(4468/B29*100)</f>
        <v>82.971216341689882</v>
      </c>
      <c r="D29" s="15">
        <v>917</v>
      </c>
      <c r="E29" s="14">
        <v>44.725915399999998</v>
      </c>
      <c r="F29" s="16">
        <v>1.7072216499999999</v>
      </c>
      <c r="G29" s="14">
        <v>55.274084600000002</v>
      </c>
      <c r="H29" s="16">
        <v>1.7072216499999999</v>
      </c>
      <c r="I29" s="14" t="s">
        <v>139</v>
      </c>
      <c r="J29" s="16" t="s">
        <v>139</v>
      </c>
      <c r="K29" s="14">
        <v>0</v>
      </c>
      <c r="L29" s="16">
        <v>0</v>
      </c>
      <c r="M29" s="14">
        <v>0</v>
      </c>
      <c r="N29" s="16">
        <v>0</v>
      </c>
      <c r="O29" s="14">
        <v>0</v>
      </c>
      <c r="P29" s="16">
        <v>0</v>
      </c>
      <c r="Q29" s="14">
        <v>0</v>
      </c>
      <c r="R29" s="16">
        <v>0</v>
      </c>
    </row>
    <row r="30" spans="1:18" x14ac:dyDescent="0.25">
      <c r="A30" s="11" t="s">
        <v>163</v>
      </c>
      <c r="B30" s="13">
        <v>4520</v>
      </c>
      <c r="C30" s="14">
        <f>(3789/B30*100)</f>
        <v>83.827433628318587</v>
      </c>
      <c r="D30" s="15">
        <v>731</v>
      </c>
      <c r="E30" s="14">
        <v>43.092239130000003</v>
      </c>
      <c r="F30" s="16">
        <v>1.9967097499999999</v>
      </c>
      <c r="G30" s="14">
        <v>56.907760869999997</v>
      </c>
      <c r="H30" s="16">
        <v>1.9967097499999999</v>
      </c>
      <c r="I30" s="14" t="s">
        <v>139</v>
      </c>
      <c r="J30" s="16" t="s">
        <v>139</v>
      </c>
      <c r="K30" s="14">
        <v>0</v>
      </c>
      <c r="L30" s="16">
        <v>0</v>
      </c>
      <c r="M30" s="14">
        <v>0</v>
      </c>
      <c r="N30" s="16">
        <v>0</v>
      </c>
      <c r="O30" s="14">
        <v>0</v>
      </c>
      <c r="P30" s="16">
        <v>0</v>
      </c>
      <c r="Q30" s="14">
        <v>0</v>
      </c>
      <c r="R30" s="16">
        <v>0</v>
      </c>
    </row>
    <row r="31" spans="1:18" x14ac:dyDescent="0.25">
      <c r="A31" s="11" t="s">
        <v>164</v>
      </c>
      <c r="B31" s="13">
        <v>5456</v>
      </c>
      <c r="C31" s="14">
        <f>(4512/B31*100)</f>
        <v>82.697947214076251</v>
      </c>
      <c r="D31" s="15">
        <v>944</v>
      </c>
      <c r="E31" s="14">
        <v>46.765838039999998</v>
      </c>
      <c r="F31" s="16">
        <v>1.68945758</v>
      </c>
      <c r="G31" s="14">
        <v>53.234161960000002</v>
      </c>
      <c r="H31" s="16">
        <v>1.68945758</v>
      </c>
      <c r="I31" s="14" t="s">
        <v>139</v>
      </c>
      <c r="J31" s="16" t="s">
        <v>139</v>
      </c>
      <c r="K31" s="14">
        <v>0</v>
      </c>
      <c r="L31" s="16">
        <v>0</v>
      </c>
      <c r="M31" s="14">
        <v>0</v>
      </c>
      <c r="N31" s="16">
        <v>0</v>
      </c>
      <c r="O31" s="14">
        <v>0</v>
      </c>
      <c r="P31" s="16">
        <v>0</v>
      </c>
      <c r="Q31" s="14">
        <v>0</v>
      </c>
      <c r="R31" s="16">
        <v>0</v>
      </c>
    </row>
    <row r="32" spans="1:18" x14ac:dyDescent="0.25">
      <c r="A32" s="11" t="s">
        <v>165</v>
      </c>
      <c r="B32" s="17" t="s">
        <v>154</v>
      </c>
      <c r="C32" s="17" t="s">
        <v>154</v>
      </c>
      <c r="D32" s="18" t="s">
        <v>154</v>
      </c>
      <c r="E32" s="17" t="s">
        <v>154</v>
      </c>
      <c r="F32" s="18" t="s">
        <v>154</v>
      </c>
      <c r="G32" s="17" t="s">
        <v>154</v>
      </c>
      <c r="H32" s="18" t="s">
        <v>154</v>
      </c>
      <c r="I32" s="17" t="s">
        <v>154</v>
      </c>
      <c r="J32" s="18" t="s">
        <v>154</v>
      </c>
      <c r="K32" s="17" t="s">
        <v>154</v>
      </c>
      <c r="L32" s="18" t="s">
        <v>154</v>
      </c>
      <c r="M32" s="17" t="s">
        <v>154</v>
      </c>
      <c r="N32" s="18" t="s">
        <v>154</v>
      </c>
      <c r="O32" s="17" t="s">
        <v>154</v>
      </c>
      <c r="P32" s="18" t="s">
        <v>154</v>
      </c>
      <c r="Q32" s="17" t="s">
        <v>154</v>
      </c>
      <c r="R32" s="18" t="s">
        <v>154</v>
      </c>
    </row>
    <row r="33" spans="1:18" x14ac:dyDescent="0.25">
      <c r="A33" s="11" t="s">
        <v>166</v>
      </c>
      <c r="B33" s="13">
        <v>7325</v>
      </c>
      <c r="C33" s="14">
        <f>(6115/B33*100)</f>
        <v>83.481228668941981</v>
      </c>
      <c r="D33" s="15">
        <v>1210</v>
      </c>
      <c r="E33" s="14">
        <v>45.183150859999998</v>
      </c>
      <c r="F33" s="16">
        <v>1.6369490200000001</v>
      </c>
      <c r="G33" s="14">
        <v>54.816849140000002</v>
      </c>
      <c r="H33" s="16">
        <v>1.6369490200000001</v>
      </c>
      <c r="I33" s="14" t="s">
        <v>139</v>
      </c>
      <c r="J33" s="16" t="s">
        <v>139</v>
      </c>
      <c r="K33" s="14">
        <v>0</v>
      </c>
      <c r="L33" s="16">
        <v>0</v>
      </c>
      <c r="M33" s="14">
        <v>0</v>
      </c>
      <c r="N33" s="16">
        <v>0</v>
      </c>
      <c r="O33" s="14">
        <v>0</v>
      </c>
      <c r="P33" s="16">
        <v>0</v>
      </c>
      <c r="Q33" s="14">
        <v>0</v>
      </c>
      <c r="R33" s="16">
        <v>0</v>
      </c>
    </row>
    <row r="34" spans="1:18" x14ac:dyDescent="0.25">
      <c r="A34" s="11" t="s">
        <v>167</v>
      </c>
      <c r="B34" s="13">
        <v>6350</v>
      </c>
      <c r="C34" s="14">
        <f>(5356/B34*100)</f>
        <v>84.346456692913392</v>
      </c>
      <c r="D34" s="15">
        <v>994</v>
      </c>
      <c r="E34" s="14">
        <v>58.354803109999999</v>
      </c>
      <c r="F34" s="16">
        <v>1.48269889</v>
      </c>
      <c r="G34" s="14">
        <v>41.645196890000001</v>
      </c>
      <c r="H34" s="16">
        <v>1.48269889</v>
      </c>
      <c r="I34" s="14" t="s">
        <v>139</v>
      </c>
      <c r="J34" s="16" t="s">
        <v>139</v>
      </c>
      <c r="K34" s="14">
        <v>0</v>
      </c>
      <c r="L34" s="16">
        <v>0</v>
      </c>
      <c r="M34" s="14">
        <v>0</v>
      </c>
      <c r="N34" s="16">
        <v>0</v>
      </c>
      <c r="O34" s="14">
        <v>0</v>
      </c>
      <c r="P34" s="16">
        <v>0</v>
      </c>
      <c r="Q34" s="14">
        <v>0</v>
      </c>
      <c r="R34" s="16">
        <v>0</v>
      </c>
    </row>
    <row r="35" spans="1:18" x14ac:dyDescent="0.25">
      <c r="A35" s="11" t="s">
        <v>168</v>
      </c>
      <c r="B35" s="13">
        <v>6406</v>
      </c>
      <c r="C35" s="14">
        <f>(5336/B35*100)</f>
        <v>83.296909147674057</v>
      </c>
      <c r="D35" s="15">
        <v>1070</v>
      </c>
      <c r="E35" s="14">
        <v>47.488728279999997</v>
      </c>
      <c r="F35" s="16">
        <v>1.9890951400000001</v>
      </c>
      <c r="G35" s="14">
        <v>52.511271720000003</v>
      </c>
      <c r="H35" s="16">
        <v>1.9890951400000001</v>
      </c>
      <c r="I35" s="14" t="s">
        <v>139</v>
      </c>
      <c r="J35" s="16" t="s">
        <v>139</v>
      </c>
      <c r="K35" s="14">
        <v>0</v>
      </c>
      <c r="L35" s="16">
        <v>0</v>
      </c>
      <c r="M35" s="14">
        <v>0</v>
      </c>
      <c r="N35" s="16">
        <v>0</v>
      </c>
      <c r="O35" s="14">
        <v>0</v>
      </c>
      <c r="P35" s="16">
        <v>0</v>
      </c>
      <c r="Q35" s="14">
        <v>0</v>
      </c>
      <c r="R35" s="16">
        <v>0</v>
      </c>
    </row>
    <row r="36" spans="1:18" x14ac:dyDescent="0.25">
      <c r="A36" s="11" t="s">
        <v>169</v>
      </c>
      <c r="B36" s="13">
        <v>6736</v>
      </c>
      <c r="C36" s="14">
        <f>(5649/B36*100)</f>
        <v>83.862826603325416</v>
      </c>
      <c r="D36" s="15">
        <v>1087</v>
      </c>
      <c r="E36" s="14">
        <v>44.10535436</v>
      </c>
      <c r="F36" s="16">
        <v>1.57149966</v>
      </c>
      <c r="G36" s="14">
        <v>55.89464564</v>
      </c>
      <c r="H36" s="16">
        <v>1.57149966</v>
      </c>
      <c r="I36" s="14" t="s">
        <v>139</v>
      </c>
      <c r="J36" s="16" t="s">
        <v>139</v>
      </c>
      <c r="K36" s="14">
        <v>0</v>
      </c>
      <c r="L36" s="16">
        <v>0</v>
      </c>
      <c r="M36" s="14">
        <v>0</v>
      </c>
      <c r="N36" s="16">
        <v>0</v>
      </c>
      <c r="O36" s="14">
        <v>0</v>
      </c>
      <c r="P36" s="16">
        <v>0</v>
      </c>
      <c r="Q36" s="14">
        <v>0</v>
      </c>
      <c r="R36" s="16">
        <v>0</v>
      </c>
    </row>
    <row r="37" spans="1:18" x14ac:dyDescent="0.25">
      <c r="A37" s="11" t="s">
        <v>170</v>
      </c>
      <c r="B37" s="13">
        <v>5458</v>
      </c>
      <c r="C37" s="14">
        <f>(4553/B37*100)</f>
        <v>83.418834737999276</v>
      </c>
      <c r="D37" s="15">
        <v>905</v>
      </c>
      <c r="E37" s="14">
        <v>45.512250620000003</v>
      </c>
      <c r="F37" s="16">
        <v>1.8137677299999999</v>
      </c>
      <c r="G37" s="14">
        <v>54.487749379999997</v>
      </c>
      <c r="H37" s="16">
        <v>1.8137677299999999</v>
      </c>
      <c r="I37" s="14" t="s">
        <v>139</v>
      </c>
      <c r="J37" s="16" t="s">
        <v>139</v>
      </c>
      <c r="K37" s="14">
        <v>0</v>
      </c>
      <c r="L37" s="16">
        <v>0</v>
      </c>
      <c r="M37" s="14">
        <v>0</v>
      </c>
      <c r="N37" s="16">
        <v>0</v>
      </c>
      <c r="O37" s="14">
        <v>0</v>
      </c>
      <c r="P37" s="16">
        <v>0</v>
      </c>
      <c r="Q37" s="14">
        <v>0</v>
      </c>
      <c r="R37" s="16">
        <v>0</v>
      </c>
    </row>
    <row r="38" spans="1:18" x14ac:dyDescent="0.25">
      <c r="A38" s="11" t="s">
        <v>171</v>
      </c>
      <c r="B38" s="17" t="s">
        <v>154</v>
      </c>
      <c r="C38" s="17" t="s">
        <v>154</v>
      </c>
      <c r="D38" s="18" t="s">
        <v>154</v>
      </c>
      <c r="E38" s="17" t="s">
        <v>154</v>
      </c>
      <c r="F38" s="18" t="s">
        <v>154</v>
      </c>
      <c r="G38" s="17" t="s">
        <v>154</v>
      </c>
      <c r="H38" s="18" t="s">
        <v>154</v>
      </c>
      <c r="I38" s="17" t="s">
        <v>154</v>
      </c>
      <c r="J38" s="18" t="s">
        <v>154</v>
      </c>
      <c r="K38" s="17" t="s">
        <v>154</v>
      </c>
      <c r="L38" s="18" t="s">
        <v>154</v>
      </c>
      <c r="M38" s="17" t="s">
        <v>154</v>
      </c>
      <c r="N38" s="18" t="s">
        <v>154</v>
      </c>
      <c r="O38" s="17" t="s">
        <v>154</v>
      </c>
      <c r="P38" s="18" t="s">
        <v>154</v>
      </c>
      <c r="Q38" s="17" t="s">
        <v>154</v>
      </c>
      <c r="R38" s="18" t="s">
        <v>154</v>
      </c>
    </row>
    <row r="39" spans="1:18" x14ac:dyDescent="0.25">
      <c r="A39" s="11" t="s">
        <v>172</v>
      </c>
      <c r="B39" s="13">
        <v>5895</v>
      </c>
      <c r="C39" s="14">
        <f>(4865/B39*100)</f>
        <v>82.527565733672603</v>
      </c>
      <c r="D39" s="15">
        <v>1030</v>
      </c>
      <c r="E39" s="14">
        <v>66.278016870000002</v>
      </c>
      <c r="F39" s="16">
        <v>1.8774135199999999</v>
      </c>
      <c r="G39" s="14">
        <v>33.721983129999998</v>
      </c>
      <c r="H39" s="16">
        <v>1.8774135199999999</v>
      </c>
      <c r="I39" s="14" t="s">
        <v>139</v>
      </c>
      <c r="J39" s="16" t="s">
        <v>139</v>
      </c>
      <c r="K39" s="14">
        <v>0</v>
      </c>
      <c r="L39" s="16">
        <v>0</v>
      </c>
      <c r="M39" s="14">
        <v>0</v>
      </c>
      <c r="N39" s="16">
        <v>0</v>
      </c>
      <c r="O39" s="14">
        <v>0</v>
      </c>
      <c r="P39" s="16">
        <v>0</v>
      </c>
      <c r="Q39" s="14">
        <v>0</v>
      </c>
      <c r="R39" s="16">
        <v>0</v>
      </c>
    </row>
    <row r="40" spans="1:18" x14ac:dyDescent="0.25">
      <c r="A40" s="11" t="s">
        <v>173</v>
      </c>
      <c r="B40" s="13">
        <v>14157</v>
      </c>
      <c r="C40" s="14">
        <f>(11700/B40*100)</f>
        <v>82.644628099173559</v>
      </c>
      <c r="D40" s="15">
        <v>2457</v>
      </c>
      <c r="E40" s="14">
        <v>43.101155210000002</v>
      </c>
      <c r="F40" s="16">
        <v>1.5103817100000001</v>
      </c>
      <c r="G40" s="14">
        <v>56.898844789999998</v>
      </c>
      <c r="H40" s="16">
        <v>1.5103817100000001</v>
      </c>
      <c r="I40" s="14" t="s">
        <v>139</v>
      </c>
      <c r="J40" s="16" t="s">
        <v>139</v>
      </c>
      <c r="K40" s="14">
        <v>0</v>
      </c>
      <c r="L40" s="16">
        <v>0</v>
      </c>
      <c r="M40" s="14">
        <v>0</v>
      </c>
      <c r="N40" s="16">
        <v>0</v>
      </c>
      <c r="O40" s="14">
        <v>0</v>
      </c>
      <c r="P40" s="16">
        <v>0</v>
      </c>
      <c r="Q40" s="14">
        <v>0</v>
      </c>
      <c r="R40" s="16">
        <v>0</v>
      </c>
    </row>
    <row r="41" spans="1:18" x14ac:dyDescent="0.25">
      <c r="A41" s="11" t="s">
        <v>174</v>
      </c>
      <c r="B41" s="13">
        <v>5712</v>
      </c>
      <c r="C41" s="14">
        <f>(4785/B41*100)</f>
        <v>83.77100840336135</v>
      </c>
      <c r="D41" s="15">
        <v>927</v>
      </c>
      <c r="E41" s="14">
        <v>44.28960885</v>
      </c>
      <c r="F41" s="16">
        <v>1.92659282</v>
      </c>
      <c r="G41" s="14">
        <v>55.71039115</v>
      </c>
      <c r="H41" s="16">
        <v>1.92659282</v>
      </c>
      <c r="I41" s="14" t="s">
        <v>139</v>
      </c>
      <c r="J41" s="16" t="s">
        <v>139</v>
      </c>
      <c r="K41" s="14">
        <v>0</v>
      </c>
      <c r="L41" s="16">
        <v>0</v>
      </c>
      <c r="M41" s="14">
        <v>0</v>
      </c>
      <c r="N41" s="16">
        <v>0</v>
      </c>
      <c r="O41" s="14">
        <v>0</v>
      </c>
      <c r="P41" s="16">
        <v>0</v>
      </c>
      <c r="Q41" s="14">
        <v>0</v>
      </c>
      <c r="R41" s="16">
        <v>0</v>
      </c>
    </row>
    <row r="42" spans="1:18" x14ac:dyDescent="0.25">
      <c r="A42" s="11" t="s">
        <v>175</v>
      </c>
      <c r="B42" s="13">
        <f>IF(COUNT(B7:B41) &gt; 0, AVERAGE(B7:B41), "\u2014")</f>
        <v>7266.90625</v>
      </c>
      <c r="C42" s="14">
        <f>IF(COUNT(C7:C41) &gt; 0, AVERAGE(C7:C41), "—")</f>
        <v>83.504972993809972</v>
      </c>
      <c r="D42" s="15">
        <f>IF(COUNT(D7:D41) &gt; 0, AVERAGE(D7:D41), "—")</f>
        <v>1199.28125</v>
      </c>
      <c r="E42" s="14">
        <f>IF(COUNT(E7:E41) &gt; 0, AVERAGE(E7:E41), "—")</f>
        <v>47.921012343125007</v>
      </c>
      <c r="F42" s="16">
        <f>IF(COUNT(F7:F41) &gt; 0, SQRT(SUMSQ(F7:F41)/(COUNT(F7:F41)*COUNT(F7:F41)) ), "—")</f>
        <v>0.29852396264689773</v>
      </c>
      <c r="G42" s="14">
        <f>IF(COUNT(G7:G41) &gt; 0, AVERAGE(G7:G41), "—")</f>
        <v>52.078987656874993</v>
      </c>
      <c r="H42" s="16">
        <f>IF(COUNT(H7:H41) &gt; 0, SQRT(SUMSQ(H7:H41)/(COUNT(H7:H41)*COUNT(H7:H41)) ), "—")</f>
        <v>0.29852396264689773</v>
      </c>
      <c r="I42" s="14" t="str">
        <f>IF(COUNT(I7:I41) &gt; 0, AVERAGE(I7:I41), "—")</f>
        <v>—</v>
      </c>
      <c r="J42" s="16" t="str">
        <f>IF(COUNT(J7:J41) &gt; 0, SQRT(SUMSQ(J7:J41)/(COUNT(J7:J41)*COUNT(J7:J41)) ), "—")</f>
        <v>—</v>
      </c>
      <c r="K42" s="14">
        <f>IF(COUNT(K7:K41) &gt; 0, AVERAGE(K7:K41), "—")</f>
        <v>0</v>
      </c>
      <c r="L42" s="16">
        <f>IF(COUNT(L7:L41) &gt; 0, SQRT(SUMSQ(L7:L41)/(COUNT(L7:L41)*COUNT(L7:L41)) ), "—")</f>
        <v>0</v>
      </c>
      <c r="M42" s="14">
        <f>IF(COUNT(M7:M41) &gt; 0, AVERAGE(M7:M41), "—")</f>
        <v>0</v>
      </c>
      <c r="N42" s="16">
        <f>IF(COUNT(N7:N41) &gt; 0, SQRT(SUMSQ(N7:N41)/(COUNT(N7:N41)*COUNT(N7:N41)) ), "—")</f>
        <v>0</v>
      </c>
      <c r="O42" s="14">
        <f>IF(COUNT(O7:O41) &gt; 0, AVERAGE(O7:O41), "—")</f>
        <v>0</v>
      </c>
      <c r="P42" s="16">
        <f>IF(COUNT(P7:P41) &gt; 0, SQRT(SUMSQ(P7:P41)/(COUNT(P7:P41)*COUNT(P7:P41)) ), "—")</f>
        <v>0</v>
      </c>
      <c r="Q42" s="14">
        <f>IF(COUNT(Q7:Q41) &gt; 0, AVERAGE(Q7:Q41), "—")</f>
        <v>0</v>
      </c>
      <c r="R42" s="16">
        <f>IF(COUNT(R7:R41) &gt; 0, SQRT(SUMSQ(R7:R41)/(COUNT(R7:R41)*COUNT(R7:R41)) ), "—")</f>
        <v>0</v>
      </c>
    </row>
    <row r="43" spans="1:18" x14ac:dyDescent="0.25">
      <c r="A43" s="9" t="s">
        <v>176</v>
      </c>
      <c r="B43" s="10"/>
      <c r="C43" s="10"/>
      <c r="D43" s="11"/>
      <c r="E43" s="10"/>
      <c r="F43" s="11"/>
      <c r="G43" s="10"/>
      <c r="H43" s="11"/>
      <c r="I43" s="10"/>
      <c r="J43" s="11"/>
      <c r="K43" s="10"/>
      <c r="L43" s="11"/>
      <c r="M43" s="10"/>
      <c r="N43" s="11"/>
      <c r="O43" s="10"/>
      <c r="P43" s="11"/>
      <c r="Q43" s="10"/>
      <c r="R43" s="12"/>
    </row>
    <row r="44" spans="1:18" x14ac:dyDescent="0.25">
      <c r="A44" s="11" t="s">
        <v>177</v>
      </c>
      <c r="B44" s="17" t="s">
        <v>154</v>
      </c>
      <c r="C44" s="17" t="s">
        <v>154</v>
      </c>
      <c r="D44" s="18" t="s">
        <v>154</v>
      </c>
      <c r="E44" s="17" t="s">
        <v>154</v>
      </c>
      <c r="F44" s="18" t="s">
        <v>154</v>
      </c>
      <c r="G44" s="17" t="s">
        <v>154</v>
      </c>
      <c r="H44" s="18" t="s">
        <v>154</v>
      </c>
      <c r="I44" s="17" t="s">
        <v>154</v>
      </c>
      <c r="J44" s="18" t="s">
        <v>154</v>
      </c>
      <c r="K44" s="17" t="s">
        <v>154</v>
      </c>
      <c r="L44" s="18" t="s">
        <v>154</v>
      </c>
      <c r="M44" s="17" t="s">
        <v>154</v>
      </c>
      <c r="N44" s="18" t="s">
        <v>154</v>
      </c>
      <c r="O44" s="17" t="s">
        <v>154</v>
      </c>
      <c r="P44" s="18" t="s">
        <v>154</v>
      </c>
      <c r="Q44" s="17" t="s">
        <v>154</v>
      </c>
      <c r="R44" s="18" t="s">
        <v>154</v>
      </c>
    </row>
    <row r="45" spans="1:18" x14ac:dyDescent="0.25">
      <c r="A45" s="11" t="s">
        <v>178</v>
      </c>
      <c r="B45" s="17" t="s">
        <v>154</v>
      </c>
      <c r="C45" s="17" t="s">
        <v>154</v>
      </c>
      <c r="D45" s="18" t="s">
        <v>154</v>
      </c>
      <c r="E45" s="17" t="s">
        <v>154</v>
      </c>
      <c r="F45" s="18" t="s">
        <v>154</v>
      </c>
      <c r="G45" s="17" t="s">
        <v>154</v>
      </c>
      <c r="H45" s="18" t="s">
        <v>154</v>
      </c>
      <c r="I45" s="17" t="s">
        <v>154</v>
      </c>
      <c r="J45" s="18" t="s">
        <v>154</v>
      </c>
      <c r="K45" s="17" t="s">
        <v>154</v>
      </c>
      <c r="L45" s="18" t="s">
        <v>154</v>
      </c>
      <c r="M45" s="17" t="s">
        <v>154</v>
      </c>
      <c r="N45" s="18" t="s">
        <v>154</v>
      </c>
      <c r="O45" s="17" t="s">
        <v>154</v>
      </c>
      <c r="P45" s="18" t="s">
        <v>154</v>
      </c>
      <c r="Q45" s="17" t="s">
        <v>154</v>
      </c>
      <c r="R45" s="18" t="s">
        <v>154</v>
      </c>
    </row>
    <row r="46" spans="1:18" x14ac:dyDescent="0.25">
      <c r="A46" s="11" t="s">
        <v>179</v>
      </c>
      <c r="B46" s="13">
        <v>23141</v>
      </c>
      <c r="C46" s="14">
        <f>(20323/B46*100)</f>
        <v>87.822479581694822</v>
      </c>
      <c r="D46" s="15">
        <v>2818</v>
      </c>
      <c r="E46" s="14">
        <v>62.046017030000002</v>
      </c>
      <c r="F46" s="16">
        <v>1.3977554999999999</v>
      </c>
      <c r="G46" s="14">
        <v>37.953982969999998</v>
      </c>
      <c r="H46" s="16">
        <v>1.3977554999999999</v>
      </c>
      <c r="I46" s="14" t="s">
        <v>139</v>
      </c>
      <c r="J46" s="16" t="s">
        <v>139</v>
      </c>
      <c r="K46" s="14">
        <v>0</v>
      </c>
      <c r="L46" s="16">
        <v>0</v>
      </c>
      <c r="M46" s="14">
        <v>0</v>
      </c>
      <c r="N46" s="16">
        <v>0</v>
      </c>
      <c r="O46" s="14">
        <v>0</v>
      </c>
      <c r="P46" s="16">
        <v>0</v>
      </c>
      <c r="Q46" s="14">
        <v>0</v>
      </c>
      <c r="R46" s="16">
        <v>0</v>
      </c>
    </row>
    <row r="47" spans="1:18" x14ac:dyDescent="0.25">
      <c r="A47" s="11" t="s">
        <v>180</v>
      </c>
      <c r="B47" s="13">
        <v>5928</v>
      </c>
      <c r="C47" s="14">
        <f>(4983/B47*100)</f>
        <v>84.058704453441294</v>
      </c>
      <c r="D47" s="15">
        <v>945</v>
      </c>
      <c r="E47" s="14">
        <v>60.900158259999998</v>
      </c>
      <c r="F47" s="16">
        <v>1.6855800400000001</v>
      </c>
      <c r="G47" s="14">
        <v>39.099841740000002</v>
      </c>
      <c r="H47" s="16">
        <v>1.6855800400000001</v>
      </c>
      <c r="I47" s="14" t="s">
        <v>139</v>
      </c>
      <c r="J47" s="16" t="s">
        <v>139</v>
      </c>
      <c r="K47" s="14">
        <v>0</v>
      </c>
      <c r="L47" s="16">
        <v>0</v>
      </c>
      <c r="M47" s="14">
        <v>0</v>
      </c>
      <c r="N47" s="16">
        <v>0</v>
      </c>
      <c r="O47" s="14">
        <v>0</v>
      </c>
      <c r="P47" s="16">
        <v>0</v>
      </c>
      <c r="Q47" s="14">
        <v>0</v>
      </c>
      <c r="R47" s="16">
        <v>0</v>
      </c>
    </row>
    <row r="48" spans="1:18" x14ac:dyDescent="0.25">
      <c r="A48" s="11" t="s">
        <v>181</v>
      </c>
      <c r="B48" s="13">
        <v>9841</v>
      </c>
      <c r="C48" s="14">
        <f>(8156/B48*100)</f>
        <v>82.877756325576669</v>
      </c>
      <c r="D48" s="15">
        <v>1685</v>
      </c>
      <c r="E48" s="14">
        <v>46.744958089999997</v>
      </c>
      <c r="F48" s="16">
        <v>1.6120399299999999</v>
      </c>
      <c r="G48" s="14">
        <v>53.255041910000003</v>
      </c>
      <c r="H48" s="16">
        <v>1.6120399299999999</v>
      </c>
      <c r="I48" s="14" t="s">
        <v>139</v>
      </c>
      <c r="J48" s="16" t="s">
        <v>139</v>
      </c>
      <c r="K48" s="14">
        <v>0</v>
      </c>
      <c r="L48" s="16">
        <v>0</v>
      </c>
      <c r="M48" s="14">
        <v>0</v>
      </c>
      <c r="N48" s="16">
        <v>0</v>
      </c>
      <c r="O48" s="14">
        <v>0</v>
      </c>
      <c r="P48" s="16">
        <v>0</v>
      </c>
      <c r="Q48" s="14">
        <v>0</v>
      </c>
      <c r="R48" s="16">
        <v>0</v>
      </c>
    </row>
    <row r="49" spans="1:18" x14ac:dyDescent="0.25">
      <c r="A49" s="11" t="s">
        <v>182</v>
      </c>
      <c r="B49" s="17" t="s">
        <v>154</v>
      </c>
      <c r="C49" s="17" t="s">
        <v>154</v>
      </c>
      <c r="D49" s="18" t="s">
        <v>154</v>
      </c>
      <c r="E49" s="17" t="s">
        <v>154</v>
      </c>
      <c r="F49" s="18" t="s">
        <v>154</v>
      </c>
      <c r="G49" s="17" t="s">
        <v>154</v>
      </c>
      <c r="H49" s="18" t="s">
        <v>154</v>
      </c>
      <c r="I49" s="17" t="s">
        <v>154</v>
      </c>
      <c r="J49" s="18" t="s">
        <v>154</v>
      </c>
      <c r="K49" s="17" t="s">
        <v>154</v>
      </c>
      <c r="L49" s="18" t="s">
        <v>154</v>
      </c>
      <c r="M49" s="17" t="s">
        <v>154</v>
      </c>
      <c r="N49" s="18" t="s">
        <v>154</v>
      </c>
      <c r="O49" s="17" t="s">
        <v>154</v>
      </c>
      <c r="P49" s="18" t="s">
        <v>154</v>
      </c>
      <c r="Q49" s="17" t="s">
        <v>154</v>
      </c>
      <c r="R49" s="18" t="s">
        <v>154</v>
      </c>
    </row>
    <row r="50" spans="1:18" x14ac:dyDescent="0.25">
      <c r="A50" s="11" t="s">
        <v>183</v>
      </c>
      <c r="B50" s="13">
        <v>11795</v>
      </c>
      <c r="C50" s="14">
        <f>(9958/B50*100)</f>
        <v>84.425604069520986</v>
      </c>
      <c r="D50" s="15">
        <v>1837</v>
      </c>
      <c r="E50" s="14">
        <v>58.966970799999999</v>
      </c>
      <c r="F50" s="16">
        <v>1.6266505899999999</v>
      </c>
      <c r="G50" s="14">
        <v>41.033029200000001</v>
      </c>
      <c r="H50" s="16">
        <v>1.6266505899999999</v>
      </c>
      <c r="I50" s="14" t="s">
        <v>139</v>
      </c>
      <c r="J50" s="16" t="s">
        <v>139</v>
      </c>
      <c r="K50" s="14">
        <v>0</v>
      </c>
      <c r="L50" s="16">
        <v>0</v>
      </c>
      <c r="M50" s="14">
        <v>0</v>
      </c>
      <c r="N50" s="16">
        <v>0</v>
      </c>
      <c r="O50" s="14">
        <v>0</v>
      </c>
      <c r="P50" s="16">
        <v>0</v>
      </c>
      <c r="Q50" s="14">
        <v>0</v>
      </c>
      <c r="R50" s="16">
        <v>0</v>
      </c>
    </row>
    <row r="51" spans="1:18" x14ac:dyDescent="0.25">
      <c r="A51" s="11" t="s">
        <v>184</v>
      </c>
      <c r="B51" s="13">
        <v>6866</v>
      </c>
      <c r="C51" s="14">
        <f>(5911/B51*100)</f>
        <v>86.090882609962122</v>
      </c>
      <c r="D51" s="15">
        <v>955</v>
      </c>
      <c r="E51" s="14">
        <v>53.609914150000002</v>
      </c>
      <c r="F51" s="16">
        <v>1.9471952299999999</v>
      </c>
      <c r="G51" s="14">
        <v>46.390085849999998</v>
      </c>
      <c r="H51" s="16">
        <v>1.9471952299999999</v>
      </c>
      <c r="I51" s="14" t="s">
        <v>139</v>
      </c>
      <c r="J51" s="16" t="s">
        <v>139</v>
      </c>
      <c r="K51" s="14">
        <v>0</v>
      </c>
      <c r="L51" s="16">
        <v>0</v>
      </c>
      <c r="M51" s="14">
        <v>0</v>
      </c>
      <c r="N51" s="16">
        <v>0</v>
      </c>
      <c r="O51" s="14">
        <v>0</v>
      </c>
      <c r="P51" s="16">
        <v>0</v>
      </c>
      <c r="Q51" s="14">
        <v>0</v>
      </c>
      <c r="R51" s="16">
        <v>0</v>
      </c>
    </row>
    <row r="52" spans="1:18" x14ac:dyDescent="0.25">
      <c r="A52" s="11" t="s">
        <v>185</v>
      </c>
      <c r="B52" s="13">
        <v>5809</v>
      </c>
      <c r="C52" s="14">
        <f>(4832/B52*100)</f>
        <v>83.181270442416945</v>
      </c>
      <c r="D52" s="15">
        <v>977</v>
      </c>
      <c r="E52" s="14">
        <v>55.97145312</v>
      </c>
      <c r="F52" s="16">
        <v>1.81466759</v>
      </c>
      <c r="G52" s="14">
        <v>44.02854688</v>
      </c>
      <c r="H52" s="16">
        <v>1.81466759</v>
      </c>
      <c r="I52" s="14" t="s">
        <v>139</v>
      </c>
      <c r="J52" s="16" t="s">
        <v>139</v>
      </c>
      <c r="K52" s="14">
        <v>0</v>
      </c>
      <c r="L52" s="16">
        <v>0</v>
      </c>
      <c r="M52" s="14">
        <v>0</v>
      </c>
      <c r="N52" s="16">
        <v>0</v>
      </c>
      <c r="O52" s="14">
        <v>0</v>
      </c>
      <c r="P52" s="16">
        <v>0</v>
      </c>
      <c r="Q52" s="14">
        <v>0</v>
      </c>
      <c r="R52" s="16">
        <v>0</v>
      </c>
    </row>
    <row r="53" spans="1:18" x14ac:dyDescent="0.25">
      <c r="A53" s="11" t="s">
        <v>186</v>
      </c>
      <c r="B53" s="13">
        <v>5571</v>
      </c>
      <c r="C53" s="14">
        <f>(4622/B53*100)</f>
        <v>82.965356309459708</v>
      </c>
      <c r="D53" s="15">
        <v>949</v>
      </c>
      <c r="E53" s="14">
        <v>60.553723470000001</v>
      </c>
      <c r="F53" s="16">
        <v>1.2950293500000001</v>
      </c>
      <c r="G53" s="14">
        <v>39.446276529999999</v>
      </c>
      <c r="H53" s="16">
        <v>1.2950293500000001</v>
      </c>
      <c r="I53" s="14" t="s">
        <v>139</v>
      </c>
      <c r="J53" s="16" t="s">
        <v>139</v>
      </c>
      <c r="K53" s="14">
        <v>0</v>
      </c>
      <c r="L53" s="16">
        <v>0</v>
      </c>
      <c r="M53" s="14">
        <v>0</v>
      </c>
      <c r="N53" s="16">
        <v>0</v>
      </c>
      <c r="O53" s="14">
        <v>0</v>
      </c>
      <c r="P53" s="16">
        <v>0</v>
      </c>
      <c r="Q53" s="14">
        <v>0</v>
      </c>
      <c r="R53" s="16">
        <v>0</v>
      </c>
    </row>
    <row r="54" spans="1:18" x14ac:dyDescent="0.25">
      <c r="A54" s="11" t="s">
        <v>187</v>
      </c>
      <c r="B54" s="17" t="s">
        <v>154</v>
      </c>
      <c r="C54" s="17" t="s">
        <v>154</v>
      </c>
      <c r="D54" s="18" t="s">
        <v>154</v>
      </c>
      <c r="E54" s="17" t="s">
        <v>154</v>
      </c>
      <c r="F54" s="18" t="s">
        <v>154</v>
      </c>
      <c r="G54" s="17" t="s">
        <v>154</v>
      </c>
      <c r="H54" s="18" t="s">
        <v>154</v>
      </c>
      <c r="I54" s="17" t="s">
        <v>154</v>
      </c>
      <c r="J54" s="18" t="s">
        <v>154</v>
      </c>
      <c r="K54" s="17" t="s">
        <v>154</v>
      </c>
      <c r="L54" s="18" t="s">
        <v>154</v>
      </c>
      <c r="M54" s="17" t="s">
        <v>154</v>
      </c>
      <c r="N54" s="18" t="s">
        <v>154</v>
      </c>
      <c r="O54" s="17" t="s">
        <v>154</v>
      </c>
      <c r="P54" s="18" t="s">
        <v>154</v>
      </c>
      <c r="Q54" s="17" t="s">
        <v>154</v>
      </c>
      <c r="R54" s="18" t="s">
        <v>154</v>
      </c>
    </row>
    <row r="55" spans="1:18" x14ac:dyDescent="0.25">
      <c r="A55" s="11" t="s">
        <v>188</v>
      </c>
      <c r="B55" s="17" t="s">
        <v>154</v>
      </c>
      <c r="C55" s="17" t="s">
        <v>154</v>
      </c>
      <c r="D55" s="18" t="s">
        <v>154</v>
      </c>
      <c r="E55" s="17" t="s">
        <v>154</v>
      </c>
      <c r="F55" s="18" t="s">
        <v>154</v>
      </c>
      <c r="G55" s="17" t="s">
        <v>154</v>
      </c>
      <c r="H55" s="18" t="s">
        <v>154</v>
      </c>
      <c r="I55" s="17" t="s">
        <v>154</v>
      </c>
      <c r="J55" s="18" t="s">
        <v>154</v>
      </c>
      <c r="K55" s="17" t="s">
        <v>154</v>
      </c>
      <c r="L55" s="18" t="s">
        <v>154</v>
      </c>
      <c r="M55" s="17" t="s">
        <v>154</v>
      </c>
      <c r="N55" s="18" t="s">
        <v>154</v>
      </c>
      <c r="O55" s="17" t="s">
        <v>154</v>
      </c>
      <c r="P55" s="18" t="s">
        <v>154</v>
      </c>
      <c r="Q55" s="17" t="s">
        <v>154</v>
      </c>
      <c r="R55" s="18" t="s">
        <v>154</v>
      </c>
    </row>
    <row r="56" spans="1:18" x14ac:dyDescent="0.25">
      <c r="A56" s="11" t="s">
        <v>189</v>
      </c>
      <c r="B56" s="13">
        <v>5359</v>
      </c>
      <c r="C56" s="14">
        <f>(4423/B56*100)</f>
        <v>82.534054860981527</v>
      </c>
      <c r="D56" s="15">
        <v>936</v>
      </c>
      <c r="E56" s="14">
        <v>34.762515020000002</v>
      </c>
      <c r="F56" s="16">
        <v>1.8377690200000001</v>
      </c>
      <c r="G56" s="14">
        <v>65.237484980000005</v>
      </c>
      <c r="H56" s="16">
        <v>1.8377690200000001</v>
      </c>
      <c r="I56" s="14" t="s">
        <v>139</v>
      </c>
      <c r="J56" s="16" t="s">
        <v>139</v>
      </c>
      <c r="K56" s="14">
        <v>0</v>
      </c>
      <c r="L56" s="16">
        <v>0</v>
      </c>
      <c r="M56" s="14">
        <v>0</v>
      </c>
      <c r="N56" s="16">
        <v>0</v>
      </c>
      <c r="O56" s="14">
        <v>0</v>
      </c>
      <c r="P56" s="16">
        <v>0</v>
      </c>
      <c r="Q56" s="14">
        <v>0</v>
      </c>
      <c r="R56" s="16">
        <v>0</v>
      </c>
    </row>
    <row r="57" spans="1:18" x14ac:dyDescent="0.25">
      <c r="A57" s="11" t="s">
        <v>190</v>
      </c>
      <c r="B57" s="17" t="s">
        <v>154</v>
      </c>
      <c r="C57" s="17" t="s">
        <v>154</v>
      </c>
      <c r="D57" s="18" t="s">
        <v>154</v>
      </c>
      <c r="E57" s="17" t="s">
        <v>154</v>
      </c>
      <c r="F57" s="18" t="s">
        <v>154</v>
      </c>
      <c r="G57" s="17" t="s">
        <v>154</v>
      </c>
      <c r="H57" s="18" t="s">
        <v>154</v>
      </c>
      <c r="I57" s="17" t="s">
        <v>154</v>
      </c>
      <c r="J57" s="18" t="s">
        <v>154</v>
      </c>
      <c r="K57" s="17" t="s">
        <v>154</v>
      </c>
      <c r="L57" s="18" t="s">
        <v>154</v>
      </c>
      <c r="M57" s="17" t="s">
        <v>154</v>
      </c>
      <c r="N57" s="18" t="s">
        <v>154</v>
      </c>
      <c r="O57" s="17" t="s">
        <v>154</v>
      </c>
      <c r="P57" s="18" t="s">
        <v>154</v>
      </c>
      <c r="Q57" s="17" t="s">
        <v>154</v>
      </c>
      <c r="R57" s="18" t="s">
        <v>154</v>
      </c>
    </row>
    <row r="58" spans="1:18" x14ac:dyDescent="0.25">
      <c r="A58" s="11" t="s">
        <v>191</v>
      </c>
      <c r="B58" s="17" t="s">
        <v>154</v>
      </c>
      <c r="C58" s="17" t="s">
        <v>154</v>
      </c>
      <c r="D58" s="18" t="s">
        <v>154</v>
      </c>
      <c r="E58" s="17" t="s">
        <v>154</v>
      </c>
      <c r="F58" s="18" t="s">
        <v>154</v>
      </c>
      <c r="G58" s="17" t="s">
        <v>154</v>
      </c>
      <c r="H58" s="18" t="s">
        <v>154</v>
      </c>
      <c r="I58" s="17" t="s">
        <v>154</v>
      </c>
      <c r="J58" s="18" t="s">
        <v>154</v>
      </c>
      <c r="K58" s="17" t="s">
        <v>154</v>
      </c>
      <c r="L58" s="18" t="s">
        <v>154</v>
      </c>
      <c r="M58" s="17" t="s">
        <v>154</v>
      </c>
      <c r="N58" s="18" t="s">
        <v>154</v>
      </c>
      <c r="O58" s="17" t="s">
        <v>154</v>
      </c>
      <c r="P58" s="18" t="s">
        <v>154</v>
      </c>
      <c r="Q58" s="17" t="s">
        <v>154</v>
      </c>
      <c r="R58" s="18" t="s">
        <v>154</v>
      </c>
    </row>
    <row r="59" spans="1:18" x14ac:dyDescent="0.25">
      <c r="A59" s="11" t="s">
        <v>192</v>
      </c>
      <c r="B59" s="17" t="s">
        <v>154</v>
      </c>
      <c r="C59" s="17" t="s">
        <v>154</v>
      </c>
      <c r="D59" s="18" t="s">
        <v>154</v>
      </c>
      <c r="E59" s="17" t="s">
        <v>154</v>
      </c>
      <c r="F59" s="18" t="s">
        <v>154</v>
      </c>
      <c r="G59" s="17" t="s">
        <v>154</v>
      </c>
      <c r="H59" s="18" t="s">
        <v>154</v>
      </c>
      <c r="I59" s="17" t="s">
        <v>154</v>
      </c>
      <c r="J59" s="18" t="s">
        <v>154</v>
      </c>
      <c r="K59" s="17" t="s">
        <v>154</v>
      </c>
      <c r="L59" s="18" t="s">
        <v>154</v>
      </c>
      <c r="M59" s="17" t="s">
        <v>154</v>
      </c>
      <c r="N59" s="18" t="s">
        <v>154</v>
      </c>
      <c r="O59" s="17" t="s">
        <v>154</v>
      </c>
      <c r="P59" s="18" t="s">
        <v>154</v>
      </c>
      <c r="Q59" s="17" t="s">
        <v>154</v>
      </c>
      <c r="R59" s="18" t="s">
        <v>154</v>
      </c>
    </row>
    <row r="60" spans="1:18" x14ac:dyDescent="0.25">
      <c r="A60" s="11" t="s">
        <v>193</v>
      </c>
      <c r="B60" s="17" t="s">
        <v>154</v>
      </c>
      <c r="C60" s="17" t="s">
        <v>154</v>
      </c>
      <c r="D60" s="18" t="s">
        <v>154</v>
      </c>
      <c r="E60" s="17" t="s">
        <v>154</v>
      </c>
      <c r="F60" s="18" t="s">
        <v>154</v>
      </c>
      <c r="G60" s="17" t="s">
        <v>154</v>
      </c>
      <c r="H60" s="18" t="s">
        <v>154</v>
      </c>
      <c r="I60" s="17" t="s">
        <v>154</v>
      </c>
      <c r="J60" s="18" t="s">
        <v>154</v>
      </c>
      <c r="K60" s="17" t="s">
        <v>154</v>
      </c>
      <c r="L60" s="18" t="s">
        <v>154</v>
      </c>
      <c r="M60" s="17" t="s">
        <v>154</v>
      </c>
      <c r="N60" s="18" t="s">
        <v>154</v>
      </c>
      <c r="O60" s="17" t="s">
        <v>154</v>
      </c>
      <c r="P60" s="18" t="s">
        <v>154</v>
      </c>
      <c r="Q60" s="17" t="s">
        <v>154</v>
      </c>
      <c r="R60" s="18" t="s">
        <v>154</v>
      </c>
    </row>
    <row r="61" spans="1:18" x14ac:dyDescent="0.25">
      <c r="A61" s="11" t="s">
        <v>194</v>
      </c>
      <c r="B61" s="13">
        <v>6525</v>
      </c>
      <c r="C61" s="14">
        <f>(5438/B61*100)</f>
        <v>83.340996168582365</v>
      </c>
      <c r="D61" s="15">
        <v>1087</v>
      </c>
      <c r="E61" s="14">
        <v>55.388045529999999</v>
      </c>
      <c r="F61" s="16">
        <v>1.7100853300000001</v>
      </c>
      <c r="G61" s="14">
        <v>44.611954470000001</v>
      </c>
      <c r="H61" s="16">
        <v>1.7100853300000001</v>
      </c>
      <c r="I61" s="14" t="s">
        <v>139</v>
      </c>
      <c r="J61" s="16" t="s">
        <v>139</v>
      </c>
      <c r="K61" s="14">
        <v>0</v>
      </c>
      <c r="L61" s="16">
        <v>0</v>
      </c>
      <c r="M61" s="14">
        <v>0</v>
      </c>
      <c r="N61" s="16">
        <v>0</v>
      </c>
      <c r="O61" s="14">
        <v>0</v>
      </c>
      <c r="P61" s="16">
        <v>0</v>
      </c>
      <c r="Q61" s="14">
        <v>0</v>
      </c>
      <c r="R61" s="16">
        <v>0</v>
      </c>
    </row>
    <row r="62" spans="1:18" x14ac:dyDescent="0.25">
      <c r="A62" s="11" t="s">
        <v>195</v>
      </c>
      <c r="B62" s="13">
        <v>4476</v>
      </c>
      <c r="C62" s="14">
        <f>(3742/B62*100)</f>
        <v>83.601429848078652</v>
      </c>
      <c r="D62" s="15">
        <v>734</v>
      </c>
      <c r="E62" s="14">
        <v>34.64232243</v>
      </c>
      <c r="F62" s="16">
        <v>1.59048206</v>
      </c>
      <c r="G62" s="14">
        <v>65.357677570000007</v>
      </c>
      <c r="H62" s="16">
        <v>1.59048206</v>
      </c>
      <c r="I62" s="14" t="s">
        <v>139</v>
      </c>
      <c r="J62" s="16" t="s">
        <v>139</v>
      </c>
      <c r="K62" s="14">
        <v>0</v>
      </c>
      <c r="L62" s="16">
        <v>0</v>
      </c>
      <c r="M62" s="14">
        <v>0</v>
      </c>
      <c r="N62" s="16">
        <v>0</v>
      </c>
      <c r="O62" s="14">
        <v>0</v>
      </c>
      <c r="P62" s="16">
        <v>0</v>
      </c>
      <c r="Q62" s="14">
        <v>0</v>
      </c>
      <c r="R62" s="16">
        <v>0</v>
      </c>
    </row>
    <row r="63" spans="1:18" x14ac:dyDescent="0.25">
      <c r="A63" s="11" t="s">
        <v>196</v>
      </c>
      <c r="B63" s="17" t="s">
        <v>154</v>
      </c>
      <c r="C63" s="17" t="s">
        <v>154</v>
      </c>
      <c r="D63" s="18" t="s">
        <v>154</v>
      </c>
      <c r="E63" s="17" t="s">
        <v>154</v>
      </c>
      <c r="F63" s="18" t="s">
        <v>154</v>
      </c>
      <c r="G63" s="17" t="s">
        <v>154</v>
      </c>
      <c r="H63" s="18" t="s">
        <v>154</v>
      </c>
      <c r="I63" s="17" t="s">
        <v>154</v>
      </c>
      <c r="J63" s="18" t="s">
        <v>154</v>
      </c>
      <c r="K63" s="17" t="s">
        <v>154</v>
      </c>
      <c r="L63" s="18" t="s">
        <v>154</v>
      </c>
      <c r="M63" s="17" t="s">
        <v>154</v>
      </c>
      <c r="N63" s="18" t="s">
        <v>154</v>
      </c>
      <c r="O63" s="17" t="s">
        <v>154</v>
      </c>
      <c r="P63" s="18" t="s">
        <v>154</v>
      </c>
      <c r="Q63" s="17" t="s">
        <v>154</v>
      </c>
      <c r="R63" s="18" t="s">
        <v>154</v>
      </c>
    </row>
    <row r="64" spans="1:18" x14ac:dyDescent="0.25">
      <c r="A64" s="11" t="s">
        <v>197</v>
      </c>
      <c r="B64" s="17" t="s">
        <v>154</v>
      </c>
      <c r="C64" s="17" t="s">
        <v>154</v>
      </c>
      <c r="D64" s="18" t="s">
        <v>154</v>
      </c>
      <c r="E64" s="17" t="s">
        <v>154</v>
      </c>
      <c r="F64" s="18" t="s">
        <v>154</v>
      </c>
      <c r="G64" s="17" t="s">
        <v>154</v>
      </c>
      <c r="H64" s="18" t="s">
        <v>154</v>
      </c>
      <c r="I64" s="17" t="s">
        <v>154</v>
      </c>
      <c r="J64" s="18" t="s">
        <v>154</v>
      </c>
      <c r="K64" s="17" t="s">
        <v>154</v>
      </c>
      <c r="L64" s="18" t="s">
        <v>154</v>
      </c>
      <c r="M64" s="17" t="s">
        <v>154</v>
      </c>
      <c r="N64" s="18" t="s">
        <v>154</v>
      </c>
      <c r="O64" s="17" t="s">
        <v>154</v>
      </c>
      <c r="P64" s="18" t="s">
        <v>154</v>
      </c>
      <c r="Q64" s="17" t="s">
        <v>154</v>
      </c>
      <c r="R64" s="18" t="s">
        <v>154</v>
      </c>
    </row>
    <row r="65" spans="1:18" x14ac:dyDescent="0.25">
      <c r="A65" s="11" t="s">
        <v>198</v>
      </c>
      <c r="B65" s="17" t="s">
        <v>154</v>
      </c>
      <c r="C65" s="17" t="s">
        <v>154</v>
      </c>
      <c r="D65" s="18" t="s">
        <v>154</v>
      </c>
      <c r="E65" s="17" t="s">
        <v>154</v>
      </c>
      <c r="F65" s="18" t="s">
        <v>154</v>
      </c>
      <c r="G65" s="17" t="s">
        <v>154</v>
      </c>
      <c r="H65" s="18" t="s">
        <v>154</v>
      </c>
      <c r="I65" s="17" t="s">
        <v>154</v>
      </c>
      <c r="J65" s="18" t="s">
        <v>154</v>
      </c>
      <c r="K65" s="17" t="s">
        <v>154</v>
      </c>
      <c r="L65" s="18" t="s">
        <v>154</v>
      </c>
      <c r="M65" s="17" t="s">
        <v>154</v>
      </c>
      <c r="N65" s="18" t="s">
        <v>154</v>
      </c>
      <c r="O65" s="17" t="s">
        <v>154</v>
      </c>
      <c r="P65" s="18" t="s">
        <v>154</v>
      </c>
      <c r="Q65" s="17" t="s">
        <v>154</v>
      </c>
      <c r="R65" s="18" t="s">
        <v>154</v>
      </c>
    </row>
    <row r="66" spans="1:18" x14ac:dyDescent="0.25">
      <c r="A66" s="11" t="s">
        <v>199</v>
      </c>
      <c r="B66" s="13">
        <v>5665</v>
      </c>
      <c r="C66" s="14">
        <f>(4754/B66*100)</f>
        <v>83.918799646954994</v>
      </c>
      <c r="D66" s="15">
        <v>911</v>
      </c>
      <c r="E66" s="14">
        <v>65.342552589999997</v>
      </c>
      <c r="F66" s="16">
        <v>1.7261665799999999</v>
      </c>
      <c r="G66" s="14">
        <v>34.657447410000003</v>
      </c>
      <c r="H66" s="16">
        <v>1.7261665799999999</v>
      </c>
      <c r="I66" s="14" t="s">
        <v>139</v>
      </c>
      <c r="J66" s="16" t="s">
        <v>139</v>
      </c>
      <c r="K66" s="14">
        <v>0</v>
      </c>
      <c r="L66" s="16">
        <v>0</v>
      </c>
      <c r="M66" s="14">
        <v>0</v>
      </c>
      <c r="N66" s="16">
        <v>0</v>
      </c>
      <c r="O66" s="14">
        <v>0</v>
      </c>
      <c r="P66" s="16">
        <v>0</v>
      </c>
      <c r="Q66" s="14">
        <v>0</v>
      </c>
      <c r="R66" s="16">
        <v>0</v>
      </c>
    </row>
    <row r="67" spans="1:18" x14ac:dyDescent="0.25">
      <c r="A67" s="11" t="s">
        <v>200</v>
      </c>
      <c r="B67" s="13">
        <v>6971</v>
      </c>
      <c r="C67" s="14">
        <f>(6010/B67*100)</f>
        <v>86.214316453880357</v>
      </c>
      <c r="D67" s="15">
        <v>961</v>
      </c>
      <c r="E67" s="14">
        <v>61.292485310000004</v>
      </c>
      <c r="F67" s="16">
        <v>1.8467563899999999</v>
      </c>
      <c r="G67" s="14">
        <v>38.707514689999996</v>
      </c>
      <c r="H67" s="16">
        <v>1.8467563899999999</v>
      </c>
      <c r="I67" s="14" t="s">
        <v>139</v>
      </c>
      <c r="J67" s="16" t="s">
        <v>139</v>
      </c>
      <c r="K67" s="14">
        <v>0</v>
      </c>
      <c r="L67" s="16">
        <v>0</v>
      </c>
      <c r="M67" s="14">
        <v>0</v>
      </c>
      <c r="N67" s="16">
        <v>0</v>
      </c>
      <c r="O67" s="14">
        <v>0</v>
      </c>
      <c r="P67" s="16">
        <v>0</v>
      </c>
      <c r="Q67" s="14">
        <v>0</v>
      </c>
      <c r="R67" s="16">
        <v>0</v>
      </c>
    </row>
    <row r="68" spans="1:18" x14ac:dyDescent="0.25">
      <c r="A68" s="11" t="s">
        <v>201</v>
      </c>
      <c r="B68" s="17" t="s">
        <v>154</v>
      </c>
      <c r="C68" s="17" t="s">
        <v>154</v>
      </c>
      <c r="D68" s="18" t="s">
        <v>154</v>
      </c>
      <c r="E68" s="17" t="s">
        <v>154</v>
      </c>
      <c r="F68" s="18" t="s">
        <v>154</v>
      </c>
      <c r="G68" s="17" t="s">
        <v>154</v>
      </c>
      <c r="H68" s="18" t="s">
        <v>154</v>
      </c>
      <c r="I68" s="17" t="s">
        <v>154</v>
      </c>
      <c r="J68" s="18" t="s">
        <v>154</v>
      </c>
      <c r="K68" s="17" t="s">
        <v>154</v>
      </c>
      <c r="L68" s="18" t="s">
        <v>154</v>
      </c>
      <c r="M68" s="17" t="s">
        <v>154</v>
      </c>
      <c r="N68" s="18" t="s">
        <v>154</v>
      </c>
      <c r="O68" s="17" t="s">
        <v>154</v>
      </c>
      <c r="P68" s="18" t="s">
        <v>154</v>
      </c>
      <c r="Q68" s="17" t="s">
        <v>154</v>
      </c>
      <c r="R68" s="18" t="s">
        <v>154</v>
      </c>
    </row>
    <row r="69" spans="1:18" x14ac:dyDescent="0.25">
      <c r="A69" s="11" t="s">
        <v>202</v>
      </c>
      <c r="B69" s="17" t="s">
        <v>154</v>
      </c>
      <c r="C69" s="17" t="s">
        <v>154</v>
      </c>
      <c r="D69" s="18" t="s">
        <v>154</v>
      </c>
      <c r="E69" s="17" t="s">
        <v>154</v>
      </c>
      <c r="F69" s="18" t="s">
        <v>154</v>
      </c>
      <c r="G69" s="17" t="s">
        <v>154</v>
      </c>
      <c r="H69" s="18" t="s">
        <v>154</v>
      </c>
      <c r="I69" s="17" t="s">
        <v>154</v>
      </c>
      <c r="J69" s="18" t="s">
        <v>154</v>
      </c>
      <c r="K69" s="17" t="s">
        <v>154</v>
      </c>
      <c r="L69" s="18" t="s">
        <v>154</v>
      </c>
      <c r="M69" s="17" t="s">
        <v>154</v>
      </c>
      <c r="N69" s="18" t="s">
        <v>154</v>
      </c>
      <c r="O69" s="17" t="s">
        <v>154</v>
      </c>
      <c r="P69" s="18" t="s">
        <v>154</v>
      </c>
      <c r="Q69" s="17" t="s">
        <v>154</v>
      </c>
      <c r="R69" s="18" t="s">
        <v>154</v>
      </c>
    </row>
    <row r="70" spans="1:18" x14ac:dyDescent="0.25">
      <c r="A70" s="11" t="s">
        <v>203</v>
      </c>
      <c r="B70" s="13">
        <v>6036</v>
      </c>
      <c r="C70" s="14">
        <f>(5043/B70*100)</f>
        <v>83.548707753479121</v>
      </c>
      <c r="D70" s="15">
        <v>993</v>
      </c>
      <c r="E70" s="14">
        <v>56.79966684</v>
      </c>
      <c r="F70" s="16">
        <v>2.0830931700000002</v>
      </c>
      <c r="G70" s="14">
        <v>43.20033316</v>
      </c>
      <c r="H70" s="16">
        <v>2.0830931700000002</v>
      </c>
      <c r="I70" s="14" t="s">
        <v>139</v>
      </c>
      <c r="J70" s="16" t="s">
        <v>139</v>
      </c>
      <c r="K70" s="14">
        <v>0</v>
      </c>
      <c r="L70" s="16">
        <v>0</v>
      </c>
      <c r="M70" s="14">
        <v>0</v>
      </c>
      <c r="N70" s="16">
        <v>0</v>
      </c>
      <c r="O70" s="14">
        <v>0</v>
      </c>
      <c r="P70" s="16">
        <v>0</v>
      </c>
      <c r="Q70" s="14">
        <v>0</v>
      </c>
      <c r="R70" s="16">
        <v>0</v>
      </c>
    </row>
    <row r="71" spans="1:18" x14ac:dyDescent="0.25">
      <c r="A71" s="11" t="s">
        <v>204</v>
      </c>
      <c r="B71" s="17" t="s">
        <v>154</v>
      </c>
      <c r="C71" s="17" t="s">
        <v>154</v>
      </c>
      <c r="D71" s="18" t="s">
        <v>154</v>
      </c>
      <c r="E71" s="17" t="s">
        <v>154</v>
      </c>
      <c r="F71" s="18" t="s">
        <v>154</v>
      </c>
      <c r="G71" s="17" t="s">
        <v>154</v>
      </c>
      <c r="H71" s="18" t="s">
        <v>154</v>
      </c>
      <c r="I71" s="17" t="s">
        <v>154</v>
      </c>
      <c r="J71" s="18" t="s">
        <v>154</v>
      </c>
      <c r="K71" s="17" t="s">
        <v>154</v>
      </c>
      <c r="L71" s="18" t="s">
        <v>154</v>
      </c>
      <c r="M71" s="17" t="s">
        <v>154</v>
      </c>
      <c r="N71" s="18" t="s">
        <v>154</v>
      </c>
      <c r="O71" s="17" t="s">
        <v>154</v>
      </c>
      <c r="P71" s="18" t="s">
        <v>154</v>
      </c>
      <c r="Q71" s="17" t="s">
        <v>154</v>
      </c>
      <c r="R71" s="18" t="s">
        <v>154</v>
      </c>
    </row>
    <row r="72" spans="1:18" x14ac:dyDescent="0.25">
      <c r="A72" s="11" t="s">
        <v>205</v>
      </c>
      <c r="B72" s="13">
        <v>7708</v>
      </c>
      <c r="C72" s="14">
        <f>(6395/B72*100)</f>
        <v>82.965749870264659</v>
      </c>
      <c r="D72" s="15">
        <v>1313</v>
      </c>
      <c r="E72" s="14">
        <v>35.762077550000001</v>
      </c>
      <c r="F72" s="16">
        <v>1.3708146800000001</v>
      </c>
      <c r="G72" s="14">
        <v>64.237922449999999</v>
      </c>
      <c r="H72" s="16">
        <v>1.3708146800000001</v>
      </c>
      <c r="I72" s="14" t="s">
        <v>139</v>
      </c>
      <c r="J72" s="16" t="s">
        <v>139</v>
      </c>
      <c r="K72" s="14">
        <v>0</v>
      </c>
      <c r="L72" s="16">
        <v>0</v>
      </c>
      <c r="M72" s="14">
        <v>0</v>
      </c>
      <c r="N72" s="16">
        <v>0</v>
      </c>
      <c r="O72" s="14">
        <v>0</v>
      </c>
      <c r="P72" s="16">
        <v>0</v>
      </c>
      <c r="Q72" s="14">
        <v>0</v>
      </c>
      <c r="R72" s="16">
        <v>0</v>
      </c>
    </row>
    <row r="73" spans="1:18" x14ac:dyDescent="0.25">
      <c r="A73" s="11" t="s">
        <v>206</v>
      </c>
      <c r="B73" s="13">
        <v>8249</v>
      </c>
      <c r="C73" s="14">
        <f>(6966/B73*100)</f>
        <v>84.446599587828828</v>
      </c>
      <c r="D73" s="15">
        <v>1283</v>
      </c>
      <c r="E73" s="14">
        <v>63.060045119999998</v>
      </c>
      <c r="F73" s="16">
        <v>1.7388754900000001</v>
      </c>
      <c r="G73" s="14">
        <v>36.939954880000002</v>
      </c>
      <c r="H73" s="16">
        <v>1.7388754900000001</v>
      </c>
      <c r="I73" s="14" t="s">
        <v>139</v>
      </c>
      <c r="J73" s="16" t="s">
        <v>139</v>
      </c>
      <c r="K73" s="14">
        <v>0</v>
      </c>
      <c r="L73" s="16">
        <v>0</v>
      </c>
      <c r="M73" s="14">
        <v>0</v>
      </c>
      <c r="N73" s="16">
        <v>0</v>
      </c>
      <c r="O73" s="14">
        <v>0</v>
      </c>
      <c r="P73" s="16">
        <v>0</v>
      </c>
      <c r="Q73" s="14">
        <v>0</v>
      </c>
      <c r="R73" s="16">
        <v>0</v>
      </c>
    </row>
    <row r="74" spans="1:18" x14ac:dyDescent="0.25">
      <c r="A74" s="11" t="s">
        <v>207</v>
      </c>
      <c r="B74" s="17" t="s">
        <v>154</v>
      </c>
      <c r="C74" s="17" t="s">
        <v>154</v>
      </c>
      <c r="D74" s="18" t="s">
        <v>154</v>
      </c>
      <c r="E74" s="17" t="s">
        <v>154</v>
      </c>
      <c r="F74" s="18" t="s">
        <v>154</v>
      </c>
      <c r="G74" s="17" t="s">
        <v>154</v>
      </c>
      <c r="H74" s="18" t="s">
        <v>154</v>
      </c>
      <c r="I74" s="17" t="s">
        <v>154</v>
      </c>
      <c r="J74" s="18" t="s">
        <v>154</v>
      </c>
      <c r="K74" s="17" t="s">
        <v>154</v>
      </c>
      <c r="L74" s="18" t="s">
        <v>154</v>
      </c>
      <c r="M74" s="17" t="s">
        <v>154</v>
      </c>
      <c r="N74" s="18" t="s">
        <v>154</v>
      </c>
      <c r="O74" s="17" t="s">
        <v>154</v>
      </c>
      <c r="P74" s="18" t="s">
        <v>154</v>
      </c>
      <c r="Q74" s="17" t="s">
        <v>154</v>
      </c>
      <c r="R74" s="18" t="s">
        <v>154</v>
      </c>
    </row>
    <row r="75" spans="1:18" x14ac:dyDescent="0.25">
      <c r="A75" s="11" t="s">
        <v>208</v>
      </c>
      <c r="B75" s="13">
        <v>5375</v>
      </c>
      <c r="C75" s="14">
        <f>(4595/B75*100)</f>
        <v>85.488372093023258</v>
      </c>
      <c r="D75" s="15">
        <v>780</v>
      </c>
      <c r="E75" s="14">
        <v>82.892175280000004</v>
      </c>
      <c r="F75" s="16">
        <v>1.29674555</v>
      </c>
      <c r="G75" s="14">
        <v>17.10782472</v>
      </c>
      <c r="H75" s="16">
        <v>1.29674555</v>
      </c>
      <c r="I75" s="14" t="s">
        <v>139</v>
      </c>
      <c r="J75" s="16" t="s">
        <v>139</v>
      </c>
      <c r="K75" s="14">
        <v>0</v>
      </c>
      <c r="L75" s="16">
        <v>0</v>
      </c>
      <c r="M75" s="14">
        <v>0</v>
      </c>
      <c r="N75" s="16">
        <v>0</v>
      </c>
      <c r="O75" s="14">
        <v>0</v>
      </c>
      <c r="P75" s="16">
        <v>0</v>
      </c>
      <c r="Q75" s="14">
        <v>0</v>
      </c>
      <c r="R75" s="16">
        <v>0</v>
      </c>
    </row>
    <row r="76" spans="1:18" x14ac:dyDescent="0.25">
      <c r="A76" s="11" t="s">
        <v>209</v>
      </c>
      <c r="B76" s="13">
        <v>14167</v>
      </c>
      <c r="C76" s="14">
        <f>(11740/B76*100)</f>
        <v>82.868638384979178</v>
      </c>
      <c r="D76" s="15">
        <v>2427</v>
      </c>
      <c r="E76" s="14">
        <v>60.710776350000003</v>
      </c>
      <c r="F76" s="16">
        <v>1.60010333</v>
      </c>
      <c r="G76" s="14">
        <v>39.289223649999997</v>
      </c>
      <c r="H76" s="16">
        <v>1.60010333</v>
      </c>
      <c r="I76" s="14" t="s">
        <v>139</v>
      </c>
      <c r="J76" s="16" t="s">
        <v>139</v>
      </c>
      <c r="K76" s="14">
        <v>0</v>
      </c>
      <c r="L76" s="16">
        <v>0</v>
      </c>
      <c r="M76" s="14">
        <v>0</v>
      </c>
      <c r="N76" s="16">
        <v>0</v>
      </c>
      <c r="O76" s="14">
        <v>0</v>
      </c>
      <c r="P76" s="16">
        <v>0</v>
      </c>
      <c r="Q76" s="14">
        <v>0</v>
      </c>
      <c r="R76" s="16">
        <v>0</v>
      </c>
    </row>
    <row r="77" spans="1:18" x14ac:dyDescent="0.25">
      <c r="A77" s="11" t="s">
        <v>210</v>
      </c>
      <c r="B77" s="13">
        <v>6062</v>
      </c>
      <c r="C77" s="14">
        <f>(5082/B77*100)</f>
        <v>83.833718244803691</v>
      </c>
      <c r="D77" s="15">
        <v>980</v>
      </c>
      <c r="E77" s="14">
        <v>55.818733950000002</v>
      </c>
      <c r="F77" s="16">
        <v>1.61368695</v>
      </c>
      <c r="G77" s="14">
        <v>44.181266049999998</v>
      </c>
      <c r="H77" s="16">
        <v>1.61368695</v>
      </c>
      <c r="I77" s="14" t="s">
        <v>139</v>
      </c>
      <c r="J77" s="16" t="s">
        <v>139</v>
      </c>
      <c r="K77" s="14">
        <v>0</v>
      </c>
      <c r="L77" s="16">
        <v>0</v>
      </c>
      <c r="M77" s="14">
        <v>0</v>
      </c>
      <c r="N77" s="16">
        <v>0</v>
      </c>
      <c r="O77" s="14">
        <v>0</v>
      </c>
      <c r="P77" s="16">
        <v>0</v>
      </c>
      <c r="Q77" s="14">
        <v>0</v>
      </c>
      <c r="R77" s="16">
        <v>0</v>
      </c>
    </row>
    <row r="78" spans="1:18" x14ac:dyDescent="0.25">
      <c r="A78" s="11" t="s">
        <v>211</v>
      </c>
      <c r="B78" s="17" t="s">
        <v>154</v>
      </c>
      <c r="C78" s="17" t="s">
        <v>154</v>
      </c>
      <c r="D78" s="18" t="s">
        <v>154</v>
      </c>
      <c r="E78" s="17" t="s">
        <v>154</v>
      </c>
      <c r="F78" s="18" t="s">
        <v>154</v>
      </c>
      <c r="G78" s="17" t="s">
        <v>154</v>
      </c>
      <c r="H78" s="18" t="s">
        <v>154</v>
      </c>
      <c r="I78" s="17" t="s">
        <v>154</v>
      </c>
      <c r="J78" s="18" t="s">
        <v>154</v>
      </c>
      <c r="K78" s="17" t="s">
        <v>154</v>
      </c>
      <c r="L78" s="18" t="s">
        <v>154</v>
      </c>
      <c r="M78" s="17" t="s">
        <v>154</v>
      </c>
      <c r="N78" s="18" t="s">
        <v>154</v>
      </c>
      <c r="O78" s="17" t="s">
        <v>154</v>
      </c>
      <c r="P78" s="18" t="s">
        <v>154</v>
      </c>
      <c r="Q78" s="17" t="s">
        <v>154</v>
      </c>
      <c r="R78" s="18" t="s">
        <v>154</v>
      </c>
    </row>
    <row r="79" spans="1:18" ht="24.95" customHeight="1" x14ac:dyDescent="0.25">
      <c r="A79" s="11" t="s">
        <v>212</v>
      </c>
      <c r="B79" s="17" t="s">
        <v>154</v>
      </c>
      <c r="C79" s="17" t="s">
        <v>154</v>
      </c>
      <c r="D79" s="18" t="s">
        <v>154</v>
      </c>
      <c r="E79" s="17" t="s">
        <v>154</v>
      </c>
      <c r="F79" s="18" t="s">
        <v>154</v>
      </c>
      <c r="G79" s="17" t="s">
        <v>154</v>
      </c>
      <c r="H79" s="18" t="s">
        <v>154</v>
      </c>
      <c r="I79" s="17" t="s">
        <v>154</v>
      </c>
      <c r="J79" s="18" t="s">
        <v>154</v>
      </c>
      <c r="K79" s="17" t="s">
        <v>154</v>
      </c>
      <c r="L79" s="18" t="s">
        <v>154</v>
      </c>
      <c r="M79" s="17" t="s">
        <v>154</v>
      </c>
      <c r="N79" s="18" t="s">
        <v>154</v>
      </c>
      <c r="O79" s="17" t="s">
        <v>154</v>
      </c>
      <c r="P79" s="18" t="s">
        <v>154</v>
      </c>
      <c r="Q79" s="17" t="s">
        <v>154</v>
      </c>
      <c r="R79" s="18" t="s">
        <v>154</v>
      </c>
    </row>
    <row r="80" spans="1:18" x14ac:dyDescent="0.25">
      <c r="A80" s="11" t="s">
        <v>213</v>
      </c>
      <c r="B80" s="17" t="s">
        <v>154</v>
      </c>
      <c r="C80" s="17" t="s">
        <v>154</v>
      </c>
      <c r="D80" s="18" t="s">
        <v>154</v>
      </c>
      <c r="E80" s="17" t="s">
        <v>154</v>
      </c>
      <c r="F80" s="18" t="s">
        <v>154</v>
      </c>
      <c r="G80" s="17" t="s">
        <v>154</v>
      </c>
      <c r="H80" s="18" t="s">
        <v>154</v>
      </c>
      <c r="I80" s="17" t="s">
        <v>154</v>
      </c>
      <c r="J80" s="18" t="s">
        <v>154</v>
      </c>
      <c r="K80" s="17" t="s">
        <v>154</v>
      </c>
      <c r="L80" s="18" t="s">
        <v>154</v>
      </c>
      <c r="M80" s="17" t="s">
        <v>154</v>
      </c>
      <c r="N80" s="18" t="s">
        <v>154</v>
      </c>
      <c r="O80" s="17" t="s">
        <v>154</v>
      </c>
      <c r="P80" s="18" t="s">
        <v>154</v>
      </c>
      <c r="Q80" s="17" t="s">
        <v>154</v>
      </c>
      <c r="R80" s="18" t="s">
        <v>154</v>
      </c>
    </row>
    <row r="81" spans="1:18" x14ac:dyDescent="0.25">
      <c r="A81" s="19" t="s">
        <v>214</v>
      </c>
      <c r="B81" s="13">
        <v>8861</v>
      </c>
      <c r="C81" s="14">
        <f>(7385/B81*100)</f>
        <v>83.342737839972912</v>
      </c>
      <c r="D81" s="15">
        <v>1476</v>
      </c>
      <c r="E81" s="14">
        <v>59.349801169999999</v>
      </c>
      <c r="F81" s="16">
        <v>1.5869532500000001</v>
      </c>
      <c r="G81" s="14">
        <v>40.650198830000001</v>
      </c>
      <c r="H81" s="16">
        <v>1.5869532500000001</v>
      </c>
      <c r="I81" s="14" t="s">
        <v>139</v>
      </c>
      <c r="J81" s="16" t="s">
        <v>139</v>
      </c>
      <c r="K81" s="14">
        <v>0</v>
      </c>
      <c r="L81" s="16">
        <v>0</v>
      </c>
      <c r="M81" s="14">
        <v>0</v>
      </c>
      <c r="N81" s="16">
        <v>0</v>
      </c>
      <c r="O81" s="14">
        <v>0</v>
      </c>
      <c r="P81" s="16">
        <v>0</v>
      </c>
      <c r="Q81" s="14">
        <v>0</v>
      </c>
      <c r="R81" s="16">
        <v>0</v>
      </c>
    </row>
    <row r="82" spans="1:18" x14ac:dyDescent="0.25">
      <c r="A82" s="20"/>
      <c r="B82" s="20" t="s">
        <v>215</v>
      </c>
      <c r="C82" s="20" t="s">
        <v>215</v>
      </c>
      <c r="D82" s="20" t="s">
        <v>215</v>
      </c>
      <c r="E82" s="20" t="s">
        <v>215</v>
      </c>
      <c r="F82" s="20" t="s">
        <v>215</v>
      </c>
      <c r="G82" s="20" t="s">
        <v>215</v>
      </c>
      <c r="H82" s="20" t="s">
        <v>215</v>
      </c>
      <c r="I82" s="20" t="s">
        <v>215</v>
      </c>
      <c r="J82" s="20" t="s">
        <v>215</v>
      </c>
      <c r="K82" s="20" t="s">
        <v>215</v>
      </c>
      <c r="L82" s="20" t="s">
        <v>215</v>
      </c>
      <c r="M82" s="20" t="s">
        <v>215</v>
      </c>
      <c r="N82" s="20" t="s">
        <v>215</v>
      </c>
      <c r="O82" s="20" t="s">
        <v>215</v>
      </c>
      <c r="P82" s="20" t="s">
        <v>215</v>
      </c>
      <c r="Q82" s="20" t="s">
        <v>215</v>
      </c>
      <c r="R82" s="20" t="s">
        <v>215</v>
      </c>
    </row>
    <row r="83" spans="1:18" x14ac:dyDescent="0.25">
      <c r="A83" s="3" t="s">
        <v>216</v>
      </c>
    </row>
    <row r="84" spans="1:18" x14ac:dyDescent="0.25">
      <c r="A84" s="22" t="s">
        <v>217</v>
      </c>
      <c r="B84" s="23"/>
      <c r="C84" s="23"/>
      <c r="D84" s="23"/>
      <c r="E84" s="23"/>
      <c r="F84" s="23"/>
      <c r="G84" s="23"/>
      <c r="H84" s="23"/>
      <c r="I84" s="23"/>
      <c r="J84" s="23"/>
      <c r="K84" s="23"/>
      <c r="L84" s="23"/>
      <c r="M84" s="23"/>
      <c r="N84" s="23"/>
      <c r="O84" s="23"/>
      <c r="P84" s="23"/>
      <c r="Q84" s="23"/>
      <c r="R84" s="23"/>
    </row>
    <row r="85" spans="1:18" x14ac:dyDescent="0.25">
      <c r="A85" s="22" t="s">
        <v>218</v>
      </c>
      <c r="B85" s="23"/>
      <c r="C85" s="23"/>
      <c r="D85" s="23"/>
      <c r="E85" s="23"/>
      <c r="F85" s="23"/>
      <c r="G85" s="23"/>
      <c r="H85" s="23"/>
      <c r="I85" s="23"/>
      <c r="J85" s="23"/>
      <c r="K85" s="23"/>
      <c r="L85" s="23"/>
      <c r="M85" s="23"/>
      <c r="N85" s="23"/>
      <c r="O85" s="23"/>
      <c r="P85" s="23"/>
      <c r="Q85" s="23"/>
      <c r="R85" s="23"/>
    </row>
    <row r="86" spans="1:18" ht="30" customHeight="1" x14ac:dyDescent="0.25">
      <c r="A86" s="22" t="s">
        <v>219</v>
      </c>
      <c r="B86" s="23"/>
      <c r="C86" s="23"/>
      <c r="D86" s="23"/>
      <c r="E86" s="23"/>
      <c r="F86" s="23"/>
      <c r="G86" s="23"/>
      <c r="H86" s="23"/>
      <c r="I86" s="23"/>
      <c r="J86" s="23"/>
      <c r="K86" s="23"/>
      <c r="L86" s="23"/>
      <c r="M86" s="23"/>
      <c r="N86" s="23"/>
      <c r="O86" s="23"/>
      <c r="P86" s="23"/>
      <c r="Q86" s="23"/>
      <c r="R86" s="23"/>
    </row>
    <row r="87" spans="1:18" ht="30" customHeight="1" x14ac:dyDescent="0.25">
      <c r="A87" s="22" t="s">
        <v>215</v>
      </c>
      <c r="B87" s="23"/>
      <c r="C87" s="23"/>
      <c r="D87" s="23"/>
      <c r="E87" s="23"/>
      <c r="F87" s="23"/>
      <c r="G87" s="23"/>
      <c r="H87" s="23"/>
      <c r="I87" s="23"/>
      <c r="J87" s="23"/>
      <c r="K87" s="23"/>
      <c r="L87" s="23"/>
      <c r="M87" s="23"/>
      <c r="N87" s="23"/>
      <c r="O87" s="23"/>
      <c r="P87" s="23"/>
      <c r="Q87" s="23"/>
      <c r="R87" s="23"/>
    </row>
    <row r="88" spans="1:18" ht="30" customHeight="1" x14ac:dyDescent="0.25">
      <c r="A88" s="22" t="s">
        <v>220</v>
      </c>
      <c r="B88" s="23"/>
      <c r="C88" s="23"/>
      <c r="D88" s="23"/>
      <c r="E88" s="23"/>
      <c r="F88" s="23"/>
      <c r="G88" s="23"/>
      <c r="H88" s="23"/>
      <c r="I88" s="23"/>
      <c r="J88" s="23"/>
      <c r="K88" s="23"/>
      <c r="L88" s="23"/>
      <c r="M88" s="23"/>
      <c r="N88" s="23"/>
      <c r="O88" s="23"/>
      <c r="P88" s="23"/>
      <c r="Q88" s="23"/>
      <c r="R88" s="23"/>
    </row>
    <row r="89" spans="1:18" ht="30" customHeight="1" x14ac:dyDescent="0.25">
      <c r="A89" s="22" t="s">
        <v>221</v>
      </c>
      <c r="B89" s="23"/>
      <c r="C89" s="23"/>
      <c r="D89" s="23"/>
      <c r="E89" s="23"/>
      <c r="F89" s="23"/>
      <c r="G89" s="23"/>
      <c r="H89" s="23"/>
      <c r="I89" s="23"/>
      <c r="J89" s="23"/>
      <c r="K89" s="23"/>
      <c r="L89" s="23"/>
      <c r="M89" s="23"/>
      <c r="N89" s="23"/>
      <c r="O89" s="23"/>
      <c r="P89" s="23"/>
      <c r="Q89" s="23"/>
      <c r="R89" s="23"/>
    </row>
    <row r="90" spans="1:18" ht="30" customHeight="1" x14ac:dyDescent="0.25">
      <c r="A90" s="22" t="s">
        <v>222</v>
      </c>
      <c r="B90" s="23"/>
      <c r="C90" s="23"/>
      <c r="D90" s="23"/>
      <c r="E90" s="23"/>
      <c r="F90" s="23"/>
      <c r="G90" s="23"/>
      <c r="H90" s="23"/>
      <c r="I90" s="23"/>
      <c r="J90" s="23"/>
      <c r="K90" s="23"/>
      <c r="L90" s="23"/>
      <c r="M90" s="23"/>
      <c r="N90" s="23"/>
      <c r="O90" s="23"/>
      <c r="P90" s="23"/>
      <c r="Q90" s="23"/>
      <c r="R90" s="23"/>
    </row>
    <row r="91" spans="1:18" ht="30" customHeight="1" x14ac:dyDescent="0.25">
      <c r="A91" s="22" t="s">
        <v>223</v>
      </c>
      <c r="B91" s="23"/>
      <c r="C91" s="23"/>
      <c r="D91" s="23"/>
      <c r="E91" s="23"/>
      <c r="F91" s="23"/>
      <c r="G91" s="23"/>
      <c r="H91" s="23"/>
      <c r="I91" s="23"/>
      <c r="J91" s="23"/>
      <c r="K91" s="23"/>
      <c r="L91" s="23"/>
      <c r="M91" s="23"/>
      <c r="N91" s="23"/>
      <c r="O91" s="23"/>
      <c r="P91" s="23"/>
      <c r="Q91" s="23"/>
      <c r="R91" s="23"/>
    </row>
    <row r="92" spans="1:18" ht="30" customHeight="1" x14ac:dyDescent="0.25">
      <c r="A92" s="22" t="s">
        <v>224</v>
      </c>
      <c r="B92" s="23"/>
      <c r="C92" s="23"/>
      <c r="D92" s="23"/>
      <c r="E92" s="23"/>
      <c r="F92" s="23"/>
      <c r="G92" s="23"/>
      <c r="H92" s="23"/>
      <c r="I92" s="23"/>
      <c r="J92" s="23"/>
      <c r="K92" s="23"/>
      <c r="L92" s="23"/>
      <c r="M92" s="23"/>
      <c r="N92" s="23"/>
      <c r="O92" s="23"/>
      <c r="P92" s="23"/>
      <c r="Q92" s="23"/>
      <c r="R92" s="23"/>
    </row>
    <row r="93" spans="1:18" ht="30" customHeight="1" x14ac:dyDescent="0.25">
      <c r="A93" s="22" t="s">
        <v>225</v>
      </c>
      <c r="B93" s="23"/>
      <c r="C93" s="23"/>
      <c r="D93" s="23"/>
      <c r="E93" s="23"/>
      <c r="F93" s="23"/>
      <c r="G93" s="23"/>
      <c r="H93" s="23"/>
      <c r="I93" s="23"/>
      <c r="J93" s="23"/>
      <c r="K93" s="23"/>
      <c r="L93" s="23"/>
      <c r="M93" s="23"/>
      <c r="N93" s="23"/>
      <c r="O93" s="23"/>
      <c r="P93" s="23"/>
      <c r="Q93" s="23"/>
      <c r="R93" s="23"/>
    </row>
    <row r="94" spans="1:18" ht="30" customHeight="1" x14ac:dyDescent="0.25">
      <c r="A94" s="22" t="s">
        <v>226</v>
      </c>
      <c r="B94" s="23"/>
      <c r="C94" s="23"/>
      <c r="D94" s="23"/>
      <c r="E94" s="23"/>
      <c r="F94" s="23"/>
      <c r="G94" s="23"/>
      <c r="H94" s="23"/>
      <c r="I94" s="23"/>
      <c r="J94" s="23"/>
      <c r="K94" s="23"/>
      <c r="L94" s="23"/>
      <c r="M94" s="23"/>
      <c r="N94" s="23"/>
      <c r="O94" s="23"/>
      <c r="P94" s="23"/>
      <c r="Q94" s="23"/>
      <c r="R94" s="23"/>
    </row>
    <row r="95" spans="1:18" ht="30" customHeight="1" x14ac:dyDescent="0.25">
      <c r="A95" s="22" t="s">
        <v>227</v>
      </c>
      <c r="B95" s="23"/>
      <c r="C95" s="23"/>
      <c r="D95" s="23"/>
      <c r="E95" s="23"/>
      <c r="F95" s="23"/>
      <c r="G95" s="23"/>
      <c r="H95" s="23"/>
      <c r="I95" s="23"/>
      <c r="J95" s="23"/>
      <c r="K95" s="23"/>
      <c r="L95" s="23"/>
      <c r="M95" s="23"/>
      <c r="N95" s="23"/>
      <c r="O95" s="23"/>
      <c r="P95" s="23"/>
      <c r="Q95" s="23"/>
      <c r="R95" s="23"/>
    </row>
    <row r="96" spans="1:18" ht="30" customHeight="1" x14ac:dyDescent="0.25">
      <c r="A96" s="22" t="s">
        <v>228</v>
      </c>
      <c r="B96" s="23"/>
      <c r="C96" s="23"/>
      <c r="D96" s="23"/>
      <c r="E96" s="23"/>
      <c r="F96" s="23"/>
      <c r="G96" s="23"/>
      <c r="H96" s="23"/>
      <c r="I96" s="23"/>
      <c r="J96" s="23"/>
      <c r="K96" s="23"/>
      <c r="L96" s="23"/>
      <c r="M96" s="23"/>
      <c r="N96" s="23"/>
      <c r="O96" s="23"/>
      <c r="P96" s="23"/>
      <c r="Q96" s="23"/>
      <c r="R96" s="23"/>
    </row>
  </sheetData>
  <mergeCells count="22">
    <mergeCell ref="O4:P4"/>
    <mergeCell ref="Q4:R4"/>
    <mergeCell ref="A1:R1"/>
    <mergeCell ref="A2:R2"/>
    <mergeCell ref="A84:R84"/>
    <mergeCell ref="E4:F4"/>
    <mergeCell ref="G4:H4"/>
    <mergeCell ref="I4:J4"/>
    <mergeCell ref="K4:L4"/>
    <mergeCell ref="M4:N4"/>
    <mergeCell ref="A85:R85"/>
    <mergeCell ref="A86:R86"/>
    <mergeCell ref="A87:R87"/>
    <mergeCell ref="A88:R88"/>
    <mergeCell ref="A89:R89"/>
    <mergeCell ref="A95:R95"/>
    <mergeCell ref="A96:R96"/>
    <mergeCell ref="A90:R90"/>
    <mergeCell ref="A91:R91"/>
    <mergeCell ref="A92:R92"/>
    <mergeCell ref="A93:R93"/>
    <mergeCell ref="A94:R94"/>
  </mergeCells>
  <pageMargins left="0.75" right="0.75" top="1" bottom="1" header="0.5" footer="0.5"/>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6"/>
  <dimension ref="A1:R96"/>
  <sheetViews>
    <sheetView zoomScale="80" workbookViewId="0">
      <pane xSplit="4" topLeftCell="E1" activePane="topRight" state="frozen"/>
      <selection sqref="A1:R1"/>
      <selection pane="topRight" sqref="A1:R1"/>
    </sheetView>
  </sheetViews>
  <sheetFormatPr defaultColWidth="11.42578125" defaultRowHeight="15" x14ac:dyDescent="0.25"/>
  <cols>
    <col min="1" max="1" width="50" customWidth="1"/>
  </cols>
  <sheetData>
    <row r="1" spans="1:18" x14ac:dyDescent="0.25">
      <c r="A1" s="26" t="s">
        <v>122</v>
      </c>
      <c r="B1" s="23"/>
      <c r="C1" s="23"/>
      <c r="D1" s="23"/>
      <c r="E1" s="23"/>
      <c r="F1" s="23"/>
      <c r="G1" s="23"/>
      <c r="H1" s="23"/>
      <c r="I1" s="23"/>
      <c r="J1" s="23"/>
      <c r="K1" s="23"/>
      <c r="L1" s="23"/>
      <c r="M1" s="23"/>
      <c r="N1" s="23"/>
      <c r="O1" s="23"/>
      <c r="P1" s="23"/>
      <c r="Q1" s="23"/>
      <c r="R1" s="23"/>
    </row>
    <row r="2" spans="1:18" x14ac:dyDescent="0.25">
      <c r="A2" s="27" t="s">
        <v>302</v>
      </c>
      <c r="B2" s="23"/>
      <c r="C2" s="23"/>
      <c r="D2" s="23"/>
      <c r="E2" s="23"/>
      <c r="F2" s="23"/>
      <c r="G2" s="23"/>
      <c r="H2" s="23"/>
      <c r="I2" s="23"/>
      <c r="J2" s="23"/>
      <c r="K2" s="23"/>
      <c r="L2" s="23"/>
      <c r="M2" s="23"/>
      <c r="N2" s="23"/>
      <c r="O2" s="23"/>
      <c r="P2" s="23"/>
      <c r="Q2" s="23"/>
      <c r="R2" s="23"/>
    </row>
    <row r="4" spans="1:18" ht="30" customHeight="1" x14ac:dyDescent="0.25">
      <c r="A4" s="4"/>
      <c r="B4" s="5" t="s">
        <v>123</v>
      </c>
      <c r="C4" s="5" t="s">
        <v>124</v>
      </c>
      <c r="D4" s="6" t="s">
        <v>123</v>
      </c>
      <c r="E4" s="24" t="s">
        <v>125</v>
      </c>
      <c r="F4" s="25"/>
      <c r="G4" s="24" t="s">
        <v>126</v>
      </c>
      <c r="H4" s="25"/>
      <c r="I4" s="24" t="s">
        <v>127</v>
      </c>
      <c r="J4" s="25"/>
      <c r="K4" s="24" t="s">
        <v>128</v>
      </c>
      <c r="L4" s="25"/>
      <c r="M4" s="24" t="s">
        <v>129</v>
      </c>
      <c r="N4" s="25"/>
      <c r="O4" s="24" t="s">
        <v>130</v>
      </c>
      <c r="P4" s="25"/>
      <c r="Q4" s="24" t="s">
        <v>131</v>
      </c>
      <c r="R4" s="25"/>
    </row>
    <row r="5" spans="1:18" x14ac:dyDescent="0.25">
      <c r="A5" s="7"/>
      <c r="B5" s="8" t="s">
        <v>132</v>
      </c>
      <c r="C5" s="8" t="s">
        <v>133</v>
      </c>
      <c r="D5" s="7" t="s">
        <v>134</v>
      </c>
      <c r="E5" s="8" t="s">
        <v>135</v>
      </c>
      <c r="F5" s="7" t="s">
        <v>136</v>
      </c>
      <c r="G5" s="8" t="s">
        <v>135</v>
      </c>
      <c r="H5" s="7" t="s">
        <v>136</v>
      </c>
      <c r="I5" s="8" t="s">
        <v>135</v>
      </c>
      <c r="J5" s="7" t="s">
        <v>136</v>
      </c>
      <c r="K5" s="8" t="s">
        <v>135</v>
      </c>
      <c r="L5" s="7" t="s">
        <v>136</v>
      </c>
      <c r="M5" s="8" t="s">
        <v>135</v>
      </c>
      <c r="N5" s="7" t="s">
        <v>136</v>
      </c>
      <c r="O5" s="8" t="s">
        <v>135</v>
      </c>
      <c r="P5" s="7" t="s">
        <v>136</v>
      </c>
      <c r="Q5" s="8" t="s">
        <v>135</v>
      </c>
      <c r="R5" s="7" t="s">
        <v>136</v>
      </c>
    </row>
    <row r="6" spans="1:18" x14ac:dyDescent="0.25">
      <c r="A6" s="9" t="s">
        <v>137</v>
      </c>
      <c r="B6" s="10"/>
      <c r="C6" s="10"/>
      <c r="D6" s="11"/>
      <c r="E6" s="10"/>
      <c r="F6" s="11"/>
      <c r="G6" s="10"/>
      <c r="H6" s="11"/>
      <c r="I6" s="10"/>
      <c r="J6" s="11"/>
      <c r="K6" s="10"/>
      <c r="L6" s="11"/>
      <c r="M6" s="10"/>
      <c r="N6" s="11"/>
      <c r="O6" s="10"/>
      <c r="P6" s="11"/>
      <c r="Q6" s="10"/>
      <c r="R6" s="12"/>
    </row>
    <row r="7" spans="1:18" x14ac:dyDescent="0.25">
      <c r="A7" s="11" t="s">
        <v>138</v>
      </c>
      <c r="B7" s="13">
        <v>14530</v>
      </c>
      <c r="C7" s="14">
        <f>(12188/B7*100)</f>
        <v>83.881624225739841</v>
      </c>
      <c r="D7" s="15">
        <v>2342</v>
      </c>
      <c r="E7" s="14">
        <v>39.589787000000001</v>
      </c>
      <c r="F7" s="16">
        <v>1.1489469999999999</v>
      </c>
      <c r="G7" s="14">
        <v>60.410212999999999</v>
      </c>
      <c r="H7" s="16">
        <v>1.1489469999999999</v>
      </c>
      <c r="I7" s="14" t="s">
        <v>139</v>
      </c>
      <c r="J7" s="16" t="s">
        <v>139</v>
      </c>
      <c r="K7" s="14">
        <v>0</v>
      </c>
      <c r="L7" s="16">
        <v>0</v>
      </c>
      <c r="M7" s="14">
        <v>0</v>
      </c>
      <c r="N7" s="16">
        <v>0</v>
      </c>
      <c r="O7" s="14">
        <v>0</v>
      </c>
      <c r="P7" s="16">
        <v>0</v>
      </c>
      <c r="Q7" s="14">
        <v>0</v>
      </c>
      <c r="R7" s="16">
        <v>0</v>
      </c>
    </row>
    <row r="8" spans="1:18" x14ac:dyDescent="0.25">
      <c r="A8" s="11" t="s">
        <v>140</v>
      </c>
      <c r="B8" s="13">
        <v>7007</v>
      </c>
      <c r="C8" s="14">
        <f>(5837/B8*100)</f>
        <v>83.302411873840441</v>
      </c>
      <c r="D8" s="15">
        <v>1170</v>
      </c>
      <c r="E8" s="14">
        <v>34.725727849999998</v>
      </c>
      <c r="F8" s="16">
        <v>1.46353328</v>
      </c>
      <c r="G8" s="14">
        <v>65.274272150000002</v>
      </c>
      <c r="H8" s="16">
        <v>1.46353328</v>
      </c>
      <c r="I8" s="14" t="s">
        <v>139</v>
      </c>
      <c r="J8" s="16" t="s">
        <v>139</v>
      </c>
      <c r="K8" s="14">
        <v>0</v>
      </c>
      <c r="L8" s="16">
        <v>0</v>
      </c>
      <c r="M8" s="14">
        <v>0</v>
      </c>
      <c r="N8" s="16">
        <v>0</v>
      </c>
      <c r="O8" s="14">
        <v>0</v>
      </c>
      <c r="P8" s="16">
        <v>0</v>
      </c>
      <c r="Q8" s="14">
        <v>0</v>
      </c>
      <c r="R8" s="16">
        <v>0</v>
      </c>
    </row>
    <row r="9" spans="1:18" x14ac:dyDescent="0.25">
      <c r="A9" s="11" t="s">
        <v>141</v>
      </c>
      <c r="B9" s="13">
        <v>9651</v>
      </c>
      <c r="C9" s="14">
        <f>(8124/B9*100)</f>
        <v>84.17780540876592</v>
      </c>
      <c r="D9" s="15">
        <v>1527</v>
      </c>
      <c r="E9" s="14">
        <v>36.521584560000001</v>
      </c>
      <c r="F9" s="16">
        <v>1.30268498</v>
      </c>
      <c r="G9" s="14">
        <v>63.478415439999999</v>
      </c>
      <c r="H9" s="16">
        <v>1.30268498</v>
      </c>
      <c r="I9" s="14" t="s">
        <v>139</v>
      </c>
      <c r="J9" s="16" t="s">
        <v>139</v>
      </c>
      <c r="K9" s="14">
        <v>0</v>
      </c>
      <c r="L9" s="16">
        <v>0</v>
      </c>
      <c r="M9" s="14">
        <v>0</v>
      </c>
      <c r="N9" s="16">
        <v>0</v>
      </c>
      <c r="O9" s="14">
        <v>0</v>
      </c>
      <c r="P9" s="16">
        <v>0</v>
      </c>
      <c r="Q9" s="14">
        <v>0</v>
      </c>
      <c r="R9" s="16">
        <v>0</v>
      </c>
    </row>
    <row r="10" spans="1:18" x14ac:dyDescent="0.25">
      <c r="A10" s="11" t="s">
        <v>142</v>
      </c>
      <c r="B10" s="13">
        <v>20058</v>
      </c>
      <c r="C10" s="14">
        <f>(16690/B10*100)</f>
        <v>83.208694785123143</v>
      </c>
      <c r="D10" s="15">
        <v>3368</v>
      </c>
      <c r="E10" s="14">
        <v>34.176355440000002</v>
      </c>
      <c r="F10" s="16">
        <v>1.2215445899999999</v>
      </c>
      <c r="G10" s="14">
        <v>65.823644560000005</v>
      </c>
      <c r="H10" s="16">
        <v>1.2215445899999999</v>
      </c>
      <c r="I10" s="14" t="s">
        <v>139</v>
      </c>
      <c r="J10" s="16" t="s">
        <v>139</v>
      </c>
      <c r="K10" s="14">
        <v>0</v>
      </c>
      <c r="L10" s="16">
        <v>0</v>
      </c>
      <c r="M10" s="14">
        <v>0</v>
      </c>
      <c r="N10" s="16">
        <v>0</v>
      </c>
      <c r="O10" s="14">
        <v>0</v>
      </c>
      <c r="P10" s="16">
        <v>0</v>
      </c>
      <c r="Q10" s="14">
        <v>0</v>
      </c>
      <c r="R10" s="16">
        <v>0</v>
      </c>
    </row>
    <row r="11" spans="1:18" x14ac:dyDescent="0.25">
      <c r="A11" s="11" t="s">
        <v>143</v>
      </c>
      <c r="B11" s="13">
        <v>7053</v>
      </c>
      <c r="C11" s="14">
        <f>(5899/B11*100)</f>
        <v>83.638168155394865</v>
      </c>
      <c r="D11" s="15">
        <v>1154</v>
      </c>
      <c r="E11" s="14">
        <v>43.138625330000004</v>
      </c>
      <c r="F11" s="16">
        <v>1.6996696</v>
      </c>
      <c r="G11" s="14">
        <v>56.861374669999996</v>
      </c>
      <c r="H11" s="16">
        <v>1.6996696</v>
      </c>
      <c r="I11" s="14" t="s">
        <v>139</v>
      </c>
      <c r="J11" s="16" t="s">
        <v>139</v>
      </c>
      <c r="K11" s="14">
        <v>0</v>
      </c>
      <c r="L11" s="16">
        <v>0</v>
      </c>
      <c r="M11" s="14">
        <v>0</v>
      </c>
      <c r="N11" s="16">
        <v>0</v>
      </c>
      <c r="O11" s="14">
        <v>0</v>
      </c>
      <c r="P11" s="16">
        <v>0</v>
      </c>
      <c r="Q11" s="14">
        <v>0</v>
      </c>
      <c r="R11" s="16">
        <v>0</v>
      </c>
    </row>
    <row r="12" spans="1:18" x14ac:dyDescent="0.25">
      <c r="A12" s="11" t="s">
        <v>144</v>
      </c>
      <c r="B12" s="13">
        <v>6894</v>
      </c>
      <c r="C12" s="14">
        <f>(5764/B12*100)</f>
        <v>83.608935306063245</v>
      </c>
      <c r="D12" s="15">
        <v>1130</v>
      </c>
      <c r="E12" s="14">
        <v>37.408687380000003</v>
      </c>
      <c r="F12" s="16">
        <v>1.50637011</v>
      </c>
      <c r="G12" s="14">
        <v>62.591312619999997</v>
      </c>
      <c r="H12" s="16">
        <v>1.50637011</v>
      </c>
      <c r="I12" s="14" t="s">
        <v>139</v>
      </c>
      <c r="J12" s="16" t="s">
        <v>139</v>
      </c>
      <c r="K12" s="14">
        <v>0</v>
      </c>
      <c r="L12" s="16">
        <v>0</v>
      </c>
      <c r="M12" s="14">
        <v>0</v>
      </c>
      <c r="N12" s="16">
        <v>0</v>
      </c>
      <c r="O12" s="14">
        <v>0</v>
      </c>
      <c r="P12" s="16">
        <v>0</v>
      </c>
      <c r="Q12" s="14">
        <v>0</v>
      </c>
      <c r="R12" s="16">
        <v>0</v>
      </c>
    </row>
    <row r="13" spans="1:18" x14ac:dyDescent="0.25">
      <c r="A13" s="11" t="s">
        <v>145</v>
      </c>
      <c r="B13" s="13">
        <v>7161</v>
      </c>
      <c r="C13" s="14">
        <f>(6052/B13*100)</f>
        <v>84.513336126239352</v>
      </c>
      <c r="D13" s="15">
        <v>1109</v>
      </c>
      <c r="E13" s="14">
        <v>43.146052570000002</v>
      </c>
      <c r="F13" s="16">
        <v>1.8379677299999999</v>
      </c>
      <c r="G13" s="14">
        <v>56.853947429999998</v>
      </c>
      <c r="H13" s="16">
        <v>1.8379677299999999</v>
      </c>
      <c r="I13" s="14" t="s">
        <v>139</v>
      </c>
      <c r="J13" s="16" t="s">
        <v>139</v>
      </c>
      <c r="K13" s="14">
        <v>0</v>
      </c>
      <c r="L13" s="16">
        <v>0</v>
      </c>
      <c r="M13" s="14">
        <v>0</v>
      </c>
      <c r="N13" s="16">
        <v>0</v>
      </c>
      <c r="O13" s="14">
        <v>0</v>
      </c>
      <c r="P13" s="16">
        <v>0</v>
      </c>
      <c r="Q13" s="14">
        <v>0</v>
      </c>
      <c r="R13" s="16">
        <v>0</v>
      </c>
    </row>
    <row r="14" spans="1:18" x14ac:dyDescent="0.25">
      <c r="A14" s="11" t="s">
        <v>146</v>
      </c>
      <c r="B14" s="13">
        <v>5587</v>
      </c>
      <c r="C14" s="14">
        <f>(4649/B14*100)</f>
        <v>83.211025595131559</v>
      </c>
      <c r="D14" s="15">
        <v>938</v>
      </c>
      <c r="E14" s="14">
        <v>22.47922784</v>
      </c>
      <c r="F14" s="16">
        <v>1.3726655299999999</v>
      </c>
      <c r="G14" s="14">
        <v>77.520772160000007</v>
      </c>
      <c r="H14" s="16">
        <v>1.3726655299999999</v>
      </c>
      <c r="I14" s="14" t="s">
        <v>139</v>
      </c>
      <c r="J14" s="16" t="s">
        <v>139</v>
      </c>
      <c r="K14" s="14">
        <v>0</v>
      </c>
      <c r="L14" s="16">
        <v>0</v>
      </c>
      <c r="M14" s="14">
        <v>0</v>
      </c>
      <c r="N14" s="16">
        <v>0</v>
      </c>
      <c r="O14" s="14">
        <v>0</v>
      </c>
      <c r="P14" s="16">
        <v>0</v>
      </c>
      <c r="Q14" s="14">
        <v>0</v>
      </c>
      <c r="R14" s="16">
        <v>0</v>
      </c>
    </row>
    <row r="15" spans="1:18" x14ac:dyDescent="0.25">
      <c r="A15" s="11" t="s">
        <v>147</v>
      </c>
      <c r="B15" s="13">
        <v>5882</v>
      </c>
      <c r="C15" s="14">
        <f>(4896/B15*100)</f>
        <v>83.236994219653184</v>
      </c>
      <c r="D15" s="15">
        <v>986</v>
      </c>
      <c r="E15" s="14">
        <v>30.79355215</v>
      </c>
      <c r="F15" s="16">
        <v>1.4940293099999999</v>
      </c>
      <c r="G15" s="14">
        <v>69.206447850000004</v>
      </c>
      <c r="H15" s="16">
        <v>1.4940293099999999</v>
      </c>
      <c r="I15" s="14" t="s">
        <v>139</v>
      </c>
      <c r="J15" s="16" t="s">
        <v>139</v>
      </c>
      <c r="K15" s="14">
        <v>0</v>
      </c>
      <c r="L15" s="16">
        <v>0</v>
      </c>
      <c r="M15" s="14">
        <v>0</v>
      </c>
      <c r="N15" s="16">
        <v>0</v>
      </c>
      <c r="O15" s="14">
        <v>0</v>
      </c>
      <c r="P15" s="16">
        <v>0</v>
      </c>
      <c r="Q15" s="14">
        <v>0</v>
      </c>
      <c r="R15" s="16">
        <v>0</v>
      </c>
    </row>
    <row r="16" spans="1:18" x14ac:dyDescent="0.25">
      <c r="A16" s="11" t="s">
        <v>148</v>
      </c>
      <c r="B16" s="13">
        <v>6108</v>
      </c>
      <c r="C16" s="14">
        <f>(5078/B16*100)</f>
        <v>83.136869679109367</v>
      </c>
      <c r="D16" s="15">
        <v>1030</v>
      </c>
      <c r="E16" s="14">
        <v>35.582220710000001</v>
      </c>
      <c r="F16" s="16">
        <v>1.46525181</v>
      </c>
      <c r="G16" s="14">
        <v>64.417779289999999</v>
      </c>
      <c r="H16" s="16">
        <v>1.46525181</v>
      </c>
      <c r="I16" s="14" t="s">
        <v>139</v>
      </c>
      <c r="J16" s="16" t="s">
        <v>139</v>
      </c>
      <c r="K16" s="14">
        <v>0</v>
      </c>
      <c r="L16" s="16">
        <v>0</v>
      </c>
      <c r="M16" s="14">
        <v>0</v>
      </c>
      <c r="N16" s="16">
        <v>0</v>
      </c>
      <c r="O16" s="14">
        <v>0</v>
      </c>
      <c r="P16" s="16">
        <v>0</v>
      </c>
      <c r="Q16" s="14">
        <v>0</v>
      </c>
      <c r="R16" s="16">
        <v>0</v>
      </c>
    </row>
    <row r="17" spans="1:18" x14ac:dyDescent="0.25">
      <c r="A17" s="11" t="s">
        <v>149</v>
      </c>
      <c r="B17" s="13">
        <v>6504</v>
      </c>
      <c r="C17" s="14">
        <f>(5432/B17*100)</f>
        <v>83.517835178351788</v>
      </c>
      <c r="D17" s="15">
        <v>1072</v>
      </c>
      <c r="E17" s="14">
        <v>31.554164570000001</v>
      </c>
      <c r="F17" s="16">
        <v>1.4666754500000001</v>
      </c>
      <c r="G17" s="14">
        <v>68.445835430000002</v>
      </c>
      <c r="H17" s="16">
        <v>1.4666754500000001</v>
      </c>
      <c r="I17" s="14" t="s">
        <v>139</v>
      </c>
      <c r="J17" s="16" t="s">
        <v>139</v>
      </c>
      <c r="K17" s="14">
        <v>0</v>
      </c>
      <c r="L17" s="16">
        <v>0</v>
      </c>
      <c r="M17" s="14">
        <v>0</v>
      </c>
      <c r="N17" s="16">
        <v>0</v>
      </c>
      <c r="O17" s="14">
        <v>0</v>
      </c>
      <c r="P17" s="16">
        <v>0</v>
      </c>
      <c r="Q17" s="14">
        <v>0</v>
      </c>
      <c r="R17" s="16">
        <v>0</v>
      </c>
    </row>
    <row r="18" spans="1:18" x14ac:dyDescent="0.25">
      <c r="A18" s="11" t="s">
        <v>150</v>
      </c>
      <c r="B18" s="13">
        <v>5532</v>
      </c>
      <c r="C18" s="14">
        <f>(4633/B18*100)</f>
        <v>83.749096167751276</v>
      </c>
      <c r="D18" s="15">
        <v>899</v>
      </c>
      <c r="E18" s="14">
        <v>41.239065660000001</v>
      </c>
      <c r="F18" s="16">
        <v>2.0227833199999998</v>
      </c>
      <c r="G18" s="14">
        <v>58.760934339999999</v>
      </c>
      <c r="H18" s="16">
        <v>2.0227833199999998</v>
      </c>
      <c r="I18" s="14" t="s">
        <v>139</v>
      </c>
      <c r="J18" s="16" t="s">
        <v>139</v>
      </c>
      <c r="K18" s="14">
        <v>0</v>
      </c>
      <c r="L18" s="16">
        <v>0</v>
      </c>
      <c r="M18" s="14">
        <v>0</v>
      </c>
      <c r="N18" s="16">
        <v>0</v>
      </c>
      <c r="O18" s="14">
        <v>0</v>
      </c>
      <c r="P18" s="16">
        <v>0</v>
      </c>
      <c r="Q18" s="14">
        <v>0</v>
      </c>
      <c r="R18" s="16">
        <v>0</v>
      </c>
    </row>
    <row r="19" spans="1:18" x14ac:dyDescent="0.25">
      <c r="A19" s="11" t="s">
        <v>151</v>
      </c>
      <c r="B19" s="13">
        <v>5658</v>
      </c>
      <c r="C19" s="14">
        <f>(4733/B19*100)</f>
        <v>83.6514669494521</v>
      </c>
      <c r="D19" s="15">
        <v>925</v>
      </c>
      <c r="E19" s="14">
        <v>44.518587369999999</v>
      </c>
      <c r="F19" s="16">
        <v>1.69688912</v>
      </c>
      <c r="G19" s="14">
        <v>55.481412630000001</v>
      </c>
      <c r="H19" s="16">
        <v>1.69688912</v>
      </c>
      <c r="I19" s="14" t="s">
        <v>139</v>
      </c>
      <c r="J19" s="16" t="s">
        <v>139</v>
      </c>
      <c r="K19" s="14">
        <v>0</v>
      </c>
      <c r="L19" s="16">
        <v>0</v>
      </c>
      <c r="M19" s="14">
        <v>0</v>
      </c>
      <c r="N19" s="16">
        <v>0</v>
      </c>
      <c r="O19" s="14">
        <v>0</v>
      </c>
      <c r="P19" s="16">
        <v>0</v>
      </c>
      <c r="Q19" s="14">
        <v>0</v>
      </c>
      <c r="R19" s="16">
        <v>0</v>
      </c>
    </row>
    <row r="20" spans="1:18" x14ac:dyDescent="0.25">
      <c r="A20" s="11" t="s">
        <v>152</v>
      </c>
      <c r="B20" s="13">
        <v>3371</v>
      </c>
      <c r="C20" s="14">
        <f>(2823/B20*100)</f>
        <v>83.743696232571935</v>
      </c>
      <c r="D20" s="15">
        <v>548</v>
      </c>
      <c r="E20" s="14">
        <v>35.461108269999997</v>
      </c>
      <c r="F20" s="16">
        <v>2.2294363700000002</v>
      </c>
      <c r="G20" s="14">
        <v>64.538891730000003</v>
      </c>
      <c r="H20" s="16">
        <v>2.2294363700000002</v>
      </c>
      <c r="I20" s="14" t="s">
        <v>139</v>
      </c>
      <c r="J20" s="16" t="s">
        <v>139</v>
      </c>
      <c r="K20" s="14">
        <v>0</v>
      </c>
      <c r="L20" s="16">
        <v>0</v>
      </c>
      <c r="M20" s="14">
        <v>0</v>
      </c>
      <c r="N20" s="16">
        <v>0</v>
      </c>
      <c r="O20" s="14">
        <v>0</v>
      </c>
      <c r="P20" s="16">
        <v>0</v>
      </c>
      <c r="Q20" s="14">
        <v>0</v>
      </c>
      <c r="R20" s="16">
        <v>0</v>
      </c>
    </row>
    <row r="21" spans="1:18" x14ac:dyDescent="0.25">
      <c r="A21" s="11" t="s">
        <v>153</v>
      </c>
      <c r="B21" s="17" t="s">
        <v>154</v>
      </c>
      <c r="C21" s="17" t="s">
        <v>154</v>
      </c>
      <c r="D21" s="18" t="s">
        <v>154</v>
      </c>
      <c r="E21" s="17" t="s">
        <v>154</v>
      </c>
      <c r="F21" s="18" t="s">
        <v>154</v>
      </c>
      <c r="G21" s="17" t="s">
        <v>154</v>
      </c>
      <c r="H21" s="18" t="s">
        <v>154</v>
      </c>
      <c r="I21" s="17" t="s">
        <v>154</v>
      </c>
      <c r="J21" s="18" t="s">
        <v>154</v>
      </c>
      <c r="K21" s="17" t="s">
        <v>154</v>
      </c>
      <c r="L21" s="18" t="s">
        <v>154</v>
      </c>
      <c r="M21" s="17" t="s">
        <v>154</v>
      </c>
      <c r="N21" s="18" t="s">
        <v>154</v>
      </c>
      <c r="O21" s="17" t="s">
        <v>154</v>
      </c>
      <c r="P21" s="18" t="s">
        <v>154</v>
      </c>
      <c r="Q21" s="17" t="s">
        <v>154</v>
      </c>
      <c r="R21" s="18" t="s">
        <v>154</v>
      </c>
    </row>
    <row r="22" spans="1:18" x14ac:dyDescent="0.25">
      <c r="A22" s="11" t="s">
        <v>155</v>
      </c>
      <c r="B22" s="13">
        <v>6598</v>
      </c>
      <c r="C22" s="14">
        <f>(5586/B22*100)</f>
        <v>84.662018793573807</v>
      </c>
      <c r="D22" s="15">
        <v>1012</v>
      </c>
      <c r="E22" s="14">
        <v>41.1675878</v>
      </c>
      <c r="F22" s="16">
        <v>1.65403045</v>
      </c>
      <c r="G22" s="14">
        <v>58.8324122</v>
      </c>
      <c r="H22" s="16">
        <v>1.65403045</v>
      </c>
      <c r="I22" s="14" t="s">
        <v>139</v>
      </c>
      <c r="J22" s="16" t="s">
        <v>139</v>
      </c>
      <c r="K22" s="14">
        <v>0</v>
      </c>
      <c r="L22" s="16">
        <v>0</v>
      </c>
      <c r="M22" s="14">
        <v>0</v>
      </c>
      <c r="N22" s="16">
        <v>0</v>
      </c>
      <c r="O22" s="14">
        <v>0</v>
      </c>
      <c r="P22" s="16">
        <v>0</v>
      </c>
      <c r="Q22" s="14">
        <v>0</v>
      </c>
      <c r="R22" s="16">
        <v>0</v>
      </c>
    </row>
    <row r="23" spans="1:18" x14ac:dyDescent="0.25">
      <c r="A23" s="11" t="s">
        <v>156</v>
      </c>
      <c r="B23" s="13">
        <v>11583</v>
      </c>
      <c r="C23" s="14">
        <f>(9653/B23*100)</f>
        <v>83.337650004316671</v>
      </c>
      <c r="D23" s="15">
        <v>1930</v>
      </c>
      <c r="E23" s="14">
        <v>44.232788069999998</v>
      </c>
      <c r="F23" s="16">
        <v>1.6932492100000001</v>
      </c>
      <c r="G23" s="14">
        <v>55.767211930000002</v>
      </c>
      <c r="H23" s="16">
        <v>1.6932492100000001</v>
      </c>
      <c r="I23" s="14" t="s">
        <v>139</v>
      </c>
      <c r="J23" s="16" t="s">
        <v>139</v>
      </c>
      <c r="K23" s="14">
        <v>0</v>
      </c>
      <c r="L23" s="16">
        <v>0</v>
      </c>
      <c r="M23" s="14">
        <v>0</v>
      </c>
      <c r="N23" s="16">
        <v>0</v>
      </c>
      <c r="O23" s="14">
        <v>0</v>
      </c>
      <c r="P23" s="16">
        <v>0</v>
      </c>
      <c r="Q23" s="14">
        <v>0</v>
      </c>
      <c r="R23" s="16">
        <v>0</v>
      </c>
    </row>
    <row r="24" spans="1:18" x14ac:dyDescent="0.25">
      <c r="A24" s="11" t="s">
        <v>157</v>
      </c>
      <c r="B24" s="13">
        <v>6647</v>
      </c>
      <c r="C24" s="14">
        <f>(5482/B24*100)</f>
        <v>82.473296223860387</v>
      </c>
      <c r="D24" s="15">
        <v>1165</v>
      </c>
      <c r="E24" s="14">
        <v>18.277907590000002</v>
      </c>
      <c r="F24" s="16">
        <v>1.2346470199999999</v>
      </c>
      <c r="G24" s="14">
        <v>81.722092410000002</v>
      </c>
      <c r="H24" s="16">
        <v>1.2346470199999999</v>
      </c>
      <c r="I24" s="14" t="s">
        <v>139</v>
      </c>
      <c r="J24" s="16" t="s">
        <v>139</v>
      </c>
      <c r="K24" s="14">
        <v>0</v>
      </c>
      <c r="L24" s="16">
        <v>0</v>
      </c>
      <c r="M24" s="14">
        <v>0</v>
      </c>
      <c r="N24" s="16">
        <v>0</v>
      </c>
      <c r="O24" s="14">
        <v>0</v>
      </c>
      <c r="P24" s="16">
        <v>0</v>
      </c>
      <c r="Q24" s="14">
        <v>0</v>
      </c>
      <c r="R24" s="16">
        <v>0</v>
      </c>
    </row>
    <row r="25" spans="1:18" x14ac:dyDescent="0.25">
      <c r="A25" s="11" t="s">
        <v>158</v>
      </c>
      <c r="B25" s="13">
        <v>5581</v>
      </c>
      <c r="C25" s="14">
        <f>(4597/B25*100)</f>
        <v>82.368751119870993</v>
      </c>
      <c r="D25" s="15">
        <v>984</v>
      </c>
      <c r="E25" s="14">
        <v>20.29206241</v>
      </c>
      <c r="F25" s="16">
        <v>1.44962306</v>
      </c>
      <c r="G25" s="14">
        <v>79.70793759</v>
      </c>
      <c r="H25" s="16">
        <v>1.44962306</v>
      </c>
      <c r="I25" s="14" t="s">
        <v>139</v>
      </c>
      <c r="J25" s="16" t="s">
        <v>139</v>
      </c>
      <c r="K25" s="14">
        <v>0</v>
      </c>
      <c r="L25" s="16">
        <v>0</v>
      </c>
      <c r="M25" s="14">
        <v>0</v>
      </c>
      <c r="N25" s="16">
        <v>0</v>
      </c>
      <c r="O25" s="14">
        <v>0</v>
      </c>
      <c r="P25" s="16">
        <v>0</v>
      </c>
      <c r="Q25" s="14">
        <v>0</v>
      </c>
      <c r="R25" s="16">
        <v>0</v>
      </c>
    </row>
    <row r="26" spans="1:18" x14ac:dyDescent="0.25">
      <c r="A26" s="11" t="s">
        <v>159</v>
      </c>
      <c r="B26" s="13">
        <v>4869</v>
      </c>
      <c r="C26" s="14">
        <f>(4044/B26*100)</f>
        <v>83.056069008009857</v>
      </c>
      <c r="D26" s="15">
        <v>825</v>
      </c>
      <c r="E26" s="14">
        <v>37.551258840000003</v>
      </c>
      <c r="F26" s="16">
        <v>1.8689982199999999</v>
      </c>
      <c r="G26" s="14">
        <v>62.448741159999997</v>
      </c>
      <c r="H26" s="16">
        <v>1.8689982199999999</v>
      </c>
      <c r="I26" s="14" t="s">
        <v>139</v>
      </c>
      <c r="J26" s="16" t="s">
        <v>139</v>
      </c>
      <c r="K26" s="14">
        <v>0</v>
      </c>
      <c r="L26" s="16">
        <v>0</v>
      </c>
      <c r="M26" s="14">
        <v>0</v>
      </c>
      <c r="N26" s="16">
        <v>0</v>
      </c>
      <c r="O26" s="14">
        <v>0</v>
      </c>
      <c r="P26" s="16">
        <v>0</v>
      </c>
      <c r="Q26" s="14">
        <v>0</v>
      </c>
      <c r="R26" s="16">
        <v>0</v>
      </c>
    </row>
    <row r="27" spans="1:18" x14ac:dyDescent="0.25">
      <c r="A27" s="11" t="s">
        <v>160</v>
      </c>
      <c r="B27" s="13">
        <v>5299</v>
      </c>
      <c r="C27" s="14">
        <f>(4441/B27*100)</f>
        <v>83.808265710511421</v>
      </c>
      <c r="D27" s="15">
        <v>858</v>
      </c>
      <c r="E27" s="14">
        <v>35.754098069999998</v>
      </c>
      <c r="F27" s="16">
        <v>1.56032627</v>
      </c>
      <c r="G27" s="14">
        <v>64.245901930000002</v>
      </c>
      <c r="H27" s="16">
        <v>1.56032627</v>
      </c>
      <c r="I27" s="14" t="s">
        <v>139</v>
      </c>
      <c r="J27" s="16" t="s">
        <v>139</v>
      </c>
      <c r="K27" s="14">
        <v>0</v>
      </c>
      <c r="L27" s="16">
        <v>0</v>
      </c>
      <c r="M27" s="14">
        <v>0</v>
      </c>
      <c r="N27" s="16">
        <v>0</v>
      </c>
      <c r="O27" s="14">
        <v>0</v>
      </c>
      <c r="P27" s="16">
        <v>0</v>
      </c>
      <c r="Q27" s="14">
        <v>0</v>
      </c>
      <c r="R27" s="16">
        <v>0</v>
      </c>
    </row>
    <row r="28" spans="1:18" x14ac:dyDescent="0.25">
      <c r="A28" s="11" t="s">
        <v>161</v>
      </c>
      <c r="B28" s="13">
        <v>7568</v>
      </c>
      <c r="C28" s="14">
        <f>(6435/B28*100)</f>
        <v>85.029069767441854</v>
      </c>
      <c r="D28" s="15">
        <v>1133</v>
      </c>
      <c r="E28" s="14">
        <v>41.397031140000003</v>
      </c>
      <c r="F28" s="16">
        <v>1.4070654</v>
      </c>
      <c r="G28" s="14">
        <v>58.602968859999997</v>
      </c>
      <c r="H28" s="16">
        <v>1.4070654</v>
      </c>
      <c r="I28" s="14" t="s">
        <v>139</v>
      </c>
      <c r="J28" s="16" t="s">
        <v>139</v>
      </c>
      <c r="K28" s="14">
        <v>0</v>
      </c>
      <c r="L28" s="16">
        <v>0</v>
      </c>
      <c r="M28" s="14">
        <v>0</v>
      </c>
      <c r="N28" s="16">
        <v>0</v>
      </c>
      <c r="O28" s="14">
        <v>0</v>
      </c>
      <c r="P28" s="16">
        <v>0</v>
      </c>
      <c r="Q28" s="14">
        <v>0</v>
      </c>
      <c r="R28" s="16">
        <v>0</v>
      </c>
    </row>
    <row r="29" spans="1:18" x14ac:dyDescent="0.25">
      <c r="A29" s="11" t="s">
        <v>162</v>
      </c>
      <c r="B29" s="13">
        <v>5385</v>
      </c>
      <c r="C29" s="14">
        <f>(4468/B29*100)</f>
        <v>82.971216341689882</v>
      </c>
      <c r="D29" s="15">
        <v>917</v>
      </c>
      <c r="E29" s="14">
        <v>34.922932850000002</v>
      </c>
      <c r="F29" s="16">
        <v>1.39330997</v>
      </c>
      <c r="G29" s="14">
        <v>65.077067150000005</v>
      </c>
      <c r="H29" s="16">
        <v>1.39330997</v>
      </c>
      <c r="I29" s="14" t="s">
        <v>139</v>
      </c>
      <c r="J29" s="16" t="s">
        <v>139</v>
      </c>
      <c r="K29" s="14">
        <v>0</v>
      </c>
      <c r="L29" s="16">
        <v>0</v>
      </c>
      <c r="M29" s="14">
        <v>0</v>
      </c>
      <c r="N29" s="16">
        <v>0</v>
      </c>
      <c r="O29" s="14">
        <v>0</v>
      </c>
      <c r="P29" s="16">
        <v>0</v>
      </c>
      <c r="Q29" s="14">
        <v>0</v>
      </c>
      <c r="R29" s="16">
        <v>0</v>
      </c>
    </row>
    <row r="30" spans="1:18" x14ac:dyDescent="0.25">
      <c r="A30" s="11" t="s">
        <v>163</v>
      </c>
      <c r="B30" s="13">
        <v>4520</v>
      </c>
      <c r="C30" s="14">
        <f>(3789/B30*100)</f>
        <v>83.827433628318587</v>
      </c>
      <c r="D30" s="15">
        <v>731</v>
      </c>
      <c r="E30" s="14">
        <v>31.356186309999998</v>
      </c>
      <c r="F30" s="16">
        <v>1.71485452</v>
      </c>
      <c r="G30" s="14">
        <v>68.643813690000002</v>
      </c>
      <c r="H30" s="16">
        <v>1.71485452</v>
      </c>
      <c r="I30" s="14" t="s">
        <v>139</v>
      </c>
      <c r="J30" s="16" t="s">
        <v>139</v>
      </c>
      <c r="K30" s="14">
        <v>0</v>
      </c>
      <c r="L30" s="16">
        <v>0</v>
      </c>
      <c r="M30" s="14">
        <v>0</v>
      </c>
      <c r="N30" s="16">
        <v>0</v>
      </c>
      <c r="O30" s="14">
        <v>0</v>
      </c>
      <c r="P30" s="16">
        <v>0</v>
      </c>
      <c r="Q30" s="14">
        <v>0</v>
      </c>
      <c r="R30" s="16">
        <v>0</v>
      </c>
    </row>
    <row r="31" spans="1:18" x14ac:dyDescent="0.25">
      <c r="A31" s="11" t="s">
        <v>164</v>
      </c>
      <c r="B31" s="13">
        <v>5456</v>
      </c>
      <c r="C31" s="14">
        <f>(4512/B31*100)</f>
        <v>82.697947214076251</v>
      </c>
      <c r="D31" s="15">
        <v>944</v>
      </c>
      <c r="E31" s="14">
        <v>37.684664120000001</v>
      </c>
      <c r="F31" s="16">
        <v>1.74976168</v>
      </c>
      <c r="G31" s="14">
        <v>62.315335879999999</v>
      </c>
      <c r="H31" s="16">
        <v>1.74976168</v>
      </c>
      <c r="I31" s="14" t="s">
        <v>139</v>
      </c>
      <c r="J31" s="16" t="s">
        <v>139</v>
      </c>
      <c r="K31" s="14">
        <v>0</v>
      </c>
      <c r="L31" s="16">
        <v>0</v>
      </c>
      <c r="M31" s="14">
        <v>0</v>
      </c>
      <c r="N31" s="16">
        <v>0</v>
      </c>
      <c r="O31" s="14">
        <v>0</v>
      </c>
      <c r="P31" s="16">
        <v>0</v>
      </c>
      <c r="Q31" s="14">
        <v>0</v>
      </c>
      <c r="R31" s="16">
        <v>0</v>
      </c>
    </row>
    <row r="32" spans="1:18" x14ac:dyDescent="0.25">
      <c r="A32" s="11" t="s">
        <v>165</v>
      </c>
      <c r="B32" s="17" t="s">
        <v>154</v>
      </c>
      <c r="C32" s="17" t="s">
        <v>154</v>
      </c>
      <c r="D32" s="18" t="s">
        <v>154</v>
      </c>
      <c r="E32" s="17" t="s">
        <v>154</v>
      </c>
      <c r="F32" s="18" t="s">
        <v>154</v>
      </c>
      <c r="G32" s="17" t="s">
        <v>154</v>
      </c>
      <c r="H32" s="18" t="s">
        <v>154</v>
      </c>
      <c r="I32" s="17" t="s">
        <v>154</v>
      </c>
      <c r="J32" s="18" t="s">
        <v>154</v>
      </c>
      <c r="K32" s="17" t="s">
        <v>154</v>
      </c>
      <c r="L32" s="18" t="s">
        <v>154</v>
      </c>
      <c r="M32" s="17" t="s">
        <v>154</v>
      </c>
      <c r="N32" s="18" t="s">
        <v>154</v>
      </c>
      <c r="O32" s="17" t="s">
        <v>154</v>
      </c>
      <c r="P32" s="18" t="s">
        <v>154</v>
      </c>
      <c r="Q32" s="17" t="s">
        <v>154</v>
      </c>
      <c r="R32" s="18" t="s">
        <v>154</v>
      </c>
    </row>
    <row r="33" spans="1:18" x14ac:dyDescent="0.25">
      <c r="A33" s="11" t="s">
        <v>166</v>
      </c>
      <c r="B33" s="13">
        <v>7325</v>
      </c>
      <c r="C33" s="14">
        <f>(6115/B33*100)</f>
        <v>83.481228668941981</v>
      </c>
      <c r="D33" s="15">
        <v>1210</v>
      </c>
      <c r="E33" s="14">
        <v>36.549911639999998</v>
      </c>
      <c r="F33" s="16">
        <v>1.6430133099999999</v>
      </c>
      <c r="G33" s="14">
        <v>63.450088360000002</v>
      </c>
      <c r="H33" s="16">
        <v>1.6430133099999999</v>
      </c>
      <c r="I33" s="14" t="s">
        <v>139</v>
      </c>
      <c r="J33" s="16" t="s">
        <v>139</v>
      </c>
      <c r="K33" s="14">
        <v>0</v>
      </c>
      <c r="L33" s="16">
        <v>0</v>
      </c>
      <c r="M33" s="14">
        <v>0</v>
      </c>
      <c r="N33" s="16">
        <v>0</v>
      </c>
      <c r="O33" s="14">
        <v>0</v>
      </c>
      <c r="P33" s="16">
        <v>0</v>
      </c>
      <c r="Q33" s="14">
        <v>0</v>
      </c>
      <c r="R33" s="16">
        <v>0</v>
      </c>
    </row>
    <row r="34" spans="1:18" x14ac:dyDescent="0.25">
      <c r="A34" s="11" t="s">
        <v>167</v>
      </c>
      <c r="B34" s="13">
        <v>6350</v>
      </c>
      <c r="C34" s="14">
        <f>(5356/B34*100)</f>
        <v>84.346456692913392</v>
      </c>
      <c r="D34" s="15">
        <v>994</v>
      </c>
      <c r="E34" s="14">
        <v>46.31876827</v>
      </c>
      <c r="F34" s="16">
        <v>1.5226773300000001</v>
      </c>
      <c r="G34" s="14">
        <v>53.68123173</v>
      </c>
      <c r="H34" s="16">
        <v>1.5226773300000001</v>
      </c>
      <c r="I34" s="14" t="s">
        <v>139</v>
      </c>
      <c r="J34" s="16" t="s">
        <v>139</v>
      </c>
      <c r="K34" s="14">
        <v>0</v>
      </c>
      <c r="L34" s="16">
        <v>0</v>
      </c>
      <c r="M34" s="14">
        <v>0</v>
      </c>
      <c r="N34" s="16">
        <v>0</v>
      </c>
      <c r="O34" s="14">
        <v>0</v>
      </c>
      <c r="P34" s="16">
        <v>0</v>
      </c>
      <c r="Q34" s="14">
        <v>0</v>
      </c>
      <c r="R34" s="16">
        <v>0</v>
      </c>
    </row>
    <row r="35" spans="1:18" x14ac:dyDescent="0.25">
      <c r="A35" s="11" t="s">
        <v>168</v>
      </c>
      <c r="B35" s="13">
        <v>6406</v>
      </c>
      <c r="C35" s="14">
        <f>(5336/B35*100)</f>
        <v>83.296909147674057</v>
      </c>
      <c r="D35" s="15">
        <v>1070</v>
      </c>
      <c r="E35" s="14">
        <v>36.646679579999997</v>
      </c>
      <c r="F35" s="16">
        <v>1.90745224</v>
      </c>
      <c r="G35" s="14">
        <v>63.353320420000003</v>
      </c>
      <c r="H35" s="16">
        <v>1.90745224</v>
      </c>
      <c r="I35" s="14" t="s">
        <v>139</v>
      </c>
      <c r="J35" s="16" t="s">
        <v>139</v>
      </c>
      <c r="K35" s="14">
        <v>0</v>
      </c>
      <c r="L35" s="16">
        <v>0</v>
      </c>
      <c r="M35" s="14">
        <v>0</v>
      </c>
      <c r="N35" s="16">
        <v>0</v>
      </c>
      <c r="O35" s="14">
        <v>0</v>
      </c>
      <c r="P35" s="16">
        <v>0</v>
      </c>
      <c r="Q35" s="14">
        <v>0</v>
      </c>
      <c r="R35" s="16">
        <v>0</v>
      </c>
    </row>
    <row r="36" spans="1:18" x14ac:dyDescent="0.25">
      <c r="A36" s="11" t="s">
        <v>169</v>
      </c>
      <c r="B36" s="13">
        <v>6736</v>
      </c>
      <c r="C36" s="14">
        <f>(5649/B36*100)</f>
        <v>83.862826603325416</v>
      </c>
      <c r="D36" s="15">
        <v>1087</v>
      </c>
      <c r="E36" s="14">
        <v>34.10744244</v>
      </c>
      <c r="F36" s="16">
        <v>1.5428473700000001</v>
      </c>
      <c r="G36" s="14">
        <v>65.89255756</v>
      </c>
      <c r="H36" s="16">
        <v>1.5428473700000001</v>
      </c>
      <c r="I36" s="14" t="s">
        <v>139</v>
      </c>
      <c r="J36" s="16" t="s">
        <v>139</v>
      </c>
      <c r="K36" s="14">
        <v>0</v>
      </c>
      <c r="L36" s="16">
        <v>0</v>
      </c>
      <c r="M36" s="14">
        <v>0</v>
      </c>
      <c r="N36" s="16">
        <v>0</v>
      </c>
      <c r="O36" s="14">
        <v>0</v>
      </c>
      <c r="P36" s="16">
        <v>0</v>
      </c>
      <c r="Q36" s="14">
        <v>0</v>
      </c>
      <c r="R36" s="16">
        <v>0</v>
      </c>
    </row>
    <row r="37" spans="1:18" x14ac:dyDescent="0.25">
      <c r="A37" s="11" t="s">
        <v>170</v>
      </c>
      <c r="B37" s="13">
        <v>5458</v>
      </c>
      <c r="C37" s="14">
        <f>(4553/B37*100)</f>
        <v>83.418834737999276</v>
      </c>
      <c r="D37" s="15">
        <v>905</v>
      </c>
      <c r="E37" s="14">
        <v>39.959139049999997</v>
      </c>
      <c r="F37" s="16">
        <v>1.8656568099999999</v>
      </c>
      <c r="G37" s="14">
        <v>60.040860950000003</v>
      </c>
      <c r="H37" s="16">
        <v>1.8656568099999999</v>
      </c>
      <c r="I37" s="14" t="s">
        <v>139</v>
      </c>
      <c r="J37" s="16" t="s">
        <v>139</v>
      </c>
      <c r="K37" s="14">
        <v>0</v>
      </c>
      <c r="L37" s="16">
        <v>0</v>
      </c>
      <c r="M37" s="14">
        <v>0</v>
      </c>
      <c r="N37" s="16">
        <v>0</v>
      </c>
      <c r="O37" s="14">
        <v>0</v>
      </c>
      <c r="P37" s="16">
        <v>0</v>
      </c>
      <c r="Q37" s="14">
        <v>0</v>
      </c>
      <c r="R37" s="16">
        <v>0</v>
      </c>
    </row>
    <row r="38" spans="1:18" x14ac:dyDescent="0.25">
      <c r="A38" s="11" t="s">
        <v>171</v>
      </c>
      <c r="B38" s="17" t="s">
        <v>154</v>
      </c>
      <c r="C38" s="17" t="s">
        <v>154</v>
      </c>
      <c r="D38" s="18" t="s">
        <v>154</v>
      </c>
      <c r="E38" s="17" t="s">
        <v>154</v>
      </c>
      <c r="F38" s="18" t="s">
        <v>154</v>
      </c>
      <c r="G38" s="17" t="s">
        <v>154</v>
      </c>
      <c r="H38" s="18" t="s">
        <v>154</v>
      </c>
      <c r="I38" s="17" t="s">
        <v>154</v>
      </c>
      <c r="J38" s="18" t="s">
        <v>154</v>
      </c>
      <c r="K38" s="17" t="s">
        <v>154</v>
      </c>
      <c r="L38" s="18" t="s">
        <v>154</v>
      </c>
      <c r="M38" s="17" t="s">
        <v>154</v>
      </c>
      <c r="N38" s="18" t="s">
        <v>154</v>
      </c>
      <c r="O38" s="17" t="s">
        <v>154</v>
      </c>
      <c r="P38" s="18" t="s">
        <v>154</v>
      </c>
      <c r="Q38" s="17" t="s">
        <v>154</v>
      </c>
      <c r="R38" s="18" t="s">
        <v>154</v>
      </c>
    </row>
    <row r="39" spans="1:18" x14ac:dyDescent="0.25">
      <c r="A39" s="11" t="s">
        <v>172</v>
      </c>
      <c r="B39" s="13">
        <v>5895</v>
      </c>
      <c r="C39" s="14">
        <f>(4865/B39*100)</f>
        <v>82.527565733672603</v>
      </c>
      <c r="D39" s="15">
        <v>1030</v>
      </c>
      <c r="E39" s="14">
        <v>46.0589735</v>
      </c>
      <c r="F39" s="16">
        <v>2.1006647100000002</v>
      </c>
      <c r="G39" s="14">
        <v>53.9410265</v>
      </c>
      <c r="H39" s="16">
        <v>2.1006647100000002</v>
      </c>
      <c r="I39" s="14" t="s">
        <v>139</v>
      </c>
      <c r="J39" s="16" t="s">
        <v>139</v>
      </c>
      <c r="K39" s="14">
        <v>0</v>
      </c>
      <c r="L39" s="16">
        <v>0</v>
      </c>
      <c r="M39" s="14">
        <v>0</v>
      </c>
      <c r="N39" s="16">
        <v>0</v>
      </c>
      <c r="O39" s="14">
        <v>0</v>
      </c>
      <c r="P39" s="16">
        <v>0</v>
      </c>
      <c r="Q39" s="14">
        <v>0</v>
      </c>
      <c r="R39" s="16">
        <v>0</v>
      </c>
    </row>
    <row r="40" spans="1:18" x14ac:dyDescent="0.25">
      <c r="A40" s="11" t="s">
        <v>173</v>
      </c>
      <c r="B40" s="13">
        <v>14157</v>
      </c>
      <c r="C40" s="14">
        <f>(11700/B40*100)</f>
        <v>82.644628099173559</v>
      </c>
      <c r="D40" s="15">
        <v>2457</v>
      </c>
      <c r="E40" s="14">
        <v>38.331811479999999</v>
      </c>
      <c r="F40" s="16">
        <v>1.5649773499999999</v>
      </c>
      <c r="G40" s="14">
        <v>61.668188520000001</v>
      </c>
      <c r="H40" s="16">
        <v>1.5649773499999999</v>
      </c>
      <c r="I40" s="14" t="s">
        <v>139</v>
      </c>
      <c r="J40" s="16" t="s">
        <v>139</v>
      </c>
      <c r="K40" s="14">
        <v>0</v>
      </c>
      <c r="L40" s="16">
        <v>0</v>
      </c>
      <c r="M40" s="14">
        <v>0</v>
      </c>
      <c r="N40" s="16">
        <v>0</v>
      </c>
      <c r="O40" s="14">
        <v>0</v>
      </c>
      <c r="P40" s="16">
        <v>0</v>
      </c>
      <c r="Q40" s="14">
        <v>0</v>
      </c>
      <c r="R40" s="16">
        <v>0</v>
      </c>
    </row>
    <row r="41" spans="1:18" x14ac:dyDescent="0.25">
      <c r="A41" s="11" t="s">
        <v>174</v>
      </c>
      <c r="B41" s="13">
        <v>5712</v>
      </c>
      <c r="C41" s="14">
        <f>(4785/B41*100)</f>
        <v>83.77100840336135</v>
      </c>
      <c r="D41" s="15">
        <v>927</v>
      </c>
      <c r="E41" s="14">
        <v>31.362020319999999</v>
      </c>
      <c r="F41" s="16">
        <v>1.5778771300000001</v>
      </c>
      <c r="G41" s="14">
        <v>68.637979680000001</v>
      </c>
      <c r="H41" s="16">
        <v>1.5778771300000001</v>
      </c>
      <c r="I41" s="14" t="s">
        <v>139</v>
      </c>
      <c r="J41" s="16" t="s">
        <v>139</v>
      </c>
      <c r="K41" s="14">
        <v>0</v>
      </c>
      <c r="L41" s="16">
        <v>0</v>
      </c>
      <c r="M41" s="14">
        <v>0</v>
      </c>
      <c r="N41" s="16">
        <v>0</v>
      </c>
      <c r="O41" s="14">
        <v>0</v>
      </c>
      <c r="P41" s="16">
        <v>0</v>
      </c>
      <c r="Q41" s="14">
        <v>0</v>
      </c>
      <c r="R41" s="16">
        <v>0</v>
      </c>
    </row>
    <row r="42" spans="1:18" x14ac:dyDescent="0.25">
      <c r="A42" s="11" t="s">
        <v>175</v>
      </c>
      <c r="B42" s="13">
        <f>IF(COUNT(B7:B41) &gt; 0, AVERAGE(B7:B41), "\u2014")</f>
        <v>7266.90625</v>
      </c>
      <c r="C42" s="14">
        <f>IF(COUNT(C7:C41) &gt; 0, AVERAGE(C7:C41), "—")</f>
        <v>83.504972993809972</v>
      </c>
      <c r="D42" s="15">
        <f>IF(COUNT(D7:D41) &gt; 0, AVERAGE(D7:D41), "—")</f>
        <v>1199.28125</v>
      </c>
      <c r="E42" s="14">
        <f>IF(COUNT(E7:E41) &gt; 0, AVERAGE(E7:E41), "—")</f>
        <v>36.322062818125005</v>
      </c>
      <c r="F42" s="16">
        <f>IF(COUNT(F7:F41) &gt; 0, SQRT(SUMSQ(F7:F41)/(COUNT(F7:F41)*COUNT(F7:F41)) ), "—")</f>
        <v>0.28724906801921601</v>
      </c>
      <c r="G42" s="14">
        <f>IF(COUNT(G7:G41) &gt; 0, AVERAGE(G7:G41), "—")</f>
        <v>63.677937181875009</v>
      </c>
      <c r="H42" s="16">
        <f>IF(COUNT(H7:H41) &gt; 0, SQRT(SUMSQ(H7:H41)/(COUNT(H7:H41)*COUNT(H7:H41)) ), "—")</f>
        <v>0.28724906801921601</v>
      </c>
      <c r="I42" s="14" t="str">
        <f>IF(COUNT(I7:I41) &gt; 0, AVERAGE(I7:I41), "—")</f>
        <v>—</v>
      </c>
      <c r="J42" s="16" t="str">
        <f>IF(COUNT(J7:J41) &gt; 0, SQRT(SUMSQ(J7:J41)/(COUNT(J7:J41)*COUNT(J7:J41)) ), "—")</f>
        <v>—</v>
      </c>
      <c r="K42" s="14">
        <f>IF(COUNT(K7:K41) &gt; 0, AVERAGE(K7:K41), "—")</f>
        <v>0</v>
      </c>
      <c r="L42" s="16">
        <f>IF(COUNT(L7:L41) &gt; 0, SQRT(SUMSQ(L7:L41)/(COUNT(L7:L41)*COUNT(L7:L41)) ), "—")</f>
        <v>0</v>
      </c>
      <c r="M42" s="14">
        <f>IF(COUNT(M7:M41) &gt; 0, AVERAGE(M7:M41), "—")</f>
        <v>0</v>
      </c>
      <c r="N42" s="16">
        <f>IF(COUNT(N7:N41) &gt; 0, SQRT(SUMSQ(N7:N41)/(COUNT(N7:N41)*COUNT(N7:N41)) ), "—")</f>
        <v>0</v>
      </c>
      <c r="O42" s="14">
        <f>IF(COUNT(O7:O41) &gt; 0, AVERAGE(O7:O41), "—")</f>
        <v>0</v>
      </c>
      <c r="P42" s="16">
        <f>IF(COUNT(P7:P41) &gt; 0, SQRT(SUMSQ(P7:P41)/(COUNT(P7:P41)*COUNT(P7:P41)) ), "—")</f>
        <v>0</v>
      </c>
      <c r="Q42" s="14">
        <f>IF(COUNT(Q7:Q41) &gt; 0, AVERAGE(Q7:Q41), "—")</f>
        <v>0</v>
      </c>
      <c r="R42" s="16">
        <f>IF(COUNT(R7:R41) &gt; 0, SQRT(SUMSQ(R7:R41)/(COUNT(R7:R41)*COUNT(R7:R41)) ), "—")</f>
        <v>0</v>
      </c>
    </row>
    <row r="43" spans="1:18" x14ac:dyDescent="0.25">
      <c r="A43" s="9" t="s">
        <v>176</v>
      </c>
      <c r="B43" s="10"/>
      <c r="C43" s="10"/>
      <c r="D43" s="11"/>
      <c r="E43" s="10"/>
      <c r="F43" s="11"/>
      <c r="G43" s="10"/>
      <c r="H43" s="11"/>
      <c r="I43" s="10"/>
      <c r="J43" s="11"/>
      <c r="K43" s="10"/>
      <c r="L43" s="11"/>
      <c r="M43" s="10"/>
      <c r="N43" s="11"/>
      <c r="O43" s="10"/>
      <c r="P43" s="11"/>
      <c r="Q43" s="10"/>
      <c r="R43" s="12"/>
    </row>
    <row r="44" spans="1:18" x14ac:dyDescent="0.25">
      <c r="A44" s="11" t="s">
        <v>177</v>
      </c>
      <c r="B44" s="17" t="s">
        <v>154</v>
      </c>
      <c r="C44" s="17" t="s">
        <v>154</v>
      </c>
      <c r="D44" s="18" t="s">
        <v>154</v>
      </c>
      <c r="E44" s="17" t="s">
        <v>154</v>
      </c>
      <c r="F44" s="18" t="s">
        <v>154</v>
      </c>
      <c r="G44" s="17" t="s">
        <v>154</v>
      </c>
      <c r="H44" s="18" t="s">
        <v>154</v>
      </c>
      <c r="I44" s="17" t="s">
        <v>154</v>
      </c>
      <c r="J44" s="18" t="s">
        <v>154</v>
      </c>
      <c r="K44" s="17" t="s">
        <v>154</v>
      </c>
      <c r="L44" s="18" t="s">
        <v>154</v>
      </c>
      <c r="M44" s="17" t="s">
        <v>154</v>
      </c>
      <c r="N44" s="18" t="s">
        <v>154</v>
      </c>
      <c r="O44" s="17" t="s">
        <v>154</v>
      </c>
      <c r="P44" s="18" t="s">
        <v>154</v>
      </c>
      <c r="Q44" s="17" t="s">
        <v>154</v>
      </c>
      <c r="R44" s="18" t="s">
        <v>154</v>
      </c>
    </row>
    <row r="45" spans="1:18" x14ac:dyDescent="0.25">
      <c r="A45" s="11" t="s">
        <v>178</v>
      </c>
      <c r="B45" s="17" t="s">
        <v>154</v>
      </c>
      <c r="C45" s="17" t="s">
        <v>154</v>
      </c>
      <c r="D45" s="18" t="s">
        <v>154</v>
      </c>
      <c r="E45" s="17" t="s">
        <v>154</v>
      </c>
      <c r="F45" s="18" t="s">
        <v>154</v>
      </c>
      <c r="G45" s="17" t="s">
        <v>154</v>
      </c>
      <c r="H45" s="18" t="s">
        <v>154</v>
      </c>
      <c r="I45" s="17" t="s">
        <v>154</v>
      </c>
      <c r="J45" s="18" t="s">
        <v>154</v>
      </c>
      <c r="K45" s="17" t="s">
        <v>154</v>
      </c>
      <c r="L45" s="18" t="s">
        <v>154</v>
      </c>
      <c r="M45" s="17" t="s">
        <v>154</v>
      </c>
      <c r="N45" s="18" t="s">
        <v>154</v>
      </c>
      <c r="O45" s="17" t="s">
        <v>154</v>
      </c>
      <c r="P45" s="18" t="s">
        <v>154</v>
      </c>
      <c r="Q45" s="17" t="s">
        <v>154</v>
      </c>
      <c r="R45" s="18" t="s">
        <v>154</v>
      </c>
    </row>
    <row r="46" spans="1:18" x14ac:dyDescent="0.25">
      <c r="A46" s="11" t="s">
        <v>179</v>
      </c>
      <c r="B46" s="13">
        <v>23141</v>
      </c>
      <c r="C46" s="14">
        <f>(20323/B46*100)</f>
        <v>87.822479581694822</v>
      </c>
      <c r="D46" s="15">
        <v>2818</v>
      </c>
      <c r="E46" s="14">
        <v>46.236785580000003</v>
      </c>
      <c r="F46" s="16">
        <v>1.24688266</v>
      </c>
      <c r="G46" s="14">
        <v>53.763214419999997</v>
      </c>
      <c r="H46" s="16">
        <v>1.24688266</v>
      </c>
      <c r="I46" s="14" t="s">
        <v>139</v>
      </c>
      <c r="J46" s="16" t="s">
        <v>139</v>
      </c>
      <c r="K46" s="14">
        <v>0</v>
      </c>
      <c r="L46" s="16">
        <v>0</v>
      </c>
      <c r="M46" s="14">
        <v>0</v>
      </c>
      <c r="N46" s="16">
        <v>0</v>
      </c>
      <c r="O46" s="14">
        <v>0</v>
      </c>
      <c r="P46" s="16">
        <v>0</v>
      </c>
      <c r="Q46" s="14">
        <v>0</v>
      </c>
      <c r="R46" s="16">
        <v>0</v>
      </c>
    </row>
    <row r="47" spans="1:18" x14ac:dyDescent="0.25">
      <c r="A47" s="11" t="s">
        <v>180</v>
      </c>
      <c r="B47" s="13">
        <v>5928</v>
      </c>
      <c r="C47" s="14">
        <f>(4983/B47*100)</f>
        <v>84.058704453441294</v>
      </c>
      <c r="D47" s="15">
        <v>945</v>
      </c>
      <c r="E47" s="14">
        <v>46.173775419999998</v>
      </c>
      <c r="F47" s="16">
        <v>1.6330479</v>
      </c>
      <c r="G47" s="14">
        <v>53.826224580000002</v>
      </c>
      <c r="H47" s="16">
        <v>1.6330479</v>
      </c>
      <c r="I47" s="14" t="s">
        <v>139</v>
      </c>
      <c r="J47" s="16" t="s">
        <v>139</v>
      </c>
      <c r="K47" s="14">
        <v>0</v>
      </c>
      <c r="L47" s="16">
        <v>0</v>
      </c>
      <c r="M47" s="14">
        <v>0</v>
      </c>
      <c r="N47" s="16">
        <v>0</v>
      </c>
      <c r="O47" s="14">
        <v>0</v>
      </c>
      <c r="P47" s="16">
        <v>0</v>
      </c>
      <c r="Q47" s="14">
        <v>0</v>
      </c>
      <c r="R47" s="16">
        <v>0</v>
      </c>
    </row>
    <row r="48" spans="1:18" x14ac:dyDescent="0.25">
      <c r="A48" s="11" t="s">
        <v>181</v>
      </c>
      <c r="B48" s="13">
        <v>9841</v>
      </c>
      <c r="C48" s="14">
        <f>(8156/B48*100)</f>
        <v>82.877756325576669</v>
      </c>
      <c r="D48" s="15">
        <v>1685</v>
      </c>
      <c r="E48" s="14">
        <v>22.257250129999999</v>
      </c>
      <c r="F48" s="16">
        <v>1.5670342900000001</v>
      </c>
      <c r="G48" s="14">
        <v>77.742749869999997</v>
      </c>
      <c r="H48" s="16">
        <v>1.5670342900000001</v>
      </c>
      <c r="I48" s="14" t="s">
        <v>139</v>
      </c>
      <c r="J48" s="16" t="s">
        <v>139</v>
      </c>
      <c r="K48" s="14">
        <v>0</v>
      </c>
      <c r="L48" s="16">
        <v>0</v>
      </c>
      <c r="M48" s="14">
        <v>0</v>
      </c>
      <c r="N48" s="16">
        <v>0</v>
      </c>
      <c r="O48" s="14">
        <v>0</v>
      </c>
      <c r="P48" s="16">
        <v>0</v>
      </c>
      <c r="Q48" s="14">
        <v>0</v>
      </c>
      <c r="R48" s="16">
        <v>0</v>
      </c>
    </row>
    <row r="49" spans="1:18" x14ac:dyDescent="0.25">
      <c r="A49" s="11" t="s">
        <v>182</v>
      </c>
      <c r="B49" s="17" t="s">
        <v>154</v>
      </c>
      <c r="C49" s="17" t="s">
        <v>154</v>
      </c>
      <c r="D49" s="18" t="s">
        <v>154</v>
      </c>
      <c r="E49" s="17" t="s">
        <v>154</v>
      </c>
      <c r="F49" s="18" t="s">
        <v>154</v>
      </c>
      <c r="G49" s="17" t="s">
        <v>154</v>
      </c>
      <c r="H49" s="18" t="s">
        <v>154</v>
      </c>
      <c r="I49" s="17" t="s">
        <v>154</v>
      </c>
      <c r="J49" s="18" t="s">
        <v>154</v>
      </c>
      <c r="K49" s="17" t="s">
        <v>154</v>
      </c>
      <c r="L49" s="18" t="s">
        <v>154</v>
      </c>
      <c r="M49" s="17" t="s">
        <v>154</v>
      </c>
      <c r="N49" s="18" t="s">
        <v>154</v>
      </c>
      <c r="O49" s="17" t="s">
        <v>154</v>
      </c>
      <c r="P49" s="18" t="s">
        <v>154</v>
      </c>
      <c r="Q49" s="17" t="s">
        <v>154</v>
      </c>
      <c r="R49" s="18" t="s">
        <v>154</v>
      </c>
    </row>
    <row r="50" spans="1:18" x14ac:dyDescent="0.25">
      <c r="A50" s="11" t="s">
        <v>183</v>
      </c>
      <c r="B50" s="13">
        <v>11795</v>
      </c>
      <c r="C50" s="14">
        <f>(9958/B50*100)</f>
        <v>84.425604069520986</v>
      </c>
      <c r="D50" s="15">
        <v>1837</v>
      </c>
      <c r="E50" s="14">
        <v>43.056343079999998</v>
      </c>
      <c r="F50" s="16">
        <v>1.5741411599999999</v>
      </c>
      <c r="G50" s="14">
        <v>56.943656920000002</v>
      </c>
      <c r="H50" s="16">
        <v>1.5741411599999999</v>
      </c>
      <c r="I50" s="14" t="s">
        <v>139</v>
      </c>
      <c r="J50" s="16" t="s">
        <v>139</v>
      </c>
      <c r="K50" s="14">
        <v>0</v>
      </c>
      <c r="L50" s="16">
        <v>0</v>
      </c>
      <c r="M50" s="14">
        <v>0</v>
      </c>
      <c r="N50" s="16">
        <v>0</v>
      </c>
      <c r="O50" s="14">
        <v>0</v>
      </c>
      <c r="P50" s="16">
        <v>0</v>
      </c>
      <c r="Q50" s="14">
        <v>0</v>
      </c>
      <c r="R50" s="16">
        <v>0</v>
      </c>
    </row>
    <row r="51" spans="1:18" x14ac:dyDescent="0.25">
      <c r="A51" s="11" t="s">
        <v>184</v>
      </c>
      <c r="B51" s="13">
        <v>6866</v>
      </c>
      <c r="C51" s="14">
        <f>(5911/B51*100)</f>
        <v>86.090882609962122</v>
      </c>
      <c r="D51" s="15">
        <v>955</v>
      </c>
      <c r="E51" s="14">
        <v>45.476794859999998</v>
      </c>
      <c r="F51" s="16">
        <v>1.90491798</v>
      </c>
      <c r="G51" s="14">
        <v>54.523205140000002</v>
      </c>
      <c r="H51" s="16">
        <v>1.90491798</v>
      </c>
      <c r="I51" s="14" t="s">
        <v>139</v>
      </c>
      <c r="J51" s="16" t="s">
        <v>139</v>
      </c>
      <c r="K51" s="14">
        <v>0</v>
      </c>
      <c r="L51" s="16">
        <v>0</v>
      </c>
      <c r="M51" s="14">
        <v>0</v>
      </c>
      <c r="N51" s="16">
        <v>0</v>
      </c>
      <c r="O51" s="14">
        <v>0</v>
      </c>
      <c r="P51" s="16">
        <v>0</v>
      </c>
      <c r="Q51" s="14">
        <v>0</v>
      </c>
      <c r="R51" s="16">
        <v>0</v>
      </c>
    </row>
    <row r="52" spans="1:18" x14ac:dyDescent="0.25">
      <c r="A52" s="11" t="s">
        <v>185</v>
      </c>
      <c r="B52" s="13">
        <v>5809</v>
      </c>
      <c r="C52" s="14">
        <f>(4832/B52*100)</f>
        <v>83.181270442416945</v>
      </c>
      <c r="D52" s="15">
        <v>977</v>
      </c>
      <c r="E52" s="14">
        <v>39.9185151</v>
      </c>
      <c r="F52" s="16">
        <v>1.74164589</v>
      </c>
      <c r="G52" s="14">
        <v>60.0814849</v>
      </c>
      <c r="H52" s="16">
        <v>1.74164589</v>
      </c>
      <c r="I52" s="14" t="s">
        <v>139</v>
      </c>
      <c r="J52" s="16" t="s">
        <v>139</v>
      </c>
      <c r="K52" s="14">
        <v>0</v>
      </c>
      <c r="L52" s="16">
        <v>0</v>
      </c>
      <c r="M52" s="14">
        <v>0</v>
      </c>
      <c r="N52" s="16">
        <v>0</v>
      </c>
      <c r="O52" s="14">
        <v>0</v>
      </c>
      <c r="P52" s="16">
        <v>0</v>
      </c>
      <c r="Q52" s="14">
        <v>0</v>
      </c>
      <c r="R52" s="16">
        <v>0</v>
      </c>
    </row>
    <row r="53" spans="1:18" x14ac:dyDescent="0.25">
      <c r="A53" s="11" t="s">
        <v>186</v>
      </c>
      <c r="B53" s="13">
        <v>5571</v>
      </c>
      <c r="C53" s="14">
        <f>(4622/B53*100)</f>
        <v>82.965356309459708</v>
      </c>
      <c r="D53" s="15">
        <v>949</v>
      </c>
      <c r="E53" s="14">
        <v>47.177758089999998</v>
      </c>
      <c r="F53" s="16">
        <v>1.6863732199999999</v>
      </c>
      <c r="G53" s="14">
        <v>52.822241910000002</v>
      </c>
      <c r="H53" s="16">
        <v>1.6863732199999999</v>
      </c>
      <c r="I53" s="14" t="s">
        <v>139</v>
      </c>
      <c r="J53" s="16" t="s">
        <v>139</v>
      </c>
      <c r="K53" s="14">
        <v>0</v>
      </c>
      <c r="L53" s="16">
        <v>0</v>
      </c>
      <c r="M53" s="14">
        <v>0</v>
      </c>
      <c r="N53" s="16">
        <v>0</v>
      </c>
      <c r="O53" s="14">
        <v>0</v>
      </c>
      <c r="P53" s="16">
        <v>0</v>
      </c>
      <c r="Q53" s="14">
        <v>0</v>
      </c>
      <c r="R53" s="16">
        <v>0</v>
      </c>
    </row>
    <row r="54" spans="1:18" x14ac:dyDescent="0.25">
      <c r="A54" s="11" t="s">
        <v>187</v>
      </c>
      <c r="B54" s="17" t="s">
        <v>154</v>
      </c>
      <c r="C54" s="17" t="s">
        <v>154</v>
      </c>
      <c r="D54" s="18" t="s">
        <v>154</v>
      </c>
      <c r="E54" s="17" t="s">
        <v>154</v>
      </c>
      <c r="F54" s="18" t="s">
        <v>154</v>
      </c>
      <c r="G54" s="17" t="s">
        <v>154</v>
      </c>
      <c r="H54" s="18" t="s">
        <v>154</v>
      </c>
      <c r="I54" s="17" t="s">
        <v>154</v>
      </c>
      <c r="J54" s="18" t="s">
        <v>154</v>
      </c>
      <c r="K54" s="17" t="s">
        <v>154</v>
      </c>
      <c r="L54" s="18" t="s">
        <v>154</v>
      </c>
      <c r="M54" s="17" t="s">
        <v>154</v>
      </c>
      <c r="N54" s="18" t="s">
        <v>154</v>
      </c>
      <c r="O54" s="17" t="s">
        <v>154</v>
      </c>
      <c r="P54" s="18" t="s">
        <v>154</v>
      </c>
      <c r="Q54" s="17" t="s">
        <v>154</v>
      </c>
      <c r="R54" s="18" t="s">
        <v>154</v>
      </c>
    </row>
    <row r="55" spans="1:18" x14ac:dyDescent="0.25">
      <c r="A55" s="11" t="s">
        <v>188</v>
      </c>
      <c r="B55" s="17" t="s">
        <v>154</v>
      </c>
      <c r="C55" s="17" t="s">
        <v>154</v>
      </c>
      <c r="D55" s="18" t="s">
        <v>154</v>
      </c>
      <c r="E55" s="17" t="s">
        <v>154</v>
      </c>
      <c r="F55" s="18" t="s">
        <v>154</v>
      </c>
      <c r="G55" s="17" t="s">
        <v>154</v>
      </c>
      <c r="H55" s="18" t="s">
        <v>154</v>
      </c>
      <c r="I55" s="17" t="s">
        <v>154</v>
      </c>
      <c r="J55" s="18" t="s">
        <v>154</v>
      </c>
      <c r="K55" s="17" t="s">
        <v>154</v>
      </c>
      <c r="L55" s="18" t="s">
        <v>154</v>
      </c>
      <c r="M55" s="17" t="s">
        <v>154</v>
      </c>
      <c r="N55" s="18" t="s">
        <v>154</v>
      </c>
      <c r="O55" s="17" t="s">
        <v>154</v>
      </c>
      <c r="P55" s="18" t="s">
        <v>154</v>
      </c>
      <c r="Q55" s="17" t="s">
        <v>154</v>
      </c>
      <c r="R55" s="18" t="s">
        <v>154</v>
      </c>
    </row>
    <row r="56" spans="1:18" x14ac:dyDescent="0.25">
      <c r="A56" s="11" t="s">
        <v>189</v>
      </c>
      <c r="B56" s="13">
        <v>5359</v>
      </c>
      <c r="C56" s="14">
        <f>(4423/B56*100)</f>
        <v>82.534054860981527</v>
      </c>
      <c r="D56" s="15">
        <v>936</v>
      </c>
      <c r="E56" s="14">
        <v>14.251250479999999</v>
      </c>
      <c r="F56" s="16">
        <v>1.2203862000000001</v>
      </c>
      <c r="G56" s="14">
        <v>85.748749520000004</v>
      </c>
      <c r="H56" s="16">
        <v>1.2203862000000001</v>
      </c>
      <c r="I56" s="14" t="s">
        <v>139</v>
      </c>
      <c r="J56" s="16" t="s">
        <v>139</v>
      </c>
      <c r="K56" s="14">
        <v>0</v>
      </c>
      <c r="L56" s="16">
        <v>0</v>
      </c>
      <c r="M56" s="14">
        <v>0</v>
      </c>
      <c r="N56" s="16">
        <v>0</v>
      </c>
      <c r="O56" s="14">
        <v>0</v>
      </c>
      <c r="P56" s="16">
        <v>0</v>
      </c>
      <c r="Q56" s="14">
        <v>0</v>
      </c>
      <c r="R56" s="16">
        <v>0</v>
      </c>
    </row>
    <row r="57" spans="1:18" x14ac:dyDescent="0.25">
      <c r="A57" s="11" t="s">
        <v>190</v>
      </c>
      <c r="B57" s="17" t="s">
        <v>154</v>
      </c>
      <c r="C57" s="17" t="s">
        <v>154</v>
      </c>
      <c r="D57" s="18" t="s">
        <v>154</v>
      </c>
      <c r="E57" s="17" t="s">
        <v>154</v>
      </c>
      <c r="F57" s="18" t="s">
        <v>154</v>
      </c>
      <c r="G57" s="17" t="s">
        <v>154</v>
      </c>
      <c r="H57" s="18" t="s">
        <v>154</v>
      </c>
      <c r="I57" s="17" t="s">
        <v>154</v>
      </c>
      <c r="J57" s="18" t="s">
        <v>154</v>
      </c>
      <c r="K57" s="17" t="s">
        <v>154</v>
      </c>
      <c r="L57" s="18" t="s">
        <v>154</v>
      </c>
      <c r="M57" s="17" t="s">
        <v>154</v>
      </c>
      <c r="N57" s="18" t="s">
        <v>154</v>
      </c>
      <c r="O57" s="17" t="s">
        <v>154</v>
      </c>
      <c r="P57" s="18" t="s">
        <v>154</v>
      </c>
      <c r="Q57" s="17" t="s">
        <v>154</v>
      </c>
      <c r="R57" s="18" t="s">
        <v>154</v>
      </c>
    </row>
    <row r="58" spans="1:18" x14ac:dyDescent="0.25">
      <c r="A58" s="11" t="s">
        <v>191</v>
      </c>
      <c r="B58" s="17" t="s">
        <v>154</v>
      </c>
      <c r="C58" s="17" t="s">
        <v>154</v>
      </c>
      <c r="D58" s="18" t="s">
        <v>154</v>
      </c>
      <c r="E58" s="17" t="s">
        <v>154</v>
      </c>
      <c r="F58" s="18" t="s">
        <v>154</v>
      </c>
      <c r="G58" s="17" t="s">
        <v>154</v>
      </c>
      <c r="H58" s="18" t="s">
        <v>154</v>
      </c>
      <c r="I58" s="17" t="s">
        <v>154</v>
      </c>
      <c r="J58" s="18" t="s">
        <v>154</v>
      </c>
      <c r="K58" s="17" t="s">
        <v>154</v>
      </c>
      <c r="L58" s="18" t="s">
        <v>154</v>
      </c>
      <c r="M58" s="17" t="s">
        <v>154</v>
      </c>
      <c r="N58" s="18" t="s">
        <v>154</v>
      </c>
      <c r="O58" s="17" t="s">
        <v>154</v>
      </c>
      <c r="P58" s="18" t="s">
        <v>154</v>
      </c>
      <c r="Q58" s="17" t="s">
        <v>154</v>
      </c>
      <c r="R58" s="18" t="s">
        <v>154</v>
      </c>
    </row>
    <row r="59" spans="1:18" x14ac:dyDescent="0.25">
      <c r="A59" s="11" t="s">
        <v>192</v>
      </c>
      <c r="B59" s="17" t="s">
        <v>154</v>
      </c>
      <c r="C59" s="17" t="s">
        <v>154</v>
      </c>
      <c r="D59" s="18" t="s">
        <v>154</v>
      </c>
      <c r="E59" s="17" t="s">
        <v>154</v>
      </c>
      <c r="F59" s="18" t="s">
        <v>154</v>
      </c>
      <c r="G59" s="17" t="s">
        <v>154</v>
      </c>
      <c r="H59" s="18" t="s">
        <v>154</v>
      </c>
      <c r="I59" s="17" t="s">
        <v>154</v>
      </c>
      <c r="J59" s="18" t="s">
        <v>154</v>
      </c>
      <c r="K59" s="17" t="s">
        <v>154</v>
      </c>
      <c r="L59" s="18" t="s">
        <v>154</v>
      </c>
      <c r="M59" s="17" t="s">
        <v>154</v>
      </c>
      <c r="N59" s="18" t="s">
        <v>154</v>
      </c>
      <c r="O59" s="17" t="s">
        <v>154</v>
      </c>
      <c r="P59" s="18" t="s">
        <v>154</v>
      </c>
      <c r="Q59" s="17" t="s">
        <v>154</v>
      </c>
      <c r="R59" s="18" t="s">
        <v>154</v>
      </c>
    </row>
    <row r="60" spans="1:18" x14ac:dyDescent="0.25">
      <c r="A60" s="11" t="s">
        <v>193</v>
      </c>
      <c r="B60" s="17" t="s">
        <v>154</v>
      </c>
      <c r="C60" s="17" t="s">
        <v>154</v>
      </c>
      <c r="D60" s="18" t="s">
        <v>154</v>
      </c>
      <c r="E60" s="17" t="s">
        <v>154</v>
      </c>
      <c r="F60" s="18" t="s">
        <v>154</v>
      </c>
      <c r="G60" s="17" t="s">
        <v>154</v>
      </c>
      <c r="H60" s="18" t="s">
        <v>154</v>
      </c>
      <c r="I60" s="17" t="s">
        <v>154</v>
      </c>
      <c r="J60" s="18" t="s">
        <v>154</v>
      </c>
      <c r="K60" s="17" t="s">
        <v>154</v>
      </c>
      <c r="L60" s="18" t="s">
        <v>154</v>
      </c>
      <c r="M60" s="17" t="s">
        <v>154</v>
      </c>
      <c r="N60" s="18" t="s">
        <v>154</v>
      </c>
      <c r="O60" s="17" t="s">
        <v>154</v>
      </c>
      <c r="P60" s="18" t="s">
        <v>154</v>
      </c>
      <c r="Q60" s="17" t="s">
        <v>154</v>
      </c>
      <c r="R60" s="18" t="s">
        <v>154</v>
      </c>
    </row>
    <row r="61" spans="1:18" x14ac:dyDescent="0.25">
      <c r="A61" s="11" t="s">
        <v>194</v>
      </c>
      <c r="B61" s="13">
        <v>6525</v>
      </c>
      <c r="C61" s="14">
        <f>(5438/B61*100)</f>
        <v>83.340996168582365</v>
      </c>
      <c r="D61" s="15">
        <v>1087</v>
      </c>
      <c r="E61" s="14">
        <v>44.156213690000001</v>
      </c>
      <c r="F61" s="16">
        <v>1.8542146799999999</v>
      </c>
      <c r="G61" s="14">
        <v>55.843786309999999</v>
      </c>
      <c r="H61" s="16">
        <v>1.8542146799999999</v>
      </c>
      <c r="I61" s="14" t="s">
        <v>139</v>
      </c>
      <c r="J61" s="16" t="s">
        <v>139</v>
      </c>
      <c r="K61" s="14">
        <v>0</v>
      </c>
      <c r="L61" s="16">
        <v>0</v>
      </c>
      <c r="M61" s="14">
        <v>0</v>
      </c>
      <c r="N61" s="16">
        <v>0</v>
      </c>
      <c r="O61" s="14">
        <v>0</v>
      </c>
      <c r="P61" s="16">
        <v>0</v>
      </c>
      <c r="Q61" s="14">
        <v>0</v>
      </c>
      <c r="R61" s="16">
        <v>0</v>
      </c>
    </row>
    <row r="62" spans="1:18" x14ac:dyDescent="0.25">
      <c r="A62" s="11" t="s">
        <v>195</v>
      </c>
      <c r="B62" s="13">
        <v>4476</v>
      </c>
      <c r="C62" s="14">
        <f>(3742/B62*100)</f>
        <v>83.601429848078652</v>
      </c>
      <c r="D62" s="15">
        <v>734</v>
      </c>
      <c r="E62" s="14">
        <v>15.526603870000001</v>
      </c>
      <c r="F62" s="16">
        <v>1.4730006600000001</v>
      </c>
      <c r="G62" s="14">
        <v>84.473396129999998</v>
      </c>
      <c r="H62" s="16">
        <v>1.4730006600000001</v>
      </c>
      <c r="I62" s="14" t="s">
        <v>139</v>
      </c>
      <c r="J62" s="16" t="s">
        <v>139</v>
      </c>
      <c r="K62" s="14">
        <v>0</v>
      </c>
      <c r="L62" s="16">
        <v>0</v>
      </c>
      <c r="M62" s="14">
        <v>0</v>
      </c>
      <c r="N62" s="16">
        <v>0</v>
      </c>
      <c r="O62" s="14">
        <v>0</v>
      </c>
      <c r="P62" s="16">
        <v>0</v>
      </c>
      <c r="Q62" s="14">
        <v>0</v>
      </c>
      <c r="R62" s="16">
        <v>0</v>
      </c>
    </row>
    <row r="63" spans="1:18" x14ac:dyDescent="0.25">
      <c r="A63" s="11" t="s">
        <v>196</v>
      </c>
      <c r="B63" s="17" t="s">
        <v>154</v>
      </c>
      <c r="C63" s="17" t="s">
        <v>154</v>
      </c>
      <c r="D63" s="18" t="s">
        <v>154</v>
      </c>
      <c r="E63" s="17" t="s">
        <v>154</v>
      </c>
      <c r="F63" s="18" t="s">
        <v>154</v>
      </c>
      <c r="G63" s="17" t="s">
        <v>154</v>
      </c>
      <c r="H63" s="18" t="s">
        <v>154</v>
      </c>
      <c r="I63" s="17" t="s">
        <v>154</v>
      </c>
      <c r="J63" s="18" t="s">
        <v>154</v>
      </c>
      <c r="K63" s="17" t="s">
        <v>154</v>
      </c>
      <c r="L63" s="18" t="s">
        <v>154</v>
      </c>
      <c r="M63" s="17" t="s">
        <v>154</v>
      </c>
      <c r="N63" s="18" t="s">
        <v>154</v>
      </c>
      <c r="O63" s="17" t="s">
        <v>154</v>
      </c>
      <c r="P63" s="18" t="s">
        <v>154</v>
      </c>
      <c r="Q63" s="17" t="s">
        <v>154</v>
      </c>
      <c r="R63" s="18" t="s">
        <v>154</v>
      </c>
    </row>
    <row r="64" spans="1:18" x14ac:dyDescent="0.25">
      <c r="A64" s="11" t="s">
        <v>197</v>
      </c>
      <c r="B64" s="17" t="s">
        <v>154</v>
      </c>
      <c r="C64" s="17" t="s">
        <v>154</v>
      </c>
      <c r="D64" s="18" t="s">
        <v>154</v>
      </c>
      <c r="E64" s="17" t="s">
        <v>154</v>
      </c>
      <c r="F64" s="18" t="s">
        <v>154</v>
      </c>
      <c r="G64" s="17" t="s">
        <v>154</v>
      </c>
      <c r="H64" s="18" t="s">
        <v>154</v>
      </c>
      <c r="I64" s="17" t="s">
        <v>154</v>
      </c>
      <c r="J64" s="18" t="s">
        <v>154</v>
      </c>
      <c r="K64" s="17" t="s">
        <v>154</v>
      </c>
      <c r="L64" s="18" t="s">
        <v>154</v>
      </c>
      <c r="M64" s="17" t="s">
        <v>154</v>
      </c>
      <c r="N64" s="18" t="s">
        <v>154</v>
      </c>
      <c r="O64" s="17" t="s">
        <v>154</v>
      </c>
      <c r="P64" s="18" t="s">
        <v>154</v>
      </c>
      <c r="Q64" s="17" t="s">
        <v>154</v>
      </c>
      <c r="R64" s="18" t="s">
        <v>154</v>
      </c>
    </row>
    <row r="65" spans="1:18" x14ac:dyDescent="0.25">
      <c r="A65" s="11" t="s">
        <v>198</v>
      </c>
      <c r="B65" s="17" t="s">
        <v>154</v>
      </c>
      <c r="C65" s="17" t="s">
        <v>154</v>
      </c>
      <c r="D65" s="18" t="s">
        <v>154</v>
      </c>
      <c r="E65" s="17" t="s">
        <v>154</v>
      </c>
      <c r="F65" s="18" t="s">
        <v>154</v>
      </c>
      <c r="G65" s="17" t="s">
        <v>154</v>
      </c>
      <c r="H65" s="18" t="s">
        <v>154</v>
      </c>
      <c r="I65" s="17" t="s">
        <v>154</v>
      </c>
      <c r="J65" s="18" t="s">
        <v>154</v>
      </c>
      <c r="K65" s="17" t="s">
        <v>154</v>
      </c>
      <c r="L65" s="18" t="s">
        <v>154</v>
      </c>
      <c r="M65" s="17" t="s">
        <v>154</v>
      </c>
      <c r="N65" s="18" t="s">
        <v>154</v>
      </c>
      <c r="O65" s="17" t="s">
        <v>154</v>
      </c>
      <c r="P65" s="18" t="s">
        <v>154</v>
      </c>
      <c r="Q65" s="17" t="s">
        <v>154</v>
      </c>
      <c r="R65" s="18" t="s">
        <v>154</v>
      </c>
    </row>
    <row r="66" spans="1:18" x14ac:dyDescent="0.25">
      <c r="A66" s="11" t="s">
        <v>199</v>
      </c>
      <c r="B66" s="13">
        <v>5665</v>
      </c>
      <c r="C66" s="14">
        <f>(4754/B66*100)</f>
        <v>83.918799646954994</v>
      </c>
      <c r="D66" s="15">
        <v>911</v>
      </c>
      <c r="E66" s="14">
        <v>53.210863439999997</v>
      </c>
      <c r="F66" s="16">
        <v>1.7961907800000001</v>
      </c>
      <c r="G66" s="14">
        <v>46.789136560000003</v>
      </c>
      <c r="H66" s="16">
        <v>1.7961907800000001</v>
      </c>
      <c r="I66" s="14" t="s">
        <v>139</v>
      </c>
      <c r="J66" s="16" t="s">
        <v>139</v>
      </c>
      <c r="K66" s="14">
        <v>0</v>
      </c>
      <c r="L66" s="16">
        <v>0</v>
      </c>
      <c r="M66" s="14">
        <v>0</v>
      </c>
      <c r="N66" s="16">
        <v>0</v>
      </c>
      <c r="O66" s="14">
        <v>0</v>
      </c>
      <c r="P66" s="16">
        <v>0</v>
      </c>
      <c r="Q66" s="14">
        <v>0</v>
      </c>
      <c r="R66" s="16">
        <v>0</v>
      </c>
    </row>
    <row r="67" spans="1:18" x14ac:dyDescent="0.25">
      <c r="A67" s="11" t="s">
        <v>200</v>
      </c>
      <c r="B67" s="13">
        <v>6971</v>
      </c>
      <c r="C67" s="14">
        <f>(6010/B67*100)</f>
        <v>86.214316453880357</v>
      </c>
      <c r="D67" s="15">
        <v>961</v>
      </c>
      <c r="E67" s="14">
        <v>44.581291759999999</v>
      </c>
      <c r="F67" s="16">
        <v>1.8134906200000001</v>
      </c>
      <c r="G67" s="14">
        <v>55.418708240000001</v>
      </c>
      <c r="H67" s="16">
        <v>1.8134906200000001</v>
      </c>
      <c r="I67" s="14" t="s">
        <v>139</v>
      </c>
      <c r="J67" s="16" t="s">
        <v>139</v>
      </c>
      <c r="K67" s="14">
        <v>0</v>
      </c>
      <c r="L67" s="16">
        <v>0</v>
      </c>
      <c r="M67" s="14">
        <v>0</v>
      </c>
      <c r="N67" s="16">
        <v>0</v>
      </c>
      <c r="O67" s="14">
        <v>0</v>
      </c>
      <c r="P67" s="16">
        <v>0</v>
      </c>
      <c r="Q67" s="14">
        <v>0</v>
      </c>
      <c r="R67" s="16">
        <v>0</v>
      </c>
    </row>
    <row r="68" spans="1:18" x14ac:dyDescent="0.25">
      <c r="A68" s="11" t="s">
        <v>201</v>
      </c>
      <c r="B68" s="17" t="s">
        <v>154</v>
      </c>
      <c r="C68" s="17" t="s">
        <v>154</v>
      </c>
      <c r="D68" s="18" t="s">
        <v>154</v>
      </c>
      <c r="E68" s="17" t="s">
        <v>154</v>
      </c>
      <c r="F68" s="18" t="s">
        <v>154</v>
      </c>
      <c r="G68" s="17" t="s">
        <v>154</v>
      </c>
      <c r="H68" s="18" t="s">
        <v>154</v>
      </c>
      <c r="I68" s="17" t="s">
        <v>154</v>
      </c>
      <c r="J68" s="18" t="s">
        <v>154</v>
      </c>
      <c r="K68" s="17" t="s">
        <v>154</v>
      </c>
      <c r="L68" s="18" t="s">
        <v>154</v>
      </c>
      <c r="M68" s="17" t="s">
        <v>154</v>
      </c>
      <c r="N68" s="18" t="s">
        <v>154</v>
      </c>
      <c r="O68" s="17" t="s">
        <v>154</v>
      </c>
      <c r="P68" s="18" t="s">
        <v>154</v>
      </c>
      <c r="Q68" s="17" t="s">
        <v>154</v>
      </c>
      <c r="R68" s="18" t="s">
        <v>154</v>
      </c>
    </row>
    <row r="69" spans="1:18" x14ac:dyDescent="0.25">
      <c r="A69" s="11" t="s">
        <v>202</v>
      </c>
      <c r="B69" s="17" t="s">
        <v>154</v>
      </c>
      <c r="C69" s="17" t="s">
        <v>154</v>
      </c>
      <c r="D69" s="18" t="s">
        <v>154</v>
      </c>
      <c r="E69" s="17" t="s">
        <v>154</v>
      </c>
      <c r="F69" s="18" t="s">
        <v>154</v>
      </c>
      <c r="G69" s="17" t="s">
        <v>154</v>
      </c>
      <c r="H69" s="18" t="s">
        <v>154</v>
      </c>
      <c r="I69" s="17" t="s">
        <v>154</v>
      </c>
      <c r="J69" s="18" t="s">
        <v>154</v>
      </c>
      <c r="K69" s="17" t="s">
        <v>154</v>
      </c>
      <c r="L69" s="18" t="s">
        <v>154</v>
      </c>
      <c r="M69" s="17" t="s">
        <v>154</v>
      </c>
      <c r="N69" s="18" t="s">
        <v>154</v>
      </c>
      <c r="O69" s="17" t="s">
        <v>154</v>
      </c>
      <c r="P69" s="18" t="s">
        <v>154</v>
      </c>
      <c r="Q69" s="17" t="s">
        <v>154</v>
      </c>
      <c r="R69" s="18" t="s">
        <v>154</v>
      </c>
    </row>
    <row r="70" spans="1:18" x14ac:dyDescent="0.25">
      <c r="A70" s="11" t="s">
        <v>203</v>
      </c>
      <c r="B70" s="13">
        <v>6036</v>
      </c>
      <c r="C70" s="14">
        <f>(5043/B70*100)</f>
        <v>83.548707753479121</v>
      </c>
      <c r="D70" s="15">
        <v>993</v>
      </c>
      <c r="E70" s="14">
        <v>37.184285639999999</v>
      </c>
      <c r="F70" s="16">
        <v>1.97955379</v>
      </c>
      <c r="G70" s="14">
        <v>62.815714360000001</v>
      </c>
      <c r="H70" s="16">
        <v>1.97955379</v>
      </c>
      <c r="I70" s="14" t="s">
        <v>139</v>
      </c>
      <c r="J70" s="16" t="s">
        <v>139</v>
      </c>
      <c r="K70" s="14">
        <v>0</v>
      </c>
      <c r="L70" s="16">
        <v>0</v>
      </c>
      <c r="M70" s="14">
        <v>0</v>
      </c>
      <c r="N70" s="16">
        <v>0</v>
      </c>
      <c r="O70" s="14">
        <v>0</v>
      </c>
      <c r="P70" s="16">
        <v>0</v>
      </c>
      <c r="Q70" s="14">
        <v>0</v>
      </c>
      <c r="R70" s="16">
        <v>0</v>
      </c>
    </row>
    <row r="71" spans="1:18" x14ac:dyDescent="0.25">
      <c r="A71" s="11" t="s">
        <v>204</v>
      </c>
      <c r="B71" s="17" t="s">
        <v>154</v>
      </c>
      <c r="C71" s="17" t="s">
        <v>154</v>
      </c>
      <c r="D71" s="18" t="s">
        <v>154</v>
      </c>
      <c r="E71" s="17" t="s">
        <v>154</v>
      </c>
      <c r="F71" s="18" t="s">
        <v>154</v>
      </c>
      <c r="G71" s="17" t="s">
        <v>154</v>
      </c>
      <c r="H71" s="18" t="s">
        <v>154</v>
      </c>
      <c r="I71" s="17" t="s">
        <v>154</v>
      </c>
      <c r="J71" s="18" t="s">
        <v>154</v>
      </c>
      <c r="K71" s="17" t="s">
        <v>154</v>
      </c>
      <c r="L71" s="18" t="s">
        <v>154</v>
      </c>
      <c r="M71" s="17" t="s">
        <v>154</v>
      </c>
      <c r="N71" s="18" t="s">
        <v>154</v>
      </c>
      <c r="O71" s="17" t="s">
        <v>154</v>
      </c>
      <c r="P71" s="18" t="s">
        <v>154</v>
      </c>
      <c r="Q71" s="17" t="s">
        <v>154</v>
      </c>
      <c r="R71" s="18" t="s">
        <v>154</v>
      </c>
    </row>
    <row r="72" spans="1:18" x14ac:dyDescent="0.25">
      <c r="A72" s="11" t="s">
        <v>205</v>
      </c>
      <c r="B72" s="13">
        <v>7708</v>
      </c>
      <c r="C72" s="14">
        <f>(6395/B72*100)</f>
        <v>82.965749870264659</v>
      </c>
      <c r="D72" s="15">
        <v>1313</v>
      </c>
      <c r="E72" s="14">
        <v>12.95282518</v>
      </c>
      <c r="F72" s="16">
        <v>0.92165118999999995</v>
      </c>
      <c r="G72" s="14">
        <v>87.047174819999995</v>
      </c>
      <c r="H72" s="16">
        <v>0.92165118999999995</v>
      </c>
      <c r="I72" s="14" t="s">
        <v>139</v>
      </c>
      <c r="J72" s="16" t="s">
        <v>139</v>
      </c>
      <c r="K72" s="14">
        <v>0</v>
      </c>
      <c r="L72" s="16">
        <v>0</v>
      </c>
      <c r="M72" s="14">
        <v>0</v>
      </c>
      <c r="N72" s="16">
        <v>0</v>
      </c>
      <c r="O72" s="14">
        <v>0</v>
      </c>
      <c r="P72" s="16">
        <v>0</v>
      </c>
      <c r="Q72" s="14">
        <v>0</v>
      </c>
      <c r="R72" s="16">
        <v>0</v>
      </c>
    </row>
    <row r="73" spans="1:18" x14ac:dyDescent="0.25">
      <c r="A73" s="11" t="s">
        <v>206</v>
      </c>
      <c r="B73" s="13">
        <v>8249</v>
      </c>
      <c r="C73" s="14">
        <f>(6966/B73*100)</f>
        <v>84.446599587828828</v>
      </c>
      <c r="D73" s="15">
        <v>1283</v>
      </c>
      <c r="E73" s="14">
        <v>36.658384099999999</v>
      </c>
      <c r="F73" s="16">
        <v>1.9645926499999999</v>
      </c>
      <c r="G73" s="14">
        <v>63.341615900000001</v>
      </c>
      <c r="H73" s="16">
        <v>1.9645926499999999</v>
      </c>
      <c r="I73" s="14" t="s">
        <v>139</v>
      </c>
      <c r="J73" s="16" t="s">
        <v>139</v>
      </c>
      <c r="K73" s="14">
        <v>0</v>
      </c>
      <c r="L73" s="16">
        <v>0</v>
      </c>
      <c r="M73" s="14">
        <v>0</v>
      </c>
      <c r="N73" s="16">
        <v>0</v>
      </c>
      <c r="O73" s="14">
        <v>0</v>
      </c>
      <c r="P73" s="16">
        <v>0</v>
      </c>
      <c r="Q73" s="14">
        <v>0</v>
      </c>
      <c r="R73" s="16">
        <v>0</v>
      </c>
    </row>
    <row r="74" spans="1:18" x14ac:dyDescent="0.25">
      <c r="A74" s="11" t="s">
        <v>207</v>
      </c>
      <c r="B74" s="17" t="s">
        <v>154</v>
      </c>
      <c r="C74" s="17" t="s">
        <v>154</v>
      </c>
      <c r="D74" s="18" t="s">
        <v>154</v>
      </c>
      <c r="E74" s="17" t="s">
        <v>154</v>
      </c>
      <c r="F74" s="18" t="s">
        <v>154</v>
      </c>
      <c r="G74" s="17" t="s">
        <v>154</v>
      </c>
      <c r="H74" s="18" t="s">
        <v>154</v>
      </c>
      <c r="I74" s="17" t="s">
        <v>154</v>
      </c>
      <c r="J74" s="18" t="s">
        <v>154</v>
      </c>
      <c r="K74" s="17" t="s">
        <v>154</v>
      </c>
      <c r="L74" s="18" t="s">
        <v>154</v>
      </c>
      <c r="M74" s="17" t="s">
        <v>154</v>
      </c>
      <c r="N74" s="18" t="s">
        <v>154</v>
      </c>
      <c r="O74" s="17" t="s">
        <v>154</v>
      </c>
      <c r="P74" s="18" t="s">
        <v>154</v>
      </c>
      <c r="Q74" s="17" t="s">
        <v>154</v>
      </c>
      <c r="R74" s="18" t="s">
        <v>154</v>
      </c>
    </row>
    <row r="75" spans="1:18" x14ac:dyDescent="0.25">
      <c r="A75" s="11" t="s">
        <v>208</v>
      </c>
      <c r="B75" s="13">
        <v>5375</v>
      </c>
      <c r="C75" s="14">
        <f>(4595/B75*100)</f>
        <v>85.488372093023258</v>
      </c>
      <c r="D75" s="15">
        <v>780</v>
      </c>
      <c r="E75" s="14">
        <v>55.118937150000001</v>
      </c>
      <c r="F75" s="16">
        <v>2.2438098700000002</v>
      </c>
      <c r="G75" s="14">
        <v>44.881062849999999</v>
      </c>
      <c r="H75" s="16">
        <v>2.2438098700000002</v>
      </c>
      <c r="I75" s="14" t="s">
        <v>139</v>
      </c>
      <c r="J75" s="16" t="s">
        <v>139</v>
      </c>
      <c r="K75" s="14">
        <v>0</v>
      </c>
      <c r="L75" s="16">
        <v>0</v>
      </c>
      <c r="M75" s="14">
        <v>0</v>
      </c>
      <c r="N75" s="16">
        <v>0</v>
      </c>
      <c r="O75" s="14">
        <v>0</v>
      </c>
      <c r="P75" s="16">
        <v>0</v>
      </c>
      <c r="Q75" s="14">
        <v>0</v>
      </c>
      <c r="R75" s="16">
        <v>0</v>
      </c>
    </row>
    <row r="76" spans="1:18" x14ac:dyDescent="0.25">
      <c r="A76" s="11" t="s">
        <v>209</v>
      </c>
      <c r="B76" s="13">
        <v>14167</v>
      </c>
      <c r="C76" s="14">
        <f>(11740/B76*100)</f>
        <v>82.868638384979178</v>
      </c>
      <c r="D76" s="15">
        <v>2427</v>
      </c>
      <c r="E76" s="14">
        <v>46.184084740000003</v>
      </c>
      <c r="F76" s="16">
        <v>1.24942175</v>
      </c>
      <c r="G76" s="14">
        <v>53.815915259999997</v>
      </c>
      <c r="H76" s="16">
        <v>1.24942175</v>
      </c>
      <c r="I76" s="14" t="s">
        <v>139</v>
      </c>
      <c r="J76" s="16" t="s">
        <v>139</v>
      </c>
      <c r="K76" s="14">
        <v>0</v>
      </c>
      <c r="L76" s="16">
        <v>0</v>
      </c>
      <c r="M76" s="14">
        <v>0</v>
      </c>
      <c r="N76" s="16">
        <v>0</v>
      </c>
      <c r="O76" s="14">
        <v>0</v>
      </c>
      <c r="P76" s="16">
        <v>0</v>
      </c>
      <c r="Q76" s="14">
        <v>0</v>
      </c>
      <c r="R76" s="16">
        <v>0</v>
      </c>
    </row>
    <row r="77" spans="1:18" x14ac:dyDescent="0.25">
      <c r="A77" s="11" t="s">
        <v>210</v>
      </c>
      <c r="B77" s="13">
        <v>6062</v>
      </c>
      <c r="C77" s="14">
        <f>(5082/B77*100)</f>
        <v>83.833718244803691</v>
      </c>
      <c r="D77" s="15">
        <v>980</v>
      </c>
      <c r="E77" s="14">
        <v>48.358341359999997</v>
      </c>
      <c r="F77" s="16">
        <v>1.7606371700000001</v>
      </c>
      <c r="G77" s="14">
        <v>51.641658640000003</v>
      </c>
      <c r="H77" s="16">
        <v>1.7606371700000001</v>
      </c>
      <c r="I77" s="14" t="s">
        <v>139</v>
      </c>
      <c r="J77" s="16" t="s">
        <v>139</v>
      </c>
      <c r="K77" s="14">
        <v>0</v>
      </c>
      <c r="L77" s="16">
        <v>0</v>
      </c>
      <c r="M77" s="14">
        <v>0</v>
      </c>
      <c r="N77" s="16">
        <v>0</v>
      </c>
      <c r="O77" s="14">
        <v>0</v>
      </c>
      <c r="P77" s="16">
        <v>0</v>
      </c>
      <c r="Q77" s="14">
        <v>0</v>
      </c>
      <c r="R77" s="16">
        <v>0</v>
      </c>
    </row>
    <row r="78" spans="1:18" x14ac:dyDescent="0.25">
      <c r="A78" s="11" t="s">
        <v>211</v>
      </c>
      <c r="B78" s="17" t="s">
        <v>154</v>
      </c>
      <c r="C78" s="17" t="s">
        <v>154</v>
      </c>
      <c r="D78" s="18" t="s">
        <v>154</v>
      </c>
      <c r="E78" s="17" t="s">
        <v>154</v>
      </c>
      <c r="F78" s="18" t="s">
        <v>154</v>
      </c>
      <c r="G78" s="17" t="s">
        <v>154</v>
      </c>
      <c r="H78" s="18" t="s">
        <v>154</v>
      </c>
      <c r="I78" s="17" t="s">
        <v>154</v>
      </c>
      <c r="J78" s="18" t="s">
        <v>154</v>
      </c>
      <c r="K78" s="17" t="s">
        <v>154</v>
      </c>
      <c r="L78" s="18" t="s">
        <v>154</v>
      </c>
      <c r="M78" s="17" t="s">
        <v>154</v>
      </c>
      <c r="N78" s="18" t="s">
        <v>154</v>
      </c>
      <c r="O78" s="17" t="s">
        <v>154</v>
      </c>
      <c r="P78" s="18" t="s">
        <v>154</v>
      </c>
      <c r="Q78" s="17" t="s">
        <v>154</v>
      </c>
      <c r="R78" s="18" t="s">
        <v>154</v>
      </c>
    </row>
    <row r="79" spans="1:18" ht="24.95" customHeight="1" x14ac:dyDescent="0.25">
      <c r="A79" s="11" t="s">
        <v>212</v>
      </c>
      <c r="B79" s="17" t="s">
        <v>154</v>
      </c>
      <c r="C79" s="17" t="s">
        <v>154</v>
      </c>
      <c r="D79" s="18" t="s">
        <v>154</v>
      </c>
      <c r="E79" s="17" t="s">
        <v>154</v>
      </c>
      <c r="F79" s="18" t="s">
        <v>154</v>
      </c>
      <c r="G79" s="17" t="s">
        <v>154</v>
      </c>
      <c r="H79" s="18" t="s">
        <v>154</v>
      </c>
      <c r="I79" s="17" t="s">
        <v>154</v>
      </c>
      <c r="J79" s="18" t="s">
        <v>154</v>
      </c>
      <c r="K79" s="17" t="s">
        <v>154</v>
      </c>
      <c r="L79" s="18" t="s">
        <v>154</v>
      </c>
      <c r="M79" s="17" t="s">
        <v>154</v>
      </c>
      <c r="N79" s="18" t="s">
        <v>154</v>
      </c>
      <c r="O79" s="17" t="s">
        <v>154</v>
      </c>
      <c r="P79" s="18" t="s">
        <v>154</v>
      </c>
      <c r="Q79" s="17" t="s">
        <v>154</v>
      </c>
      <c r="R79" s="18" t="s">
        <v>154</v>
      </c>
    </row>
    <row r="80" spans="1:18" x14ac:dyDescent="0.25">
      <c r="A80" s="11" t="s">
        <v>213</v>
      </c>
      <c r="B80" s="17" t="s">
        <v>154</v>
      </c>
      <c r="C80" s="17" t="s">
        <v>154</v>
      </c>
      <c r="D80" s="18" t="s">
        <v>154</v>
      </c>
      <c r="E80" s="17" t="s">
        <v>154</v>
      </c>
      <c r="F80" s="18" t="s">
        <v>154</v>
      </c>
      <c r="G80" s="17" t="s">
        <v>154</v>
      </c>
      <c r="H80" s="18" t="s">
        <v>154</v>
      </c>
      <c r="I80" s="17" t="s">
        <v>154</v>
      </c>
      <c r="J80" s="18" t="s">
        <v>154</v>
      </c>
      <c r="K80" s="17" t="s">
        <v>154</v>
      </c>
      <c r="L80" s="18" t="s">
        <v>154</v>
      </c>
      <c r="M80" s="17" t="s">
        <v>154</v>
      </c>
      <c r="N80" s="18" t="s">
        <v>154</v>
      </c>
      <c r="O80" s="17" t="s">
        <v>154</v>
      </c>
      <c r="P80" s="18" t="s">
        <v>154</v>
      </c>
      <c r="Q80" s="17" t="s">
        <v>154</v>
      </c>
      <c r="R80" s="18" t="s">
        <v>154</v>
      </c>
    </row>
    <row r="81" spans="1:18" x14ac:dyDescent="0.25">
      <c r="A81" s="19" t="s">
        <v>214</v>
      </c>
      <c r="B81" s="13">
        <v>8861</v>
      </c>
      <c r="C81" s="14">
        <f>(7385/B81*100)</f>
        <v>83.342737839972912</v>
      </c>
      <c r="D81" s="15">
        <v>1476</v>
      </c>
      <c r="E81" s="14">
        <v>34.237339839999997</v>
      </c>
      <c r="F81" s="16">
        <v>1.5682012999999999</v>
      </c>
      <c r="G81" s="14">
        <v>65.762660159999996</v>
      </c>
      <c r="H81" s="16">
        <v>1.5682012999999999</v>
      </c>
      <c r="I81" s="14" t="s">
        <v>139</v>
      </c>
      <c r="J81" s="16" t="s">
        <v>139</v>
      </c>
      <c r="K81" s="14">
        <v>0</v>
      </c>
      <c r="L81" s="16">
        <v>0</v>
      </c>
      <c r="M81" s="14">
        <v>0</v>
      </c>
      <c r="N81" s="16">
        <v>0</v>
      </c>
      <c r="O81" s="14">
        <v>0</v>
      </c>
      <c r="P81" s="16">
        <v>0</v>
      </c>
      <c r="Q81" s="14">
        <v>0</v>
      </c>
      <c r="R81" s="16">
        <v>0</v>
      </c>
    </row>
    <row r="82" spans="1:18" x14ac:dyDescent="0.25">
      <c r="A82" s="20"/>
      <c r="B82" s="20" t="s">
        <v>215</v>
      </c>
      <c r="C82" s="20" t="s">
        <v>215</v>
      </c>
      <c r="D82" s="20" t="s">
        <v>215</v>
      </c>
      <c r="E82" s="20" t="s">
        <v>215</v>
      </c>
      <c r="F82" s="20" t="s">
        <v>215</v>
      </c>
      <c r="G82" s="20" t="s">
        <v>215</v>
      </c>
      <c r="H82" s="20" t="s">
        <v>215</v>
      </c>
      <c r="I82" s="20" t="s">
        <v>215</v>
      </c>
      <c r="J82" s="20" t="s">
        <v>215</v>
      </c>
      <c r="K82" s="20" t="s">
        <v>215</v>
      </c>
      <c r="L82" s="20" t="s">
        <v>215</v>
      </c>
      <c r="M82" s="20" t="s">
        <v>215</v>
      </c>
      <c r="N82" s="20" t="s">
        <v>215</v>
      </c>
      <c r="O82" s="20" t="s">
        <v>215</v>
      </c>
      <c r="P82" s="20" t="s">
        <v>215</v>
      </c>
      <c r="Q82" s="20" t="s">
        <v>215</v>
      </c>
      <c r="R82" s="20" t="s">
        <v>215</v>
      </c>
    </row>
    <row r="83" spans="1:18" x14ac:dyDescent="0.25">
      <c r="A83" s="3" t="s">
        <v>216</v>
      </c>
    </row>
    <row r="84" spans="1:18" x14ac:dyDescent="0.25">
      <c r="A84" s="22" t="s">
        <v>217</v>
      </c>
      <c r="B84" s="23"/>
      <c r="C84" s="23"/>
      <c r="D84" s="23"/>
      <c r="E84" s="23"/>
      <c r="F84" s="23"/>
      <c r="G84" s="23"/>
      <c r="H84" s="23"/>
      <c r="I84" s="23"/>
      <c r="J84" s="23"/>
      <c r="K84" s="23"/>
      <c r="L84" s="23"/>
      <c r="M84" s="23"/>
      <c r="N84" s="23"/>
      <c r="O84" s="23"/>
      <c r="P84" s="23"/>
      <c r="Q84" s="23"/>
      <c r="R84" s="23"/>
    </row>
    <row r="85" spans="1:18" x14ac:dyDescent="0.25">
      <c r="A85" s="22" t="s">
        <v>218</v>
      </c>
      <c r="B85" s="23"/>
      <c r="C85" s="23"/>
      <c r="D85" s="23"/>
      <c r="E85" s="23"/>
      <c r="F85" s="23"/>
      <c r="G85" s="23"/>
      <c r="H85" s="23"/>
      <c r="I85" s="23"/>
      <c r="J85" s="23"/>
      <c r="K85" s="23"/>
      <c r="L85" s="23"/>
      <c r="M85" s="23"/>
      <c r="N85" s="23"/>
      <c r="O85" s="23"/>
      <c r="P85" s="23"/>
      <c r="Q85" s="23"/>
      <c r="R85" s="23"/>
    </row>
    <row r="86" spans="1:18" ht="30" customHeight="1" x14ac:dyDescent="0.25">
      <c r="A86" s="22" t="s">
        <v>219</v>
      </c>
      <c r="B86" s="23"/>
      <c r="C86" s="23"/>
      <c r="D86" s="23"/>
      <c r="E86" s="23"/>
      <c r="F86" s="23"/>
      <c r="G86" s="23"/>
      <c r="H86" s="23"/>
      <c r="I86" s="23"/>
      <c r="J86" s="23"/>
      <c r="K86" s="23"/>
      <c r="L86" s="23"/>
      <c r="M86" s="23"/>
      <c r="N86" s="23"/>
      <c r="O86" s="23"/>
      <c r="P86" s="23"/>
      <c r="Q86" s="23"/>
      <c r="R86" s="23"/>
    </row>
    <row r="87" spans="1:18" ht="30" customHeight="1" x14ac:dyDescent="0.25">
      <c r="A87" s="22" t="s">
        <v>215</v>
      </c>
      <c r="B87" s="23"/>
      <c r="C87" s="23"/>
      <c r="D87" s="23"/>
      <c r="E87" s="23"/>
      <c r="F87" s="23"/>
      <c r="G87" s="23"/>
      <c r="H87" s="23"/>
      <c r="I87" s="23"/>
      <c r="J87" s="23"/>
      <c r="K87" s="23"/>
      <c r="L87" s="23"/>
      <c r="M87" s="23"/>
      <c r="N87" s="23"/>
      <c r="O87" s="23"/>
      <c r="P87" s="23"/>
      <c r="Q87" s="23"/>
      <c r="R87" s="23"/>
    </row>
    <row r="88" spans="1:18" ht="30" customHeight="1" x14ac:dyDescent="0.25">
      <c r="A88" s="22" t="s">
        <v>220</v>
      </c>
      <c r="B88" s="23"/>
      <c r="C88" s="23"/>
      <c r="D88" s="23"/>
      <c r="E88" s="23"/>
      <c r="F88" s="23"/>
      <c r="G88" s="23"/>
      <c r="H88" s="23"/>
      <c r="I88" s="23"/>
      <c r="J88" s="23"/>
      <c r="K88" s="23"/>
      <c r="L88" s="23"/>
      <c r="M88" s="23"/>
      <c r="N88" s="23"/>
      <c r="O88" s="23"/>
      <c r="P88" s="23"/>
      <c r="Q88" s="23"/>
      <c r="R88" s="23"/>
    </row>
    <row r="89" spans="1:18" ht="30" customHeight="1" x14ac:dyDescent="0.25">
      <c r="A89" s="22" t="s">
        <v>221</v>
      </c>
      <c r="B89" s="23"/>
      <c r="C89" s="23"/>
      <c r="D89" s="23"/>
      <c r="E89" s="23"/>
      <c r="F89" s="23"/>
      <c r="G89" s="23"/>
      <c r="H89" s="23"/>
      <c r="I89" s="23"/>
      <c r="J89" s="23"/>
      <c r="K89" s="23"/>
      <c r="L89" s="23"/>
      <c r="M89" s="23"/>
      <c r="N89" s="23"/>
      <c r="O89" s="23"/>
      <c r="P89" s="23"/>
      <c r="Q89" s="23"/>
      <c r="R89" s="23"/>
    </row>
    <row r="90" spans="1:18" ht="30" customHeight="1" x14ac:dyDescent="0.25">
      <c r="A90" s="22" t="s">
        <v>222</v>
      </c>
      <c r="B90" s="23"/>
      <c r="C90" s="23"/>
      <c r="D90" s="23"/>
      <c r="E90" s="23"/>
      <c r="F90" s="23"/>
      <c r="G90" s="23"/>
      <c r="H90" s="23"/>
      <c r="I90" s="23"/>
      <c r="J90" s="23"/>
      <c r="K90" s="23"/>
      <c r="L90" s="23"/>
      <c r="M90" s="23"/>
      <c r="N90" s="23"/>
      <c r="O90" s="23"/>
      <c r="P90" s="23"/>
      <c r="Q90" s="23"/>
      <c r="R90" s="23"/>
    </row>
    <row r="91" spans="1:18" ht="30" customHeight="1" x14ac:dyDescent="0.25">
      <c r="A91" s="22" t="s">
        <v>223</v>
      </c>
      <c r="B91" s="23"/>
      <c r="C91" s="23"/>
      <c r="D91" s="23"/>
      <c r="E91" s="23"/>
      <c r="F91" s="23"/>
      <c r="G91" s="23"/>
      <c r="H91" s="23"/>
      <c r="I91" s="23"/>
      <c r="J91" s="23"/>
      <c r="K91" s="23"/>
      <c r="L91" s="23"/>
      <c r="M91" s="23"/>
      <c r="N91" s="23"/>
      <c r="O91" s="23"/>
      <c r="P91" s="23"/>
      <c r="Q91" s="23"/>
      <c r="R91" s="23"/>
    </row>
    <row r="92" spans="1:18" ht="30" customHeight="1" x14ac:dyDescent="0.25">
      <c r="A92" s="22" t="s">
        <v>224</v>
      </c>
      <c r="B92" s="23"/>
      <c r="C92" s="23"/>
      <c r="D92" s="23"/>
      <c r="E92" s="23"/>
      <c r="F92" s="23"/>
      <c r="G92" s="23"/>
      <c r="H92" s="23"/>
      <c r="I92" s="23"/>
      <c r="J92" s="23"/>
      <c r="K92" s="23"/>
      <c r="L92" s="23"/>
      <c r="M92" s="23"/>
      <c r="N92" s="23"/>
      <c r="O92" s="23"/>
      <c r="P92" s="23"/>
      <c r="Q92" s="23"/>
      <c r="R92" s="23"/>
    </row>
    <row r="93" spans="1:18" ht="30" customHeight="1" x14ac:dyDescent="0.25">
      <c r="A93" s="22" t="s">
        <v>225</v>
      </c>
      <c r="B93" s="23"/>
      <c r="C93" s="23"/>
      <c r="D93" s="23"/>
      <c r="E93" s="23"/>
      <c r="F93" s="23"/>
      <c r="G93" s="23"/>
      <c r="H93" s="23"/>
      <c r="I93" s="23"/>
      <c r="J93" s="23"/>
      <c r="K93" s="23"/>
      <c r="L93" s="23"/>
      <c r="M93" s="23"/>
      <c r="N93" s="23"/>
      <c r="O93" s="23"/>
      <c r="P93" s="23"/>
      <c r="Q93" s="23"/>
      <c r="R93" s="23"/>
    </row>
    <row r="94" spans="1:18" ht="30" customHeight="1" x14ac:dyDescent="0.25">
      <c r="A94" s="22" t="s">
        <v>226</v>
      </c>
      <c r="B94" s="23"/>
      <c r="C94" s="23"/>
      <c r="D94" s="23"/>
      <c r="E94" s="23"/>
      <c r="F94" s="23"/>
      <c r="G94" s="23"/>
      <c r="H94" s="23"/>
      <c r="I94" s="23"/>
      <c r="J94" s="23"/>
      <c r="K94" s="23"/>
      <c r="L94" s="23"/>
      <c r="M94" s="23"/>
      <c r="N94" s="23"/>
      <c r="O94" s="23"/>
      <c r="P94" s="23"/>
      <c r="Q94" s="23"/>
      <c r="R94" s="23"/>
    </row>
    <row r="95" spans="1:18" ht="30" customHeight="1" x14ac:dyDescent="0.25">
      <c r="A95" s="22" t="s">
        <v>227</v>
      </c>
      <c r="B95" s="23"/>
      <c r="C95" s="23"/>
      <c r="D95" s="23"/>
      <c r="E95" s="23"/>
      <c r="F95" s="23"/>
      <c r="G95" s="23"/>
      <c r="H95" s="23"/>
      <c r="I95" s="23"/>
      <c r="J95" s="23"/>
      <c r="K95" s="23"/>
      <c r="L95" s="23"/>
      <c r="M95" s="23"/>
      <c r="N95" s="23"/>
      <c r="O95" s="23"/>
      <c r="P95" s="23"/>
      <c r="Q95" s="23"/>
      <c r="R95" s="23"/>
    </row>
    <row r="96" spans="1:18" ht="30" customHeight="1" x14ac:dyDescent="0.25">
      <c r="A96" s="22" t="s">
        <v>228</v>
      </c>
      <c r="B96" s="23"/>
      <c r="C96" s="23"/>
      <c r="D96" s="23"/>
      <c r="E96" s="23"/>
      <c r="F96" s="23"/>
      <c r="G96" s="23"/>
      <c r="H96" s="23"/>
      <c r="I96" s="23"/>
      <c r="J96" s="23"/>
      <c r="K96" s="23"/>
      <c r="L96" s="23"/>
      <c r="M96" s="23"/>
      <c r="N96" s="23"/>
      <c r="O96" s="23"/>
      <c r="P96" s="23"/>
      <c r="Q96" s="23"/>
      <c r="R96" s="23"/>
    </row>
  </sheetData>
  <mergeCells count="22">
    <mergeCell ref="O4:P4"/>
    <mergeCell ref="Q4:R4"/>
    <mergeCell ref="A1:R1"/>
    <mergeCell ref="A2:R2"/>
    <mergeCell ref="A84:R84"/>
    <mergeCell ref="E4:F4"/>
    <mergeCell ref="G4:H4"/>
    <mergeCell ref="I4:J4"/>
    <mergeCell ref="K4:L4"/>
    <mergeCell ref="M4:N4"/>
    <mergeCell ref="A85:R85"/>
    <mergeCell ref="A86:R86"/>
    <mergeCell ref="A87:R87"/>
    <mergeCell ref="A88:R88"/>
    <mergeCell ref="A89:R89"/>
    <mergeCell ref="A95:R95"/>
    <mergeCell ref="A96:R96"/>
    <mergeCell ref="A90:R90"/>
    <mergeCell ref="A91:R91"/>
    <mergeCell ref="A92:R92"/>
    <mergeCell ref="A93:R93"/>
    <mergeCell ref="A94:R94"/>
  </mergeCells>
  <pageMargins left="0.75" right="0.75" top="1" bottom="1" header="0.5" footer="0.5"/>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7"/>
  <dimension ref="A1:R96"/>
  <sheetViews>
    <sheetView zoomScale="80" workbookViewId="0">
      <pane xSplit="4" topLeftCell="E1" activePane="topRight" state="frozen"/>
      <selection sqref="A1:R1"/>
      <selection pane="topRight" sqref="A1:R1"/>
    </sheetView>
  </sheetViews>
  <sheetFormatPr defaultColWidth="11.42578125" defaultRowHeight="15" x14ac:dyDescent="0.25"/>
  <cols>
    <col min="1" max="1" width="50" customWidth="1"/>
  </cols>
  <sheetData>
    <row r="1" spans="1:18" x14ac:dyDescent="0.25">
      <c r="A1" s="26" t="s">
        <v>122</v>
      </c>
      <c r="B1" s="23"/>
      <c r="C1" s="23"/>
      <c r="D1" s="23"/>
      <c r="E1" s="23"/>
      <c r="F1" s="23"/>
      <c r="G1" s="23"/>
      <c r="H1" s="23"/>
      <c r="I1" s="23"/>
      <c r="J1" s="23"/>
      <c r="K1" s="23"/>
      <c r="L1" s="23"/>
      <c r="M1" s="23"/>
      <c r="N1" s="23"/>
      <c r="O1" s="23"/>
      <c r="P1" s="23"/>
      <c r="Q1" s="23"/>
      <c r="R1" s="23"/>
    </row>
    <row r="2" spans="1:18" x14ac:dyDescent="0.25">
      <c r="A2" s="27" t="s">
        <v>303</v>
      </c>
      <c r="B2" s="23"/>
      <c r="C2" s="23"/>
      <c r="D2" s="23"/>
      <c r="E2" s="23"/>
      <c r="F2" s="23"/>
      <c r="G2" s="23"/>
      <c r="H2" s="23"/>
      <c r="I2" s="23"/>
      <c r="J2" s="23"/>
      <c r="K2" s="23"/>
      <c r="L2" s="23"/>
      <c r="M2" s="23"/>
      <c r="N2" s="23"/>
      <c r="O2" s="23"/>
      <c r="P2" s="23"/>
      <c r="Q2" s="23"/>
      <c r="R2" s="23"/>
    </row>
    <row r="4" spans="1:18" ht="30" customHeight="1" x14ac:dyDescent="0.25">
      <c r="A4" s="4"/>
      <c r="B4" s="5" t="s">
        <v>123</v>
      </c>
      <c r="C4" s="5" t="s">
        <v>124</v>
      </c>
      <c r="D4" s="6" t="s">
        <v>123</v>
      </c>
      <c r="E4" s="24" t="s">
        <v>125</v>
      </c>
      <c r="F4" s="25"/>
      <c r="G4" s="24" t="s">
        <v>126</v>
      </c>
      <c r="H4" s="25"/>
      <c r="I4" s="24" t="s">
        <v>127</v>
      </c>
      <c r="J4" s="25"/>
      <c r="K4" s="24" t="s">
        <v>128</v>
      </c>
      <c r="L4" s="25"/>
      <c r="M4" s="24" t="s">
        <v>129</v>
      </c>
      <c r="N4" s="25"/>
      <c r="O4" s="24" t="s">
        <v>130</v>
      </c>
      <c r="P4" s="25"/>
      <c r="Q4" s="24" t="s">
        <v>131</v>
      </c>
      <c r="R4" s="25"/>
    </row>
    <row r="5" spans="1:18" x14ac:dyDescent="0.25">
      <c r="A5" s="7"/>
      <c r="B5" s="8" t="s">
        <v>132</v>
      </c>
      <c r="C5" s="8" t="s">
        <v>133</v>
      </c>
      <c r="D5" s="7" t="s">
        <v>134</v>
      </c>
      <c r="E5" s="8" t="s">
        <v>135</v>
      </c>
      <c r="F5" s="7" t="s">
        <v>136</v>
      </c>
      <c r="G5" s="8" t="s">
        <v>135</v>
      </c>
      <c r="H5" s="7" t="s">
        <v>136</v>
      </c>
      <c r="I5" s="8" t="s">
        <v>135</v>
      </c>
      <c r="J5" s="7" t="s">
        <v>136</v>
      </c>
      <c r="K5" s="8" t="s">
        <v>135</v>
      </c>
      <c r="L5" s="7" t="s">
        <v>136</v>
      </c>
      <c r="M5" s="8" t="s">
        <v>135</v>
      </c>
      <c r="N5" s="7" t="s">
        <v>136</v>
      </c>
      <c r="O5" s="8" t="s">
        <v>135</v>
      </c>
      <c r="P5" s="7" t="s">
        <v>136</v>
      </c>
      <c r="Q5" s="8" t="s">
        <v>135</v>
      </c>
      <c r="R5" s="7" t="s">
        <v>136</v>
      </c>
    </row>
    <row r="6" spans="1:18" x14ac:dyDescent="0.25">
      <c r="A6" s="9" t="s">
        <v>137</v>
      </c>
      <c r="B6" s="10"/>
      <c r="C6" s="10"/>
      <c r="D6" s="11"/>
      <c r="E6" s="10"/>
      <c r="F6" s="11"/>
      <c r="G6" s="10"/>
      <c r="H6" s="11"/>
      <c r="I6" s="10"/>
      <c r="J6" s="11"/>
      <c r="K6" s="10"/>
      <c r="L6" s="11"/>
      <c r="M6" s="10"/>
      <c r="N6" s="11"/>
      <c r="O6" s="10"/>
      <c r="P6" s="11"/>
      <c r="Q6" s="10"/>
      <c r="R6" s="12"/>
    </row>
    <row r="7" spans="1:18" x14ac:dyDescent="0.25">
      <c r="A7" s="11" t="s">
        <v>138</v>
      </c>
      <c r="B7" s="13">
        <v>14530</v>
      </c>
      <c r="C7" s="14">
        <f>(12188/B7*100)</f>
        <v>83.881624225739841</v>
      </c>
      <c r="D7" s="15">
        <v>2342</v>
      </c>
      <c r="E7" s="14">
        <v>34.620130580000001</v>
      </c>
      <c r="F7" s="16">
        <v>1.0926345099999999</v>
      </c>
      <c r="G7" s="14">
        <v>65.379869420000006</v>
      </c>
      <c r="H7" s="16">
        <v>1.0926345099999999</v>
      </c>
      <c r="I7" s="14" t="s">
        <v>139</v>
      </c>
      <c r="J7" s="16" t="s">
        <v>139</v>
      </c>
      <c r="K7" s="14">
        <v>0</v>
      </c>
      <c r="L7" s="16">
        <v>0</v>
      </c>
      <c r="M7" s="14">
        <v>0</v>
      </c>
      <c r="N7" s="16">
        <v>0</v>
      </c>
      <c r="O7" s="14">
        <v>0</v>
      </c>
      <c r="P7" s="16">
        <v>0</v>
      </c>
      <c r="Q7" s="14">
        <v>0</v>
      </c>
      <c r="R7" s="16">
        <v>0</v>
      </c>
    </row>
    <row r="8" spans="1:18" x14ac:dyDescent="0.25">
      <c r="A8" s="11" t="s">
        <v>140</v>
      </c>
      <c r="B8" s="13">
        <v>7007</v>
      </c>
      <c r="C8" s="14">
        <f>(5837/B8*100)</f>
        <v>83.302411873840441</v>
      </c>
      <c r="D8" s="15">
        <v>1170</v>
      </c>
      <c r="E8" s="14">
        <v>32.518080550000001</v>
      </c>
      <c r="F8" s="16">
        <v>1.4888568</v>
      </c>
      <c r="G8" s="14">
        <v>67.481919450000007</v>
      </c>
      <c r="H8" s="16">
        <v>1.4888568</v>
      </c>
      <c r="I8" s="14" t="s">
        <v>139</v>
      </c>
      <c r="J8" s="16" t="s">
        <v>139</v>
      </c>
      <c r="K8" s="14">
        <v>0</v>
      </c>
      <c r="L8" s="16">
        <v>0</v>
      </c>
      <c r="M8" s="14">
        <v>0</v>
      </c>
      <c r="N8" s="16">
        <v>0</v>
      </c>
      <c r="O8" s="14">
        <v>0</v>
      </c>
      <c r="P8" s="16">
        <v>0</v>
      </c>
      <c r="Q8" s="14">
        <v>0</v>
      </c>
      <c r="R8" s="16">
        <v>0</v>
      </c>
    </row>
    <row r="9" spans="1:18" x14ac:dyDescent="0.25">
      <c r="A9" s="11" t="s">
        <v>141</v>
      </c>
      <c r="B9" s="13">
        <v>9651</v>
      </c>
      <c r="C9" s="14">
        <f>(8124/B9*100)</f>
        <v>84.17780540876592</v>
      </c>
      <c r="D9" s="15">
        <v>1527</v>
      </c>
      <c r="E9" s="14">
        <v>31.96730578</v>
      </c>
      <c r="F9" s="16">
        <v>1.1416889699999999</v>
      </c>
      <c r="G9" s="14">
        <v>68.032694219999996</v>
      </c>
      <c r="H9" s="16">
        <v>1.1416889699999999</v>
      </c>
      <c r="I9" s="14" t="s">
        <v>139</v>
      </c>
      <c r="J9" s="16" t="s">
        <v>139</v>
      </c>
      <c r="K9" s="14">
        <v>0</v>
      </c>
      <c r="L9" s="16">
        <v>0</v>
      </c>
      <c r="M9" s="14">
        <v>0</v>
      </c>
      <c r="N9" s="16">
        <v>0</v>
      </c>
      <c r="O9" s="14">
        <v>0</v>
      </c>
      <c r="P9" s="16">
        <v>0</v>
      </c>
      <c r="Q9" s="14">
        <v>0</v>
      </c>
      <c r="R9" s="16">
        <v>0</v>
      </c>
    </row>
    <row r="10" spans="1:18" x14ac:dyDescent="0.25">
      <c r="A10" s="11" t="s">
        <v>142</v>
      </c>
      <c r="B10" s="13">
        <v>20058</v>
      </c>
      <c r="C10" s="14">
        <f>(16690/B10*100)</f>
        <v>83.208694785123143</v>
      </c>
      <c r="D10" s="15">
        <v>3368</v>
      </c>
      <c r="E10" s="14">
        <v>33.535956679999998</v>
      </c>
      <c r="F10" s="16">
        <v>1.1048836900000001</v>
      </c>
      <c r="G10" s="14">
        <v>66.464043320000002</v>
      </c>
      <c r="H10" s="16">
        <v>1.1048836900000001</v>
      </c>
      <c r="I10" s="14" t="s">
        <v>139</v>
      </c>
      <c r="J10" s="16" t="s">
        <v>139</v>
      </c>
      <c r="K10" s="14">
        <v>0</v>
      </c>
      <c r="L10" s="16">
        <v>0</v>
      </c>
      <c r="M10" s="14">
        <v>0</v>
      </c>
      <c r="N10" s="16">
        <v>0</v>
      </c>
      <c r="O10" s="14">
        <v>0</v>
      </c>
      <c r="P10" s="16">
        <v>0</v>
      </c>
      <c r="Q10" s="14">
        <v>0</v>
      </c>
      <c r="R10" s="16">
        <v>0</v>
      </c>
    </row>
    <row r="11" spans="1:18" x14ac:dyDescent="0.25">
      <c r="A11" s="11" t="s">
        <v>143</v>
      </c>
      <c r="B11" s="13">
        <v>7053</v>
      </c>
      <c r="C11" s="14">
        <f>(5899/B11*100)</f>
        <v>83.638168155394865</v>
      </c>
      <c r="D11" s="15">
        <v>1154</v>
      </c>
      <c r="E11" s="14">
        <v>43.328797299999998</v>
      </c>
      <c r="F11" s="16">
        <v>1.77426727</v>
      </c>
      <c r="G11" s="14">
        <v>56.671202700000002</v>
      </c>
      <c r="H11" s="16">
        <v>1.77426727</v>
      </c>
      <c r="I11" s="14" t="s">
        <v>139</v>
      </c>
      <c r="J11" s="16" t="s">
        <v>139</v>
      </c>
      <c r="K11" s="14">
        <v>0</v>
      </c>
      <c r="L11" s="16">
        <v>0</v>
      </c>
      <c r="M11" s="14">
        <v>0</v>
      </c>
      <c r="N11" s="16">
        <v>0</v>
      </c>
      <c r="O11" s="14">
        <v>0</v>
      </c>
      <c r="P11" s="16">
        <v>0</v>
      </c>
      <c r="Q11" s="14">
        <v>0</v>
      </c>
      <c r="R11" s="16">
        <v>0</v>
      </c>
    </row>
    <row r="12" spans="1:18" x14ac:dyDescent="0.25">
      <c r="A12" s="11" t="s">
        <v>144</v>
      </c>
      <c r="B12" s="13">
        <v>6894</v>
      </c>
      <c r="C12" s="14">
        <f>(5764/B12*100)</f>
        <v>83.608935306063245</v>
      </c>
      <c r="D12" s="15">
        <v>1130</v>
      </c>
      <c r="E12" s="14">
        <v>36.629394589999997</v>
      </c>
      <c r="F12" s="16">
        <v>1.60035196</v>
      </c>
      <c r="G12" s="14">
        <v>63.370605410000003</v>
      </c>
      <c r="H12" s="16">
        <v>1.60035196</v>
      </c>
      <c r="I12" s="14" t="s">
        <v>139</v>
      </c>
      <c r="J12" s="16" t="s">
        <v>139</v>
      </c>
      <c r="K12" s="14">
        <v>0</v>
      </c>
      <c r="L12" s="16">
        <v>0</v>
      </c>
      <c r="M12" s="14">
        <v>0</v>
      </c>
      <c r="N12" s="16">
        <v>0</v>
      </c>
      <c r="O12" s="14">
        <v>0</v>
      </c>
      <c r="P12" s="16">
        <v>0</v>
      </c>
      <c r="Q12" s="14">
        <v>0</v>
      </c>
      <c r="R12" s="16">
        <v>0</v>
      </c>
    </row>
    <row r="13" spans="1:18" x14ac:dyDescent="0.25">
      <c r="A13" s="11" t="s">
        <v>145</v>
      </c>
      <c r="B13" s="13">
        <v>7161</v>
      </c>
      <c r="C13" s="14">
        <f>(6052/B13*100)</f>
        <v>84.513336126239352</v>
      </c>
      <c r="D13" s="15">
        <v>1109</v>
      </c>
      <c r="E13" s="14">
        <v>38.487594860000002</v>
      </c>
      <c r="F13" s="16">
        <v>1.72288698</v>
      </c>
      <c r="G13" s="14">
        <v>61.512405139999998</v>
      </c>
      <c r="H13" s="16">
        <v>1.72288698</v>
      </c>
      <c r="I13" s="14" t="s">
        <v>139</v>
      </c>
      <c r="J13" s="16" t="s">
        <v>139</v>
      </c>
      <c r="K13" s="14">
        <v>0</v>
      </c>
      <c r="L13" s="16">
        <v>0</v>
      </c>
      <c r="M13" s="14">
        <v>0</v>
      </c>
      <c r="N13" s="16">
        <v>0</v>
      </c>
      <c r="O13" s="14">
        <v>0</v>
      </c>
      <c r="P13" s="16">
        <v>0</v>
      </c>
      <c r="Q13" s="14">
        <v>0</v>
      </c>
      <c r="R13" s="16">
        <v>0</v>
      </c>
    </row>
    <row r="14" spans="1:18" x14ac:dyDescent="0.25">
      <c r="A14" s="11" t="s">
        <v>146</v>
      </c>
      <c r="B14" s="13">
        <v>5587</v>
      </c>
      <c r="C14" s="14">
        <f>(4649/B14*100)</f>
        <v>83.211025595131559</v>
      </c>
      <c r="D14" s="15">
        <v>938</v>
      </c>
      <c r="E14" s="14">
        <v>29.03666569</v>
      </c>
      <c r="F14" s="16">
        <v>1.60170192</v>
      </c>
      <c r="G14" s="14">
        <v>70.963334309999993</v>
      </c>
      <c r="H14" s="16">
        <v>1.60170192</v>
      </c>
      <c r="I14" s="14" t="s">
        <v>139</v>
      </c>
      <c r="J14" s="16" t="s">
        <v>139</v>
      </c>
      <c r="K14" s="14">
        <v>0</v>
      </c>
      <c r="L14" s="16">
        <v>0</v>
      </c>
      <c r="M14" s="14">
        <v>0</v>
      </c>
      <c r="N14" s="16">
        <v>0</v>
      </c>
      <c r="O14" s="14">
        <v>0</v>
      </c>
      <c r="P14" s="16">
        <v>0</v>
      </c>
      <c r="Q14" s="14">
        <v>0</v>
      </c>
      <c r="R14" s="16">
        <v>0</v>
      </c>
    </row>
    <row r="15" spans="1:18" x14ac:dyDescent="0.25">
      <c r="A15" s="11" t="s">
        <v>147</v>
      </c>
      <c r="B15" s="13">
        <v>5882</v>
      </c>
      <c r="C15" s="14">
        <f>(4896/B15*100)</f>
        <v>83.236994219653184</v>
      </c>
      <c r="D15" s="15">
        <v>986</v>
      </c>
      <c r="E15" s="14">
        <v>34.969214639999997</v>
      </c>
      <c r="F15" s="16">
        <v>1.5298138999999999</v>
      </c>
      <c r="G15" s="14">
        <v>65.030785359999996</v>
      </c>
      <c r="H15" s="16">
        <v>1.5298138999999999</v>
      </c>
      <c r="I15" s="14" t="s">
        <v>139</v>
      </c>
      <c r="J15" s="16" t="s">
        <v>139</v>
      </c>
      <c r="K15" s="14">
        <v>0</v>
      </c>
      <c r="L15" s="16">
        <v>0</v>
      </c>
      <c r="M15" s="14">
        <v>0</v>
      </c>
      <c r="N15" s="16">
        <v>0</v>
      </c>
      <c r="O15" s="14">
        <v>0</v>
      </c>
      <c r="P15" s="16">
        <v>0</v>
      </c>
      <c r="Q15" s="14">
        <v>0</v>
      </c>
      <c r="R15" s="16">
        <v>0</v>
      </c>
    </row>
    <row r="16" spans="1:18" x14ac:dyDescent="0.25">
      <c r="A16" s="11" t="s">
        <v>148</v>
      </c>
      <c r="B16" s="13">
        <v>6108</v>
      </c>
      <c r="C16" s="14">
        <f>(5078/B16*100)</f>
        <v>83.136869679109367</v>
      </c>
      <c r="D16" s="15">
        <v>1030</v>
      </c>
      <c r="E16" s="14">
        <v>34.034002450000003</v>
      </c>
      <c r="F16" s="16">
        <v>1.6604040799999999</v>
      </c>
      <c r="G16" s="14">
        <v>65.965997549999997</v>
      </c>
      <c r="H16" s="16">
        <v>1.6604040799999999</v>
      </c>
      <c r="I16" s="14" t="s">
        <v>139</v>
      </c>
      <c r="J16" s="16" t="s">
        <v>139</v>
      </c>
      <c r="K16" s="14">
        <v>0</v>
      </c>
      <c r="L16" s="16">
        <v>0</v>
      </c>
      <c r="M16" s="14">
        <v>0</v>
      </c>
      <c r="N16" s="16">
        <v>0</v>
      </c>
      <c r="O16" s="14">
        <v>0</v>
      </c>
      <c r="P16" s="16">
        <v>0</v>
      </c>
      <c r="Q16" s="14">
        <v>0</v>
      </c>
      <c r="R16" s="16">
        <v>0</v>
      </c>
    </row>
    <row r="17" spans="1:18" x14ac:dyDescent="0.25">
      <c r="A17" s="11" t="s">
        <v>149</v>
      </c>
      <c r="B17" s="13">
        <v>6504</v>
      </c>
      <c r="C17" s="14">
        <f>(5432/B17*100)</f>
        <v>83.517835178351788</v>
      </c>
      <c r="D17" s="15">
        <v>1072</v>
      </c>
      <c r="E17" s="14">
        <v>27.554558230000001</v>
      </c>
      <c r="F17" s="16">
        <v>1.6062489499999999</v>
      </c>
      <c r="G17" s="14">
        <v>72.445441770000002</v>
      </c>
      <c r="H17" s="16">
        <v>1.6062489499999999</v>
      </c>
      <c r="I17" s="14" t="s">
        <v>139</v>
      </c>
      <c r="J17" s="16" t="s">
        <v>139</v>
      </c>
      <c r="K17" s="14">
        <v>0</v>
      </c>
      <c r="L17" s="16">
        <v>0</v>
      </c>
      <c r="M17" s="14">
        <v>0</v>
      </c>
      <c r="N17" s="16">
        <v>0</v>
      </c>
      <c r="O17" s="14">
        <v>0</v>
      </c>
      <c r="P17" s="16">
        <v>0</v>
      </c>
      <c r="Q17" s="14">
        <v>0</v>
      </c>
      <c r="R17" s="16">
        <v>0</v>
      </c>
    </row>
    <row r="18" spans="1:18" x14ac:dyDescent="0.25">
      <c r="A18" s="11" t="s">
        <v>150</v>
      </c>
      <c r="B18" s="13">
        <v>5532</v>
      </c>
      <c r="C18" s="14">
        <f>(4633/B18*100)</f>
        <v>83.749096167751276</v>
      </c>
      <c r="D18" s="15">
        <v>899</v>
      </c>
      <c r="E18" s="14">
        <v>40.38150263</v>
      </c>
      <c r="F18" s="16">
        <v>1.5668714800000001</v>
      </c>
      <c r="G18" s="14">
        <v>59.61849737</v>
      </c>
      <c r="H18" s="16">
        <v>1.5668714800000001</v>
      </c>
      <c r="I18" s="14" t="s">
        <v>139</v>
      </c>
      <c r="J18" s="16" t="s">
        <v>139</v>
      </c>
      <c r="K18" s="14">
        <v>0</v>
      </c>
      <c r="L18" s="16">
        <v>0</v>
      </c>
      <c r="M18" s="14">
        <v>0</v>
      </c>
      <c r="N18" s="16">
        <v>0</v>
      </c>
      <c r="O18" s="14">
        <v>0</v>
      </c>
      <c r="P18" s="16">
        <v>0</v>
      </c>
      <c r="Q18" s="14">
        <v>0</v>
      </c>
      <c r="R18" s="16">
        <v>0</v>
      </c>
    </row>
    <row r="19" spans="1:18" x14ac:dyDescent="0.25">
      <c r="A19" s="11" t="s">
        <v>151</v>
      </c>
      <c r="B19" s="13">
        <v>5658</v>
      </c>
      <c r="C19" s="14">
        <f>(4733/B19*100)</f>
        <v>83.6514669494521</v>
      </c>
      <c r="D19" s="15">
        <v>925</v>
      </c>
      <c r="E19" s="14">
        <v>44.046512110000002</v>
      </c>
      <c r="F19" s="16">
        <v>1.7042737299999999</v>
      </c>
      <c r="G19" s="14">
        <v>55.953487889999998</v>
      </c>
      <c r="H19" s="16">
        <v>1.7042737299999999</v>
      </c>
      <c r="I19" s="14" t="s">
        <v>139</v>
      </c>
      <c r="J19" s="16" t="s">
        <v>139</v>
      </c>
      <c r="K19" s="14">
        <v>0</v>
      </c>
      <c r="L19" s="16">
        <v>0</v>
      </c>
      <c r="M19" s="14">
        <v>0</v>
      </c>
      <c r="N19" s="16">
        <v>0</v>
      </c>
      <c r="O19" s="14">
        <v>0</v>
      </c>
      <c r="P19" s="16">
        <v>0</v>
      </c>
      <c r="Q19" s="14">
        <v>0</v>
      </c>
      <c r="R19" s="16">
        <v>0</v>
      </c>
    </row>
    <row r="20" spans="1:18" x14ac:dyDescent="0.25">
      <c r="A20" s="11" t="s">
        <v>152</v>
      </c>
      <c r="B20" s="13">
        <v>3371</v>
      </c>
      <c r="C20" s="14">
        <f>(2823/B20*100)</f>
        <v>83.743696232571935</v>
      </c>
      <c r="D20" s="15">
        <v>548</v>
      </c>
      <c r="E20" s="14">
        <v>33.999921649999997</v>
      </c>
      <c r="F20" s="16">
        <v>1.81294818</v>
      </c>
      <c r="G20" s="14">
        <v>66.000078349999995</v>
      </c>
      <c r="H20" s="16">
        <v>1.81294818</v>
      </c>
      <c r="I20" s="14" t="s">
        <v>139</v>
      </c>
      <c r="J20" s="16" t="s">
        <v>139</v>
      </c>
      <c r="K20" s="14">
        <v>0</v>
      </c>
      <c r="L20" s="16">
        <v>0</v>
      </c>
      <c r="M20" s="14">
        <v>0</v>
      </c>
      <c r="N20" s="16">
        <v>0</v>
      </c>
      <c r="O20" s="14">
        <v>0</v>
      </c>
      <c r="P20" s="16">
        <v>0</v>
      </c>
      <c r="Q20" s="14">
        <v>0</v>
      </c>
      <c r="R20" s="16">
        <v>0</v>
      </c>
    </row>
    <row r="21" spans="1:18" x14ac:dyDescent="0.25">
      <c r="A21" s="11" t="s">
        <v>153</v>
      </c>
      <c r="B21" s="17" t="s">
        <v>154</v>
      </c>
      <c r="C21" s="17" t="s">
        <v>154</v>
      </c>
      <c r="D21" s="18" t="s">
        <v>154</v>
      </c>
      <c r="E21" s="17" t="s">
        <v>154</v>
      </c>
      <c r="F21" s="18" t="s">
        <v>154</v>
      </c>
      <c r="G21" s="17" t="s">
        <v>154</v>
      </c>
      <c r="H21" s="18" t="s">
        <v>154</v>
      </c>
      <c r="I21" s="17" t="s">
        <v>154</v>
      </c>
      <c r="J21" s="18" t="s">
        <v>154</v>
      </c>
      <c r="K21" s="17" t="s">
        <v>154</v>
      </c>
      <c r="L21" s="18" t="s">
        <v>154</v>
      </c>
      <c r="M21" s="17" t="s">
        <v>154</v>
      </c>
      <c r="N21" s="18" t="s">
        <v>154</v>
      </c>
      <c r="O21" s="17" t="s">
        <v>154</v>
      </c>
      <c r="P21" s="18" t="s">
        <v>154</v>
      </c>
      <c r="Q21" s="17" t="s">
        <v>154</v>
      </c>
      <c r="R21" s="18" t="s">
        <v>154</v>
      </c>
    </row>
    <row r="22" spans="1:18" x14ac:dyDescent="0.25">
      <c r="A22" s="11" t="s">
        <v>155</v>
      </c>
      <c r="B22" s="13">
        <v>6598</v>
      </c>
      <c r="C22" s="14">
        <f>(5586/B22*100)</f>
        <v>84.662018793573807</v>
      </c>
      <c r="D22" s="15">
        <v>1012</v>
      </c>
      <c r="E22" s="14">
        <v>41.409763839999997</v>
      </c>
      <c r="F22" s="16">
        <v>1.54363406</v>
      </c>
      <c r="G22" s="14">
        <v>58.590236160000003</v>
      </c>
      <c r="H22" s="16">
        <v>1.54363406</v>
      </c>
      <c r="I22" s="14" t="s">
        <v>139</v>
      </c>
      <c r="J22" s="16" t="s">
        <v>139</v>
      </c>
      <c r="K22" s="14">
        <v>0</v>
      </c>
      <c r="L22" s="16">
        <v>0</v>
      </c>
      <c r="M22" s="14">
        <v>0</v>
      </c>
      <c r="N22" s="16">
        <v>0</v>
      </c>
      <c r="O22" s="14">
        <v>0</v>
      </c>
      <c r="P22" s="16">
        <v>0</v>
      </c>
      <c r="Q22" s="14">
        <v>0</v>
      </c>
      <c r="R22" s="16">
        <v>0</v>
      </c>
    </row>
    <row r="23" spans="1:18" x14ac:dyDescent="0.25">
      <c r="A23" s="11" t="s">
        <v>156</v>
      </c>
      <c r="B23" s="13">
        <v>11583</v>
      </c>
      <c r="C23" s="14">
        <f>(9653/B23*100)</f>
        <v>83.337650004316671</v>
      </c>
      <c r="D23" s="15">
        <v>1930</v>
      </c>
      <c r="E23" s="14">
        <v>41.337059429999996</v>
      </c>
      <c r="F23" s="16">
        <v>1.67431599</v>
      </c>
      <c r="G23" s="14">
        <v>58.662940570000004</v>
      </c>
      <c r="H23" s="16">
        <v>1.67431599</v>
      </c>
      <c r="I23" s="14" t="s">
        <v>139</v>
      </c>
      <c r="J23" s="16" t="s">
        <v>139</v>
      </c>
      <c r="K23" s="14">
        <v>0</v>
      </c>
      <c r="L23" s="16">
        <v>0</v>
      </c>
      <c r="M23" s="14">
        <v>0</v>
      </c>
      <c r="N23" s="16">
        <v>0</v>
      </c>
      <c r="O23" s="14">
        <v>0</v>
      </c>
      <c r="P23" s="16">
        <v>0</v>
      </c>
      <c r="Q23" s="14">
        <v>0</v>
      </c>
      <c r="R23" s="16">
        <v>0</v>
      </c>
    </row>
    <row r="24" spans="1:18" x14ac:dyDescent="0.25">
      <c r="A24" s="11" t="s">
        <v>157</v>
      </c>
      <c r="B24" s="13">
        <v>6647</v>
      </c>
      <c r="C24" s="14">
        <f>(5482/B24*100)</f>
        <v>82.473296223860387</v>
      </c>
      <c r="D24" s="15">
        <v>1165</v>
      </c>
      <c r="E24" s="14">
        <v>19.356762799999998</v>
      </c>
      <c r="F24" s="16">
        <v>1.2040988100000001</v>
      </c>
      <c r="G24" s="14">
        <v>80.643237200000002</v>
      </c>
      <c r="H24" s="16">
        <v>1.2040988100000001</v>
      </c>
      <c r="I24" s="14" t="s">
        <v>139</v>
      </c>
      <c r="J24" s="16" t="s">
        <v>139</v>
      </c>
      <c r="K24" s="14">
        <v>0</v>
      </c>
      <c r="L24" s="16">
        <v>0</v>
      </c>
      <c r="M24" s="14">
        <v>0</v>
      </c>
      <c r="N24" s="16">
        <v>0</v>
      </c>
      <c r="O24" s="14">
        <v>0</v>
      </c>
      <c r="P24" s="16">
        <v>0</v>
      </c>
      <c r="Q24" s="14">
        <v>0</v>
      </c>
      <c r="R24" s="16">
        <v>0</v>
      </c>
    </row>
    <row r="25" spans="1:18" x14ac:dyDescent="0.25">
      <c r="A25" s="11" t="s">
        <v>158</v>
      </c>
      <c r="B25" s="13">
        <v>5581</v>
      </c>
      <c r="C25" s="14">
        <f>(4597/B25*100)</f>
        <v>82.368751119870993</v>
      </c>
      <c r="D25" s="15">
        <v>984</v>
      </c>
      <c r="E25" s="14">
        <v>30.990361159999999</v>
      </c>
      <c r="F25" s="16">
        <v>1.34050202</v>
      </c>
      <c r="G25" s="14">
        <v>69.009638839999994</v>
      </c>
      <c r="H25" s="16">
        <v>1.34050202</v>
      </c>
      <c r="I25" s="14" t="s">
        <v>139</v>
      </c>
      <c r="J25" s="16" t="s">
        <v>139</v>
      </c>
      <c r="K25" s="14">
        <v>0</v>
      </c>
      <c r="L25" s="16">
        <v>0</v>
      </c>
      <c r="M25" s="14">
        <v>0</v>
      </c>
      <c r="N25" s="16">
        <v>0</v>
      </c>
      <c r="O25" s="14">
        <v>0</v>
      </c>
      <c r="P25" s="16">
        <v>0</v>
      </c>
      <c r="Q25" s="14">
        <v>0</v>
      </c>
      <c r="R25" s="16">
        <v>0</v>
      </c>
    </row>
    <row r="26" spans="1:18" x14ac:dyDescent="0.25">
      <c r="A26" s="11" t="s">
        <v>159</v>
      </c>
      <c r="B26" s="13">
        <v>4869</v>
      </c>
      <c r="C26" s="14">
        <f>(4044/B26*100)</f>
        <v>83.056069008009857</v>
      </c>
      <c r="D26" s="15">
        <v>825</v>
      </c>
      <c r="E26" s="14">
        <v>34.197114689999999</v>
      </c>
      <c r="F26" s="16">
        <v>1.7793834100000001</v>
      </c>
      <c r="G26" s="14">
        <v>65.802885309999994</v>
      </c>
      <c r="H26" s="16">
        <v>1.7793834100000001</v>
      </c>
      <c r="I26" s="14" t="s">
        <v>139</v>
      </c>
      <c r="J26" s="16" t="s">
        <v>139</v>
      </c>
      <c r="K26" s="14">
        <v>0</v>
      </c>
      <c r="L26" s="16">
        <v>0</v>
      </c>
      <c r="M26" s="14">
        <v>0</v>
      </c>
      <c r="N26" s="16">
        <v>0</v>
      </c>
      <c r="O26" s="14">
        <v>0</v>
      </c>
      <c r="P26" s="16">
        <v>0</v>
      </c>
      <c r="Q26" s="14">
        <v>0</v>
      </c>
      <c r="R26" s="16">
        <v>0</v>
      </c>
    </row>
    <row r="27" spans="1:18" x14ac:dyDescent="0.25">
      <c r="A27" s="11" t="s">
        <v>160</v>
      </c>
      <c r="B27" s="13">
        <v>5299</v>
      </c>
      <c r="C27" s="14">
        <f>(4441/B27*100)</f>
        <v>83.808265710511421</v>
      </c>
      <c r="D27" s="15">
        <v>858</v>
      </c>
      <c r="E27" s="14">
        <v>36.007676369999999</v>
      </c>
      <c r="F27" s="16">
        <v>1.62203955</v>
      </c>
      <c r="G27" s="14">
        <v>63.992323630000001</v>
      </c>
      <c r="H27" s="16">
        <v>1.62203955</v>
      </c>
      <c r="I27" s="14" t="s">
        <v>139</v>
      </c>
      <c r="J27" s="16" t="s">
        <v>139</v>
      </c>
      <c r="K27" s="14">
        <v>0</v>
      </c>
      <c r="L27" s="16">
        <v>0</v>
      </c>
      <c r="M27" s="14">
        <v>0</v>
      </c>
      <c r="N27" s="16">
        <v>0</v>
      </c>
      <c r="O27" s="14">
        <v>0</v>
      </c>
      <c r="P27" s="16">
        <v>0</v>
      </c>
      <c r="Q27" s="14">
        <v>0</v>
      </c>
      <c r="R27" s="16">
        <v>0</v>
      </c>
    </row>
    <row r="28" spans="1:18" x14ac:dyDescent="0.25">
      <c r="A28" s="11" t="s">
        <v>161</v>
      </c>
      <c r="B28" s="13">
        <v>7568</v>
      </c>
      <c r="C28" s="14">
        <f>(6435/B28*100)</f>
        <v>85.029069767441854</v>
      </c>
      <c r="D28" s="15">
        <v>1133</v>
      </c>
      <c r="E28" s="14">
        <v>42.455236900000003</v>
      </c>
      <c r="F28" s="16">
        <v>1.61144781</v>
      </c>
      <c r="G28" s="14">
        <v>57.544763099999997</v>
      </c>
      <c r="H28" s="16">
        <v>1.61144781</v>
      </c>
      <c r="I28" s="14" t="s">
        <v>139</v>
      </c>
      <c r="J28" s="16" t="s">
        <v>139</v>
      </c>
      <c r="K28" s="14">
        <v>0</v>
      </c>
      <c r="L28" s="16">
        <v>0</v>
      </c>
      <c r="M28" s="14">
        <v>0</v>
      </c>
      <c r="N28" s="16">
        <v>0</v>
      </c>
      <c r="O28" s="14">
        <v>0</v>
      </c>
      <c r="P28" s="16">
        <v>0</v>
      </c>
      <c r="Q28" s="14">
        <v>0</v>
      </c>
      <c r="R28" s="16">
        <v>0</v>
      </c>
    </row>
    <row r="29" spans="1:18" x14ac:dyDescent="0.25">
      <c r="A29" s="11" t="s">
        <v>162</v>
      </c>
      <c r="B29" s="13">
        <v>5385</v>
      </c>
      <c r="C29" s="14">
        <f>(4468/B29*100)</f>
        <v>82.971216341689882</v>
      </c>
      <c r="D29" s="15">
        <v>917</v>
      </c>
      <c r="E29" s="14">
        <v>33.419292810000002</v>
      </c>
      <c r="F29" s="16">
        <v>1.6773073000000001</v>
      </c>
      <c r="G29" s="14">
        <v>66.580707189999998</v>
      </c>
      <c r="H29" s="16">
        <v>1.6773073000000001</v>
      </c>
      <c r="I29" s="14" t="s">
        <v>139</v>
      </c>
      <c r="J29" s="16" t="s">
        <v>139</v>
      </c>
      <c r="K29" s="14">
        <v>0</v>
      </c>
      <c r="L29" s="16">
        <v>0</v>
      </c>
      <c r="M29" s="14">
        <v>0</v>
      </c>
      <c r="N29" s="16">
        <v>0</v>
      </c>
      <c r="O29" s="14">
        <v>0</v>
      </c>
      <c r="P29" s="16">
        <v>0</v>
      </c>
      <c r="Q29" s="14">
        <v>0</v>
      </c>
      <c r="R29" s="16">
        <v>0</v>
      </c>
    </row>
    <row r="30" spans="1:18" x14ac:dyDescent="0.25">
      <c r="A30" s="11" t="s">
        <v>163</v>
      </c>
      <c r="B30" s="13">
        <v>4520</v>
      </c>
      <c r="C30" s="14">
        <f>(3789/B30*100)</f>
        <v>83.827433628318587</v>
      </c>
      <c r="D30" s="15">
        <v>731</v>
      </c>
      <c r="E30" s="14">
        <v>35.041614289999998</v>
      </c>
      <c r="F30" s="16">
        <v>1.78749151</v>
      </c>
      <c r="G30" s="14">
        <v>64.958385710000002</v>
      </c>
      <c r="H30" s="16">
        <v>1.78749151</v>
      </c>
      <c r="I30" s="14" t="s">
        <v>139</v>
      </c>
      <c r="J30" s="16" t="s">
        <v>139</v>
      </c>
      <c r="K30" s="14">
        <v>0</v>
      </c>
      <c r="L30" s="16">
        <v>0</v>
      </c>
      <c r="M30" s="14">
        <v>0</v>
      </c>
      <c r="N30" s="16">
        <v>0</v>
      </c>
      <c r="O30" s="14">
        <v>0</v>
      </c>
      <c r="P30" s="16">
        <v>0</v>
      </c>
      <c r="Q30" s="14">
        <v>0</v>
      </c>
      <c r="R30" s="16">
        <v>0</v>
      </c>
    </row>
    <row r="31" spans="1:18" x14ac:dyDescent="0.25">
      <c r="A31" s="11" t="s">
        <v>164</v>
      </c>
      <c r="B31" s="13">
        <v>5456</v>
      </c>
      <c r="C31" s="14">
        <f>(4512/B31*100)</f>
        <v>82.697947214076251</v>
      </c>
      <c r="D31" s="15">
        <v>944</v>
      </c>
      <c r="E31" s="14">
        <v>43.34133078</v>
      </c>
      <c r="F31" s="16">
        <v>1.751026</v>
      </c>
      <c r="G31" s="14">
        <v>56.65866922</v>
      </c>
      <c r="H31" s="16">
        <v>1.751026</v>
      </c>
      <c r="I31" s="14" t="s">
        <v>139</v>
      </c>
      <c r="J31" s="16" t="s">
        <v>139</v>
      </c>
      <c r="K31" s="14">
        <v>0</v>
      </c>
      <c r="L31" s="16">
        <v>0</v>
      </c>
      <c r="M31" s="14">
        <v>0</v>
      </c>
      <c r="N31" s="16">
        <v>0</v>
      </c>
      <c r="O31" s="14">
        <v>0</v>
      </c>
      <c r="P31" s="16">
        <v>0</v>
      </c>
      <c r="Q31" s="14">
        <v>0</v>
      </c>
      <c r="R31" s="16">
        <v>0</v>
      </c>
    </row>
    <row r="32" spans="1:18" x14ac:dyDescent="0.25">
      <c r="A32" s="11" t="s">
        <v>165</v>
      </c>
      <c r="B32" s="17" t="s">
        <v>154</v>
      </c>
      <c r="C32" s="17" t="s">
        <v>154</v>
      </c>
      <c r="D32" s="18" t="s">
        <v>154</v>
      </c>
      <c r="E32" s="17" t="s">
        <v>154</v>
      </c>
      <c r="F32" s="18" t="s">
        <v>154</v>
      </c>
      <c r="G32" s="17" t="s">
        <v>154</v>
      </c>
      <c r="H32" s="18" t="s">
        <v>154</v>
      </c>
      <c r="I32" s="17" t="s">
        <v>154</v>
      </c>
      <c r="J32" s="18" t="s">
        <v>154</v>
      </c>
      <c r="K32" s="17" t="s">
        <v>154</v>
      </c>
      <c r="L32" s="18" t="s">
        <v>154</v>
      </c>
      <c r="M32" s="17" t="s">
        <v>154</v>
      </c>
      <c r="N32" s="18" t="s">
        <v>154</v>
      </c>
      <c r="O32" s="17" t="s">
        <v>154</v>
      </c>
      <c r="P32" s="18" t="s">
        <v>154</v>
      </c>
      <c r="Q32" s="17" t="s">
        <v>154</v>
      </c>
      <c r="R32" s="18" t="s">
        <v>154</v>
      </c>
    </row>
    <row r="33" spans="1:18" x14ac:dyDescent="0.25">
      <c r="A33" s="11" t="s">
        <v>166</v>
      </c>
      <c r="B33" s="13">
        <v>7325</v>
      </c>
      <c r="C33" s="14">
        <f>(6115/B33*100)</f>
        <v>83.481228668941981</v>
      </c>
      <c r="D33" s="15">
        <v>1210</v>
      </c>
      <c r="E33" s="14">
        <v>32.267684750000001</v>
      </c>
      <c r="F33" s="16">
        <v>1.4320529399999999</v>
      </c>
      <c r="G33" s="14">
        <v>67.732315249999999</v>
      </c>
      <c r="H33" s="16">
        <v>1.4320529399999999</v>
      </c>
      <c r="I33" s="14" t="s">
        <v>139</v>
      </c>
      <c r="J33" s="16" t="s">
        <v>139</v>
      </c>
      <c r="K33" s="14">
        <v>0</v>
      </c>
      <c r="L33" s="16">
        <v>0</v>
      </c>
      <c r="M33" s="14">
        <v>0</v>
      </c>
      <c r="N33" s="16">
        <v>0</v>
      </c>
      <c r="O33" s="14">
        <v>0</v>
      </c>
      <c r="P33" s="16">
        <v>0</v>
      </c>
      <c r="Q33" s="14">
        <v>0</v>
      </c>
      <c r="R33" s="16">
        <v>0</v>
      </c>
    </row>
    <row r="34" spans="1:18" x14ac:dyDescent="0.25">
      <c r="A34" s="11" t="s">
        <v>167</v>
      </c>
      <c r="B34" s="13">
        <v>6350</v>
      </c>
      <c r="C34" s="14">
        <f>(5356/B34*100)</f>
        <v>84.346456692913392</v>
      </c>
      <c r="D34" s="15">
        <v>994</v>
      </c>
      <c r="E34" s="14">
        <v>37.945343029999997</v>
      </c>
      <c r="F34" s="16">
        <v>1.57339494</v>
      </c>
      <c r="G34" s="14">
        <v>62.054656970000003</v>
      </c>
      <c r="H34" s="16">
        <v>1.57339494</v>
      </c>
      <c r="I34" s="14" t="s">
        <v>139</v>
      </c>
      <c r="J34" s="16" t="s">
        <v>139</v>
      </c>
      <c r="K34" s="14">
        <v>0</v>
      </c>
      <c r="L34" s="16">
        <v>0</v>
      </c>
      <c r="M34" s="14">
        <v>0</v>
      </c>
      <c r="N34" s="16">
        <v>0</v>
      </c>
      <c r="O34" s="14">
        <v>0</v>
      </c>
      <c r="P34" s="16">
        <v>0</v>
      </c>
      <c r="Q34" s="14">
        <v>0</v>
      </c>
      <c r="R34" s="16">
        <v>0</v>
      </c>
    </row>
    <row r="35" spans="1:18" x14ac:dyDescent="0.25">
      <c r="A35" s="11" t="s">
        <v>168</v>
      </c>
      <c r="B35" s="13">
        <v>6406</v>
      </c>
      <c r="C35" s="14">
        <f>(5336/B35*100)</f>
        <v>83.296909147674057</v>
      </c>
      <c r="D35" s="15">
        <v>1070</v>
      </c>
      <c r="E35" s="14">
        <v>32.352113449999997</v>
      </c>
      <c r="F35" s="16">
        <v>1.6858938800000001</v>
      </c>
      <c r="G35" s="14">
        <v>67.647886549999996</v>
      </c>
      <c r="H35" s="16">
        <v>1.6858938800000001</v>
      </c>
      <c r="I35" s="14" t="s">
        <v>139</v>
      </c>
      <c r="J35" s="16" t="s">
        <v>139</v>
      </c>
      <c r="K35" s="14">
        <v>0</v>
      </c>
      <c r="L35" s="16">
        <v>0</v>
      </c>
      <c r="M35" s="14">
        <v>0</v>
      </c>
      <c r="N35" s="16">
        <v>0</v>
      </c>
      <c r="O35" s="14">
        <v>0</v>
      </c>
      <c r="P35" s="16">
        <v>0</v>
      </c>
      <c r="Q35" s="14">
        <v>0</v>
      </c>
      <c r="R35" s="16">
        <v>0</v>
      </c>
    </row>
    <row r="36" spans="1:18" x14ac:dyDescent="0.25">
      <c r="A36" s="11" t="s">
        <v>169</v>
      </c>
      <c r="B36" s="13">
        <v>6736</v>
      </c>
      <c r="C36" s="14">
        <f>(5649/B36*100)</f>
        <v>83.862826603325416</v>
      </c>
      <c r="D36" s="15">
        <v>1087</v>
      </c>
      <c r="E36" s="14">
        <v>41.029717499999997</v>
      </c>
      <c r="F36" s="16">
        <v>1.3605241800000001</v>
      </c>
      <c r="G36" s="14">
        <v>58.970282500000003</v>
      </c>
      <c r="H36" s="16">
        <v>1.3605241800000001</v>
      </c>
      <c r="I36" s="14" t="s">
        <v>139</v>
      </c>
      <c r="J36" s="16" t="s">
        <v>139</v>
      </c>
      <c r="K36" s="14">
        <v>0</v>
      </c>
      <c r="L36" s="16">
        <v>0</v>
      </c>
      <c r="M36" s="14">
        <v>0</v>
      </c>
      <c r="N36" s="16">
        <v>0</v>
      </c>
      <c r="O36" s="14">
        <v>0</v>
      </c>
      <c r="P36" s="16">
        <v>0</v>
      </c>
      <c r="Q36" s="14">
        <v>0</v>
      </c>
      <c r="R36" s="16">
        <v>0</v>
      </c>
    </row>
    <row r="37" spans="1:18" x14ac:dyDescent="0.25">
      <c r="A37" s="11" t="s">
        <v>170</v>
      </c>
      <c r="B37" s="13">
        <v>5458</v>
      </c>
      <c r="C37" s="14">
        <f>(4553/B37*100)</f>
        <v>83.418834737999276</v>
      </c>
      <c r="D37" s="15">
        <v>905</v>
      </c>
      <c r="E37" s="14">
        <v>39.821516189999997</v>
      </c>
      <c r="F37" s="16">
        <v>1.64458394</v>
      </c>
      <c r="G37" s="14">
        <v>60.178483810000003</v>
      </c>
      <c r="H37" s="16">
        <v>1.64458394</v>
      </c>
      <c r="I37" s="14" t="s">
        <v>139</v>
      </c>
      <c r="J37" s="16" t="s">
        <v>139</v>
      </c>
      <c r="K37" s="14">
        <v>0</v>
      </c>
      <c r="L37" s="16">
        <v>0</v>
      </c>
      <c r="M37" s="14">
        <v>0</v>
      </c>
      <c r="N37" s="16">
        <v>0</v>
      </c>
      <c r="O37" s="14">
        <v>0</v>
      </c>
      <c r="P37" s="16">
        <v>0</v>
      </c>
      <c r="Q37" s="14">
        <v>0</v>
      </c>
      <c r="R37" s="16">
        <v>0</v>
      </c>
    </row>
    <row r="38" spans="1:18" x14ac:dyDescent="0.25">
      <c r="A38" s="11" t="s">
        <v>171</v>
      </c>
      <c r="B38" s="17" t="s">
        <v>154</v>
      </c>
      <c r="C38" s="17" t="s">
        <v>154</v>
      </c>
      <c r="D38" s="18" t="s">
        <v>154</v>
      </c>
      <c r="E38" s="17" t="s">
        <v>154</v>
      </c>
      <c r="F38" s="18" t="s">
        <v>154</v>
      </c>
      <c r="G38" s="17" t="s">
        <v>154</v>
      </c>
      <c r="H38" s="18" t="s">
        <v>154</v>
      </c>
      <c r="I38" s="17" t="s">
        <v>154</v>
      </c>
      <c r="J38" s="18" t="s">
        <v>154</v>
      </c>
      <c r="K38" s="17" t="s">
        <v>154</v>
      </c>
      <c r="L38" s="18" t="s">
        <v>154</v>
      </c>
      <c r="M38" s="17" t="s">
        <v>154</v>
      </c>
      <c r="N38" s="18" t="s">
        <v>154</v>
      </c>
      <c r="O38" s="17" t="s">
        <v>154</v>
      </c>
      <c r="P38" s="18" t="s">
        <v>154</v>
      </c>
      <c r="Q38" s="17" t="s">
        <v>154</v>
      </c>
      <c r="R38" s="18" t="s">
        <v>154</v>
      </c>
    </row>
    <row r="39" spans="1:18" x14ac:dyDescent="0.25">
      <c r="A39" s="11" t="s">
        <v>172</v>
      </c>
      <c r="B39" s="13">
        <v>5895</v>
      </c>
      <c r="C39" s="14">
        <f>(4865/B39*100)</f>
        <v>82.527565733672603</v>
      </c>
      <c r="D39" s="15">
        <v>1030</v>
      </c>
      <c r="E39" s="14">
        <v>45.457038109999999</v>
      </c>
      <c r="F39" s="16">
        <v>1.8111886500000001</v>
      </c>
      <c r="G39" s="14">
        <v>54.542961890000001</v>
      </c>
      <c r="H39" s="16">
        <v>1.8111886500000001</v>
      </c>
      <c r="I39" s="14" t="s">
        <v>139</v>
      </c>
      <c r="J39" s="16" t="s">
        <v>139</v>
      </c>
      <c r="K39" s="14">
        <v>0</v>
      </c>
      <c r="L39" s="16">
        <v>0</v>
      </c>
      <c r="M39" s="14">
        <v>0</v>
      </c>
      <c r="N39" s="16">
        <v>0</v>
      </c>
      <c r="O39" s="14">
        <v>0</v>
      </c>
      <c r="P39" s="16">
        <v>0</v>
      </c>
      <c r="Q39" s="14">
        <v>0</v>
      </c>
      <c r="R39" s="16">
        <v>0</v>
      </c>
    </row>
    <row r="40" spans="1:18" x14ac:dyDescent="0.25">
      <c r="A40" s="11" t="s">
        <v>173</v>
      </c>
      <c r="B40" s="13">
        <v>14157</v>
      </c>
      <c r="C40" s="14">
        <f>(11700/B40*100)</f>
        <v>82.644628099173559</v>
      </c>
      <c r="D40" s="15">
        <v>2457</v>
      </c>
      <c r="E40" s="14">
        <v>37.500057079999998</v>
      </c>
      <c r="F40" s="16">
        <v>1.5735777</v>
      </c>
      <c r="G40" s="14">
        <v>62.499942920000002</v>
      </c>
      <c r="H40" s="16">
        <v>1.5735777</v>
      </c>
      <c r="I40" s="14" t="s">
        <v>139</v>
      </c>
      <c r="J40" s="16" t="s">
        <v>139</v>
      </c>
      <c r="K40" s="14">
        <v>0</v>
      </c>
      <c r="L40" s="16">
        <v>0</v>
      </c>
      <c r="M40" s="14">
        <v>0</v>
      </c>
      <c r="N40" s="16">
        <v>0</v>
      </c>
      <c r="O40" s="14">
        <v>0</v>
      </c>
      <c r="P40" s="16">
        <v>0</v>
      </c>
      <c r="Q40" s="14">
        <v>0</v>
      </c>
      <c r="R40" s="16">
        <v>0</v>
      </c>
    </row>
    <row r="41" spans="1:18" x14ac:dyDescent="0.25">
      <c r="A41" s="11" t="s">
        <v>174</v>
      </c>
      <c r="B41" s="13">
        <v>5712</v>
      </c>
      <c r="C41" s="14">
        <f>(4785/B41*100)</f>
        <v>83.77100840336135</v>
      </c>
      <c r="D41" s="15">
        <v>927</v>
      </c>
      <c r="E41" s="14">
        <v>36.846021409999999</v>
      </c>
      <c r="F41" s="16">
        <v>1.6671273</v>
      </c>
      <c r="G41" s="14">
        <v>63.153978590000001</v>
      </c>
      <c r="H41" s="16">
        <v>1.6671273</v>
      </c>
      <c r="I41" s="14" t="s">
        <v>139</v>
      </c>
      <c r="J41" s="16" t="s">
        <v>139</v>
      </c>
      <c r="K41" s="14">
        <v>0</v>
      </c>
      <c r="L41" s="16">
        <v>0</v>
      </c>
      <c r="M41" s="14">
        <v>0</v>
      </c>
      <c r="N41" s="16">
        <v>0</v>
      </c>
      <c r="O41" s="14">
        <v>0</v>
      </c>
      <c r="P41" s="16">
        <v>0</v>
      </c>
      <c r="Q41" s="14">
        <v>0</v>
      </c>
      <c r="R41" s="16">
        <v>0</v>
      </c>
    </row>
    <row r="42" spans="1:18" x14ac:dyDescent="0.25">
      <c r="A42" s="11" t="s">
        <v>175</v>
      </c>
      <c r="B42" s="13">
        <f>IF(COUNT(B7:B41) &gt; 0, AVERAGE(B7:B41), "\u2014")</f>
        <v>7266.90625</v>
      </c>
      <c r="C42" s="14">
        <f>IF(COUNT(C7:C41) &gt; 0, AVERAGE(C7:C41), "—")</f>
        <v>83.504972993809972</v>
      </c>
      <c r="D42" s="15">
        <f>IF(COUNT(D7:D41) &gt; 0, AVERAGE(D7:D41), "—")</f>
        <v>1199.28125</v>
      </c>
      <c r="E42" s="14">
        <f>IF(COUNT(E7:E41) &gt; 0, AVERAGE(E7:E41), "—")</f>
        <v>36.121416947812506</v>
      </c>
      <c r="F42" s="16">
        <f>IF(COUNT(F7:F41) &gt; 0, SQRT(SUMSQ(F7:F41)/(COUNT(F7:F41)*COUNT(F7:F41)) ), "—")</f>
        <v>0.27926917301356619</v>
      </c>
      <c r="G42" s="14">
        <f>IF(COUNT(G7:G41) &gt; 0, AVERAGE(G7:G41), "—")</f>
        <v>63.878583052187501</v>
      </c>
      <c r="H42" s="16">
        <f>IF(COUNT(H7:H41) &gt; 0, SQRT(SUMSQ(H7:H41)/(COUNT(H7:H41)*COUNT(H7:H41)) ), "—")</f>
        <v>0.27926917301356619</v>
      </c>
      <c r="I42" s="14" t="str">
        <f>IF(COUNT(I7:I41) &gt; 0, AVERAGE(I7:I41), "—")</f>
        <v>—</v>
      </c>
      <c r="J42" s="16" t="str">
        <f>IF(COUNT(J7:J41) &gt; 0, SQRT(SUMSQ(J7:J41)/(COUNT(J7:J41)*COUNT(J7:J41)) ), "—")</f>
        <v>—</v>
      </c>
      <c r="K42" s="14">
        <f>IF(COUNT(K7:K41) &gt; 0, AVERAGE(K7:K41), "—")</f>
        <v>0</v>
      </c>
      <c r="L42" s="16">
        <f>IF(COUNT(L7:L41) &gt; 0, SQRT(SUMSQ(L7:L41)/(COUNT(L7:L41)*COUNT(L7:L41)) ), "—")</f>
        <v>0</v>
      </c>
      <c r="M42" s="14">
        <f>IF(COUNT(M7:M41) &gt; 0, AVERAGE(M7:M41), "—")</f>
        <v>0</v>
      </c>
      <c r="N42" s="16">
        <f>IF(COUNT(N7:N41) &gt; 0, SQRT(SUMSQ(N7:N41)/(COUNT(N7:N41)*COUNT(N7:N41)) ), "—")</f>
        <v>0</v>
      </c>
      <c r="O42" s="14">
        <f>IF(COUNT(O7:O41) &gt; 0, AVERAGE(O7:O41), "—")</f>
        <v>0</v>
      </c>
      <c r="P42" s="16">
        <f>IF(COUNT(P7:P41) &gt; 0, SQRT(SUMSQ(P7:P41)/(COUNT(P7:P41)*COUNT(P7:P41)) ), "—")</f>
        <v>0</v>
      </c>
      <c r="Q42" s="14">
        <f>IF(COUNT(Q7:Q41) &gt; 0, AVERAGE(Q7:Q41), "—")</f>
        <v>0</v>
      </c>
      <c r="R42" s="16">
        <f>IF(COUNT(R7:R41) &gt; 0, SQRT(SUMSQ(R7:R41)/(COUNT(R7:R41)*COUNT(R7:R41)) ), "—")</f>
        <v>0</v>
      </c>
    </row>
    <row r="43" spans="1:18" x14ac:dyDescent="0.25">
      <c r="A43" s="9" t="s">
        <v>176</v>
      </c>
      <c r="B43" s="10"/>
      <c r="C43" s="10"/>
      <c r="D43" s="11"/>
      <c r="E43" s="10"/>
      <c r="F43" s="11"/>
      <c r="G43" s="10"/>
      <c r="H43" s="11"/>
      <c r="I43" s="10"/>
      <c r="J43" s="11"/>
      <c r="K43" s="10"/>
      <c r="L43" s="11"/>
      <c r="M43" s="10"/>
      <c r="N43" s="11"/>
      <c r="O43" s="10"/>
      <c r="P43" s="11"/>
      <c r="Q43" s="10"/>
      <c r="R43" s="12"/>
    </row>
    <row r="44" spans="1:18" x14ac:dyDescent="0.25">
      <c r="A44" s="11" t="s">
        <v>177</v>
      </c>
      <c r="B44" s="17" t="s">
        <v>154</v>
      </c>
      <c r="C44" s="17" t="s">
        <v>154</v>
      </c>
      <c r="D44" s="18" t="s">
        <v>154</v>
      </c>
      <c r="E44" s="17" t="s">
        <v>154</v>
      </c>
      <c r="F44" s="18" t="s">
        <v>154</v>
      </c>
      <c r="G44" s="17" t="s">
        <v>154</v>
      </c>
      <c r="H44" s="18" t="s">
        <v>154</v>
      </c>
      <c r="I44" s="17" t="s">
        <v>154</v>
      </c>
      <c r="J44" s="18" t="s">
        <v>154</v>
      </c>
      <c r="K44" s="17" t="s">
        <v>154</v>
      </c>
      <c r="L44" s="18" t="s">
        <v>154</v>
      </c>
      <c r="M44" s="17" t="s">
        <v>154</v>
      </c>
      <c r="N44" s="18" t="s">
        <v>154</v>
      </c>
      <c r="O44" s="17" t="s">
        <v>154</v>
      </c>
      <c r="P44" s="18" t="s">
        <v>154</v>
      </c>
      <c r="Q44" s="17" t="s">
        <v>154</v>
      </c>
      <c r="R44" s="18" t="s">
        <v>154</v>
      </c>
    </row>
    <row r="45" spans="1:18" x14ac:dyDescent="0.25">
      <c r="A45" s="11" t="s">
        <v>178</v>
      </c>
      <c r="B45" s="17" t="s">
        <v>154</v>
      </c>
      <c r="C45" s="17" t="s">
        <v>154</v>
      </c>
      <c r="D45" s="18" t="s">
        <v>154</v>
      </c>
      <c r="E45" s="17" t="s">
        <v>154</v>
      </c>
      <c r="F45" s="18" t="s">
        <v>154</v>
      </c>
      <c r="G45" s="17" t="s">
        <v>154</v>
      </c>
      <c r="H45" s="18" t="s">
        <v>154</v>
      </c>
      <c r="I45" s="17" t="s">
        <v>154</v>
      </c>
      <c r="J45" s="18" t="s">
        <v>154</v>
      </c>
      <c r="K45" s="17" t="s">
        <v>154</v>
      </c>
      <c r="L45" s="18" t="s">
        <v>154</v>
      </c>
      <c r="M45" s="17" t="s">
        <v>154</v>
      </c>
      <c r="N45" s="18" t="s">
        <v>154</v>
      </c>
      <c r="O45" s="17" t="s">
        <v>154</v>
      </c>
      <c r="P45" s="18" t="s">
        <v>154</v>
      </c>
      <c r="Q45" s="17" t="s">
        <v>154</v>
      </c>
      <c r="R45" s="18" t="s">
        <v>154</v>
      </c>
    </row>
    <row r="46" spans="1:18" x14ac:dyDescent="0.25">
      <c r="A46" s="11" t="s">
        <v>179</v>
      </c>
      <c r="B46" s="13">
        <v>23141</v>
      </c>
      <c r="C46" s="14">
        <f>(20323/B46*100)</f>
        <v>87.822479581694822</v>
      </c>
      <c r="D46" s="15">
        <v>2818</v>
      </c>
      <c r="E46" s="14">
        <v>47.208361670000002</v>
      </c>
      <c r="F46" s="16">
        <v>1.29224177</v>
      </c>
      <c r="G46" s="14">
        <v>52.791638329999998</v>
      </c>
      <c r="H46" s="16">
        <v>1.29224177</v>
      </c>
      <c r="I46" s="14" t="s">
        <v>139</v>
      </c>
      <c r="J46" s="16" t="s">
        <v>139</v>
      </c>
      <c r="K46" s="14">
        <v>0</v>
      </c>
      <c r="L46" s="16">
        <v>0</v>
      </c>
      <c r="M46" s="14">
        <v>0</v>
      </c>
      <c r="N46" s="16">
        <v>0</v>
      </c>
      <c r="O46" s="14">
        <v>0</v>
      </c>
      <c r="P46" s="16">
        <v>0</v>
      </c>
      <c r="Q46" s="14">
        <v>0</v>
      </c>
      <c r="R46" s="16">
        <v>0</v>
      </c>
    </row>
    <row r="47" spans="1:18" x14ac:dyDescent="0.25">
      <c r="A47" s="11" t="s">
        <v>180</v>
      </c>
      <c r="B47" s="13">
        <v>5928</v>
      </c>
      <c r="C47" s="14">
        <f>(4983/B47*100)</f>
        <v>84.058704453441294</v>
      </c>
      <c r="D47" s="15">
        <v>945</v>
      </c>
      <c r="E47" s="14">
        <v>42.971599400000002</v>
      </c>
      <c r="F47" s="16">
        <v>1.5027653599999999</v>
      </c>
      <c r="G47" s="14">
        <v>57.028400599999998</v>
      </c>
      <c r="H47" s="16">
        <v>1.5027653599999999</v>
      </c>
      <c r="I47" s="14" t="s">
        <v>139</v>
      </c>
      <c r="J47" s="16" t="s">
        <v>139</v>
      </c>
      <c r="K47" s="14">
        <v>0</v>
      </c>
      <c r="L47" s="16">
        <v>0</v>
      </c>
      <c r="M47" s="14">
        <v>0</v>
      </c>
      <c r="N47" s="16">
        <v>0</v>
      </c>
      <c r="O47" s="14">
        <v>0</v>
      </c>
      <c r="P47" s="16">
        <v>0</v>
      </c>
      <c r="Q47" s="14">
        <v>0</v>
      </c>
      <c r="R47" s="16">
        <v>0</v>
      </c>
    </row>
    <row r="48" spans="1:18" x14ac:dyDescent="0.25">
      <c r="A48" s="11" t="s">
        <v>181</v>
      </c>
      <c r="B48" s="13">
        <v>9841</v>
      </c>
      <c r="C48" s="14">
        <f>(8156/B48*100)</f>
        <v>82.877756325576669</v>
      </c>
      <c r="D48" s="15">
        <v>1685</v>
      </c>
      <c r="E48" s="14">
        <v>22.928832150000002</v>
      </c>
      <c r="F48" s="16">
        <v>1.0907689599999999</v>
      </c>
      <c r="G48" s="14">
        <v>77.071167849999995</v>
      </c>
      <c r="H48" s="16">
        <v>1.0907689599999999</v>
      </c>
      <c r="I48" s="14" t="s">
        <v>139</v>
      </c>
      <c r="J48" s="16" t="s">
        <v>139</v>
      </c>
      <c r="K48" s="14">
        <v>0</v>
      </c>
      <c r="L48" s="16">
        <v>0</v>
      </c>
      <c r="M48" s="14">
        <v>0</v>
      </c>
      <c r="N48" s="16">
        <v>0</v>
      </c>
      <c r="O48" s="14">
        <v>0</v>
      </c>
      <c r="P48" s="16">
        <v>0</v>
      </c>
      <c r="Q48" s="14">
        <v>0</v>
      </c>
      <c r="R48" s="16">
        <v>0</v>
      </c>
    </row>
    <row r="49" spans="1:18" x14ac:dyDescent="0.25">
      <c r="A49" s="11" t="s">
        <v>182</v>
      </c>
      <c r="B49" s="17" t="s">
        <v>154</v>
      </c>
      <c r="C49" s="17" t="s">
        <v>154</v>
      </c>
      <c r="D49" s="18" t="s">
        <v>154</v>
      </c>
      <c r="E49" s="17" t="s">
        <v>154</v>
      </c>
      <c r="F49" s="18" t="s">
        <v>154</v>
      </c>
      <c r="G49" s="17" t="s">
        <v>154</v>
      </c>
      <c r="H49" s="18" t="s">
        <v>154</v>
      </c>
      <c r="I49" s="17" t="s">
        <v>154</v>
      </c>
      <c r="J49" s="18" t="s">
        <v>154</v>
      </c>
      <c r="K49" s="17" t="s">
        <v>154</v>
      </c>
      <c r="L49" s="18" t="s">
        <v>154</v>
      </c>
      <c r="M49" s="17" t="s">
        <v>154</v>
      </c>
      <c r="N49" s="18" t="s">
        <v>154</v>
      </c>
      <c r="O49" s="17" t="s">
        <v>154</v>
      </c>
      <c r="P49" s="18" t="s">
        <v>154</v>
      </c>
      <c r="Q49" s="17" t="s">
        <v>154</v>
      </c>
      <c r="R49" s="18" t="s">
        <v>154</v>
      </c>
    </row>
    <row r="50" spans="1:18" x14ac:dyDescent="0.25">
      <c r="A50" s="11" t="s">
        <v>183</v>
      </c>
      <c r="B50" s="13">
        <v>11795</v>
      </c>
      <c r="C50" s="14">
        <f>(9958/B50*100)</f>
        <v>84.425604069520986</v>
      </c>
      <c r="D50" s="15">
        <v>1837</v>
      </c>
      <c r="E50" s="14">
        <v>42.811676869999999</v>
      </c>
      <c r="F50" s="16">
        <v>1.54866331</v>
      </c>
      <c r="G50" s="14">
        <v>57.188323130000001</v>
      </c>
      <c r="H50" s="16">
        <v>1.54866331</v>
      </c>
      <c r="I50" s="14" t="s">
        <v>139</v>
      </c>
      <c r="J50" s="16" t="s">
        <v>139</v>
      </c>
      <c r="K50" s="14">
        <v>0</v>
      </c>
      <c r="L50" s="16">
        <v>0</v>
      </c>
      <c r="M50" s="14">
        <v>0</v>
      </c>
      <c r="N50" s="16">
        <v>0</v>
      </c>
      <c r="O50" s="14">
        <v>0</v>
      </c>
      <c r="P50" s="16">
        <v>0</v>
      </c>
      <c r="Q50" s="14">
        <v>0</v>
      </c>
      <c r="R50" s="16">
        <v>0</v>
      </c>
    </row>
    <row r="51" spans="1:18" x14ac:dyDescent="0.25">
      <c r="A51" s="11" t="s">
        <v>184</v>
      </c>
      <c r="B51" s="13">
        <v>6866</v>
      </c>
      <c r="C51" s="14">
        <f>(5911/B51*100)</f>
        <v>86.090882609962122</v>
      </c>
      <c r="D51" s="15">
        <v>955</v>
      </c>
      <c r="E51" s="14">
        <v>39.292716509999998</v>
      </c>
      <c r="F51" s="16">
        <v>1.7455700999999999</v>
      </c>
      <c r="G51" s="14">
        <v>60.707283490000002</v>
      </c>
      <c r="H51" s="16">
        <v>1.7455700999999999</v>
      </c>
      <c r="I51" s="14" t="s">
        <v>139</v>
      </c>
      <c r="J51" s="16" t="s">
        <v>139</v>
      </c>
      <c r="K51" s="14">
        <v>0</v>
      </c>
      <c r="L51" s="16">
        <v>0</v>
      </c>
      <c r="M51" s="14">
        <v>0</v>
      </c>
      <c r="N51" s="16">
        <v>0</v>
      </c>
      <c r="O51" s="14">
        <v>0</v>
      </c>
      <c r="P51" s="16">
        <v>0</v>
      </c>
      <c r="Q51" s="14">
        <v>0</v>
      </c>
      <c r="R51" s="16">
        <v>0</v>
      </c>
    </row>
    <row r="52" spans="1:18" x14ac:dyDescent="0.25">
      <c r="A52" s="11" t="s">
        <v>185</v>
      </c>
      <c r="B52" s="13">
        <v>5809</v>
      </c>
      <c r="C52" s="14">
        <f>(4832/B52*100)</f>
        <v>83.181270442416945</v>
      </c>
      <c r="D52" s="15">
        <v>977</v>
      </c>
      <c r="E52" s="14">
        <v>38.440566320000002</v>
      </c>
      <c r="F52" s="16">
        <v>1.87721513</v>
      </c>
      <c r="G52" s="14">
        <v>61.559433679999998</v>
      </c>
      <c r="H52" s="16">
        <v>1.87721513</v>
      </c>
      <c r="I52" s="14" t="s">
        <v>139</v>
      </c>
      <c r="J52" s="16" t="s">
        <v>139</v>
      </c>
      <c r="K52" s="14">
        <v>0</v>
      </c>
      <c r="L52" s="16">
        <v>0</v>
      </c>
      <c r="M52" s="14">
        <v>0</v>
      </c>
      <c r="N52" s="16">
        <v>0</v>
      </c>
      <c r="O52" s="14">
        <v>0</v>
      </c>
      <c r="P52" s="16">
        <v>0</v>
      </c>
      <c r="Q52" s="14">
        <v>0</v>
      </c>
      <c r="R52" s="16">
        <v>0</v>
      </c>
    </row>
    <row r="53" spans="1:18" x14ac:dyDescent="0.25">
      <c r="A53" s="11" t="s">
        <v>186</v>
      </c>
      <c r="B53" s="13">
        <v>5571</v>
      </c>
      <c r="C53" s="14">
        <f>(4622/B53*100)</f>
        <v>82.965356309459708</v>
      </c>
      <c r="D53" s="15">
        <v>949</v>
      </c>
      <c r="E53" s="14">
        <v>40.157601589999999</v>
      </c>
      <c r="F53" s="16">
        <v>1.5343838999999999</v>
      </c>
      <c r="G53" s="14">
        <v>59.842398410000001</v>
      </c>
      <c r="H53" s="16">
        <v>1.5343838999999999</v>
      </c>
      <c r="I53" s="14" t="s">
        <v>139</v>
      </c>
      <c r="J53" s="16" t="s">
        <v>139</v>
      </c>
      <c r="K53" s="14">
        <v>0</v>
      </c>
      <c r="L53" s="16">
        <v>0</v>
      </c>
      <c r="M53" s="14">
        <v>0</v>
      </c>
      <c r="N53" s="16">
        <v>0</v>
      </c>
      <c r="O53" s="14">
        <v>0</v>
      </c>
      <c r="P53" s="16">
        <v>0</v>
      </c>
      <c r="Q53" s="14">
        <v>0</v>
      </c>
      <c r="R53" s="16">
        <v>0</v>
      </c>
    </row>
    <row r="54" spans="1:18" x14ac:dyDescent="0.25">
      <c r="A54" s="11" t="s">
        <v>187</v>
      </c>
      <c r="B54" s="17" t="s">
        <v>154</v>
      </c>
      <c r="C54" s="17" t="s">
        <v>154</v>
      </c>
      <c r="D54" s="18" t="s">
        <v>154</v>
      </c>
      <c r="E54" s="17" t="s">
        <v>154</v>
      </c>
      <c r="F54" s="18" t="s">
        <v>154</v>
      </c>
      <c r="G54" s="17" t="s">
        <v>154</v>
      </c>
      <c r="H54" s="18" t="s">
        <v>154</v>
      </c>
      <c r="I54" s="17" t="s">
        <v>154</v>
      </c>
      <c r="J54" s="18" t="s">
        <v>154</v>
      </c>
      <c r="K54" s="17" t="s">
        <v>154</v>
      </c>
      <c r="L54" s="18" t="s">
        <v>154</v>
      </c>
      <c r="M54" s="17" t="s">
        <v>154</v>
      </c>
      <c r="N54" s="18" t="s">
        <v>154</v>
      </c>
      <c r="O54" s="17" t="s">
        <v>154</v>
      </c>
      <c r="P54" s="18" t="s">
        <v>154</v>
      </c>
      <c r="Q54" s="17" t="s">
        <v>154</v>
      </c>
      <c r="R54" s="18" t="s">
        <v>154</v>
      </c>
    </row>
    <row r="55" spans="1:18" x14ac:dyDescent="0.25">
      <c r="A55" s="11" t="s">
        <v>188</v>
      </c>
      <c r="B55" s="17" t="s">
        <v>154</v>
      </c>
      <c r="C55" s="17" t="s">
        <v>154</v>
      </c>
      <c r="D55" s="18" t="s">
        <v>154</v>
      </c>
      <c r="E55" s="17" t="s">
        <v>154</v>
      </c>
      <c r="F55" s="18" t="s">
        <v>154</v>
      </c>
      <c r="G55" s="17" t="s">
        <v>154</v>
      </c>
      <c r="H55" s="18" t="s">
        <v>154</v>
      </c>
      <c r="I55" s="17" t="s">
        <v>154</v>
      </c>
      <c r="J55" s="18" t="s">
        <v>154</v>
      </c>
      <c r="K55" s="17" t="s">
        <v>154</v>
      </c>
      <c r="L55" s="18" t="s">
        <v>154</v>
      </c>
      <c r="M55" s="17" t="s">
        <v>154</v>
      </c>
      <c r="N55" s="18" t="s">
        <v>154</v>
      </c>
      <c r="O55" s="17" t="s">
        <v>154</v>
      </c>
      <c r="P55" s="18" t="s">
        <v>154</v>
      </c>
      <c r="Q55" s="17" t="s">
        <v>154</v>
      </c>
      <c r="R55" s="18" t="s">
        <v>154</v>
      </c>
    </row>
    <row r="56" spans="1:18" x14ac:dyDescent="0.25">
      <c r="A56" s="11" t="s">
        <v>189</v>
      </c>
      <c r="B56" s="13">
        <v>5359</v>
      </c>
      <c r="C56" s="14">
        <f>(4423/B56*100)</f>
        <v>82.534054860981527</v>
      </c>
      <c r="D56" s="15">
        <v>936</v>
      </c>
      <c r="E56" s="14">
        <v>32.187663839999999</v>
      </c>
      <c r="F56" s="16">
        <v>1.42025373</v>
      </c>
      <c r="G56" s="14">
        <v>67.812336160000001</v>
      </c>
      <c r="H56" s="16">
        <v>1.42025373</v>
      </c>
      <c r="I56" s="14" t="s">
        <v>139</v>
      </c>
      <c r="J56" s="16" t="s">
        <v>139</v>
      </c>
      <c r="K56" s="14">
        <v>0</v>
      </c>
      <c r="L56" s="16">
        <v>0</v>
      </c>
      <c r="M56" s="14">
        <v>0</v>
      </c>
      <c r="N56" s="16">
        <v>0</v>
      </c>
      <c r="O56" s="14">
        <v>0</v>
      </c>
      <c r="P56" s="16">
        <v>0</v>
      </c>
      <c r="Q56" s="14">
        <v>0</v>
      </c>
      <c r="R56" s="16">
        <v>0</v>
      </c>
    </row>
    <row r="57" spans="1:18" x14ac:dyDescent="0.25">
      <c r="A57" s="11" t="s">
        <v>190</v>
      </c>
      <c r="B57" s="17" t="s">
        <v>154</v>
      </c>
      <c r="C57" s="17" t="s">
        <v>154</v>
      </c>
      <c r="D57" s="18" t="s">
        <v>154</v>
      </c>
      <c r="E57" s="17" t="s">
        <v>154</v>
      </c>
      <c r="F57" s="18" t="s">
        <v>154</v>
      </c>
      <c r="G57" s="17" t="s">
        <v>154</v>
      </c>
      <c r="H57" s="18" t="s">
        <v>154</v>
      </c>
      <c r="I57" s="17" t="s">
        <v>154</v>
      </c>
      <c r="J57" s="18" t="s">
        <v>154</v>
      </c>
      <c r="K57" s="17" t="s">
        <v>154</v>
      </c>
      <c r="L57" s="18" t="s">
        <v>154</v>
      </c>
      <c r="M57" s="17" t="s">
        <v>154</v>
      </c>
      <c r="N57" s="18" t="s">
        <v>154</v>
      </c>
      <c r="O57" s="17" t="s">
        <v>154</v>
      </c>
      <c r="P57" s="18" t="s">
        <v>154</v>
      </c>
      <c r="Q57" s="17" t="s">
        <v>154</v>
      </c>
      <c r="R57" s="18" t="s">
        <v>154</v>
      </c>
    </row>
    <row r="58" spans="1:18" x14ac:dyDescent="0.25">
      <c r="A58" s="11" t="s">
        <v>191</v>
      </c>
      <c r="B58" s="17" t="s">
        <v>154</v>
      </c>
      <c r="C58" s="17" t="s">
        <v>154</v>
      </c>
      <c r="D58" s="18" t="s">
        <v>154</v>
      </c>
      <c r="E58" s="17" t="s">
        <v>154</v>
      </c>
      <c r="F58" s="18" t="s">
        <v>154</v>
      </c>
      <c r="G58" s="17" t="s">
        <v>154</v>
      </c>
      <c r="H58" s="18" t="s">
        <v>154</v>
      </c>
      <c r="I58" s="17" t="s">
        <v>154</v>
      </c>
      <c r="J58" s="18" t="s">
        <v>154</v>
      </c>
      <c r="K58" s="17" t="s">
        <v>154</v>
      </c>
      <c r="L58" s="18" t="s">
        <v>154</v>
      </c>
      <c r="M58" s="17" t="s">
        <v>154</v>
      </c>
      <c r="N58" s="18" t="s">
        <v>154</v>
      </c>
      <c r="O58" s="17" t="s">
        <v>154</v>
      </c>
      <c r="P58" s="18" t="s">
        <v>154</v>
      </c>
      <c r="Q58" s="17" t="s">
        <v>154</v>
      </c>
      <c r="R58" s="18" t="s">
        <v>154</v>
      </c>
    </row>
    <row r="59" spans="1:18" x14ac:dyDescent="0.25">
      <c r="A59" s="11" t="s">
        <v>192</v>
      </c>
      <c r="B59" s="17" t="s">
        <v>154</v>
      </c>
      <c r="C59" s="17" t="s">
        <v>154</v>
      </c>
      <c r="D59" s="18" t="s">
        <v>154</v>
      </c>
      <c r="E59" s="17" t="s">
        <v>154</v>
      </c>
      <c r="F59" s="18" t="s">
        <v>154</v>
      </c>
      <c r="G59" s="17" t="s">
        <v>154</v>
      </c>
      <c r="H59" s="18" t="s">
        <v>154</v>
      </c>
      <c r="I59" s="17" t="s">
        <v>154</v>
      </c>
      <c r="J59" s="18" t="s">
        <v>154</v>
      </c>
      <c r="K59" s="17" t="s">
        <v>154</v>
      </c>
      <c r="L59" s="18" t="s">
        <v>154</v>
      </c>
      <c r="M59" s="17" t="s">
        <v>154</v>
      </c>
      <c r="N59" s="18" t="s">
        <v>154</v>
      </c>
      <c r="O59" s="17" t="s">
        <v>154</v>
      </c>
      <c r="P59" s="18" t="s">
        <v>154</v>
      </c>
      <c r="Q59" s="17" t="s">
        <v>154</v>
      </c>
      <c r="R59" s="18" t="s">
        <v>154</v>
      </c>
    </row>
    <row r="60" spans="1:18" x14ac:dyDescent="0.25">
      <c r="A60" s="11" t="s">
        <v>193</v>
      </c>
      <c r="B60" s="17" t="s">
        <v>154</v>
      </c>
      <c r="C60" s="17" t="s">
        <v>154</v>
      </c>
      <c r="D60" s="18" t="s">
        <v>154</v>
      </c>
      <c r="E60" s="17" t="s">
        <v>154</v>
      </c>
      <c r="F60" s="18" t="s">
        <v>154</v>
      </c>
      <c r="G60" s="17" t="s">
        <v>154</v>
      </c>
      <c r="H60" s="18" t="s">
        <v>154</v>
      </c>
      <c r="I60" s="17" t="s">
        <v>154</v>
      </c>
      <c r="J60" s="18" t="s">
        <v>154</v>
      </c>
      <c r="K60" s="17" t="s">
        <v>154</v>
      </c>
      <c r="L60" s="18" t="s">
        <v>154</v>
      </c>
      <c r="M60" s="17" t="s">
        <v>154</v>
      </c>
      <c r="N60" s="18" t="s">
        <v>154</v>
      </c>
      <c r="O60" s="17" t="s">
        <v>154</v>
      </c>
      <c r="P60" s="18" t="s">
        <v>154</v>
      </c>
      <c r="Q60" s="17" t="s">
        <v>154</v>
      </c>
      <c r="R60" s="18" t="s">
        <v>154</v>
      </c>
    </row>
    <row r="61" spans="1:18" x14ac:dyDescent="0.25">
      <c r="A61" s="11" t="s">
        <v>194</v>
      </c>
      <c r="B61" s="13">
        <v>6525</v>
      </c>
      <c r="C61" s="14">
        <f>(5438/B61*100)</f>
        <v>83.340996168582365</v>
      </c>
      <c r="D61" s="15">
        <v>1087</v>
      </c>
      <c r="E61" s="14">
        <v>26.62200189</v>
      </c>
      <c r="F61" s="16">
        <v>1.4637980100000001</v>
      </c>
      <c r="G61" s="14">
        <v>73.377998109999993</v>
      </c>
      <c r="H61" s="16">
        <v>1.4637980100000001</v>
      </c>
      <c r="I61" s="14" t="s">
        <v>139</v>
      </c>
      <c r="J61" s="16" t="s">
        <v>139</v>
      </c>
      <c r="K61" s="14">
        <v>0</v>
      </c>
      <c r="L61" s="16">
        <v>0</v>
      </c>
      <c r="M61" s="14">
        <v>0</v>
      </c>
      <c r="N61" s="16">
        <v>0</v>
      </c>
      <c r="O61" s="14">
        <v>0</v>
      </c>
      <c r="P61" s="16">
        <v>0</v>
      </c>
      <c r="Q61" s="14">
        <v>0</v>
      </c>
      <c r="R61" s="16">
        <v>0</v>
      </c>
    </row>
    <row r="62" spans="1:18" x14ac:dyDescent="0.25">
      <c r="A62" s="11" t="s">
        <v>195</v>
      </c>
      <c r="B62" s="13">
        <v>4476</v>
      </c>
      <c r="C62" s="14">
        <f>(3742/B62*100)</f>
        <v>83.601429848078652</v>
      </c>
      <c r="D62" s="15">
        <v>734</v>
      </c>
      <c r="E62" s="14">
        <v>17.639654539999999</v>
      </c>
      <c r="F62" s="16">
        <v>1.3329719600000001</v>
      </c>
      <c r="G62" s="14">
        <v>82.360345460000005</v>
      </c>
      <c r="H62" s="16">
        <v>1.3329719600000001</v>
      </c>
      <c r="I62" s="14" t="s">
        <v>139</v>
      </c>
      <c r="J62" s="16" t="s">
        <v>139</v>
      </c>
      <c r="K62" s="14">
        <v>0</v>
      </c>
      <c r="L62" s="16">
        <v>0</v>
      </c>
      <c r="M62" s="14">
        <v>0</v>
      </c>
      <c r="N62" s="16">
        <v>0</v>
      </c>
      <c r="O62" s="14">
        <v>0</v>
      </c>
      <c r="P62" s="16">
        <v>0</v>
      </c>
      <c r="Q62" s="14">
        <v>0</v>
      </c>
      <c r="R62" s="16">
        <v>0</v>
      </c>
    </row>
    <row r="63" spans="1:18" x14ac:dyDescent="0.25">
      <c r="A63" s="11" t="s">
        <v>196</v>
      </c>
      <c r="B63" s="17" t="s">
        <v>154</v>
      </c>
      <c r="C63" s="17" t="s">
        <v>154</v>
      </c>
      <c r="D63" s="18" t="s">
        <v>154</v>
      </c>
      <c r="E63" s="17" t="s">
        <v>154</v>
      </c>
      <c r="F63" s="18" t="s">
        <v>154</v>
      </c>
      <c r="G63" s="17" t="s">
        <v>154</v>
      </c>
      <c r="H63" s="18" t="s">
        <v>154</v>
      </c>
      <c r="I63" s="17" t="s">
        <v>154</v>
      </c>
      <c r="J63" s="18" t="s">
        <v>154</v>
      </c>
      <c r="K63" s="17" t="s">
        <v>154</v>
      </c>
      <c r="L63" s="18" t="s">
        <v>154</v>
      </c>
      <c r="M63" s="17" t="s">
        <v>154</v>
      </c>
      <c r="N63" s="18" t="s">
        <v>154</v>
      </c>
      <c r="O63" s="17" t="s">
        <v>154</v>
      </c>
      <c r="P63" s="18" t="s">
        <v>154</v>
      </c>
      <c r="Q63" s="17" t="s">
        <v>154</v>
      </c>
      <c r="R63" s="18" t="s">
        <v>154</v>
      </c>
    </row>
    <row r="64" spans="1:18" x14ac:dyDescent="0.25">
      <c r="A64" s="11" t="s">
        <v>197</v>
      </c>
      <c r="B64" s="17" t="s">
        <v>154</v>
      </c>
      <c r="C64" s="17" t="s">
        <v>154</v>
      </c>
      <c r="D64" s="18" t="s">
        <v>154</v>
      </c>
      <c r="E64" s="17" t="s">
        <v>154</v>
      </c>
      <c r="F64" s="18" t="s">
        <v>154</v>
      </c>
      <c r="G64" s="17" t="s">
        <v>154</v>
      </c>
      <c r="H64" s="18" t="s">
        <v>154</v>
      </c>
      <c r="I64" s="17" t="s">
        <v>154</v>
      </c>
      <c r="J64" s="18" t="s">
        <v>154</v>
      </c>
      <c r="K64" s="17" t="s">
        <v>154</v>
      </c>
      <c r="L64" s="18" t="s">
        <v>154</v>
      </c>
      <c r="M64" s="17" t="s">
        <v>154</v>
      </c>
      <c r="N64" s="18" t="s">
        <v>154</v>
      </c>
      <c r="O64" s="17" t="s">
        <v>154</v>
      </c>
      <c r="P64" s="18" t="s">
        <v>154</v>
      </c>
      <c r="Q64" s="17" t="s">
        <v>154</v>
      </c>
      <c r="R64" s="18" t="s">
        <v>154</v>
      </c>
    </row>
    <row r="65" spans="1:18" x14ac:dyDescent="0.25">
      <c r="A65" s="11" t="s">
        <v>198</v>
      </c>
      <c r="B65" s="17" t="s">
        <v>154</v>
      </c>
      <c r="C65" s="17" t="s">
        <v>154</v>
      </c>
      <c r="D65" s="18" t="s">
        <v>154</v>
      </c>
      <c r="E65" s="17" t="s">
        <v>154</v>
      </c>
      <c r="F65" s="18" t="s">
        <v>154</v>
      </c>
      <c r="G65" s="17" t="s">
        <v>154</v>
      </c>
      <c r="H65" s="18" t="s">
        <v>154</v>
      </c>
      <c r="I65" s="17" t="s">
        <v>154</v>
      </c>
      <c r="J65" s="18" t="s">
        <v>154</v>
      </c>
      <c r="K65" s="17" t="s">
        <v>154</v>
      </c>
      <c r="L65" s="18" t="s">
        <v>154</v>
      </c>
      <c r="M65" s="17" t="s">
        <v>154</v>
      </c>
      <c r="N65" s="18" t="s">
        <v>154</v>
      </c>
      <c r="O65" s="17" t="s">
        <v>154</v>
      </c>
      <c r="P65" s="18" t="s">
        <v>154</v>
      </c>
      <c r="Q65" s="17" t="s">
        <v>154</v>
      </c>
      <c r="R65" s="18" t="s">
        <v>154</v>
      </c>
    </row>
    <row r="66" spans="1:18" x14ac:dyDescent="0.25">
      <c r="A66" s="11" t="s">
        <v>199</v>
      </c>
      <c r="B66" s="13">
        <v>5665</v>
      </c>
      <c r="C66" s="14">
        <f>(4754/B66*100)</f>
        <v>83.918799646954994</v>
      </c>
      <c r="D66" s="15">
        <v>911</v>
      </c>
      <c r="E66" s="14">
        <v>43.448935390000003</v>
      </c>
      <c r="F66" s="16">
        <v>1.7200525099999999</v>
      </c>
      <c r="G66" s="14">
        <v>56.551064609999997</v>
      </c>
      <c r="H66" s="16">
        <v>1.7200525099999999</v>
      </c>
      <c r="I66" s="14" t="s">
        <v>139</v>
      </c>
      <c r="J66" s="16" t="s">
        <v>139</v>
      </c>
      <c r="K66" s="14">
        <v>0</v>
      </c>
      <c r="L66" s="16">
        <v>0</v>
      </c>
      <c r="M66" s="14">
        <v>0</v>
      </c>
      <c r="N66" s="16">
        <v>0</v>
      </c>
      <c r="O66" s="14">
        <v>0</v>
      </c>
      <c r="P66" s="16">
        <v>0</v>
      </c>
      <c r="Q66" s="14">
        <v>0</v>
      </c>
      <c r="R66" s="16">
        <v>0</v>
      </c>
    </row>
    <row r="67" spans="1:18" x14ac:dyDescent="0.25">
      <c r="A67" s="11" t="s">
        <v>200</v>
      </c>
      <c r="B67" s="13">
        <v>6971</v>
      </c>
      <c r="C67" s="14">
        <f>(6010/B67*100)</f>
        <v>86.214316453880357</v>
      </c>
      <c r="D67" s="15">
        <v>961</v>
      </c>
      <c r="E67" s="14">
        <v>42.269072209999997</v>
      </c>
      <c r="F67" s="16">
        <v>1.75559384</v>
      </c>
      <c r="G67" s="14">
        <v>57.730927790000003</v>
      </c>
      <c r="H67" s="16">
        <v>1.75559384</v>
      </c>
      <c r="I67" s="14" t="s">
        <v>139</v>
      </c>
      <c r="J67" s="16" t="s">
        <v>139</v>
      </c>
      <c r="K67" s="14">
        <v>0</v>
      </c>
      <c r="L67" s="16">
        <v>0</v>
      </c>
      <c r="M67" s="14">
        <v>0</v>
      </c>
      <c r="N67" s="16">
        <v>0</v>
      </c>
      <c r="O67" s="14">
        <v>0</v>
      </c>
      <c r="P67" s="16">
        <v>0</v>
      </c>
      <c r="Q67" s="14">
        <v>0</v>
      </c>
      <c r="R67" s="16">
        <v>0</v>
      </c>
    </row>
    <row r="68" spans="1:18" x14ac:dyDescent="0.25">
      <c r="A68" s="11" t="s">
        <v>201</v>
      </c>
      <c r="B68" s="17" t="s">
        <v>154</v>
      </c>
      <c r="C68" s="17" t="s">
        <v>154</v>
      </c>
      <c r="D68" s="18" t="s">
        <v>154</v>
      </c>
      <c r="E68" s="17" t="s">
        <v>154</v>
      </c>
      <c r="F68" s="18" t="s">
        <v>154</v>
      </c>
      <c r="G68" s="17" t="s">
        <v>154</v>
      </c>
      <c r="H68" s="18" t="s">
        <v>154</v>
      </c>
      <c r="I68" s="17" t="s">
        <v>154</v>
      </c>
      <c r="J68" s="18" t="s">
        <v>154</v>
      </c>
      <c r="K68" s="17" t="s">
        <v>154</v>
      </c>
      <c r="L68" s="18" t="s">
        <v>154</v>
      </c>
      <c r="M68" s="17" t="s">
        <v>154</v>
      </c>
      <c r="N68" s="18" t="s">
        <v>154</v>
      </c>
      <c r="O68" s="17" t="s">
        <v>154</v>
      </c>
      <c r="P68" s="18" t="s">
        <v>154</v>
      </c>
      <c r="Q68" s="17" t="s">
        <v>154</v>
      </c>
      <c r="R68" s="18" t="s">
        <v>154</v>
      </c>
    </row>
    <row r="69" spans="1:18" x14ac:dyDescent="0.25">
      <c r="A69" s="11" t="s">
        <v>202</v>
      </c>
      <c r="B69" s="17" t="s">
        <v>154</v>
      </c>
      <c r="C69" s="17" t="s">
        <v>154</v>
      </c>
      <c r="D69" s="18" t="s">
        <v>154</v>
      </c>
      <c r="E69" s="17" t="s">
        <v>154</v>
      </c>
      <c r="F69" s="18" t="s">
        <v>154</v>
      </c>
      <c r="G69" s="17" t="s">
        <v>154</v>
      </c>
      <c r="H69" s="18" t="s">
        <v>154</v>
      </c>
      <c r="I69" s="17" t="s">
        <v>154</v>
      </c>
      <c r="J69" s="18" t="s">
        <v>154</v>
      </c>
      <c r="K69" s="17" t="s">
        <v>154</v>
      </c>
      <c r="L69" s="18" t="s">
        <v>154</v>
      </c>
      <c r="M69" s="17" t="s">
        <v>154</v>
      </c>
      <c r="N69" s="18" t="s">
        <v>154</v>
      </c>
      <c r="O69" s="17" t="s">
        <v>154</v>
      </c>
      <c r="P69" s="18" t="s">
        <v>154</v>
      </c>
      <c r="Q69" s="17" t="s">
        <v>154</v>
      </c>
      <c r="R69" s="18" t="s">
        <v>154</v>
      </c>
    </row>
    <row r="70" spans="1:18" x14ac:dyDescent="0.25">
      <c r="A70" s="11" t="s">
        <v>203</v>
      </c>
      <c r="B70" s="13">
        <v>6036</v>
      </c>
      <c r="C70" s="14">
        <f>(5043/B70*100)</f>
        <v>83.548707753479121</v>
      </c>
      <c r="D70" s="15">
        <v>993</v>
      </c>
      <c r="E70" s="14">
        <v>41.546884259999999</v>
      </c>
      <c r="F70" s="16">
        <v>1.92899139</v>
      </c>
      <c r="G70" s="14">
        <v>58.453115740000001</v>
      </c>
      <c r="H70" s="16">
        <v>1.92899139</v>
      </c>
      <c r="I70" s="14" t="s">
        <v>139</v>
      </c>
      <c r="J70" s="16" t="s">
        <v>139</v>
      </c>
      <c r="K70" s="14">
        <v>0</v>
      </c>
      <c r="L70" s="16">
        <v>0</v>
      </c>
      <c r="M70" s="14">
        <v>0</v>
      </c>
      <c r="N70" s="16">
        <v>0</v>
      </c>
      <c r="O70" s="14">
        <v>0</v>
      </c>
      <c r="P70" s="16">
        <v>0</v>
      </c>
      <c r="Q70" s="14">
        <v>0</v>
      </c>
      <c r="R70" s="16">
        <v>0</v>
      </c>
    </row>
    <row r="71" spans="1:18" x14ac:dyDescent="0.25">
      <c r="A71" s="11" t="s">
        <v>204</v>
      </c>
      <c r="B71" s="17" t="s">
        <v>154</v>
      </c>
      <c r="C71" s="17" t="s">
        <v>154</v>
      </c>
      <c r="D71" s="18" t="s">
        <v>154</v>
      </c>
      <c r="E71" s="17" t="s">
        <v>154</v>
      </c>
      <c r="F71" s="18" t="s">
        <v>154</v>
      </c>
      <c r="G71" s="17" t="s">
        <v>154</v>
      </c>
      <c r="H71" s="18" t="s">
        <v>154</v>
      </c>
      <c r="I71" s="17" t="s">
        <v>154</v>
      </c>
      <c r="J71" s="18" t="s">
        <v>154</v>
      </c>
      <c r="K71" s="17" t="s">
        <v>154</v>
      </c>
      <c r="L71" s="18" t="s">
        <v>154</v>
      </c>
      <c r="M71" s="17" t="s">
        <v>154</v>
      </c>
      <c r="N71" s="18" t="s">
        <v>154</v>
      </c>
      <c r="O71" s="17" t="s">
        <v>154</v>
      </c>
      <c r="P71" s="18" t="s">
        <v>154</v>
      </c>
      <c r="Q71" s="17" t="s">
        <v>154</v>
      </c>
      <c r="R71" s="18" t="s">
        <v>154</v>
      </c>
    </row>
    <row r="72" spans="1:18" x14ac:dyDescent="0.25">
      <c r="A72" s="11" t="s">
        <v>205</v>
      </c>
      <c r="B72" s="13">
        <v>7708</v>
      </c>
      <c r="C72" s="14">
        <f>(6395/B72*100)</f>
        <v>82.965749870264659</v>
      </c>
      <c r="D72" s="15">
        <v>1313</v>
      </c>
      <c r="E72" s="14">
        <v>17.057923760000001</v>
      </c>
      <c r="F72" s="16">
        <v>1.14035742</v>
      </c>
      <c r="G72" s="14">
        <v>82.942076240000006</v>
      </c>
      <c r="H72" s="16">
        <v>1.14035742</v>
      </c>
      <c r="I72" s="14" t="s">
        <v>139</v>
      </c>
      <c r="J72" s="16" t="s">
        <v>139</v>
      </c>
      <c r="K72" s="14">
        <v>0</v>
      </c>
      <c r="L72" s="16">
        <v>0</v>
      </c>
      <c r="M72" s="14">
        <v>0</v>
      </c>
      <c r="N72" s="16">
        <v>0</v>
      </c>
      <c r="O72" s="14">
        <v>0</v>
      </c>
      <c r="P72" s="16">
        <v>0</v>
      </c>
      <c r="Q72" s="14">
        <v>0</v>
      </c>
      <c r="R72" s="16">
        <v>0</v>
      </c>
    </row>
    <row r="73" spans="1:18" x14ac:dyDescent="0.25">
      <c r="A73" s="11" t="s">
        <v>206</v>
      </c>
      <c r="B73" s="13">
        <v>8249</v>
      </c>
      <c r="C73" s="14">
        <f>(6966/B73*100)</f>
        <v>84.446599587828828</v>
      </c>
      <c r="D73" s="15">
        <v>1283</v>
      </c>
      <c r="E73" s="14">
        <v>41.668751669999999</v>
      </c>
      <c r="F73" s="16">
        <v>1.9774969499999999</v>
      </c>
      <c r="G73" s="14">
        <v>58.331248330000001</v>
      </c>
      <c r="H73" s="16">
        <v>1.9774969499999999</v>
      </c>
      <c r="I73" s="14" t="s">
        <v>139</v>
      </c>
      <c r="J73" s="16" t="s">
        <v>139</v>
      </c>
      <c r="K73" s="14">
        <v>0</v>
      </c>
      <c r="L73" s="16">
        <v>0</v>
      </c>
      <c r="M73" s="14">
        <v>0</v>
      </c>
      <c r="N73" s="16">
        <v>0</v>
      </c>
      <c r="O73" s="14">
        <v>0</v>
      </c>
      <c r="P73" s="16">
        <v>0</v>
      </c>
      <c r="Q73" s="14">
        <v>0</v>
      </c>
      <c r="R73" s="16">
        <v>0</v>
      </c>
    </row>
    <row r="74" spans="1:18" x14ac:dyDescent="0.25">
      <c r="A74" s="11" t="s">
        <v>207</v>
      </c>
      <c r="B74" s="17" t="s">
        <v>154</v>
      </c>
      <c r="C74" s="17" t="s">
        <v>154</v>
      </c>
      <c r="D74" s="18" t="s">
        <v>154</v>
      </c>
      <c r="E74" s="17" t="s">
        <v>154</v>
      </c>
      <c r="F74" s="18" t="s">
        <v>154</v>
      </c>
      <c r="G74" s="17" t="s">
        <v>154</v>
      </c>
      <c r="H74" s="18" t="s">
        <v>154</v>
      </c>
      <c r="I74" s="17" t="s">
        <v>154</v>
      </c>
      <c r="J74" s="18" t="s">
        <v>154</v>
      </c>
      <c r="K74" s="17" t="s">
        <v>154</v>
      </c>
      <c r="L74" s="18" t="s">
        <v>154</v>
      </c>
      <c r="M74" s="17" t="s">
        <v>154</v>
      </c>
      <c r="N74" s="18" t="s">
        <v>154</v>
      </c>
      <c r="O74" s="17" t="s">
        <v>154</v>
      </c>
      <c r="P74" s="18" t="s">
        <v>154</v>
      </c>
      <c r="Q74" s="17" t="s">
        <v>154</v>
      </c>
      <c r="R74" s="18" t="s">
        <v>154</v>
      </c>
    </row>
    <row r="75" spans="1:18" x14ac:dyDescent="0.25">
      <c r="A75" s="11" t="s">
        <v>208</v>
      </c>
      <c r="B75" s="13">
        <v>5375</v>
      </c>
      <c r="C75" s="14">
        <f>(4595/B75*100)</f>
        <v>85.488372093023258</v>
      </c>
      <c r="D75" s="15">
        <v>780</v>
      </c>
      <c r="E75" s="14">
        <v>52.439937739999998</v>
      </c>
      <c r="F75" s="16">
        <v>1.93654843</v>
      </c>
      <c r="G75" s="14">
        <v>47.560062260000002</v>
      </c>
      <c r="H75" s="16">
        <v>1.93654843</v>
      </c>
      <c r="I75" s="14" t="s">
        <v>139</v>
      </c>
      <c r="J75" s="16" t="s">
        <v>139</v>
      </c>
      <c r="K75" s="14">
        <v>0</v>
      </c>
      <c r="L75" s="16">
        <v>0</v>
      </c>
      <c r="M75" s="14">
        <v>0</v>
      </c>
      <c r="N75" s="16">
        <v>0</v>
      </c>
      <c r="O75" s="14">
        <v>0</v>
      </c>
      <c r="P75" s="16">
        <v>0</v>
      </c>
      <c r="Q75" s="14">
        <v>0</v>
      </c>
      <c r="R75" s="16">
        <v>0</v>
      </c>
    </row>
    <row r="76" spans="1:18" x14ac:dyDescent="0.25">
      <c r="A76" s="11" t="s">
        <v>209</v>
      </c>
      <c r="B76" s="13">
        <v>14167</v>
      </c>
      <c r="C76" s="14">
        <f>(11740/B76*100)</f>
        <v>82.868638384979178</v>
      </c>
      <c r="D76" s="15">
        <v>2427</v>
      </c>
      <c r="E76" s="14">
        <v>41.728595949999999</v>
      </c>
      <c r="F76" s="16">
        <v>1.0888597099999999</v>
      </c>
      <c r="G76" s="14">
        <v>58.271404050000001</v>
      </c>
      <c r="H76" s="16">
        <v>1.0888597099999999</v>
      </c>
      <c r="I76" s="14" t="s">
        <v>139</v>
      </c>
      <c r="J76" s="16" t="s">
        <v>139</v>
      </c>
      <c r="K76" s="14">
        <v>0</v>
      </c>
      <c r="L76" s="16">
        <v>0</v>
      </c>
      <c r="M76" s="14">
        <v>0</v>
      </c>
      <c r="N76" s="16">
        <v>0</v>
      </c>
      <c r="O76" s="14">
        <v>0</v>
      </c>
      <c r="P76" s="16">
        <v>0</v>
      </c>
      <c r="Q76" s="14">
        <v>0</v>
      </c>
      <c r="R76" s="16">
        <v>0</v>
      </c>
    </row>
    <row r="77" spans="1:18" x14ac:dyDescent="0.25">
      <c r="A77" s="11" t="s">
        <v>210</v>
      </c>
      <c r="B77" s="13">
        <v>6062</v>
      </c>
      <c r="C77" s="14">
        <f>(5082/B77*100)</f>
        <v>83.833718244803691</v>
      </c>
      <c r="D77" s="15">
        <v>980</v>
      </c>
      <c r="E77" s="14">
        <v>44.735474449999998</v>
      </c>
      <c r="F77" s="16">
        <v>1.67079987</v>
      </c>
      <c r="G77" s="14">
        <v>55.264525550000002</v>
      </c>
      <c r="H77" s="16">
        <v>1.67079987</v>
      </c>
      <c r="I77" s="14" t="s">
        <v>139</v>
      </c>
      <c r="J77" s="16" t="s">
        <v>139</v>
      </c>
      <c r="K77" s="14">
        <v>0</v>
      </c>
      <c r="L77" s="16">
        <v>0</v>
      </c>
      <c r="M77" s="14">
        <v>0</v>
      </c>
      <c r="N77" s="16">
        <v>0</v>
      </c>
      <c r="O77" s="14">
        <v>0</v>
      </c>
      <c r="P77" s="16">
        <v>0</v>
      </c>
      <c r="Q77" s="14">
        <v>0</v>
      </c>
      <c r="R77" s="16">
        <v>0</v>
      </c>
    </row>
    <row r="78" spans="1:18" x14ac:dyDescent="0.25">
      <c r="A78" s="11" t="s">
        <v>211</v>
      </c>
      <c r="B78" s="17" t="s">
        <v>154</v>
      </c>
      <c r="C78" s="17" t="s">
        <v>154</v>
      </c>
      <c r="D78" s="18" t="s">
        <v>154</v>
      </c>
      <c r="E78" s="17" t="s">
        <v>154</v>
      </c>
      <c r="F78" s="18" t="s">
        <v>154</v>
      </c>
      <c r="G78" s="17" t="s">
        <v>154</v>
      </c>
      <c r="H78" s="18" t="s">
        <v>154</v>
      </c>
      <c r="I78" s="17" t="s">
        <v>154</v>
      </c>
      <c r="J78" s="18" t="s">
        <v>154</v>
      </c>
      <c r="K78" s="17" t="s">
        <v>154</v>
      </c>
      <c r="L78" s="18" t="s">
        <v>154</v>
      </c>
      <c r="M78" s="17" t="s">
        <v>154</v>
      </c>
      <c r="N78" s="18" t="s">
        <v>154</v>
      </c>
      <c r="O78" s="17" t="s">
        <v>154</v>
      </c>
      <c r="P78" s="18" t="s">
        <v>154</v>
      </c>
      <c r="Q78" s="17" t="s">
        <v>154</v>
      </c>
      <c r="R78" s="18" t="s">
        <v>154</v>
      </c>
    </row>
    <row r="79" spans="1:18" ht="24.95" customHeight="1" x14ac:dyDescent="0.25">
      <c r="A79" s="11" t="s">
        <v>212</v>
      </c>
      <c r="B79" s="17" t="s">
        <v>154</v>
      </c>
      <c r="C79" s="17" t="s">
        <v>154</v>
      </c>
      <c r="D79" s="18" t="s">
        <v>154</v>
      </c>
      <c r="E79" s="17" t="s">
        <v>154</v>
      </c>
      <c r="F79" s="18" t="s">
        <v>154</v>
      </c>
      <c r="G79" s="17" t="s">
        <v>154</v>
      </c>
      <c r="H79" s="18" t="s">
        <v>154</v>
      </c>
      <c r="I79" s="17" t="s">
        <v>154</v>
      </c>
      <c r="J79" s="18" t="s">
        <v>154</v>
      </c>
      <c r="K79" s="17" t="s">
        <v>154</v>
      </c>
      <c r="L79" s="18" t="s">
        <v>154</v>
      </c>
      <c r="M79" s="17" t="s">
        <v>154</v>
      </c>
      <c r="N79" s="18" t="s">
        <v>154</v>
      </c>
      <c r="O79" s="17" t="s">
        <v>154</v>
      </c>
      <c r="P79" s="18" t="s">
        <v>154</v>
      </c>
      <c r="Q79" s="17" t="s">
        <v>154</v>
      </c>
      <c r="R79" s="18" t="s">
        <v>154</v>
      </c>
    </row>
    <row r="80" spans="1:18" x14ac:dyDescent="0.25">
      <c r="A80" s="11" t="s">
        <v>213</v>
      </c>
      <c r="B80" s="17" t="s">
        <v>154</v>
      </c>
      <c r="C80" s="17" t="s">
        <v>154</v>
      </c>
      <c r="D80" s="18" t="s">
        <v>154</v>
      </c>
      <c r="E80" s="17" t="s">
        <v>154</v>
      </c>
      <c r="F80" s="18" t="s">
        <v>154</v>
      </c>
      <c r="G80" s="17" t="s">
        <v>154</v>
      </c>
      <c r="H80" s="18" t="s">
        <v>154</v>
      </c>
      <c r="I80" s="17" t="s">
        <v>154</v>
      </c>
      <c r="J80" s="18" t="s">
        <v>154</v>
      </c>
      <c r="K80" s="17" t="s">
        <v>154</v>
      </c>
      <c r="L80" s="18" t="s">
        <v>154</v>
      </c>
      <c r="M80" s="17" t="s">
        <v>154</v>
      </c>
      <c r="N80" s="18" t="s">
        <v>154</v>
      </c>
      <c r="O80" s="17" t="s">
        <v>154</v>
      </c>
      <c r="P80" s="18" t="s">
        <v>154</v>
      </c>
      <c r="Q80" s="17" t="s">
        <v>154</v>
      </c>
      <c r="R80" s="18" t="s">
        <v>154</v>
      </c>
    </row>
    <row r="81" spans="1:18" x14ac:dyDescent="0.25">
      <c r="A81" s="19" t="s">
        <v>214</v>
      </c>
      <c r="B81" s="13">
        <v>8861</v>
      </c>
      <c r="C81" s="14">
        <f>(7385/B81*100)</f>
        <v>83.342737839972912</v>
      </c>
      <c r="D81" s="15">
        <v>1476</v>
      </c>
      <c r="E81" s="14">
        <v>45.680557440000001</v>
      </c>
      <c r="F81" s="16">
        <v>1.7299739000000001</v>
      </c>
      <c r="G81" s="14">
        <v>54.319442559999999</v>
      </c>
      <c r="H81" s="16">
        <v>1.7299739000000001</v>
      </c>
      <c r="I81" s="14" t="s">
        <v>139</v>
      </c>
      <c r="J81" s="16" t="s">
        <v>139</v>
      </c>
      <c r="K81" s="14">
        <v>0</v>
      </c>
      <c r="L81" s="16">
        <v>0</v>
      </c>
      <c r="M81" s="14">
        <v>0</v>
      </c>
      <c r="N81" s="16">
        <v>0</v>
      </c>
      <c r="O81" s="14">
        <v>0</v>
      </c>
      <c r="P81" s="16">
        <v>0</v>
      </c>
      <c r="Q81" s="14">
        <v>0</v>
      </c>
      <c r="R81" s="16">
        <v>0</v>
      </c>
    </row>
    <row r="82" spans="1:18" x14ac:dyDescent="0.25">
      <c r="A82" s="20"/>
      <c r="B82" s="20" t="s">
        <v>215</v>
      </c>
      <c r="C82" s="20" t="s">
        <v>215</v>
      </c>
      <c r="D82" s="20" t="s">
        <v>215</v>
      </c>
      <c r="E82" s="20" t="s">
        <v>215</v>
      </c>
      <c r="F82" s="20" t="s">
        <v>215</v>
      </c>
      <c r="G82" s="20" t="s">
        <v>215</v>
      </c>
      <c r="H82" s="20" t="s">
        <v>215</v>
      </c>
      <c r="I82" s="20" t="s">
        <v>215</v>
      </c>
      <c r="J82" s="20" t="s">
        <v>215</v>
      </c>
      <c r="K82" s="20" t="s">
        <v>215</v>
      </c>
      <c r="L82" s="20" t="s">
        <v>215</v>
      </c>
      <c r="M82" s="20" t="s">
        <v>215</v>
      </c>
      <c r="N82" s="20" t="s">
        <v>215</v>
      </c>
      <c r="O82" s="20" t="s">
        <v>215</v>
      </c>
      <c r="P82" s="20" t="s">
        <v>215</v>
      </c>
      <c r="Q82" s="20" t="s">
        <v>215</v>
      </c>
      <c r="R82" s="20" t="s">
        <v>215</v>
      </c>
    </row>
    <row r="83" spans="1:18" x14ac:dyDescent="0.25">
      <c r="A83" s="3" t="s">
        <v>216</v>
      </c>
    </row>
    <row r="84" spans="1:18" x14ac:dyDescent="0.25">
      <c r="A84" s="22" t="s">
        <v>217</v>
      </c>
      <c r="B84" s="23"/>
      <c r="C84" s="23"/>
      <c r="D84" s="23"/>
      <c r="E84" s="23"/>
      <c r="F84" s="23"/>
      <c r="G84" s="23"/>
      <c r="H84" s="23"/>
      <c r="I84" s="23"/>
      <c r="J84" s="23"/>
      <c r="K84" s="23"/>
      <c r="L84" s="23"/>
      <c r="M84" s="23"/>
      <c r="N84" s="23"/>
      <c r="O84" s="23"/>
      <c r="P84" s="23"/>
      <c r="Q84" s="23"/>
      <c r="R84" s="23"/>
    </row>
    <row r="85" spans="1:18" x14ac:dyDescent="0.25">
      <c r="A85" s="22" t="s">
        <v>218</v>
      </c>
      <c r="B85" s="23"/>
      <c r="C85" s="23"/>
      <c r="D85" s="23"/>
      <c r="E85" s="23"/>
      <c r="F85" s="23"/>
      <c r="G85" s="23"/>
      <c r="H85" s="23"/>
      <c r="I85" s="23"/>
      <c r="J85" s="23"/>
      <c r="K85" s="23"/>
      <c r="L85" s="23"/>
      <c r="M85" s="23"/>
      <c r="N85" s="23"/>
      <c r="O85" s="23"/>
      <c r="P85" s="23"/>
      <c r="Q85" s="23"/>
      <c r="R85" s="23"/>
    </row>
    <row r="86" spans="1:18" ht="30" customHeight="1" x14ac:dyDescent="0.25">
      <c r="A86" s="22" t="s">
        <v>219</v>
      </c>
      <c r="B86" s="23"/>
      <c r="C86" s="23"/>
      <c r="D86" s="23"/>
      <c r="E86" s="23"/>
      <c r="F86" s="23"/>
      <c r="G86" s="23"/>
      <c r="H86" s="23"/>
      <c r="I86" s="23"/>
      <c r="J86" s="23"/>
      <c r="K86" s="23"/>
      <c r="L86" s="23"/>
      <c r="M86" s="23"/>
      <c r="N86" s="23"/>
      <c r="O86" s="23"/>
      <c r="P86" s="23"/>
      <c r="Q86" s="23"/>
      <c r="R86" s="23"/>
    </row>
    <row r="87" spans="1:18" ht="30" customHeight="1" x14ac:dyDescent="0.25">
      <c r="A87" s="22" t="s">
        <v>215</v>
      </c>
      <c r="B87" s="23"/>
      <c r="C87" s="23"/>
      <c r="D87" s="23"/>
      <c r="E87" s="23"/>
      <c r="F87" s="23"/>
      <c r="G87" s="23"/>
      <c r="H87" s="23"/>
      <c r="I87" s="23"/>
      <c r="J87" s="23"/>
      <c r="K87" s="23"/>
      <c r="L87" s="23"/>
      <c r="M87" s="23"/>
      <c r="N87" s="23"/>
      <c r="O87" s="23"/>
      <c r="P87" s="23"/>
      <c r="Q87" s="23"/>
      <c r="R87" s="23"/>
    </row>
    <row r="88" spans="1:18" ht="30" customHeight="1" x14ac:dyDescent="0.25">
      <c r="A88" s="22" t="s">
        <v>220</v>
      </c>
      <c r="B88" s="23"/>
      <c r="C88" s="23"/>
      <c r="D88" s="23"/>
      <c r="E88" s="23"/>
      <c r="F88" s="23"/>
      <c r="G88" s="23"/>
      <c r="H88" s="23"/>
      <c r="I88" s="23"/>
      <c r="J88" s="23"/>
      <c r="K88" s="23"/>
      <c r="L88" s="23"/>
      <c r="M88" s="23"/>
      <c r="N88" s="23"/>
      <c r="O88" s="23"/>
      <c r="P88" s="23"/>
      <c r="Q88" s="23"/>
      <c r="R88" s="23"/>
    </row>
    <row r="89" spans="1:18" ht="30" customHeight="1" x14ac:dyDescent="0.25">
      <c r="A89" s="22" t="s">
        <v>221</v>
      </c>
      <c r="B89" s="23"/>
      <c r="C89" s="23"/>
      <c r="D89" s="23"/>
      <c r="E89" s="23"/>
      <c r="F89" s="23"/>
      <c r="G89" s="23"/>
      <c r="H89" s="23"/>
      <c r="I89" s="23"/>
      <c r="J89" s="23"/>
      <c r="K89" s="23"/>
      <c r="L89" s="23"/>
      <c r="M89" s="23"/>
      <c r="N89" s="23"/>
      <c r="O89" s="23"/>
      <c r="P89" s="23"/>
      <c r="Q89" s="23"/>
      <c r="R89" s="23"/>
    </row>
    <row r="90" spans="1:18" ht="30" customHeight="1" x14ac:dyDescent="0.25">
      <c r="A90" s="22" t="s">
        <v>222</v>
      </c>
      <c r="B90" s="23"/>
      <c r="C90" s="23"/>
      <c r="D90" s="23"/>
      <c r="E90" s="23"/>
      <c r="F90" s="23"/>
      <c r="G90" s="23"/>
      <c r="H90" s="23"/>
      <c r="I90" s="23"/>
      <c r="J90" s="23"/>
      <c r="K90" s="23"/>
      <c r="L90" s="23"/>
      <c r="M90" s="23"/>
      <c r="N90" s="23"/>
      <c r="O90" s="23"/>
      <c r="P90" s="23"/>
      <c r="Q90" s="23"/>
      <c r="R90" s="23"/>
    </row>
    <row r="91" spans="1:18" ht="30" customHeight="1" x14ac:dyDescent="0.25">
      <c r="A91" s="22" t="s">
        <v>223</v>
      </c>
      <c r="B91" s="23"/>
      <c r="C91" s="23"/>
      <c r="D91" s="23"/>
      <c r="E91" s="23"/>
      <c r="F91" s="23"/>
      <c r="G91" s="23"/>
      <c r="H91" s="23"/>
      <c r="I91" s="23"/>
      <c r="J91" s="23"/>
      <c r="K91" s="23"/>
      <c r="L91" s="23"/>
      <c r="M91" s="23"/>
      <c r="N91" s="23"/>
      <c r="O91" s="23"/>
      <c r="P91" s="23"/>
      <c r="Q91" s="23"/>
      <c r="R91" s="23"/>
    </row>
    <row r="92" spans="1:18" ht="30" customHeight="1" x14ac:dyDescent="0.25">
      <c r="A92" s="22" t="s">
        <v>224</v>
      </c>
      <c r="B92" s="23"/>
      <c r="C92" s="23"/>
      <c r="D92" s="23"/>
      <c r="E92" s="23"/>
      <c r="F92" s="23"/>
      <c r="G92" s="23"/>
      <c r="H92" s="23"/>
      <c r="I92" s="23"/>
      <c r="J92" s="23"/>
      <c r="K92" s="23"/>
      <c r="L92" s="23"/>
      <c r="M92" s="23"/>
      <c r="N92" s="23"/>
      <c r="O92" s="23"/>
      <c r="P92" s="23"/>
      <c r="Q92" s="23"/>
      <c r="R92" s="23"/>
    </row>
    <row r="93" spans="1:18" ht="30" customHeight="1" x14ac:dyDescent="0.25">
      <c r="A93" s="22" t="s">
        <v>225</v>
      </c>
      <c r="B93" s="23"/>
      <c r="C93" s="23"/>
      <c r="D93" s="23"/>
      <c r="E93" s="23"/>
      <c r="F93" s="23"/>
      <c r="G93" s="23"/>
      <c r="H93" s="23"/>
      <c r="I93" s="23"/>
      <c r="J93" s="23"/>
      <c r="K93" s="23"/>
      <c r="L93" s="23"/>
      <c r="M93" s="23"/>
      <c r="N93" s="23"/>
      <c r="O93" s="23"/>
      <c r="P93" s="23"/>
      <c r="Q93" s="23"/>
      <c r="R93" s="23"/>
    </row>
    <row r="94" spans="1:18" ht="30" customHeight="1" x14ac:dyDescent="0.25">
      <c r="A94" s="22" t="s">
        <v>226</v>
      </c>
      <c r="B94" s="23"/>
      <c r="C94" s="23"/>
      <c r="D94" s="23"/>
      <c r="E94" s="23"/>
      <c r="F94" s="23"/>
      <c r="G94" s="23"/>
      <c r="H94" s="23"/>
      <c r="I94" s="23"/>
      <c r="J94" s="23"/>
      <c r="K94" s="23"/>
      <c r="L94" s="23"/>
      <c r="M94" s="23"/>
      <c r="N94" s="23"/>
      <c r="O94" s="23"/>
      <c r="P94" s="23"/>
      <c r="Q94" s="23"/>
      <c r="R94" s="23"/>
    </row>
    <row r="95" spans="1:18" ht="30" customHeight="1" x14ac:dyDescent="0.25">
      <c r="A95" s="22" t="s">
        <v>227</v>
      </c>
      <c r="B95" s="23"/>
      <c r="C95" s="23"/>
      <c r="D95" s="23"/>
      <c r="E95" s="23"/>
      <c r="F95" s="23"/>
      <c r="G95" s="23"/>
      <c r="H95" s="23"/>
      <c r="I95" s="23"/>
      <c r="J95" s="23"/>
      <c r="K95" s="23"/>
      <c r="L95" s="23"/>
      <c r="M95" s="23"/>
      <c r="N95" s="23"/>
      <c r="O95" s="23"/>
      <c r="P95" s="23"/>
      <c r="Q95" s="23"/>
      <c r="R95" s="23"/>
    </row>
    <row r="96" spans="1:18" ht="30" customHeight="1" x14ac:dyDescent="0.25">
      <c r="A96" s="22" t="s">
        <v>228</v>
      </c>
      <c r="B96" s="23"/>
      <c r="C96" s="23"/>
      <c r="D96" s="23"/>
      <c r="E96" s="23"/>
      <c r="F96" s="23"/>
      <c r="G96" s="23"/>
      <c r="H96" s="23"/>
      <c r="I96" s="23"/>
      <c r="J96" s="23"/>
      <c r="K96" s="23"/>
      <c r="L96" s="23"/>
      <c r="M96" s="23"/>
      <c r="N96" s="23"/>
      <c r="O96" s="23"/>
      <c r="P96" s="23"/>
      <c r="Q96" s="23"/>
      <c r="R96" s="23"/>
    </row>
  </sheetData>
  <mergeCells count="22">
    <mergeCell ref="O4:P4"/>
    <mergeCell ref="Q4:R4"/>
    <mergeCell ref="A1:R1"/>
    <mergeCell ref="A2:R2"/>
    <mergeCell ref="A84:R84"/>
    <mergeCell ref="E4:F4"/>
    <mergeCell ref="G4:H4"/>
    <mergeCell ref="I4:J4"/>
    <mergeCell ref="K4:L4"/>
    <mergeCell ref="M4:N4"/>
    <mergeCell ref="A85:R85"/>
    <mergeCell ref="A86:R86"/>
    <mergeCell ref="A87:R87"/>
    <mergeCell ref="A88:R88"/>
    <mergeCell ref="A89:R89"/>
    <mergeCell ref="A95:R95"/>
    <mergeCell ref="A96:R96"/>
    <mergeCell ref="A90:R90"/>
    <mergeCell ref="A91:R91"/>
    <mergeCell ref="A92:R92"/>
    <mergeCell ref="A93:R93"/>
    <mergeCell ref="A94:R94"/>
  </mergeCells>
  <pageMargins left="0.75" right="0.75" top="1" bottom="1" header="0.5" footer="0.5"/>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8"/>
  <dimension ref="A1:R96"/>
  <sheetViews>
    <sheetView zoomScale="80" workbookViewId="0">
      <pane xSplit="4" topLeftCell="E1" activePane="topRight" state="frozen"/>
      <selection sqref="A1:R1"/>
      <selection pane="topRight" sqref="A1:R1"/>
    </sheetView>
  </sheetViews>
  <sheetFormatPr defaultColWidth="11.42578125" defaultRowHeight="15" x14ac:dyDescent="0.25"/>
  <cols>
    <col min="1" max="1" width="50" customWidth="1"/>
  </cols>
  <sheetData>
    <row r="1" spans="1:18" x14ac:dyDescent="0.25">
      <c r="A1" s="26" t="s">
        <v>122</v>
      </c>
      <c r="B1" s="23"/>
      <c r="C1" s="23"/>
      <c r="D1" s="23"/>
      <c r="E1" s="23"/>
      <c r="F1" s="23"/>
      <c r="G1" s="23"/>
      <c r="H1" s="23"/>
      <c r="I1" s="23"/>
      <c r="J1" s="23"/>
      <c r="K1" s="23"/>
      <c r="L1" s="23"/>
      <c r="M1" s="23"/>
      <c r="N1" s="23"/>
      <c r="O1" s="23"/>
      <c r="P1" s="23"/>
      <c r="Q1" s="23"/>
      <c r="R1" s="23"/>
    </row>
    <row r="2" spans="1:18" x14ac:dyDescent="0.25">
      <c r="A2" s="27" t="s">
        <v>304</v>
      </c>
      <c r="B2" s="23"/>
      <c r="C2" s="23"/>
      <c r="D2" s="23"/>
      <c r="E2" s="23"/>
      <c r="F2" s="23"/>
      <c r="G2" s="23"/>
      <c r="H2" s="23"/>
      <c r="I2" s="23"/>
      <c r="J2" s="23"/>
      <c r="K2" s="23"/>
      <c r="L2" s="23"/>
      <c r="M2" s="23"/>
      <c r="N2" s="23"/>
      <c r="O2" s="23"/>
      <c r="P2" s="23"/>
      <c r="Q2" s="23"/>
      <c r="R2" s="23"/>
    </row>
    <row r="4" spans="1:18" ht="30" customHeight="1" x14ac:dyDescent="0.25">
      <c r="A4" s="4"/>
      <c r="B4" s="5" t="s">
        <v>123</v>
      </c>
      <c r="C4" s="5" t="s">
        <v>124</v>
      </c>
      <c r="D4" s="6" t="s">
        <v>123</v>
      </c>
      <c r="E4" s="24" t="s">
        <v>125</v>
      </c>
      <c r="F4" s="25"/>
      <c r="G4" s="24" t="s">
        <v>126</v>
      </c>
      <c r="H4" s="25"/>
      <c r="I4" s="24" t="s">
        <v>127</v>
      </c>
      <c r="J4" s="25"/>
      <c r="K4" s="24" t="s">
        <v>128</v>
      </c>
      <c r="L4" s="25"/>
      <c r="M4" s="24" t="s">
        <v>129</v>
      </c>
      <c r="N4" s="25"/>
      <c r="O4" s="24" t="s">
        <v>130</v>
      </c>
      <c r="P4" s="25"/>
      <c r="Q4" s="24" t="s">
        <v>131</v>
      </c>
      <c r="R4" s="25"/>
    </row>
    <row r="5" spans="1:18" x14ac:dyDescent="0.25">
      <c r="A5" s="7"/>
      <c r="B5" s="8" t="s">
        <v>132</v>
      </c>
      <c r="C5" s="8" t="s">
        <v>133</v>
      </c>
      <c r="D5" s="7" t="s">
        <v>134</v>
      </c>
      <c r="E5" s="8" t="s">
        <v>135</v>
      </c>
      <c r="F5" s="7" t="s">
        <v>136</v>
      </c>
      <c r="G5" s="8" t="s">
        <v>135</v>
      </c>
      <c r="H5" s="7" t="s">
        <v>136</v>
      </c>
      <c r="I5" s="8" t="s">
        <v>135</v>
      </c>
      <c r="J5" s="7" t="s">
        <v>136</v>
      </c>
      <c r="K5" s="8" t="s">
        <v>135</v>
      </c>
      <c r="L5" s="7" t="s">
        <v>136</v>
      </c>
      <c r="M5" s="8" t="s">
        <v>135</v>
      </c>
      <c r="N5" s="7" t="s">
        <v>136</v>
      </c>
      <c r="O5" s="8" t="s">
        <v>135</v>
      </c>
      <c r="P5" s="7" t="s">
        <v>136</v>
      </c>
      <c r="Q5" s="8" t="s">
        <v>135</v>
      </c>
      <c r="R5" s="7" t="s">
        <v>136</v>
      </c>
    </row>
    <row r="6" spans="1:18" x14ac:dyDescent="0.25">
      <c r="A6" s="9" t="s">
        <v>137</v>
      </c>
      <c r="B6" s="10"/>
      <c r="C6" s="10"/>
      <c r="D6" s="11"/>
      <c r="E6" s="10"/>
      <c r="F6" s="11"/>
      <c r="G6" s="10"/>
      <c r="H6" s="11"/>
      <c r="I6" s="10"/>
      <c r="J6" s="11"/>
      <c r="K6" s="10"/>
      <c r="L6" s="11"/>
      <c r="M6" s="10"/>
      <c r="N6" s="11"/>
      <c r="O6" s="10"/>
      <c r="P6" s="11"/>
      <c r="Q6" s="10"/>
      <c r="R6" s="12"/>
    </row>
    <row r="7" spans="1:18" x14ac:dyDescent="0.25">
      <c r="A7" s="11" t="s">
        <v>138</v>
      </c>
      <c r="B7" s="13">
        <v>14530</v>
      </c>
      <c r="C7" s="14">
        <f>(12188/B7*100)</f>
        <v>83.881624225739841</v>
      </c>
      <c r="D7" s="15">
        <v>2342</v>
      </c>
      <c r="E7" s="14">
        <v>32.397131760000001</v>
      </c>
      <c r="F7" s="16">
        <v>1.2693584899999999</v>
      </c>
      <c r="G7" s="14">
        <v>67.602868240000006</v>
      </c>
      <c r="H7" s="16">
        <v>1.2693584899999999</v>
      </c>
      <c r="I7" s="14" t="s">
        <v>139</v>
      </c>
      <c r="J7" s="16" t="s">
        <v>139</v>
      </c>
      <c r="K7" s="14">
        <v>0</v>
      </c>
      <c r="L7" s="16">
        <v>0</v>
      </c>
      <c r="M7" s="14">
        <v>0</v>
      </c>
      <c r="N7" s="16">
        <v>0</v>
      </c>
      <c r="O7" s="14">
        <v>0</v>
      </c>
      <c r="P7" s="16">
        <v>0</v>
      </c>
      <c r="Q7" s="14">
        <v>0</v>
      </c>
      <c r="R7" s="16">
        <v>0</v>
      </c>
    </row>
    <row r="8" spans="1:18" x14ac:dyDescent="0.25">
      <c r="A8" s="11" t="s">
        <v>140</v>
      </c>
      <c r="B8" s="13">
        <v>7007</v>
      </c>
      <c r="C8" s="14">
        <f>(5837/B8*100)</f>
        <v>83.302411873840441</v>
      </c>
      <c r="D8" s="15">
        <v>1170</v>
      </c>
      <c r="E8" s="14">
        <v>29.461969329999999</v>
      </c>
      <c r="F8" s="16">
        <v>1.6938721299999999</v>
      </c>
      <c r="G8" s="14">
        <v>70.538030669999998</v>
      </c>
      <c r="H8" s="16">
        <v>1.6938721299999999</v>
      </c>
      <c r="I8" s="14" t="s">
        <v>139</v>
      </c>
      <c r="J8" s="16" t="s">
        <v>139</v>
      </c>
      <c r="K8" s="14">
        <v>0</v>
      </c>
      <c r="L8" s="16">
        <v>0</v>
      </c>
      <c r="M8" s="14">
        <v>0</v>
      </c>
      <c r="N8" s="16">
        <v>0</v>
      </c>
      <c r="O8" s="14">
        <v>0</v>
      </c>
      <c r="P8" s="16">
        <v>0</v>
      </c>
      <c r="Q8" s="14">
        <v>0</v>
      </c>
      <c r="R8" s="16">
        <v>0</v>
      </c>
    </row>
    <row r="9" spans="1:18" x14ac:dyDescent="0.25">
      <c r="A9" s="11" t="s">
        <v>141</v>
      </c>
      <c r="B9" s="13">
        <v>9651</v>
      </c>
      <c r="C9" s="14">
        <f>(8124/B9*100)</f>
        <v>84.17780540876592</v>
      </c>
      <c r="D9" s="15">
        <v>1527</v>
      </c>
      <c r="E9" s="14">
        <v>35.406194560000003</v>
      </c>
      <c r="F9" s="16">
        <v>1.33053379</v>
      </c>
      <c r="G9" s="14">
        <v>64.593805439999997</v>
      </c>
      <c r="H9" s="16">
        <v>1.33053379</v>
      </c>
      <c r="I9" s="14" t="s">
        <v>139</v>
      </c>
      <c r="J9" s="16" t="s">
        <v>139</v>
      </c>
      <c r="K9" s="14">
        <v>0</v>
      </c>
      <c r="L9" s="16">
        <v>0</v>
      </c>
      <c r="M9" s="14">
        <v>0</v>
      </c>
      <c r="N9" s="16">
        <v>0</v>
      </c>
      <c r="O9" s="14">
        <v>0</v>
      </c>
      <c r="P9" s="16">
        <v>0</v>
      </c>
      <c r="Q9" s="14">
        <v>0</v>
      </c>
      <c r="R9" s="16">
        <v>0</v>
      </c>
    </row>
    <row r="10" spans="1:18" x14ac:dyDescent="0.25">
      <c r="A10" s="11" t="s">
        <v>142</v>
      </c>
      <c r="B10" s="13">
        <v>20058</v>
      </c>
      <c r="C10" s="14">
        <f>(16690/B10*100)</f>
        <v>83.208694785123143</v>
      </c>
      <c r="D10" s="15">
        <v>3368</v>
      </c>
      <c r="E10" s="14">
        <v>31.20460709</v>
      </c>
      <c r="F10" s="16">
        <v>1.296926</v>
      </c>
      <c r="G10" s="14">
        <v>68.795392910000004</v>
      </c>
      <c r="H10" s="16">
        <v>1.296926</v>
      </c>
      <c r="I10" s="14" t="s">
        <v>139</v>
      </c>
      <c r="J10" s="16" t="s">
        <v>139</v>
      </c>
      <c r="K10" s="14">
        <v>0</v>
      </c>
      <c r="L10" s="16">
        <v>0</v>
      </c>
      <c r="M10" s="14">
        <v>0</v>
      </c>
      <c r="N10" s="16">
        <v>0</v>
      </c>
      <c r="O10" s="14">
        <v>0</v>
      </c>
      <c r="P10" s="16">
        <v>0</v>
      </c>
      <c r="Q10" s="14">
        <v>0</v>
      </c>
      <c r="R10" s="16">
        <v>0</v>
      </c>
    </row>
    <row r="11" spans="1:18" x14ac:dyDescent="0.25">
      <c r="A11" s="11" t="s">
        <v>143</v>
      </c>
      <c r="B11" s="13">
        <v>7053</v>
      </c>
      <c r="C11" s="14">
        <f>(5899/B11*100)</f>
        <v>83.638168155394865</v>
      </c>
      <c r="D11" s="15">
        <v>1154</v>
      </c>
      <c r="E11" s="14">
        <v>50.64740055</v>
      </c>
      <c r="F11" s="16">
        <v>1.7508421999999999</v>
      </c>
      <c r="G11" s="14">
        <v>49.35259945</v>
      </c>
      <c r="H11" s="16">
        <v>1.7508421999999999</v>
      </c>
      <c r="I11" s="14" t="s">
        <v>139</v>
      </c>
      <c r="J11" s="16" t="s">
        <v>139</v>
      </c>
      <c r="K11" s="14">
        <v>0</v>
      </c>
      <c r="L11" s="16">
        <v>0</v>
      </c>
      <c r="M11" s="14">
        <v>0</v>
      </c>
      <c r="N11" s="16">
        <v>0</v>
      </c>
      <c r="O11" s="14">
        <v>0</v>
      </c>
      <c r="P11" s="16">
        <v>0</v>
      </c>
      <c r="Q11" s="14">
        <v>0</v>
      </c>
      <c r="R11" s="16">
        <v>0</v>
      </c>
    </row>
    <row r="12" spans="1:18" x14ac:dyDescent="0.25">
      <c r="A12" s="11" t="s">
        <v>144</v>
      </c>
      <c r="B12" s="13">
        <v>6894</v>
      </c>
      <c r="C12" s="14">
        <f>(5764/B12*100)</f>
        <v>83.608935306063245</v>
      </c>
      <c r="D12" s="15">
        <v>1130</v>
      </c>
      <c r="E12" s="14">
        <v>38.256801340000003</v>
      </c>
      <c r="F12" s="16">
        <v>1.53753348</v>
      </c>
      <c r="G12" s="14">
        <v>61.743198659999997</v>
      </c>
      <c r="H12" s="16">
        <v>1.53753348</v>
      </c>
      <c r="I12" s="14" t="s">
        <v>139</v>
      </c>
      <c r="J12" s="16" t="s">
        <v>139</v>
      </c>
      <c r="K12" s="14">
        <v>0</v>
      </c>
      <c r="L12" s="16">
        <v>0</v>
      </c>
      <c r="M12" s="14">
        <v>0</v>
      </c>
      <c r="N12" s="16">
        <v>0</v>
      </c>
      <c r="O12" s="14">
        <v>0</v>
      </c>
      <c r="P12" s="16">
        <v>0</v>
      </c>
      <c r="Q12" s="14">
        <v>0</v>
      </c>
      <c r="R12" s="16">
        <v>0</v>
      </c>
    </row>
    <row r="13" spans="1:18" x14ac:dyDescent="0.25">
      <c r="A13" s="11" t="s">
        <v>145</v>
      </c>
      <c r="B13" s="13">
        <v>7161</v>
      </c>
      <c r="C13" s="14">
        <f>(6052/B13*100)</f>
        <v>84.513336126239352</v>
      </c>
      <c r="D13" s="15">
        <v>1109</v>
      </c>
      <c r="E13" s="14">
        <v>38.632548569999997</v>
      </c>
      <c r="F13" s="16">
        <v>1.8301353600000001</v>
      </c>
      <c r="G13" s="14">
        <v>61.367451430000003</v>
      </c>
      <c r="H13" s="16">
        <v>1.8301353600000001</v>
      </c>
      <c r="I13" s="14" t="s">
        <v>139</v>
      </c>
      <c r="J13" s="16" t="s">
        <v>139</v>
      </c>
      <c r="K13" s="14">
        <v>0</v>
      </c>
      <c r="L13" s="16">
        <v>0</v>
      </c>
      <c r="M13" s="14">
        <v>0</v>
      </c>
      <c r="N13" s="16">
        <v>0</v>
      </c>
      <c r="O13" s="14">
        <v>0</v>
      </c>
      <c r="P13" s="16">
        <v>0</v>
      </c>
      <c r="Q13" s="14">
        <v>0</v>
      </c>
      <c r="R13" s="16">
        <v>0</v>
      </c>
    </row>
    <row r="14" spans="1:18" x14ac:dyDescent="0.25">
      <c r="A14" s="11" t="s">
        <v>146</v>
      </c>
      <c r="B14" s="13">
        <v>5587</v>
      </c>
      <c r="C14" s="14">
        <f>(4649/B14*100)</f>
        <v>83.211025595131559</v>
      </c>
      <c r="D14" s="15">
        <v>938</v>
      </c>
      <c r="E14" s="14">
        <v>22.897918019999999</v>
      </c>
      <c r="F14" s="16">
        <v>1.3670778800000001</v>
      </c>
      <c r="G14" s="14">
        <v>77.102081979999994</v>
      </c>
      <c r="H14" s="16">
        <v>1.3670778800000001</v>
      </c>
      <c r="I14" s="14" t="s">
        <v>139</v>
      </c>
      <c r="J14" s="16" t="s">
        <v>139</v>
      </c>
      <c r="K14" s="14">
        <v>0</v>
      </c>
      <c r="L14" s="16">
        <v>0</v>
      </c>
      <c r="M14" s="14">
        <v>0</v>
      </c>
      <c r="N14" s="16">
        <v>0</v>
      </c>
      <c r="O14" s="14">
        <v>0</v>
      </c>
      <c r="P14" s="16">
        <v>0</v>
      </c>
      <c r="Q14" s="14">
        <v>0</v>
      </c>
      <c r="R14" s="16">
        <v>0</v>
      </c>
    </row>
    <row r="15" spans="1:18" x14ac:dyDescent="0.25">
      <c r="A15" s="11" t="s">
        <v>147</v>
      </c>
      <c r="B15" s="13">
        <v>5882</v>
      </c>
      <c r="C15" s="14">
        <f>(4896/B15*100)</f>
        <v>83.236994219653184</v>
      </c>
      <c r="D15" s="15">
        <v>986</v>
      </c>
      <c r="E15" s="14">
        <v>32.874283699999999</v>
      </c>
      <c r="F15" s="16">
        <v>1.65917801</v>
      </c>
      <c r="G15" s="14">
        <v>67.125716299999993</v>
      </c>
      <c r="H15" s="16">
        <v>1.65917801</v>
      </c>
      <c r="I15" s="14" t="s">
        <v>139</v>
      </c>
      <c r="J15" s="16" t="s">
        <v>139</v>
      </c>
      <c r="K15" s="14">
        <v>0</v>
      </c>
      <c r="L15" s="16">
        <v>0</v>
      </c>
      <c r="M15" s="14">
        <v>0</v>
      </c>
      <c r="N15" s="16">
        <v>0</v>
      </c>
      <c r="O15" s="14">
        <v>0</v>
      </c>
      <c r="P15" s="16">
        <v>0</v>
      </c>
      <c r="Q15" s="14">
        <v>0</v>
      </c>
      <c r="R15" s="16">
        <v>0</v>
      </c>
    </row>
    <row r="16" spans="1:18" x14ac:dyDescent="0.25">
      <c r="A16" s="11" t="s">
        <v>148</v>
      </c>
      <c r="B16" s="13">
        <v>6108</v>
      </c>
      <c r="C16" s="14">
        <f>(5078/B16*100)</f>
        <v>83.136869679109367</v>
      </c>
      <c r="D16" s="15">
        <v>1030</v>
      </c>
      <c r="E16" s="14">
        <v>33.58282071</v>
      </c>
      <c r="F16" s="16">
        <v>1.4475690299999999</v>
      </c>
      <c r="G16" s="14">
        <v>66.417179290000007</v>
      </c>
      <c r="H16" s="16">
        <v>1.4475690299999999</v>
      </c>
      <c r="I16" s="14" t="s">
        <v>139</v>
      </c>
      <c r="J16" s="16" t="s">
        <v>139</v>
      </c>
      <c r="K16" s="14">
        <v>0</v>
      </c>
      <c r="L16" s="16">
        <v>0</v>
      </c>
      <c r="M16" s="14">
        <v>0</v>
      </c>
      <c r="N16" s="16">
        <v>0</v>
      </c>
      <c r="O16" s="14">
        <v>0</v>
      </c>
      <c r="P16" s="16">
        <v>0</v>
      </c>
      <c r="Q16" s="14">
        <v>0</v>
      </c>
      <c r="R16" s="16">
        <v>0</v>
      </c>
    </row>
    <row r="17" spans="1:18" x14ac:dyDescent="0.25">
      <c r="A17" s="11" t="s">
        <v>149</v>
      </c>
      <c r="B17" s="13">
        <v>6504</v>
      </c>
      <c r="C17" s="14">
        <f>(5432/B17*100)</f>
        <v>83.517835178351788</v>
      </c>
      <c r="D17" s="15">
        <v>1072</v>
      </c>
      <c r="E17" s="14">
        <v>28.077534579999998</v>
      </c>
      <c r="F17" s="16">
        <v>1.20661058</v>
      </c>
      <c r="G17" s="14">
        <v>71.922465419999995</v>
      </c>
      <c r="H17" s="16">
        <v>1.20661058</v>
      </c>
      <c r="I17" s="14" t="s">
        <v>139</v>
      </c>
      <c r="J17" s="16" t="s">
        <v>139</v>
      </c>
      <c r="K17" s="14">
        <v>0</v>
      </c>
      <c r="L17" s="16">
        <v>0</v>
      </c>
      <c r="M17" s="14">
        <v>0</v>
      </c>
      <c r="N17" s="16">
        <v>0</v>
      </c>
      <c r="O17" s="14">
        <v>0</v>
      </c>
      <c r="P17" s="16">
        <v>0</v>
      </c>
      <c r="Q17" s="14">
        <v>0</v>
      </c>
      <c r="R17" s="16">
        <v>0</v>
      </c>
    </row>
    <row r="18" spans="1:18" x14ac:dyDescent="0.25">
      <c r="A18" s="11" t="s">
        <v>150</v>
      </c>
      <c r="B18" s="13">
        <v>5532</v>
      </c>
      <c r="C18" s="14">
        <f>(4633/B18*100)</f>
        <v>83.749096167751276</v>
      </c>
      <c r="D18" s="15">
        <v>899</v>
      </c>
      <c r="E18" s="14">
        <v>49.234178960000001</v>
      </c>
      <c r="F18" s="16">
        <v>1.8302090099999999</v>
      </c>
      <c r="G18" s="14">
        <v>50.765821039999999</v>
      </c>
      <c r="H18" s="16">
        <v>1.8302090099999999</v>
      </c>
      <c r="I18" s="14" t="s">
        <v>139</v>
      </c>
      <c r="J18" s="16" t="s">
        <v>139</v>
      </c>
      <c r="K18" s="14">
        <v>0</v>
      </c>
      <c r="L18" s="16">
        <v>0</v>
      </c>
      <c r="M18" s="14">
        <v>0</v>
      </c>
      <c r="N18" s="16">
        <v>0</v>
      </c>
      <c r="O18" s="14">
        <v>0</v>
      </c>
      <c r="P18" s="16">
        <v>0</v>
      </c>
      <c r="Q18" s="14">
        <v>0</v>
      </c>
      <c r="R18" s="16">
        <v>0</v>
      </c>
    </row>
    <row r="19" spans="1:18" x14ac:dyDescent="0.25">
      <c r="A19" s="11" t="s">
        <v>151</v>
      </c>
      <c r="B19" s="13">
        <v>5658</v>
      </c>
      <c r="C19" s="14">
        <f>(4733/B19*100)</f>
        <v>83.6514669494521</v>
      </c>
      <c r="D19" s="15">
        <v>925</v>
      </c>
      <c r="E19" s="14">
        <v>43.439445929999998</v>
      </c>
      <c r="F19" s="16">
        <v>1.70843692</v>
      </c>
      <c r="G19" s="14">
        <v>56.560554070000002</v>
      </c>
      <c r="H19" s="16">
        <v>1.70843692</v>
      </c>
      <c r="I19" s="14" t="s">
        <v>139</v>
      </c>
      <c r="J19" s="16" t="s">
        <v>139</v>
      </c>
      <c r="K19" s="14">
        <v>0</v>
      </c>
      <c r="L19" s="16">
        <v>0</v>
      </c>
      <c r="M19" s="14">
        <v>0</v>
      </c>
      <c r="N19" s="16">
        <v>0</v>
      </c>
      <c r="O19" s="14">
        <v>0</v>
      </c>
      <c r="P19" s="16">
        <v>0</v>
      </c>
      <c r="Q19" s="14">
        <v>0</v>
      </c>
      <c r="R19" s="16">
        <v>0</v>
      </c>
    </row>
    <row r="20" spans="1:18" x14ac:dyDescent="0.25">
      <c r="A20" s="11" t="s">
        <v>152</v>
      </c>
      <c r="B20" s="13">
        <v>3371</v>
      </c>
      <c r="C20" s="14">
        <f>(2823/B20*100)</f>
        <v>83.743696232571935</v>
      </c>
      <c r="D20" s="15">
        <v>548</v>
      </c>
      <c r="E20" s="14">
        <v>37.758073099999997</v>
      </c>
      <c r="F20" s="16">
        <v>2.1690538899999998</v>
      </c>
      <c r="G20" s="14">
        <v>62.241926900000003</v>
      </c>
      <c r="H20" s="16">
        <v>2.1690538899999998</v>
      </c>
      <c r="I20" s="14" t="s">
        <v>139</v>
      </c>
      <c r="J20" s="16" t="s">
        <v>139</v>
      </c>
      <c r="K20" s="14">
        <v>0</v>
      </c>
      <c r="L20" s="16">
        <v>0</v>
      </c>
      <c r="M20" s="14">
        <v>0</v>
      </c>
      <c r="N20" s="16">
        <v>0</v>
      </c>
      <c r="O20" s="14">
        <v>0</v>
      </c>
      <c r="P20" s="16">
        <v>0</v>
      </c>
      <c r="Q20" s="14">
        <v>0</v>
      </c>
      <c r="R20" s="16">
        <v>0</v>
      </c>
    </row>
    <row r="21" spans="1:18" x14ac:dyDescent="0.25">
      <c r="A21" s="11" t="s">
        <v>153</v>
      </c>
      <c r="B21" s="17" t="s">
        <v>154</v>
      </c>
      <c r="C21" s="17" t="s">
        <v>154</v>
      </c>
      <c r="D21" s="18" t="s">
        <v>154</v>
      </c>
      <c r="E21" s="17" t="s">
        <v>154</v>
      </c>
      <c r="F21" s="18" t="s">
        <v>154</v>
      </c>
      <c r="G21" s="17" t="s">
        <v>154</v>
      </c>
      <c r="H21" s="18" t="s">
        <v>154</v>
      </c>
      <c r="I21" s="17" t="s">
        <v>154</v>
      </c>
      <c r="J21" s="18" t="s">
        <v>154</v>
      </c>
      <c r="K21" s="17" t="s">
        <v>154</v>
      </c>
      <c r="L21" s="18" t="s">
        <v>154</v>
      </c>
      <c r="M21" s="17" t="s">
        <v>154</v>
      </c>
      <c r="N21" s="18" t="s">
        <v>154</v>
      </c>
      <c r="O21" s="17" t="s">
        <v>154</v>
      </c>
      <c r="P21" s="18" t="s">
        <v>154</v>
      </c>
      <c r="Q21" s="17" t="s">
        <v>154</v>
      </c>
      <c r="R21" s="18" t="s">
        <v>154</v>
      </c>
    </row>
    <row r="22" spans="1:18" x14ac:dyDescent="0.25">
      <c r="A22" s="11" t="s">
        <v>155</v>
      </c>
      <c r="B22" s="13">
        <v>6598</v>
      </c>
      <c r="C22" s="14">
        <f>(5586/B22*100)</f>
        <v>84.662018793573807</v>
      </c>
      <c r="D22" s="15">
        <v>1012</v>
      </c>
      <c r="E22" s="14">
        <v>47.610322570000001</v>
      </c>
      <c r="F22" s="16">
        <v>2.0955649200000002</v>
      </c>
      <c r="G22" s="14">
        <v>52.389677429999999</v>
      </c>
      <c r="H22" s="16">
        <v>2.0955649200000002</v>
      </c>
      <c r="I22" s="14" t="s">
        <v>139</v>
      </c>
      <c r="J22" s="16" t="s">
        <v>139</v>
      </c>
      <c r="K22" s="14">
        <v>0</v>
      </c>
      <c r="L22" s="16">
        <v>0</v>
      </c>
      <c r="M22" s="14">
        <v>0</v>
      </c>
      <c r="N22" s="16">
        <v>0</v>
      </c>
      <c r="O22" s="14">
        <v>0</v>
      </c>
      <c r="P22" s="16">
        <v>0</v>
      </c>
      <c r="Q22" s="14">
        <v>0</v>
      </c>
      <c r="R22" s="16">
        <v>0</v>
      </c>
    </row>
    <row r="23" spans="1:18" x14ac:dyDescent="0.25">
      <c r="A23" s="11" t="s">
        <v>156</v>
      </c>
      <c r="B23" s="13">
        <v>11583</v>
      </c>
      <c r="C23" s="14">
        <f>(9653/B23*100)</f>
        <v>83.337650004316671</v>
      </c>
      <c r="D23" s="15">
        <v>1930</v>
      </c>
      <c r="E23" s="14">
        <v>36.775260860000003</v>
      </c>
      <c r="F23" s="16">
        <v>1.55955515</v>
      </c>
      <c r="G23" s="14">
        <v>63.224739139999997</v>
      </c>
      <c r="H23" s="16">
        <v>1.55955515</v>
      </c>
      <c r="I23" s="14" t="s">
        <v>139</v>
      </c>
      <c r="J23" s="16" t="s">
        <v>139</v>
      </c>
      <c r="K23" s="14">
        <v>0</v>
      </c>
      <c r="L23" s="16">
        <v>0</v>
      </c>
      <c r="M23" s="14">
        <v>0</v>
      </c>
      <c r="N23" s="16">
        <v>0</v>
      </c>
      <c r="O23" s="14">
        <v>0</v>
      </c>
      <c r="P23" s="16">
        <v>0</v>
      </c>
      <c r="Q23" s="14">
        <v>0</v>
      </c>
      <c r="R23" s="16">
        <v>0</v>
      </c>
    </row>
    <row r="24" spans="1:18" x14ac:dyDescent="0.25">
      <c r="A24" s="11" t="s">
        <v>157</v>
      </c>
      <c r="B24" s="13">
        <v>6647</v>
      </c>
      <c r="C24" s="14">
        <f>(5482/B24*100)</f>
        <v>82.473296223860387</v>
      </c>
      <c r="D24" s="15">
        <v>1165</v>
      </c>
      <c r="E24" s="14">
        <v>18.070163820000001</v>
      </c>
      <c r="F24" s="16">
        <v>1.10358337</v>
      </c>
      <c r="G24" s="14">
        <v>81.929836179999995</v>
      </c>
      <c r="H24" s="16">
        <v>1.10358337</v>
      </c>
      <c r="I24" s="14" t="s">
        <v>139</v>
      </c>
      <c r="J24" s="16" t="s">
        <v>139</v>
      </c>
      <c r="K24" s="14">
        <v>0</v>
      </c>
      <c r="L24" s="16">
        <v>0</v>
      </c>
      <c r="M24" s="14">
        <v>0</v>
      </c>
      <c r="N24" s="16">
        <v>0</v>
      </c>
      <c r="O24" s="14">
        <v>0</v>
      </c>
      <c r="P24" s="16">
        <v>0</v>
      </c>
      <c r="Q24" s="14">
        <v>0</v>
      </c>
      <c r="R24" s="16">
        <v>0</v>
      </c>
    </row>
    <row r="25" spans="1:18" x14ac:dyDescent="0.25">
      <c r="A25" s="11" t="s">
        <v>158</v>
      </c>
      <c r="B25" s="13">
        <v>5581</v>
      </c>
      <c r="C25" s="14">
        <f>(4597/B25*100)</f>
        <v>82.368751119870993</v>
      </c>
      <c r="D25" s="15">
        <v>984</v>
      </c>
      <c r="E25" s="14">
        <v>18.959446490000001</v>
      </c>
      <c r="F25" s="16">
        <v>1.1583214399999999</v>
      </c>
      <c r="G25" s="14">
        <v>81.040553509999995</v>
      </c>
      <c r="H25" s="16">
        <v>1.1583214399999999</v>
      </c>
      <c r="I25" s="14" t="s">
        <v>139</v>
      </c>
      <c r="J25" s="16" t="s">
        <v>139</v>
      </c>
      <c r="K25" s="14">
        <v>0</v>
      </c>
      <c r="L25" s="16">
        <v>0</v>
      </c>
      <c r="M25" s="14">
        <v>0</v>
      </c>
      <c r="N25" s="16">
        <v>0</v>
      </c>
      <c r="O25" s="14">
        <v>0</v>
      </c>
      <c r="P25" s="16">
        <v>0</v>
      </c>
      <c r="Q25" s="14">
        <v>0</v>
      </c>
      <c r="R25" s="16">
        <v>0</v>
      </c>
    </row>
    <row r="26" spans="1:18" x14ac:dyDescent="0.25">
      <c r="A26" s="11" t="s">
        <v>159</v>
      </c>
      <c r="B26" s="13">
        <v>4869</v>
      </c>
      <c r="C26" s="14">
        <f>(4044/B26*100)</f>
        <v>83.056069008009857</v>
      </c>
      <c r="D26" s="15">
        <v>825</v>
      </c>
      <c r="E26" s="14">
        <v>38.039101250000002</v>
      </c>
      <c r="F26" s="16">
        <v>1.71837986</v>
      </c>
      <c r="G26" s="14">
        <v>61.960898749999998</v>
      </c>
      <c r="H26" s="16">
        <v>1.71837986</v>
      </c>
      <c r="I26" s="14" t="s">
        <v>139</v>
      </c>
      <c r="J26" s="16" t="s">
        <v>139</v>
      </c>
      <c r="K26" s="14">
        <v>0</v>
      </c>
      <c r="L26" s="16">
        <v>0</v>
      </c>
      <c r="M26" s="14">
        <v>0</v>
      </c>
      <c r="N26" s="16">
        <v>0</v>
      </c>
      <c r="O26" s="14">
        <v>0</v>
      </c>
      <c r="P26" s="16">
        <v>0</v>
      </c>
      <c r="Q26" s="14">
        <v>0</v>
      </c>
      <c r="R26" s="16">
        <v>0</v>
      </c>
    </row>
    <row r="27" spans="1:18" x14ac:dyDescent="0.25">
      <c r="A27" s="11" t="s">
        <v>160</v>
      </c>
      <c r="B27" s="13">
        <v>5299</v>
      </c>
      <c r="C27" s="14">
        <f>(4441/B27*100)</f>
        <v>83.808265710511421</v>
      </c>
      <c r="D27" s="15">
        <v>858</v>
      </c>
      <c r="E27" s="14">
        <v>34.632741070000002</v>
      </c>
      <c r="F27" s="16">
        <v>1.6246019700000001</v>
      </c>
      <c r="G27" s="14">
        <v>65.367258930000006</v>
      </c>
      <c r="H27" s="16">
        <v>1.6246019700000001</v>
      </c>
      <c r="I27" s="14" t="s">
        <v>139</v>
      </c>
      <c r="J27" s="16" t="s">
        <v>139</v>
      </c>
      <c r="K27" s="14">
        <v>0</v>
      </c>
      <c r="L27" s="16">
        <v>0</v>
      </c>
      <c r="M27" s="14">
        <v>0</v>
      </c>
      <c r="N27" s="16">
        <v>0</v>
      </c>
      <c r="O27" s="14">
        <v>0</v>
      </c>
      <c r="P27" s="16">
        <v>0</v>
      </c>
      <c r="Q27" s="14">
        <v>0</v>
      </c>
      <c r="R27" s="16">
        <v>0</v>
      </c>
    </row>
    <row r="28" spans="1:18" x14ac:dyDescent="0.25">
      <c r="A28" s="11" t="s">
        <v>161</v>
      </c>
      <c r="B28" s="13">
        <v>7568</v>
      </c>
      <c r="C28" s="14">
        <f>(6435/B28*100)</f>
        <v>85.029069767441854</v>
      </c>
      <c r="D28" s="15">
        <v>1133</v>
      </c>
      <c r="E28" s="14">
        <v>51.069151589999997</v>
      </c>
      <c r="F28" s="16">
        <v>1.68379755</v>
      </c>
      <c r="G28" s="14">
        <v>48.930848410000003</v>
      </c>
      <c r="H28" s="16">
        <v>1.68379755</v>
      </c>
      <c r="I28" s="14" t="s">
        <v>139</v>
      </c>
      <c r="J28" s="16" t="s">
        <v>139</v>
      </c>
      <c r="K28" s="14">
        <v>0</v>
      </c>
      <c r="L28" s="16">
        <v>0</v>
      </c>
      <c r="M28" s="14">
        <v>0</v>
      </c>
      <c r="N28" s="16">
        <v>0</v>
      </c>
      <c r="O28" s="14">
        <v>0</v>
      </c>
      <c r="P28" s="16">
        <v>0</v>
      </c>
      <c r="Q28" s="14">
        <v>0</v>
      </c>
      <c r="R28" s="16">
        <v>0</v>
      </c>
    </row>
    <row r="29" spans="1:18" x14ac:dyDescent="0.25">
      <c r="A29" s="11" t="s">
        <v>162</v>
      </c>
      <c r="B29" s="13">
        <v>5385</v>
      </c>
      <c r="C29" s="14">
        <f>(4468/B29*100)</f>
        <v>82.971216341689882</v>
      </c>
      <c r="D29" s="15">
        <v>917</v>
      </c>
      <c r="E29" s="14">
        <v>34.771492760000001</v>
      </c>
      <c r="F29" s="16">
        <v>1.4071189399999999</v>
      </c>
      <c r="G29" s="14">
        <v>65.228507239999999</v>
      </c>
      <c r="H29" s="16">
        <v>1.4071189399999999</v>
      </c>
      <c r="I29" s="14" t="s">
        <v>139</v>
      </c>
      <c r="J29" s="16" t="s">
        <v>139</v>
      </c>
      <c r="K29" s="14">
        <v>0</v>
      </c>
      <c r="L29" s="16">
        <v>0</v>
      </c>
      <c r="M29" s="14">
        <v>0</v>
      </c>
      <c r="N29" s="16">
        <v>0</v>
      </c>
      <c r="O29" s="14">
        <v>0</v>
      </c>
      <c r="P29" s="16">
        <v>0</v>
      </c>
      <c r="Q29" s="14">
        <v>0</v>
      </c>
      <c r="R29" s="16">
        <v>0</v>
      </c>
    </row>
    <row r="30" spans="1:18" x14ac:dyDescent="0.25">
      <c r="A30" s="11" t="s">
        <v>163</v>
      </c>
      <c r="B30" s="13">
        <v>4520</v>
      </c>
      <c r="C30" s="14">
        <f>(3789/B30*100)</f>
        <v>83.827433628318587</v>
      </c>
      <c r="D30" s="15">
        <v>731</v>
      </c>
      <c r="E30" s="14">
        <v>29.958490390000001</v>
      </c>
      <c r="F30" s="16">
        <v>2.0137618900000001</v>
      </c>
      <c r="G30" s="14">
        <v>70.041509610000006</v>
      </c>
      <c r="H30" s="16">
        <v>2.0137618900000001</v>
      </c>
      <c r="I30" s="14" t="s">
        <v>139</v>
      </c>
      <c r="J30" s="16" t="s">
        <v>139</v>
      </c>
      <c r="K30" s="14">
        <v>0</v>
      </c>
      <c r="L30" s="16">
        <v>0</v>
      </c>
      <c r="M30" s="14">
        <v>0</v>
      </c>
      <c r="N30" s="16">
        <v>0</v>
      </c>
      <c r="O30" s="14">
        <v>0</v>
      </c>
      <c r="P30" s="16">
        <v>0</v>
      </c>
      <c r="Q30" s="14">
        <v>0</v>
      </c>
      <c r="R30" s="16">
        <v>0</v>
      </c>
    </row>
    <row r="31" spans="1:18" x14ac:dyDescent="0.25">
      <c r="A31" s="11" t="s">
        <v>164</v>
      </c>
      <c r="B31" s="13">
        <v>5456</v>
      </c>
      <c r="C31" s="14">
        <f>(4512/B31*100)</f>
        <v>82.697947214076251</v>
      </c>
      <c r="D31" s="15">
        <v>944</v>
      </c>
      <c r="E31" s="14">
        <v>42.041078749999997</v>
      </c>
      <c r="F31" s="16">
        <v>2.0070545000000002</v>
      </c>
      <c r="G31" s="14">
        <v>57.958921250000003</v>
      </c>
      <c r="H31" s="16">
        <v>2.0070545000000002</v>
      </c>
      <c r="I31" s="14" t="s">
        <v>139</v>
      </c>
      <c r="J31" s="16" t="s">
        <v>139</v>
      </c>
      <c r="K31" s="14">
        <v>0</v>
      </c>
      <c r="L31" s="16">
        <v>0</v>
      </c>
      <c r="M31" s="14">
        <v>0</v>
      </c>
      <c r="N31" s="16">
        <v>0</v>
      </c>
      <c r="O31" s="14">
        <v>0</v>
      </c>
      <c r="P31" s="16">
        <v>0</v>
      </c>
      <c r="Q31" s="14">
        <v>0</v>
      </c>
      <c r="R31" s="16">
        <v>0</v>
      </c>
    </row>
    <row r="32" spans="1:18" x14ac:dyDescent="0.25">
      <c r="A32" s="11" t="s">
        <v>165</v>
      </c>
      <c r="B32" s="17" t="s">
        <v>154</v>
      </c>
      <c r="C32" s="17" t="s">
        <v>154</v>
      </c>
      <c r="D32" s="18" t="s">
        <v>154</v>
      </c>
      <c r="E32" s="17" t="s">
        <v>154</v>
      </c>
      <c r="F32" s="18" t="s">
        <v>154</v>
      </c>
      <c r="G32" s="17" t="s">
        <v>154</v>
      </c>
      <c r="H32" s="18" t="s">
        <v>154</v>
      </c>
      <c r="I32" s="17" t="s">
        <v>154</v>
      </c>
      <c r="J32" s="18" t="s">
        <v>154</v>
      </c>
      <c r="K32" s="17" t="s">
        <v>154</v>
      </c>
      <c r="L32" s="18" t="s">
        <v>154</v>
      </c>
      <c r="M32" s="17" t="s">
        <v>154</v>
      </c>
      <c r="N32" s="18" t="s">
        <v>154</v>
      </c>
      <c r="O32" s="17" t="s">
        <v>154</v>
      </c>
      <c r="P32" s="18" t="s">
        <v>154</v>
      </c>
      <c r="Q32" s="17" t="s">
        <v>154</v>
      </c>
      <c r="R32" s="18" t="s">
        <v>154</v>
      </c>
    </row>
    <row r="33" spans="1:18" x14ac:dyDescent="0.25">
      <c r="A33" s="11" t="s">
        <v>166</v>
      </c>
      <c r="B33" s="13">
        <v>7325</v>
      </c>
      <c r="C33" s="14">
        <f>(6115/B33*100)</f>
        <v>83.481228668941981</v>
      </c>
      <c r="D33" s="15">
        <v>1210</v>
      </c>
      <c r="E33" s="14">
        <v>33.77235348</v>
      </c>
      <c r="F33" s="16">
        <v>1.70478277</v>
      </c>
      <c r="G33" s="14">
        <v>66.227646519999993</v>
      </c>
      <c r="H33" s="16">
        <v>1.70478277</v>
      </c>
      <c r="I33" s="14" t="s">
        <v>139</v>
      </c>
      <c r="J33" s="16" t="s">
        <v>139</v>
      </c>
      <c r="K33" s="14">
        <v>0</v>
      </c>
      <c r="L33" s="16">
        <v>0</v>
      </c>
      <c r="M33" s="14">
        <v>0</v>
      </c>
      <c r="N33" s="16">
        <v>0</v>
      </c>
      <c r="O33" s="14">
        <v>0</v>
      </c>
      <c r="P33" s="16">
        <v>0</v>
      </c>
      <c r="Q33" s="14">
        <v>0</v>
      </c>
      <c r="R33" s="16">
        <v>0</v>
      </c>
    </row>
    <row r="34" spans="1:18" x14ac:dyDescent="0.25">
      <c r="A34" s="11" t="s">
        <v>167</v>
      </c>
      <c r="B34" s="13">
        <v>6350</v>
      </c>
      <c r="C34" s="14">
        <f>(5356/B34*100)</f>
        <v>84.346456692913392</v>
      </c>
      <c r="D34" s="15">
        <v>994</v>
      </c>
      <c r="E34" s="14">
        <v>46.72667809</v>
      </c>
      <c r="F34" s="16">
        <v>1.5145565999999999</v>
      </c>
      <c r="G34" s="14">
        <v>53.27332191</v>
      </c>
      <c r="H34" s="16">
        <v>1.5145565999999999</v>
      </c>
      <c r="I34" s="14" t="s">
        <v>139</v>
      </c>
      <c r="J34" s="16" t="s">
        <v>139</v>
      </c>
      <c r="K34" s="14">
        <v>0</v>
      </c>
      <c r="L34" s="16">
        <v>0</v>
      </c>
      <c r="M34" s="14">
        <v>0</v>
      </c>
      <c r="N34" s="16">
        <v>0</v>
      </c>
      <c r="O34" s="14">
        <v>0</v>
      </c>
      <c r="P34" s="16">
        <v>0</v>
      </c>
      <c r="Q34" s="14">
        <v>0</v>
      </c>
      <c r="R34" s="16">
        <v>0</v>
      </c>
    </row>
    <row r="35" spans="1:18" x14ac:dyDescent="0.25">
      <c r="A35" s="11" t="s">
        <v>168</v>
      </c>
      <c r="B35" s="13">
        <v>6406</v>
      </c>
      <c r="C35" s="14">
        <f>(5336/B35*100)</f>
        <v>83.296909147674057</v>
      </c>
      <c r="D35" s="15">
        <v>1070</v>
      </c>
      <c r="E35" s="14">
        <v>33.161436700000003</v>
      </c>
      <c r="F35" s="16">
        <v>2.06004495</v>
      </c>
      <c r="G35" s="14">
        <v>66.838563300000004</v>
      </c>
      <c r="H35" s="16">
        <v>2.06004495</v>
      </c>
      <c r="I35" s="14" t="s">
        <v>139</v>
      </c>
      <c r="J35" s="16" t="s">
        <v>139</v>
      </c>
      <c r="K35" s="14">
        <v>0</v>
      </c>
      <c r="L35" s="16">
        <v>0</v>
      </c>
      <c r="M35" s="14">
        <v>0</v>
      </c>
      <c r="N35" s="16">
        <v>0</v>
      </c>
      <c r="O35" s="14">
        <v>0</v>
      </c>
      <c r="P35" s="16">
        <v>0</v>
      </c>
      <c r="Q35" s="14">
        <v>0</v>
      </c>
      <c r="R35" s="16">
        <v>0</v>
      </c>
    </row>
    <row r="36" spans="1:18" x14ac:dyDescent="0.25">
      <c r="A36" s="11" t="s">
        <v>169</v>
      </c>
      <c r="B36" s="13">
        <v>6736</v>
      </c>
      <c r="C36" s="14">
        <f>(5649/B36*100)</f>
        <v>83.862826603325416</v>
      </c>
      <c r="D36" s="15">
        <v>1087</v>
      </c>
      <c r="E36" s="14">
        <v>35.830811990000001</v>
      </c>
      <c r="F36" s="16">
        <v>1.58646979</v>
      </c>
      <c r="G36" s="14">
        <v>64.169188009999999</v>
      </c>
      <c r="H36" s="16">
        <v>1.58646979</v>
      </c>
      <c r="I36" s="14" t="s">
        <v>139</v>
      </c>
      <c r="J36" s="16" t="s">
        <v>139</v>
      </c>
      <c r="K36" s="14">
        <v>0</v>
      </c>
      <c r="L36" s="16">
        <v>0</v>
      </c>
      <c r="M36" s="14">
        <v>0</v>
      </c>
      <c r="N36" s="16">
        <v>0</v>
      </c>
      <c r="O36" s="14">
        <v>0</v>
      </c>
      <c r="P36" s="16">
        <v>0</v>
      </c>
      <c r="Q36" s="14">
        <v>0</v>
      </c>
      <c r="R36" s="16">
        <v>0</v>
      </c>
    </row>
    <row r="37" spans="1:18" x14ac:dyDescent="0.25">
      <c r="A37" s="11" t="s">
        <v>170</v>
      </c>
      <c r="B37" s="13">
        <v>5458</v>
      </c>
      <c r="C37" s="14">
        <f>(4553/B37*100)</f>
        <v>83.418834737999276</v>
      </c>
      <c r="D37" s="15">
        <v>905</v>
      </c>
      <c r="E37" s="14">
        <v>34.733317479999997</v>
      </c>
      <c r="F37" s="16">
        <v>1.6275234999999999</v>
      </c>
      <c r="G37" s="14">
        <v>65.266682520000003</v>
      </c>
      <c r="H37" s="16">
        <v>1.6275234999999999</v>
      </c>
      <c r="I37" s="14" t="s">
        <v>139</v>
      </c>
      <c r="J37" s="16" t="s">
        <v>139</v>
      </c>
      <c r="K37" s="14">
        <v>0</v>
      </c>
      <c r="L37" s="16">
        <v>0</v>
      </c>
      <c r="M37" s="14">
        <v>0</v>
      </c>
      <c r="N37" s="16">
        <v>0</v>
      </c>
      <c r="O37" s="14">
        <v>0</v>
      </c>
      <c r="P37" s="16">
        <v>0</v>
      </c>
      <c r="Q37" s="14">
        <v>0</v>
      </c>
      <c r="R37" s="16">
        <v>0</v>
      </c>
    </row>
    <row r="38" spans="1:18" x14ac:dyDescent="0.25">
      <c r="A38" s="11" t="s">
        <v>171</v>
      </c>
      <c r="B38" s="17" t="s">
        <v>154</v>
      </c>
      <c r="C38" s="17" t="s">
        <v>154</v>
      </c>
      <c r="D38" s="18" t="s">
        <v>154</v>
      </c>
      <c r="E38" s="17" t="s">
        <v>154</v>
      </c>
      <c r="F38" s="18" t="s">
        <v>154</v>
      </c>
      <c r="G38" s="17" t="s">
        <v>154</v>
      </c>
      <c r="H38" s="18" t="s">
        <v>154</v>
      </c>
      <c r="I38" s="17" t="s">
        <v>154</v>
      </c>
      <c r="J38" s="18" t="s">
        <v>154</v>
      </c>
      <c r="K38" s="17" t="s">
        <v>154</v>
      </c>
      <c r="L38" s="18" t="s">
        <v>154</v>
      </c>
      <c r="M38" s="17" t="s">
        <v>154</v>
      </c>
      <c r="N38" s="18" t="s">
        <v>154</v>
      </c>
      <c r="O38" s="17" t="s">
        <v>154</v>
      </c>
      <c r="P38" s="18" t="s">
        <v>154</v>
      </c>
      <c r="Q38" s="17" t="s">
        <v>154</v>
      </c>
      <c r="R38" s="18" t="s">
        <v>154</v>
      </c>
    </row>
    <row r="39" spans="1:18" x14ac:dyDescent="0.25">
      <c r="A39" s="11" t="s">
        <v>172</v>
      </c>
      <c r="B39" s="13">
        <v>5895</v>
      </c>
      <c r="C39" s="14">
        <f>(4865/B39*100)</f>
        <v>82.527565733672603</v>
      </c>
      <c r="D39" s="15">
        <v>1030</v>
      </c>
      <c r="E39" s="14">
        <v>58.170708329999997</v>
      </c>
      <c r="F39" s="16">
        <v>1.9382541200000001</v>
      </c>
      <c r="G39" s="14">
        <v>41.829291670000003</v>
      </c>
      <c r="H39" s="16">
        <v>1.9382541200000001</v>
      </c>
      <c r="I39" s="14" t="s">
        <v>139</v>
      </c>
      <c r="J39" s="16" t="s">
        <v>139</v>
      </c>
      <c r="K39" s="14">
        <v>0</v>
      </c>
      <c r="L39" s="16">
        <v>0</v>
      </c>
      <c r="M39" s="14">
        <v>0</v>
      </c>
      <c r="N39" s="16">
        <v>0</v>
      </c>
      <c r="O39" s="14">
        <v>0</v>
      </c>
      <c r="P39" s="16">
        <v>0</v>
      </c>
      <c r="Q39" s="14">
        <v>0</v>
      </c>
      <c r="R39" s="16">
        <v>0</v>
      </c>
    </row>
    <row r="40" spans="1:18" x14ac:dyDescent="0.25">
      <c r="A40" s="11" t="s">
        <v>173</v>
      </c>
      <c r="B40" s="13">
        <v>14157</v>
      </c>
      <c r="C40" s="14">
        <f>(11700/B40*100)</f>
        <v>82.644628099173559</v>
      </c>
      <c r="D40" s="15">
        <v>2457</v>
      </c>
      <c r="E40" s="14">
        <v>32.090303990000002</v>
      </c>
      <c r="F40" s="16">
        <v>1.5047385799999999</v>
      </c>
      <c r="G40" s="14">
        <v>67.909696010000005</v>
      </c>
      <c r="H40" s="16">
        <v>1.5047385799999999</v>
      </c>
      <c r="I40" s="14" t="s">
        <v>139</v>
      </c>
      <c r="J40" s="16" t="s">
        <v>139</v>
      </c>
      <c r="K40" s="14">
        <v>0</v>
      </c>
      <c r="L40" s="16">
        <v>0</v>
      </c>
      <c r="M40" s="14">
        <v>0</v>
      </c>
      <c r="N40" s="16">
        <v>0</v>
      </c>
      <c r="O40" s="14">
        <v>0</v>
      </c>
      <c r="P40" s="16">
        <v>0</v>
      </c>
      <c r="Q40" s="14">
        <v>0</v>
      </c>
      <c r="R40" s="16">
        <v>0</v>
      </c>
    </row>
    <row r="41" spans="1:18" x14ac:dyDescent="0.25">
      <c r="A41" s="11" t="s">
        <v>174</v>
      </c>
      <c r="B41" s="13">
        <v>5712</v>
      </c>
      <c r="C41" s="14">
        <f>(4785/B41*100)</f>
        <v>83.77100840336135</v>
      </c>
      <c r="D41" s="15">
        <v>927</v>
      </c>
      <c r="E41" s="14">
        <v>35.228844029999998</v>
      </c>
      <c r="F41" s="16">
        <v>1.5595403699999999</v>
      </c>
      <c r="G41" s="14">
        <v>64.771155969999995</v>
      </c>
      <c r="H41" s="16">
        <v>1.5595403699999999</v>
      </c>
      <c r="I41" s="14" t="s">
        <v>139</v>
      </c>
      <c r="J41" s="16" t="s">
        <v>139</v>
      </c>
      <c r="K41" s="14">
        <v>0</v>
      </c>
      <c r="L41" s="16">
        <v>0</v>
      </c>
      <c r="M41" s="14">
        <v>0</v>
      </c>
      <c r="N41" s="16">
        <v>0</v>
      </c>
      <c r="O41" s="14">
        <v>0</v>
      </c>
      <c r="P41" s="16">
        <v>0</v>
      </c>
      <c r="Q41" s="14">
        <v>0</v>
      </c>
      <c r="R41" s="16">
        <v>0</v>
      </c>
    </row>
    <row r="42" spans="1:18" x14ac:dyDescent="0.25">
      <c r="A42" s="11" t="s">
        <v>175</v>
      </c>
      <c r="B42" s="13">
        <f>IF(COUNT(B7:B41) &gt; 0, AVERAGE(B7:B41), "\u2014")</f>
        <v>7266.90625</v>
      </c>
      <c r="C42" s="14">
        <f>IF(COUNT(C7:C41) &gt; 0, AVERAGE(C7:C41), "—")</f>
        <v>83.504972993809972</v>
      </c>
      <c r="D42" s="15">
        <f>IF(COUNT(D7:D41) &gt; 0, AVERAGE(D7:D41), "—")</f>
        <v>1199.28125</v>
      </c>
      <c r="E42" s="14">
        <f>IF(COUNT(E7:E41) &gt; 0, AVERAGE(E7:E41), "—")</f>
        <v>36.422269119999996</v>
      </c>
      <c r="F42" s="16">
        <f>IF(COUNT(F7:F41) &gt; 0, SQRT(SUMSQ(F7:F41)/(COUNT(F7:F41)*COUNT(F7:F41)) ), "—")</f>
        <v>0.29113690799024311</v>
      </c>
      <c r="G42" s="14">
        <f>IF(COUNT(G7:G41) &gt; 0, AVERAGE(G7:G41), "—")</f>
        <v>63.577730880000004</v>
      </c>
      <c r="H42" s="16">
        <f>IF(COUNT(H7:H41) &gt; 0, SQRT(SUMSQ(H7:H41)/(COUNT(H7:H41)*COUNT(H7:H41)) ), "—")</f>
        <v>0.29113690799024311</v>
      </c>
      <c r="I42" s="14" t="str">
        <f>IF(COUNT(I7:I41) &gt; 0, AVERAGE(I7:I41), "—")</f>
        <v>—</v>
      </c>
      <c r="J42" s="16" t="str">
        <f>IF(COUNT(J7:J41) &gt; 0, SQRT(SUMSQ(J7:J41)/(COUNT(J7:J41)*COUNT(J7:J41)) ), "—")</f>
        <v>—</v>
      </c>
      <c r="K42" s="14">
        <f>IF(COUNT(K7:K41) &gt; 0, AVERAGE(K7:K41), "—")</f>
        <v>0</v>
      </c>
      <c r="L42" s="16">
        <f>IF(COUNT(L7:L41) &gt; 0, SQRT(SUMSQ(L7:L41)/(COUNT(L7:L41)*COUNT(L7:L41)) ), "—")</f>
        <v>0</v>
      </c>
      <c r="M42" s="14">
        <f>IF(COUNT(M7:M41) &gt; 0, AVERAGE(M7:M41), "—")</f>
        <v>0</v>
      </c>
      <c r="N42" s="16">
        <f>IF(COUNT(N7:N41) &gt; 0, SQRT(SUMSQ(N7:N41)/(COUNT(N7:N41)*COUNT(N7:N41)) ), "—")</f>
        <v>0</v>
      </c>
      <c r="O42" s="14">
        <f>IF(COUNT(O7:O41) &gt; 0, AVERAGE(O7:O41), "—")</f>
        <v>0</v>
      </c>
      <c r="P42" s="16">
        <f>IF(COUNT(P7:P41) &gt; 0, SQRT(SUMSQ(P7:P41)/(COUNT(P7:P41)*COUNT(P7:P41)) ), "—")</f>
        <v>0</v>
      </c>
      <c r="Q42" s="14">
        <f>IF(COUNT(Q7:Q41) &gt; 0, AVERAGE(Q7:Q41), "—")</f>
        <v>0</v>
      </c>
      <c r="R42" s="16">
        <f>IF(COUNT(R7:R41) &gt; 0, SQRT(SUMSQ(R7:R41)/(COUNT(R7:R41)*COUNT(R7:R41)) ), "—")</f>
        <v>0</v>
      </c>
    </row>
    <row r="43" spans="1:18" x14ac:dyDescent="0.25">
      <c r="A43" s="9" t="s">
        <v>176</v>
      </c>
      <c r="B43" s="10"/>
      <c r="C43" s="10"/>
      <c r="D43" s="11"/>
      <c r="E43" s="10"/>
      <c r="F43" s="11"/>
      <c r="G43" s="10"/>
      <c r="H43" s="11"/>
      <c r="I43" s="10"/>
      <c r="J43" s="11"/>
      <c r="K43" s="10"/>
      <c r="L43" s="11"/>
      <c r="M43" s="10"/>
      <c r="N43" s="11"/>
      <c r="O43" s="10"/>
      <c r="P43" s="11"/>
      <c r="Q43" s="10"/>
      <c r="R43" s="12"/>
    </row>
    <row r="44" spans="1:18" x14ac:dyDescent="0.25">
      <c r="A44" s="11" t="s">
        <v>177</v>
      </c>
      <c r="B44" s="17" t="s">
        <v>154</v>
      </c>
      <c r="C44" s="17" t="s">
        <v>154</v>
      </c>
      <c r="D44" s="18" t="s">
        <v>154</v>
      </c>
      <c r="E44" s="17" t="s">
        <v>154</v>
      </c>
      <c r="F44" s="18" t="s">
        <v>154</v>
      </c>
      <c r="G44" s="17" t="s">
        <v>154</v>
      </c>
      <c r="H44" s="18" t="s">
        <v>154</v>
      </c>
      <c r="I44" s="17" t="s">
        <v>154</v>
      </c>
      <c r="J44" s="18" t="s">
        <v>154</v>
      </c>
      <c r="K44" s="17" t="s">
        <v>154</v>
      </c>
      <c r="L44" s="18" t="s">
        <v>154</v>
      </c>
      <c r="M44" s="17" t="s">
        <v>154</v>
      </c>
      <c r="N44" s="18" t="s">
        <v>154</v>
      </c>
      <c r="O44" s="17" t="s">
        <v>154</v>
      </c>
      <c r="P44" s="18" t="s">
        <v>154</v>
      </c>
      <c r="Q44" s="17" t="s">
        <v>154</v>
      </c>
      <c r="R44" s="18" t="s">
        <v>154</v>
      </c>
    </row>
    <row r="45" spans="1:18" x14ac:dyDescent="0.25">
      <c r="A45" s="11" t="s">
        <v>178</v>
      </c>
      <c r="B45" s="17" t="s">
        <v>154</v>
      </c>
      <c r="C45" s="17" t="s">
        <v>154</v>
      </c>
      <c r="D45" s="18" t="s">
        <v>154</v>
      </c>
      <c r="E45" s="17" t="s">
        <v>154</v>
      </c>
      <c r="F45" s="18" t="s">
        <v>154</v>
      </c>
      <c r="G45" s="17" t="s">
        <v>154</v>
      </c>
      <c r="H45" s="18" t="s">
        <v>154</v>
      </c>
      <c r="I45" s="17" t="s">
        <v>154</v>
      </c>
      <c r="J45" s="18" t="s">
        <v>154</v>
      </c>
      <c r="K45" s="17" t="s">
        <v>154</v>
      </c>
      <c r="L45" s="18" t="s">
        <v>154</v>
      </c>
      <c r="M45" s="17" t="s">
        <v>154</v>
      </c>
      <c r="N45" s="18" t="s">
        <v>154</v>
      </c>
      <c r="O45" s="17" t="s">
        <v>154</v>
      </c>
      <c r="P45" s="18" t="s">
        <v>154</v>
      </c>
      <c r="Q45" s="17" t="s">
        <v>154</v>
      </c>
      <c r="R45" s="18" t="s">
        <v>154</v>
      </c>
    </row>
    <row r="46" spans="1:18" x14ac:dyDescent="0.25">
      <c r="A46" s="11" t="s">
        <v>179</v>
      </c>
      <c r="B46" s="13">
        <v>23141</v>
      </c>
      <c r="C46" s="14">
        <f>(20323/B46*100)</f>
        <v>87.822479581694822</v>
      </c>
      <c r="D46" s="15">
        <v>2818</v>
      </c>
      <c r="E46" s="14">
        <v>59.653546560000002</v>
      </c>
      <c r="F46" s="16">
        <v>1.51859454</v>
      </c>
      <c r="G46" s="14">
        <v>40.346453439999998</v>
      </c>
      <c r="H46" s="16">
        <v>1.51859454</v>
      </c>
      <c r="I46" s="14" t="s">
        <v>139</v>
      </c>
      <c r="J46" s="16" t="s">
        <v>139</v>
      </c>
      <c r="K46" s="14">
        <v>0</v>
      </c>
      <c r="L46" s="16">
        <v>0</v>
      </c>
      <c r="M46" s="14">
        <v>0</v>
      </c>
      <c r="N46" s="16">
        <v>0</v>
      </c>
      <c r="O46" s="14">
        <v>0</v>
      </c>
      <c r="P46" s="16">
        <v>0</v>
      </c>
      <c r="Q46" s="14">
        <v>0</v>
      </c>
      <c r="R46" s="16">
        <v>0</v>
      </c>
    </row>
    <row r="47" spans="1:18" x14ac:dyDescent="0.25">
      <c r="A47" s="11" t="s">
        <v>180</v>
      </c>
      <c r="B47" s="13">
        <v>5928</v>
      </c>
      <c r="C47" s="14">
        <f>(4983/B47*100)</f>
        <v>84.058704453441294</v>
      </c>
      <c r="D47" s="15">
        <v>945</v>
      </c>
      <c r="E47" s="14">
        <v>55.740612929999998</v>
      </c>
      <c r="F47" s="16">
        <v>1.68594731</v>
      </c>
      <c r="G47" s="14">
        <v>44.259387070000002</v>
      </c>
      <c r="H47" s="16">
        <v>1.68594731</v>
      </c>
      <c r="I47" s="14" t="s">
        <v>139</v>
      </c>
      <c r="J47" s="16" t="s">
        <v>139</v>
      </c>
      <c r="K47" s="14">
        <v>0</v>
      </c>
      <c r="L47" s="16">
        <v>0</v>
      </c>
      <c r="M47" s="14">
        <v>0</v>
      </c>
      <c r="N47" s="16">
        <v>0</v>
      </c>
      <c r="O47" s="14">
        <v>0</v>
      </c>
      <c r="P47" s="16">
        <v>0</v>
      </c>
      <c r="Q47" s="14">
        <v>0</v>
      </c>
      <c r="R47" s="16">
        <v>0</v>
      </c>
    </row>
    <row r="48" spans="1:18" x14ac:dyDescent="0.25">
      <c r="A48" s="11" t="s">
        <v>181</v>
      </c>
      <c r="B48" s="13">
        <v>9841</v>
      </c>
      <c r="C48" s="14">
        <f>(8156/B48*100)</f>
        <v>82.877756325576669</v>
      </c>
      <c r="D48" s="15">
        <v>1685</v>
      </c>
      <c r="E48" s="14">
        <v>30.722033920000001</v>
      </c>
      <c r="F48" s="16">
        <v>1.5361344699999999</v>
      </c>
      <c r="G48" s="14">
        <v>69.277966079999999</v>
      </c>
      <c r="H48" s="16">
        <v>1.5361344699999999</v>
      </c>
      <c r="I48" s="14" t="s">
        <v>139</v>
      </c>
      <c r="J48" s="16" t="s">
        <v>139</v>
      </c>
      <c r="K48" s="14">
        <v>0</v>
      </c>
      <c r="L48" s="16">
        <v>0</v>
      </c>
      <c r="M48" s="14">
        <v>0</v>
      </c>
      <c r="N48" s="16">
        <v>0</v>
      </c>
      <c r="O48" s="14">
        <v>0</v>
      </c>
      <c r="P48" s="16">
        <v>0</v>
      </c>
      <c r="Q48" s="14">
        <v>0</v>
      </c>
      <c r="R48" s="16">
        <v>0</v>
      </c>
    </row>
    <row r="49" spans="1:18" x14ac:dyDescent="0.25">
      <c r="A49" s="11" t="s">
        <v>182</v>
      </c>
      <c r="B49" s="17" t="s">
        <v>154</v>
      </c>
      <c r="C49" s="17" t="s">
        <v>154</v>
      </c>
      <c r="D49" s="18" t="s">
        <v>154</v>
      </c>
      <c r="E49" s="17" t="s">
        <v>154</v>
      </c>
      <c r="F49" s="18" t="s">
        <v>154</v>
      </c>
      <c r="G49" s="17" t="s">
        <v>154</v>
      </c>
      <c r="H49" s="18" t="s">
        <v>154</v>
      </c>
      <c r="I49" s="17" t="s">
        <v>154</v>
      </c>
      <c r="J49" s="18" t="s">
        <v>154</v>
      </c>
      <c r="K49" s="17" t="s">
        <v>154</v>
      </c>
      <c r="L49" s="18" t="s">
        <v>154</v>
      </c>
      <c r="M49" s="17" t="s">
        <v>154</v>
      </c>
      <c r="N49" s="18" t="s">
        <v>154</v>
      </c>
      <c r="O49" s="17" t="s">
        <v>154</v>
      </c>
      <c r="P49" s="18" t="s">
        <v>154</v>
      </c>
      <c r="Q49" s="17" t="s">
        <v>154</v>
      </c>
      <c r="R49" s="18" t="s">
        <v>154</v>
      </c>
    </row>
    <row r="50" spans="1:18" x14ac:dyDescent="0.25">
      <c r="A50" s="11" t="s">
        <v>183</v>
      </c>
      <c r="B50" s="13">
        <v>11795</v>
      </c>
      <c r="C50" s="14">
        <f>(9958/B50*100)</f>
        <v>84.425604069520986</v>
      </c>
      <c r="D50" s="15">
        <v>1837</v>
      </c>
      <c r="E50" s="14">
        <v>53.33810957</v>
      </c>
      <c r="F50" s="16">
        <v>1.7464198399999999</v>
      </c>
      <c r="G50" s="14">
        <v>46.66189043</v>
      </c>
      <c r="H50" s="16">
        <v>1.7464198399999999</v>
      </c>
      <c r="I50" s="14" t="s">
        <v>139</v>
      </c>
      <c r="J50" s="16" t="s">
        <v>139</v>
      </c>
      <c r="K50" s="14">
        <v>0</v>
      </c>
      <c r="L50" s="16">
        <v>0</v>
      </c>
      <c r="M50" s="14">
        <v>0</v>
      </c>
      <c r="N50" s="16">
        <v>0</v>
      </c>
      <c r="O50" s="14">
        <v>0</v>
      </c>
      <c r="P50" s="16">
        <v>0</v>
      </c>
      <c r="Q50" s="14">
        <v>0</v>
      </c>
      <c r="R50" s="16">
        <v>0</v>
      </c>
    </row>
    <row r="51" spans="1:18" x14ac:dyDescent="0.25">
      <c r="A51" s="11" t="s">
        <v>184</v>
      </c>
      <c r="B51" s="13">
        <v>6866</v>
      </c>
      <c r="C51" s="14">
        <f>(5911/B51*100)</f>
        <v>86.090882609962122</v>
      </c>
      <c r="D51" s="15">
        <v>955</v>
      </c>
      <c r="E51" s="14">
        <v>51.771058940000003</v>
      </c>
      <c r="F51" s="16">
        <v>1.6901285500000001</v>
      </c>
      <c r="G51" s="14">
        <v>48.228941059999997</v>
      </c>
      <c r="H51" s="16">
        <v>1.6901285500000001</v>
      </c>
      <c r="I51" s="14" t="s">
        <v>139</v>
      </c>
      <c r="J51" s="16" t="s">
        <v>139</v>
      </c>
      <c r="K51" s="14">
        <v>0</v>
      </c>
      <c r="L51" s="16">
        <v>0</v>
      </c>
      <c r="M51" s="14">
        <v>0</v>
      </c>
      <c r="N51" s="16">
        <v>0</v>
      </c>
      <c r="O51" s="14">
        <v>0</v>
      </c>
      <c r="P51" s="16">
        <v>0</v>
      </c>
      <c r="Q51" s="14">
        <v>0</v>
      </c>
      <c r="R51" s="16">
        <v>0</v>
      </c>
    </row>
    <row r="52" spans="1:18" x14ac:dyDescent="0.25">
      <c r="A52" s="11" t="s">
        <v>185</v>
      </c>
      <c r="B52" s="13">
        <v>5809</v>
      </c>
      <c r="C52" s="14">
        <f>(4832/B52*100)</f>
        <v>83.181270442416945</v>
      </c>
      <c r="D52" s="15">
        <v>977</v>
      </c>
      <c r="E52" s="14">
        <v>45.092511639999998</v>
      </c>
      <c r="F52" s="16">
        <v>1.6523879400000001</v>
      </c>
      <c r="G52" s="14">
        <v>54.907488360000002</v>
      </c>
      <c r="H52" s="16">
        <v>1.6523879400000001</v>
      </c>
      <c r="I52" s="14" t="s">
        <v>139</v>
      </c>
      <c r="J52" s="16" t="s">
        <v>139</v>
      </c>
      <c r="K52" s="14">
        <v>0</v>
      </c>
      <c r="L52" s="16">
        <v>0</v>
      </c>
      <c r="M52" s="14">
        <v>0</v>
      </c>
      <c r="N52" s="16">
        <v>0</v>
      </c>
      <c r="O52" s="14">
        <v>0</v>
      </c>
      <c r="P52" s="16">
        <v>0</v>
      </c>
      <c r="Q52" s="14">
        <v>0</v>
      </c>
      <c r="R52" s="16">
        <v>0</v>
      </c>
    </row>
    <row r="53" spans="1:18" x14ac:dyDescent="0.25">
      <c r="A53" s="11" t="s">
        <v>186</v>
      </c>
      <c r="B53" s="13">
        <v>5571</v>
      </c>
      <c r="C53" s="14">
        <f>(4622/B53*100)</f>
        <v>82.965356309459708</v>
      </c>
      <c r="D53" s="15">
        <v>949</v>
      </c>
      <c r="E53" s="14">
        <v>46.985720180000001</v>
      </c>
      <c r="F53" s="16">
        <v>1.3869144799999999</v>
      </c>
      <c r="G53" s="14">
        <v>53.014279819999999</v>
      </c>
      <c r="H53" s="16">
        <v>1.3869144799999999</v>
      </c>
      <c r="I53" s="14" t="s">
        <v>139</v>
      </c>
      <c r="J53" s="16" t="s">
        <v>139</v>
      </c>
      <c r="K53" s="14">
        <v>0</v>
      </c>
      <c r="L53" s="16">
        <v>0</v>
      </c>
      <c r="M53" s="14">
        <v>0</v>
      </c>
      <c r="N53" s="16">
        <v>0</v>
      </c>
      <c r="O53" s="14">
        <v>0</v>
      </c>
      <c r="P53" s="16">
        <v>0</v>
      </c>
      <c r="Q53" s="14">
        <v>0</v>
      </c>
      <c r="R53" s="16">
        <v>0</v>
      </c>
    </row>
    <row r="54" spans="1:18" x14ac:dyDescent="0.25">
      <c r="A54" s="11" t="s">
        <v>187</v>
      </c>
      <c r="B54" s="17" t="s">
        <v>154</v>
      </c>
      <c r="C54" s="17" t="s">
        <v>154</v>
      </c>
      <c r="D54" s="18" t="s">
        <v>154</v>
      </c>
      <c r="E54" s="17" t="s">
        <v>154</v>
      </c>
      <c r="F54" s="18" t="s">
        <v>154</v>
      </c>
      <c r="G54" s="17" t="s">
        <v>154</v>
      </c>
      <c r="H54" s="18" t="s">
        <v>154</v>
      </c>
      <c r="I54" s="17" t="s">
        <v>154</v>
      </c>
      <c r="J54" s="18" t="s">
        <v>154</v>
      </c>
      <c r="K54" s="17" t="s">
        <v>154</v>
      </c>
      <c r="L54" s="18" t="s">
        <v>154</v>
      </c>
      <c r="M54" s="17" t="s">
        <v>154</v>
      </c>
      <c r="N54" s="18" t="s">
        <v>154</v>
      </c>
      <c r="O54" s="17" t="s">
        <v>154</v>
      </c>
      <c r="P54" s="18" t="s">
        <v>154</v>
      </c>
      <c r="Q54" s="17" t="s">
        <v>154</v>
      </c>
      <c r="R54" s="18" t="s">
        <v>154</v>
      </c>
    </row>
    <row r="55" spans="1:18" x14ac:dyDescent="0.25">
      <c r="A55" s="11" t="s">
        <v>188</v>
      </c>
      <c r="B55" s="17" t="s">
        <v>154</v>
      </c>
      <c r="C55" s="17" t="s">
        <v>154</v>
      </c>
      <c r="D55" s="18" t="s">
        <v>154</v>
      </c>
      <c r="E55" s="17" t="s">
        <v>154</v>
      </c>
      <c r="F55" s="18" t="s">
        <v>154</v>
      </c>
      <c r="G55" s="17" t="s">
        <v>154</v>
      </c>
      <c r="H55" s="18" t="s">
        <v>154</v>
      </c>
      <c r="I55" s="17" t="s">
        <v>154</v>
      </c>
      <c r="J55" s="18" t="s">
        <v>154</v>
      </c>
      <c r="K55" s="17" t="s">
        <v>154</v>
      </c>
      <c r="L55" s="18" t="s">
        <v>154</v>
      </c>
      <c r="M55" s="17" t="s">
        <v>154</v>
      </c>
      <c r="N55" s="18" t="s">
        <v>154</v>
      </c>
      <c r="O55" s="17" t="s">
        <v>154</v>
      </c>
      <c r="P55" s="18" t="s">
        <v>154</v>
      </c>
      <c r="Q55" s="17" t="s">
        <v>154</v>
      </c>
      <c r="R55" s="18" t="s">
        <v>154</v>
      </c>
    </row>
    <row r="56" spans="1:18" x14ac:dyDescent="0.25">
      <c r="A56" s="11" t="s">
        <v>189</v>
      </c>
      <c r="B56" s="13">
        <v>5359</v>
      </c>
      <c r="C56" s="14">
        <f>(4423/B56*100)</f>
        <v>82.534054860981527</v>
      </c>
      <c r="D56" s="15">
        <v>936</v>
      </c>
      <c r="E56" s="14">
        <v>13.80864596</v>
      </c>
      <c r="F56" s="16">
        <v>1.2250166199999999</v>
      </c>
      <c r="G56" s="14">
        <v>86.191354039999993</v>
      </c>
      <c r="H56" s="16">
        <v>1.2250166199999999</v>
      </c>
      <c r="I56" s="14" t="s">
        <v>139</v>
      </c>
      <c r="J56" s="16" t="s">
        <v>139</v>
      </c>
      <c r="K56" s="14">
        <v>0</v>
      </c>
      <c r="L56" s="16">
        <v>0</v>
      </c>
      <c r="M56" s="14">
        <v>0</v>
      </c>
      <c r="N56" s="16">
        <v>0</v>
      </c>
      <c r="O56" s="14">
        <v>0</v>
      </c>
      <c r="P56" s="16">
        <v>0</v>
      </c>
      <c r="Q56" s="14">
        <v>0</v>
      </c>
      <c r="R56" s="16">
        <v>0</v>
      </c>
    </row>
    <row r="57" spans="1:18" x14ac:dyDescent="0.25">
      <c r="A57" s="11" t="s">
        <v>190</v>
      </c>
      <c r="B57" s="17" t="s">
        <v>154</v>
      </c>
      <c r="C57" s="17" t="s">
        <v>154</v>
      </c>
      <c r="D57" s="18" t="s">
        <v>154</v>
      </c>
      <c r="E57" s="17" t="s">
        <v>154</v>
      </c>
      <c r="F57" s="18" t="s">
        <v>154</v>
      </c>
      <c r="G57" s="17" t="s">
        <v>154</v>
      </c>
      <c r="H57" s="18" t="s">
        <v>154</v>
      </c>
      <c r="I57" s="17" t="s">
        <v>154</v>
      </c>
      <c r="J57" s="18" t="s">
        <v>154</v>
      </c>
      <c r="K57" s="17" t="s">
        <v>154</v>
      </c>
      <c r="L57" s="18" t="s">
        <v>154</v>
      </c>
      <c r="M57" s="17" t="s">
        <v>154</v>
      </c>
      <c r="N57" s="18" t="s">
        <v>154</v>
      </c>
      <c r="O57" s="17" t="s">
        <v>154</v>
      </c>
      <c r="P57" s="18" t="s">
        <v>154</v>
      </c>
      <c r="Q57" s="17" t="s">
        <v>154</v>
      </c>
      <c r="R57" s="18" t="s">
        <v>154</v>
      </c>
    </row>
    <row r="58" spans="1:18" x14ac:dyDescent="0.25">
      <c r="A58" s="11" t="s">
        <v>191</v>
      </c>
      <c r="B58" s="17" t="s">
        <v>154</v>
      </c>
      <c r="C58" s="17" t="s">
        <v>154</v>
      </c>
      <c r="D58" s="18" t="s">
        <v>154</v>
      </c>
      <c r="E58" s="17" t="s">
        <v>154</v>
      </c>
      <c r="F58" s="18" t="s">
        <v>154</v>
      </c>
      <c r="G58" s="17" t="s">
        <v>154</v>
      </c>
      <c r="H58" s="18" t="s">
        <v>154</v>
      </c>
      <c r="I58" s="17" t="s">
        <v>154</v>
      </c>
      <c r="J58" s="18" t="s">
        <v>154</v>
      </c>
      <c r="K58" s="17" t="s">
        <v>154</v>
      </c>
      <c r="L58" s="18" t="s">
        <v>154</v>
      </c>
      <c r="M58" s="17" t="s">
        <v>154</v>
      </c>
      <c r="N58" s="18" t="s">
        <v>154</v>
      </c>
      <c r="O58" s="17" t="s">
        <v>154</v>
      </c>
      <c r="P58" s="18" t="s">
        <v>154</v>
      </c>
      <c r="Q58" s="17" t="s">
        <v>154</v>
      </c>
      <c r="R58" s="18" t="s">
        <v>154</v>
      </c>
    </row>
    <row r="59" spans="1:18" x14ac:dyDescent="0.25">
      <c r="A59" s="11" t="s">
        <v>192</v>
      </c>
      <c r="B59" s="17" t="s">
        <v>154</v>
      </c>
      <c r="C59" s="17" t="s">
        <v>154</v>
      </c>
      <c r="D59" s="18" t="s">
        <v>154</v>
      </c>
      <c r="E59" s="17" t="s">
        <v>154</v>
      </c>
      <c r="F59" s="18" t="s">
        <v>154</v>
      </c>
      <c r="G59" s="17" t="s">
        <v>154</v>
      </c>
      <c r="H59" s="18" t="s">
        <v>154</v>
      </c>
      <c r="I59" s="17" t="s">
        <v>154</v>
      </c>
      <c r="J59" s="18" t="s">
        <v>154</v>
      </c>
      <c r="K59" s="17" t="s">
        <v>154</v>
      </c>
      <c r="L59" s="18" t="s">
        <v>154</v>
      </c>
      <c r="M59" s="17" t="s">
        <v>154</v>
      </c>
      <c r="N59" s="18" t="s">
        <v>154</v>
      </c>
      <c r="O59" s="17" t="s">
        <v>154</v>
      </c>
      <c r="P59" s="18" t="s">
        <v>154</v>
      </c>
      <c r="Q59" s="17" t="s">
        <v>154</v>
      </c>
      <c r="R59" s="18" t="s">
        <v>154</v>
      </c>
    </row>
    <row r="60" spans="1:18" x14ac:dyDescent="0.25">
      <c r="A60" s="11" t="s">
        <v>193</v>
      </c>
      <c r="B60" s="17" t="s">
        <v>154</v>
      </c>
      <c r="C60" s="17" t="s">
        <v>154</v>
      </c>
      <c r="D60" s="18" t="s">
        <v>154</v>
      </c>
      <c r="E60" s="17" t="s">
        <v>154</v>
      </c>
      <c r="F60" s="18" t="s">
        <v>154</v>
      </c>
      <c r="G60" s="17" t="s">
        <v>154</v>
      </c>
      <c r="H60" s="18" t="s">
        <v>154</v>
      </c>
      <c r="I60" s="17" t="s">
        <v>154</v>
      </c>
      <c r="J60" s="18" t="s">
        <v>154</v>
      </c>
      <c r="K60" s="17" t="s">
        <v>154</v>
      </c>
      <c r="L60" s="18" t="s">
        <v>154</v>
      </c>
      <c r="M60" s="17" t="s">
        <v>154</v>
      </c>
      <c r="N60" s="18" t="s">
        <v>154</v>
      </c>
      <c r="O60" s="17" t="s">
        <v>154</v>
      </c>
      <c r="P60" s="18" t="s">
        <v>154</v>
      </c>
      <c r="Q60" s="17" t="s">
        <v>154</v>
      </c>
      <c r="R60" s="18" t="s">
        <v>154</v>
      </c>
    </row>
    <row r="61" spans="1:18" x14ac:dyDescent="0.25">
      <c r="A61" s="11" t="s">
        <v>194</v>
      </c>
      <c r="B61" s="13">
        <v>6525</v>
      </c>
      <c r="C61" s="14">
        <f>(5438/B61*100)</f>
        <v>83.340996168582365</v>
      </c>
      <c r="D61" s="15">
        <v>1087</v>
      </c>
      <c r="E61" s="14">
        <v>40.27095937</v>
      </c>
      <c r="F61" s="16">
        <v>1.73938613</v>
      </c>
      <c r="G61" s="14">
        <v>59.72904063</v>
      </c>
      <c r="H61" s="16">
        <v>1.73938613</v>
      </c>
      <c r="I61" s="14" t="s">
        <v>139</v>
      </c>
      <c r="J61" s="16" t="s">
        <v>139</v>
      </c>
      <c r="K61" s="14">
        <v>0</v>
      </c>
      <c r="L61" s="16">
        <v>0</v>
      </c>
      <c r="M61" s="14">
        <v>0</v>
      </c>
      <c r="N61" s="16">
        <v>0</v>
      </c>
      <c r="O61" s="14">
        <v>0</v>
      </c>
      <c r="P61" s="16">
        <v>0</v>
      </c>
      <c r="Q61" s="14">
        <v>0</v>
      </c>
      <c r="R61" s="16">
        <v>0</v>
      </c>
    </row>
    <row r="62" spans="1:18" x14ac:dyDescent="0.25">
      <c r="A62" s="11" t="s">
        <v>195</v>
      </c>
      <c r="B62" s="13">
        <v>4476</v>
      </c>
      <c r="C62" s="14">
        <f>(3742/B62*100)</f>
        <v>83.601429848078652</v>
      </c>
      <c r="D62" s="15">
        <v>734</v>
      </c>
      <c r="E62" s="14">
        <v>18.17441788</v>
      </c>
      <c r="F62" s="16">
        <v>1.4229631300000001</v>
      </c>
      <c r="G62" s="14">
        <v>81.825582120000007</v>
      </c>
      <c r="H62" s="16">
        <v>1.4229631300000001</v>
      </c>
      <c r="I62" s="14" t="s">
        <v>139</v>
      </c>
      <c r="J62" s="16" t="s">
        <v>139</v>
      </c>
      <c r="K62" s="14">
        <v>0</v>
      </c>
      <c r="L62" s="16">
        <v>0</v>
      </c>
      <c r="M62" s="14">
        <v>0</v>
      </c>
      <c r="N62" s="16">
        <v>0</v>
      </c>
      <c r="O62" s="14">
        <v>0</v>
      </c>
      <c r="P62" s="16">
        <v>0</v>
      </c>
      <c r="Q62" s="14">
        <v>0</v>
      </c>
      <c r="R62" s="16">
        <v>0</v>
      </c>
    </row>
    <row r="63" spans="1:18" x14ac:dyDescent="0.25">
      <c r="A63" s="11" t="s">
        <v>196</v>
      </c>
      <c r="B63" s="17" t="s">
        <v>154</v>
      </c>
      <c r="C63" s="17" t="s">
        <v>154</v>
      </c>
      <c r="D63" s="18" t="s">
        <v>154</v>
      </c>
      <c r="E63" s="17" t="s">
        <v>154</v>
      </c>
      <c r="F63" s="18" t="s">
        <v>154</v>
      </c>
      <c r="G63" s="17" t="s">
        <v>154</v>
      </c>
      <c r="H63" s="18" t="s">
        <v>154</v>
      </c>
      <c r="I63" s="17" t="s">
        <v>154</v>
      </c>
      <c r="J63" s="18" t="s">
        <v>154</v>
      </c>
      <c r="K63" s="17" t="s">
        <v>154</v>
      </c>
      <c r="L63" s="18" t="s">
        <v>154</v>
      </c>
      <c r="M63" s="17" t="s">
        <v>154</v>
      </c>
      <c r="N63" s="18" t="s">
        <v>154</v>
      </c>
      <c r="O63" s="17" t="s">
        <v>154</v>
      </c>
      <c r="P63" s="18" t="s">
        <v>154</v>
      </c>
      <c r="Q63" s="17" t="s">
        <v>154</v>
      </c>
      <c r="R63" s="18" t="s">
        <v>154</v>
      </c>
    </row>
    <row r="64" spans="1:18" x14ac:dyDescent="0.25">
      <c r="A64" s="11" t="s">
        <v>197</v>
      </c>
      <c r="B64" s="17" t="s">
        <v>154</v>
      </c>
      <c r="C64" s="17" t="s">
        <v>154</v>
      </c>
      <c r="D64" s="18" t="s">
        <v>154</v>
      </c>
      <c r="E64" s="17" t="s">
        <v>154</v>
      </c>
      <c r="F64" s="18" t="s">
        <v>154</v>
      </c>
      <c r="G64" s="17" t="s">
        <v>154</v>
      </c>
      <c r="H64" s="18" t="s">
        <v>154</v>
      </c>
      <c r="I64" s="17" t="s">
        <v>154</v>
      </c>
      <c r="J64" s="18" t="s">
        <v>154</v>
      </c>
      <c r="K64" s="17" t="s">
        <v>154</v>
      </c>
      <c r="L64" s="18" t="s">
        <v>154</v>
      </c>
      <c r="M64" s="17" t="s">
        <v>154</v>
      </c>
      <c r="N64" s="18" t="s">
        <v>154</v>
      </c>
      <c r="O64" s="17" t="s">
        <v>154</v>
      </c>
      <c r="P64" s="18" t="s">
        <v>154</v>
      </c>
      <c r="Q64" s="17" t="s">
        <v>154</v>
      </c>
      <c r="R64" s="18" t="s">
        <v>154</v>
      </c>
    </row>
    <row r="65" spans="1:18" x14ac:dyDescent="0.25">
      <c r="A65" s="11" t="s">
        <v>198</v>
      </c>
      <c r="B65" s="17" t="s">
        <v>154</v>
      </c>
      <c r="C65" s="17" t="s">
        <v>154</v>
      </c>
      <c r="D65" s="18" t="s">
        <v>154</v>
      </c>
      <c r="E65" s="17" t="s">
        <v>154</v>
      </c>
      <c r="F65" s="18" t="s">
        <v>154</v>
      </c>
      <c r="G65" s="17" t="s">
        <v>154</v>
      </c>
      <c r="H65" s="18" t="s">
        <v>154</v>
      </c>
      <c r="I65" s="17" t="s">
        <v>154</v>
      </c>
      <c r="J65" s="18" t="s">
        <v>154</v>
      </c>
      <c r="K65" s="17" t="s">
        <v>154</v>
      </c>
      <c r="L65" s="18" t="s">
        <v>154</v>
      </c>
      <c r="M65" s="17" t="s">
        <v>154</v>
      </c>
      <c r="N65" s="18" t="s">
        <v>154</v>
      </c>
      <c r="O65" s="17" t="s">
        <v>154</v>
      </c>
      <c r="P65" s="18" t="s">
        <v>154</v>
      </c>
      <c r="Q65" s="17" t="s">
        <v>154</v>
      </c>
      <c r="R65" s="18" t="s">
        <v>154</v>
      </c>
    </row>
    <row r="66" spans="1:18" x14ac:dyDescent="0.25">
      <c r="A66" s="11" t="s">
        <v>199</v>
      </c>
      <c r="B66" s="13">
        <v>5665</v>
      </c>
      <c r="C66" s="14">
        <f>(4754/B66*100)</f>
        <v>83.918799646954994</v>
      </c>
      <c r="D66" s="15">
        <v>911</v>
      </c>
      <c r="E66" s="14">
        <v>57.870739970000002</v>
      </c>
      <c r="F66" s="16">
        <v>1.5176067900000001</v>
      </c>
      <c r="G66" s="14">
        <v>42.129260029999998</v>
      </c>
      <c r="H66" s="16">
        <v>1.5176067900000001</v>
      </c>
      <c r="I66" s="14" t="s">
        <v>139</v>
      </c>
      <c r="J66" s="16" t="s">
        <v>139</v>
      </c>
      <c r="K66" s="14">
        <v>0</v>
      </c>
      <c r="L66" s="16">
        <v>0</v>
      </c>
      <c r="M66" s="14">
        <v>0</v>
      </c>
      <c r="N66" s="16">
        <v>0</v>
      </c>
      <c r="O66" s="14">
        <v>0</v>
      </c>
      <c r="P66" s="16">
        <v>0</v>
      </c>
      <c r="Q66" s="14">
        <v>0</v>
      </c>
      <c r="R66" s="16">
        <v>0</v>
      </c>
    </row>
    <row r="67" spans="1:18" x14ac:dyDescent="0.25">
      <c r="A67" s="11" t="s">
        <v>200</v>
      </c>
      <c r="B67" s="13">
        <v>6971</v>
      </c>
      <c r="C67" s="14">
        <f>(6010/B67*100)</f>
        <v>86.214316453880357</v>
      </c>
      <c r="D67" s="15">
        <v>961</v>
      </c>
      <c r="E67" s="14">
        <v>55.24611865</v>
      </c>
      <c r="F67" s="16">
        <v>1.9257499300000001</v>
      </c>
      <c r="G67" s="14">
        <v>44.75388135</v>
      </c>
      <c r="H67" s="16">
        <v>1.9257499300000001</v>
      </c>
      <c r="I67" s="14" t="s">
        <v>139</v>
      </c>
      <c r="J67" s="16" t="s">
        <v>139</v>
      </c>
      <c r="K67" s="14">
        <v>0</v>
      </c>
      <c r="L67" s="16">
        <v>0</v>
      </c>
      <c r="M67" s="14">
        <v>0</v>
      </c>
      <c r="N67" s="16">
        <v>0</v>
      </c>
      <c r="O67" s="14">
        <v>0</v>
      </c>
      <c r="P67" s="16">
        <v>0</v>
      </c>
      <c r="Q67" s="14">
        <v>0</v>
      </c>
      <c r="R67" s="16">
        <v>0</v>
      </c>
    </row>
    <row r="68" spans="1:18" x14ac:dyDescent="0.25">
      <c r="A68" s="11" t="s">
        <v>201</v>
      </c>
      <c r="B68" s="17" t="s">
        <v>154</v>
      </c>
      <c r="C68" s="17" t="s">
        <v>154</v>
      </c>
      <c r="D68" s="18" t="s">
        <v>154</v>
      </c>
      <c r="E68" s="17" t="s">
        <v>154</v>
      </c>
      <c r="F68" s="18" t="s">
        <v>154</v>
      </c>
      <c r="G68" s="17" t="s">
        <v>154</v>
      </c>
      <c r="H68" s="18" t="s">
        <v>154</v>
      </c>
      <c r="I68" s="17" t="s">
        <v>154</v>
      </c>
      <c r="J68" s="18" t="s">
        <v>154</v>
      </c>
      <c r="K68" s="17" t="s">
        <v>154</v>
      </c>
      <c r="L68" s="18" t="s">
        <v>154</v>
      </c>
      <c r="M68" s="17" t="s">
        <v>154</v>
      </c>
      <c r="N68" s="18" t="s">
        <v>154</v>
      </c>
      <c r="O68" s="17" t="s">
        <v>154</v>
      </c>
      <c r="P68" s="18" t="s">
        <v>154</v>
      </c>
      <c r="Q68" s="17" t="s">
        <v>154</v>
      </c>
      <c r="R68" s="18" t="s">
        <v>154</v>
      </c>
    </row>
    <row r="69" spans="1:18" x14ac:dyDescent="0.25">
      <c r="A69" s="11" t="s">
        <v>202</v>
      </c>
      <c r="B69" s="17" t="s">
        <v>154</v>
      </c>
      <c r="C69" s="17" t="s">
        <v>154</v>
      </c>
      <c r="D69" s="18" t="s">
        <v>154</v>
      </c>
      <c r="E69" s="17" t="s">
        <v>154</v>
      </c>
      <c r="F69" s="18" t="s">
        <v>154</v>
      </c>
      <c r="G69" s="17" t="s">
        <v>154</v>
      </c>
      <c r="H69" s="18" t="s">
        <v>154</v>
      </c>
      <c r="I69" s="17" t="s">
        <v>154</v>
      </c>
      <c r="J69" s="18" t="s">
        <v>154</v>
      </c>
      <c r="K69" s="17" t="s">
        <v>154</v>
      </c>
      <c r="L69" s="18" t="s">
        <v>154</v>
      </c>
      <c r="M69" s="17" t="s">
        <v>154</v>
      </c>
      <c r="N69" s="18" t="s">
        <v>154</v>
      </c>
      <c r="O69" s="17" t="s">
        <v>154</v>
      </c>
      <c r="P69" s="18" t="s">
        <v>154</v>
      </c>
      <c r="Q69" s="17" t="s">
        <v>154</v>
      </c>
      <c r="R69" s="18" t="s">
        <v>154</v>
      </c>
    </row>
    <row r="70" spans="1:18" x14ac:dyDescent="0.25">
      <c r="A70" s="11" t="s">
        <v>203</v>
      </c>
      <c r="B70" s="13">
        <v>6036</v>
      </c>
      <c r="C70" s="14">
        <f>(5043/B70*100)</f>
        <v>83.548707753479121</v>
      </c>
      <c r="D70" s="15">
        <v>993</v>
      </c>
      <c r="E70" s="14">
        <v>47.888316029999999</v>
      </c>
      <c r="F70" s="16">
        <v>2.2599805499999999</v>
      </c>
      <c r="G70" s="14">
        <v>52.111683970000001</v>
      </c>
      <c r="H70" s="16">
        <v>2.2599805499999999</v>
      </c>
      <c r="I70" s="14" t="s">
        <v>139</v>
      </c>
      <c r="J70" s="16" t="s">
        <v>139</v>
      </c>
      <c r="K70" s="14">
        <v>0</v>
      </c>
      <c r="L70" s="16">
        <v>0</v>
      </c>
      <c r="M70" s="14">
        <v>0</v>
      </c>
      <c r="N70" s="16">
        <v>0</v>
      </c>
      <c r="O70" s="14">
        <v>0</v>
      </c>
      <c r="P70" s="16">
        <v>0</v>
      </c>
      <c r="Q70" s="14">
        <v>0</v>
      </c>
      <c r="R70" s="16">
        <v>0</v>
      </c>
    </row>
    <row r="71" spans="1:18" x14ac:dyDescent="0.25">
      <c r="A71" s="11" t="s">
        <v>204</v>
      </c>
      <c r="B71" s="17" t="s">
        <v>154</v>
      </c>
      <c r="C71" s="17" t="s">
        <v>154</v>
      </c>
      <c r="D71" s="18" t="s">
        <v>154</v>
      </c>
      <c r="E71" s="17" t="s">
        <v>154</v>
      </c>
      <c r="F71" s="18" t="s">
        <v>154</v>
      </c>
      <c r="G71" s="17" t="s">
        <v>154</v>
      </c>
      <c r="H71" s="18" t="s">
        <v>154</v>
      </c>
      <c r="I71" s="17" t="s">
        <v>154</v>
      </c>
      <c r="J71" s="18" t="s">
        <v>154</v>
      </c>
      <c r="K71" s="17" t="s">
        <v>154</v>
      </c>
      <c r="L71" s="18" t="s">
        <v>154</v>
      </c>
      <c r="M71" s="17" t="s">
        <v>154</v>
      </c>
      <c r="N71" s="18" t="s">
        <v>154</v>
      </c>
      <c r="O71" s="17" t="s">
        <v>154</v>
      </c>
      <c r="P71" s="18" t="s">
        <v>154</v>
      </c>
      <c r="Q71" s="17" t="s">
        <v>154</v>
      </c>
      <c r="R71" s="18" t="s">
        <v>154</v>
      </c>
    </row>
    <row r="72" spans="1:18" x14ac:dyDescent="0.25">
      <c r="A72" s="11" t="s">
        <v>205</v>
      </c>
      <c r="B72" s="13">
        <v>7708</v>
      </c>
      <c r="C72" s="14">
        <f>(6395/B72*100)</f>
        <v>82.965749870264659</v>
      </c>
      <c r="D72" s="15">
        <v>1313</v>
      </c>
      <c r="E72" s="14">
        <v>20.130301620000001</v>
      </c>
      <c r="F72" s="16">
        <v>1.05575946</v>
      </c>
      <c r="G72" s="14">
        <v>79.869698380000003</v>
      </c>
      <c r="H72" s="16">
        <v>1.05575946</v>
      </c>
      <c r="I72" s="14" t="s">
        <v>139</v>
      </c>
      <c r="J72" s="16" t="s">
        <v>139</v>
      </c>
      <c r="K72" s="14">
        <v>0</v>
      </c>
      <c r="L72" s="16">
        <v>0</v>
      </c>
      <c r="M72" s="14">
        <v>0</v>
      </c>
      <c r="N72" s="16">
        <v>0</v>
      </c>
      <c r="O72" s="14">
        <v>0</v>
      </c>
      <c r="P72" s="16">
        <v>0</v>
      </c>
      <c r="Q72" s="14">
        <v>0</v>
      </c>
      <c r="R72" s="16">
        <v>0</v>
      </c>
    </row>
    <row r="73" spans="1:18" x14ac:dyDescent="0.25">
      <c r="A73" s="11" t="s">
        <v>206</v>
      </c>
      <c r="B73" s="13">
        <v>8249</v>
      </c>
      <c r="C73" s="14">
        <f>(6966/B73*100)</f>
        <v>84.446599587828828</v>
      </c>
      <c r="D73" s="15">
        <v>1283</v>
      </c>
      <c r="E73" s="14">
        <v>46.037785339999999</v>
      </c>
      <c r="F73" s="16">
        <v>1.85382973</v>
      </c>
      <c r="G73" s="14">
        <v>53.962214660000001</v>
      </c>
      <c r="H73" s="16">
        <v>1.85382973</v>
      </c>
      <c r="I73" s="14" t="s">
        <v>139</v>
      </c>
      <c r="J73" s="16" t="s">
        <v>139</v>
      </c>
      <c r="K73" s="14">
        <v>0</v>
      </c>
      <c r="L73" s="16">
        <v>0</v>
      </c>
      <c r="M73" s="14">
        <v>0</v>
      </c>
      <c r="N73" s="16">
        <v>0</v>
      </c>
      <c r="O73" s="14">
        <v>0</v>
      </c>
      <c r="P73" s="16">
        <v>0</v>
      </c>
      <c r="Q73" s="14">
        <v>0</v>
      </c>
      <c r="R73" s="16">
        <v>0</v>
      </c>
    </row>
    <row r="74" spans="1:18" x14ac:dyDescent="0.25">
      <c r="A74" s="11" t="s">
        <v>207</v>
      </c>
      <c r="B74" s="17" t="s">
        <v>154</v>
      </c>
      <c r="C74" s="17" t="s">
        <v>154</v>
      </c>
      <c r="D74" s="18" t="s">
        <v>154</v>
      </c>
      <c r="E74" s="17" t="s">
        <v>154</v>
      </c>
      <c r="F74" s="18" t="s">
        <v>154</v>
      </c>
      <c r="G74" s="17" t="s">
        <v>154</v>
      </c>
      <c r="H74" s="18" t="s">
        <v>154</v>
      </c>
      <c r="I74" s="17" t="s">
        <v>154</v>
      </c>
      <c r="J74" s="18" t="s">
        <v>154</v>
      </c>
      <c r="K74" s="17" t="s">
        <v>154</v>
      </c>
      <c r="L74" s="18" t="s">
        <v>154</v>
      </c>
      <c r="M74" s="17" t="s">
        <v>154</v>
      </c>
      <c r="N74" s="18" t="s">
        <v>154</v>
      </c>
      <c r="O74" s="17" t="s">
        <v>154</v>
      </c>
      <c r="P74" s="18" t="s">
        <v>154</v>
      </c>
      <c r="Q74" s="17" t="s">
        <v>154</v>
      </c>
      <c r="R74" s="18" t="s">
        <v>154</v>
      </c>
    </row>
    <row r="75" spans="1:18" x14ac:dyDescent="0.25">
      <c r="A75" s="11" t="s">
        <v>208</v>
      </c>
      <c r="B75" s="13">
        <v>5375</v>
      </c>
      <c r="C75" s="14">
        <f>(4595/B75*100)</f>
        <v>85.488372093023258</v>
      </c>
      <c r="D75" s="15">
        <v>780</v>
      </c>
      <c r="E75" s="14">
        <v>69.080830390000003</v>
      </c>
      <c r="F75" s="16">
        <v>1.5211707800000001</v>
      </c>
      <c r="G75" s="14">
        <v>30.919169610000001</v>
      </c>
      <c r="H75" s="16">
        <v>1.5211707800000001</v>
      </c>
      <c r="I75" s="14" t="s">
        <v>139</v>
      </c>
      <c r="J75" s="16" t="s">
        <v>139</v>
      </c>
      <c r="K75" s="14">
        <v>0</v>
      </c>
      <c r="L75" s="16">
        <v>0</v>
      </c>
      <c r="M75" s="14">
        <v>0</v>
      </c>
      <c r="N75" s="16">
        <v>0</v>
      </c>
      <c r="O75" s="14">
        <v>0</v>
      </c>
      <c r="P75" s="16">
        <v>0</v>
      </c>
      <c r="Q75" s="14">
        <v>0</v>
      </c>
      <c r="R75" s="16">
        <v>0</v>
      </c>
    </row>
    <row r="76" spans="1:18" x14ac:dyDescent="0.25">
      <c r="A76" s="11" t="s">
        <v>209</v>
      </c>
      <c r="B76" s="13">
        <v>14167</v>
      </c>
      <c r="C76" s="14">
        <f>(11740/B76*100)</f>
        <v>82.868638384979178</v>
      </c>
      <c r="D76" s="15">
        <v>2427</v>
      </c>
      <c r="E76" s="14">
        <v>54.271184050000002</v>
      </c>
      <c r="F76" s="16">
        <v>1.29814607</v>
      </c>
      <c r="G76" s="14">
        <v>45.728815949999998</v>
      </c>
      <c r="H76" s="16">
        <v>1.29814607</v>
      </c>
      <c r="I76" s="14" t="s">
        <v>139</v>
      </c>
      <c r="J76" s="16" t="s">
        <v>139</v>
      </c>
      <c r="K76" s="14">
        <v>0</v>
      </c>
      <c r="L76" s="16">
        <v>0</v>
      </c>
      <c r="M76" s="14">
        <v>0</v>
      </c>
      <c r="N76" s="16">
        <v>0</v>
      </c>
      <c r="O76" s="14">
        <v>0</v>
      </c>
      <c r="P76" s="16">
        <v>0</v>
      </c>
      <c r="Q76" s="14">
        <v>0</v>
      </c>
      <c r="R76" s="16">
        <v>0</v>
      </c>
    </row>
    <row r="77" spans="1:18" x14ac:dyDescent="0.25">
      <c r="A77" s="11" t="s">
        <v>210</v>
      </c>
      <c r="B77" s="13">
        <v>6062</v>
      </c>
      <c r="C77" s="14">
        <f>(5082/B77*100)</f>
        <v>83.833718244803691</v>
      </c>
      <c r="D77" s="15">
        <v>980</v>
      </c>
      <c r="E77" s="14">
        <v>49.913874919999998</v>
      </c>
      <c r="F77" s="16">
        <v>1.63199505</v>
      </c>
      <c r="G77" s="14">
        <v>50.086125080000002</v>
      </c>
      <c r="H77" s="16">
        <v>1.63199505</v>
      </c>
      <c r="I77" s="14" t="s">
        <v>139</v>
      </c>
      <c r="J77" s="16" t="s">
        <v>139</v>
      </c>
      <c r="K77" s="14">
        <v>0</v>
      </c>
      <c r="L77" s="16">
        <v>0</v>
      </c>
      <c r="M77" s="14">
        <v>0</v>
      </c>
      <c r="N77" s="16">
        <v>0</v>
      </c>
      <c r="O77" s="14">
        <v>0</v>
      </c>
      <c r="P77" s="16">
        <v>0</v>
      </c>
      <c r="Q77" s="14">
        <v>0</v>
      </c>
      <c r="R77" s="16">
        <v>0</v>
      </c>
    </row>
    <row r="78" spans="1:18" x14ac:dyDescent="0.25">
      <c r="A78" s="11" t="s">
        <v>211</v>
      </c>
      <c r="B78" s="17" t="s">
        <v>154</v>
      </c>
      <c r="C78" s="17" t="s">
        <v>154</v>
      </c>
      <c r="D78" s="18" t="s">
        <v>154</v>
      </c>
      <c r="E78" s="17" t="s">
        <v>154</v>
      </c>
      <c r="F78" s="18" t="s">
        <v>154</v>
      </c>
      <c r="G78" s="17" t="s">
        <v>154</v>
      </c>
      <c r="H78" s="18" t="s">
        <v>154</v>
      </c>
      <c r="I78" s="17" t="s">
        <v>154</v>
      </c>
      <c r="J78" s="18" t="s">
        <v>154</v>
      </c>
      <c r="K78" s="17" t="s">
        <v>154</v>
      </c>
      <c r="L78" s="18" t="s">
        <v>154</v>
      </c>
      <c r="M78" s="17" t="s">
        <v>154</v>
      </c>
      <c r="N78" s="18" t="s">
        <v>154</v>
      </c>
      <c r="O78" s="17" t="s">
        <v>154</v>
      </c>
      <c r="P78" s="18" t="s">
        <v>154</v>
      </c>
      <c r="Q78" s="17" t="s">
        <v>154</v>
      </c>
      <c r="R78" s="18" t="s">
        <v>154</v>
      </c>
    </row>
    <row r="79" spans="1:18" ht="24.95" customHeight="1" x14ac:dyDescent="0.25">
      <c r="A79" s="11" t="s">
        <v>212</v>
      </c>
      <c r="B79" s="17" t="s">
        <v>154</v>
      </c>
      <c r="C79" s="17" t="s">
        <v>154</v>
      </c>
      <c r="D79" s="18" t="s">
        <v>154</v>
      </c>
      <c r="E79" s="17" t="s">
        <v>154</v>
      </c>
      <c r="F79" s="18" t="s">
        <v>154</v>
      </c>
      <c r="G79" s="17" t="s">
        <v>154</v>
      </c>
      <c r="H79" s="18" t="s">
        <v>154</v>
      </c>
      <c r="I79" s="17" t="s">
        <v>154</v>
      </c>
      <c r="J79" s="18" t="s">
        <v>154</v>
      </c>
      <c r="K79" s="17" t="s">
        <v>154</v>
      </c>
      <c r="L79" s="18" t="s">
        <v>154</v>
      </c>
      <c r="M79" s="17" t="s">
        <v>154</v>
      </c>
      <c r="N79" s="18" t="s">
        <v>154</v>
      </c>
      <c r="O79" s="17" t="s">
        <v>154</v>
      </c>
      <c r="P79" s="18" t="s">
        <v>154</v>
      </c>
      <c r="Q79" s="17" t="s">
        <v>154</v>
      </c>
      <c r="R79" s="18" t="s">
        <v>154</v>
      </c>
    </row>
    <row r="80" spans="1:18" x14ac:dyDescent="0.25">
      <c r="A80" s="11" t="s">
        <v>213</v>
      </c>
      <c r="B80" s="17" t="s">
        <v>154</v>
      </c>
      <c r="C80" s="17" t="s">
        <v>154</v>
      </c>
      <c r="D80" s="18" t="s">
        <v>154</v>
      </c>
      <c r="E80" s="17" t="s">
        <v>154</v>
      </c>
      <c r="F80" s="18" t="s">
        <v>154</v>
      </c>
      <c r="G80" s="17" t="s">
        <v>154</v>
      </c>
      <c r="H80" s="18" t="s">
        <v>154</v>
      </c>
      <c r="I80" s="17" t="s">
        <v>154</v>
      </c>
      <c r="J80" s="18" t="s">
        <v>154</v>
      </c>
      <c r="K80" s="17" t="s">
        <v>154</v>
      </c>
      <c r="L80" s="18" t="s">
        <v>154</v>
      </c>
      <c r="M80" s="17" t="s">
        <v>154</v>
      </c>
      <c r="N80" s="18" t="s">
        <v>154</v>
      </c>
      <c r="O80" s="17" t="s">
        <v>154</v>
      </c>
      <c r="P80" s="18" t="s">
        <v>154</v>
      </c>
      <c r="Q80" s="17" t="s">
        <v>154</v>
      </c>
      <c r="R80" s="18" t="s">
        <v>154</v>
      </c>
    </row>
    <row r="81" spans="1:18" x14ac:dyDescent="0.25">
      <c r="A81" s="19" t="s">
        <v>214</v>
      </c>
      <c r="B81" s="13">
        <v>8861</v>
      </c>
      <c r="C81" s="14">
        <f>(7385/B81*100)</f>
        <v>83.342737839972912</v>
      </c>
      <c r="D81" s="15">
        <v>1476</v>
      </c>
      <c r="E81" s="14">
        <v>44.705300989999998</v>
      </c>
      <c r="F81" s="16">
        <v>1.9176010400000001</v>
      </c>
      <c r="G81" s="14">
        <v>55.294699010000002</v>
      </c>
      <c r="H81" s="16">
        <v>1.9176010400000001</v>
      </c>
      <c r="I81" s="14" t="s">
        <v>139</v>
      </c>
      <c r="J81" s="16" t="s">
        <v>139</v>
      </c>
      <c r="K81" s="14">
        <v>0</v>
      </c>
      <c r="L81" s="16">
        <v>0</v>
      </c>
      <c r="M81" s="14">
        <v>0</v>
      </c>
      <c r="N81" s="16">
        <v>0</v>
      </c>
      <c r="O81" s="14">
        <v>0</v>
      </c>
      <c r="P81" s="16">
        <v>0</v>
      </c>
      <c r="Q81" s="14">
        <v>0</v>
      </c>
      <c r="R81" s="16">
        <v>0</v>
      </c>
    </row>
    <row r="82" spans="1:18" x14ac:dyDescent="0.25">
      <c r="A82" s="20"/>
      <c r="B82" s="20" t="s">
        <v>215</v>
      </c>
      <c r="C82" s="20" t="s">
        <v>215</v>
      </c>
      <c r="D82" s="20" t="s">
        <v>215</v>
      </c>
      <c r="E82" s="20" t="s">
        <v>215</v>
      </c>
      <c r="F82" s="20" t="s">
        <v>215</v>
      </c>
      <c r="G82" s="20" t="s">
        <v>215</v>
      </c>
      <c r="H82" s="20" t="s">
        <v>215</v>
      </c>
      <c r="I82" s="20" t="s">
        <v>215</v>
      </c>
      <c r="J82" s="20" t="s">
        <v>215</v>
      </c>
      <c r="K82" s="20" t="s">
        <v>215</v>
      </c>
      <c r="L82" s="20" t="s">
        <v>215</v>
      </c>
      <c r="M82" s="20" t="s">
        <v>215</v>
      </c>
      <c r="N82" s="20" t="s">
        <v>215</v>
      </c>
      <c r="O82" s="20" t="s">
        <v>215</v>
      </c>
      <c r="P82" s="20" t="s">
        <v>215</v>
      </c>
      <c r="Q82" s="20" t="s">
        <v>215</v>
      </c>
      <c r="R82" s="20" t="s">
        <v>215</v>
      </c>
    </row>
    <row r="83" spans="1:18" x14ac:dyDescent="0.25">
      <c r="A83" s="3" t="s">
        <v>216</v>
      </c>
    </row>
    <row r="84" spans="1:18" x14ac:dyDescent="0.25">
      <c r="A84" s="22" t="s">
        <v>217</v>
      </c>
      <c r="B84" s="23"/>
      <c r="C84" s="23"/>
      <c r="D84" s="23"/>
      <c r="E84" s="23"/>
      <c r="F84" s="23"/>
      <c r="G84" s="23"/>
      <c r="H84" s="23"/>
      <c r="I84" s="23"/>
      <c r="J84" s="23"/>
      <c r="K84" s="23"/>
      <c r="L84" s="23"/>
      <c r="M84" s="23"/>
      <c r="N84" s="23"/>
      <c r="O84" s="23"/>
      <c r="P84" s="23"/>
      <c r="Q84" s="23"/>
      <c r="R84" s="23"/>
    </row>
    <row r="85" spans="1:18" x14ac:dyDescent="0.25">
      <c r="A85" s="22" t="s">
        <v>218</v>
      </c>
      <c r="B85" s="23"/>
      <c r="C85" s="23"/>
      <c r="D85" s="23"/>
      <c r="E85" s="23"/>
      <c r="F85" s="23"/>
      <c r="G85" s="23"/>
      <c r="H85" s="23"/>
      <c r="I85" s="23"/>
      <c r="J85" s="23"/>
      <c r="K85" s="23"/>
      <c r="L85" s="23"/>
      <c r="M85" s="23"/>
      <c r="N85" s="23"/>
      <c r="O85" s="23"/>
      <c r="P85" s="23"/>
      <c r="Q85" s="23"/>
      <c r="R85" s="23"/>
    </row>
    <row r="86" spans="1:18" ht="30" customHeight="1" x14ac:dyDescent="0.25">
      <c r="A86" s="22" t="s">
        <v>219</v>
      </c>
      <c r="B86" s="23"/>
      <c r="C86" s="23"/>
      <c r="D86" s="23"/>
      <c r="E86" s="23"/>
      <c r="F86" s="23"/>
      <c r="G86" s="23"/>
      <c r="H86" s="23"/>
      <c r="I86" s="23"/>
      <c r="J86" s="23"/>
      <c r="K86" s="23"/>
      <c r="L86" s="23"/>
      <c r="M86" s="23"/>
      <c r="N86" s="23"/>
      <c r="O86" s="23"/>
      <c r="P86" s="23"/>
      <c r="Q86" s="23"/>
      <c r="R86" s="23"/>
    </row>
    <row r="87" spans="1:18" ht="30" customHeight="1" x14ac:dyDescent="0.25">
      <c r="A87" s="22" t="s">
        <v>215</v>
      </c>
      <c r="B87" s="23"/>
      <c r="C87" s="23"/>
      <c r="D87" s="23"/>
      <c r="E87" s="23"/>
      <c r="F87" s="23"/>
      <c r="G87" s="23"/>
      <c r="H87" s="23"/>
      <c r="I87" s="23"/>
      <c r="J87" s="23"/>
      <c r="K87" s="23"/>
      <c r="L87" s="23"/>
      <c r="M87" s="23"/>
      <c r="N87" s="23"/>
      <c r="O87" s="23"/>
      <c r="P87" s="23"/>
      <c r="Q87" s="23"/>
      <c r="R87" s="23"/>
    </row>
    <row r="88" spans="1:18" ht="30" customHeight="1" x14ac:dyDescent="0.25">
      <c r="A88" s="22" t="s">
        <v>220</v>
      </c>
      <c r="B88" s="23"/>
      <c r="C88" s="23"/>
      <c r="D88" s="23"/>
      <c r="E88" s="23"/>
      <c r="F88" s="23"/>
      <c r="G88" s="23"/>
      <c r="H88" s="23"/>
      <c r="I88" s="23"/>
      <c r="J88" s="23"/>
      <c r="K88" s="23"/>
      <c r="L88" s="23"/>
      <c r="M88" s="23"/>
      <c r="N88" s="23"/>
      <c r="O88" s="23"/>
      <c r="P88" s="23"/>
      <c r="Q88" s="23"/>
      <c r="R88" s="23"/>
    </row>
    <row r="89" spans="1:18" ht="30" customHeight="1" x14ac:dyDescent="0.25">
      <c r="A89" s="22" t="s">
        <v>221</v>
      </c>
      <c r="B89" s="23"/>
      <c r="C89" s="23"/>
      <c r="D89" s="23"/>
      <c r="E89" s="23"/>
      <c r="F89" s="23"/>
      <c r="G89" s="23"/>
      <c r="H89" s="23"/>
      <c r="I89" s="23"/>
      <c r="J89" s="23"/>
      <c r="K89" s="23"/>
      <c r="L89" s="23"/>
      <c r="M89" s="23"/>
      <c r="N89" s="23"/>
      <c r="O89" s="23"/>
      <c r="P89" s="23"/>
      <c r="Q89" s="23"/>
      <c r="R89" s="23"/>
    </row>
    <row r="90" spans="1:18" ht="30" customHeight="1" x14ac:dyDescent="0.25">
      <c r="A90" s="22" t="s">
        <v>222</v>
      </c>
      <c r="B90" s="23"/>
      <c r="C90" s="23"/>
      <c r="D90" s="23"/>
      <c r="E90" s="23"/>
      <c r="F90" s="23"/>
      <c r="G90" s="23"/>
      <c r="H90" s="23"/>
      <c r="I90" s="23"/>
      <c r="J90" s="23"/>
      <c r="K90" s="23"/>
      <c r="L90" s="23"/>
      <c r="M90" s="23"/>
      <c r="N90" s="23"/>
      <c r="O90" s="23"/>
      <c r="P90" s="23"/>
      <c r="Q90" s="23"/>
      <c r="R90" s="23"/>
    </row>
    <row r="91" spans="1:18" ht="30" customHeight="1" x14ac:dyDescent="0.25">
      <c r="A91" s="22" t="s">
        <v>223</v>
      </c>
      <c r="B91" s="23"/>
      <c r="C91" s="23"/>
      <c r="D91" s="23"/>
      <c r="E91" s="23"/>
      <c r="F91" s="23"/>
      <c r="G91" s="23"/>
      <c r="H91" s="23"/>
      <c r="I91" s="23"/>
      <c r="J91" s="23"/>
      <c r="K91" s="23"/>
      <c r="L91" s="23"/>
      <c r="M91" s="23"/>
      <c r="N91" s="23"/>
      <c r="O91" s="23"/>
      <c r="P91" s="23"/>
      <c r="Q91" s="23"/>
      <c r="R91" s="23"/>
    </row>
    <row r="92" spans="1:18" ht="30" customHeight="1" x14ac:dyDescent="0.25">
      <c r="A92" s="22" t="s">
        <v>224</v>
      </c>
      <c r="B92" s="23"/>
      <c r="C92" s="23"/>
      <c r="D92" s="23"/>
      <c r="E92" s="23"/>
      <c r="F92" s="23"/>
      <c r="G92" s="23"/>
      <c r="H92" s="23"/>
      <c r="I92" s="23"/>
      <c r="J92" s="23"/>
      <c r="K92" s="23"/>
      <c r="L92" s="23"/>
      <c r="M92" s="23"/>
      <c r="N92" s="23"/>
      <c r="O92" s="23"/>
      <c r="P92" s="23"/>
      <c r="Q92" s="23"/>
      <c r="R92" s="23"/>
    </row>
    <row r="93" spans="1:18" ht="30" customHeight="1" x14ac:dyDescent="0.25">
      <c r="A93" s="22" t="s">
        <v>225</v>
      </c>
      <c r="B93" s="23"/>
      <c r="C93" s="23"/>
      <c r="D93" s="23"/>
      <c r="E93" s="23"/>
      <c r="F93" s="23"/>
      <c r="G93" s="23"/>
      <c r="H93" s="23"/>
      <c r="I93" s="23"/>
      <c r="J93" s="23"/>
      <c r="K93" s="23"/>
      <c r="L93" s="23"/>
      <c r="M93" s="23"/>
      <c r="N93" s="23"/>
      <c r="O93" s="23"/>
      <c r="P93" s="23"/>
      <c r="Q93" s="23"/>
      <c r="R93" s="23"/>
    </row>
    <row r="94" spans="1:18" ht="30" customHeight="1" x14ac:dyDescent="0.25">
      <c r="A94" s="22" t="s">
        <v>226</v>
      </c>
      <c r="B94" s="23"/>
      <c r="C94" s="23"/>
      <c r="D94" s="23"/>
      <c r="E94" s="23"/>
      <c r="F94" s="23"/>
      <c r="G94" s="23"/>
      <c r="H94" s="23"/>
      <c r="I94" s="23"/>
      <c r="J94" s="23"/>
      <c r="K94" s="23"/>
      <c r="L94" s="23"/>
      <c r="M94" s="23"/>
      <c r="N94" s="23"/>
      <c r="O94" s="23"/>
      <c r="P94" s="23"/>
      <c r="Q94" s="23"/>
      <c r="R94" s="23"/>
    </row>
    <row r="95" spans="1:18" ht="30" customHeight="1" x14ac:dyDescent="0.25">
      <c r="A95" s="22" t="s">
        <v>227</v>
      </c>
      <c r="B95" s="23"/>
      <c r="C95" s="23"/>
      <c r="D95" s="23"/>
      <c r="E95" s="23"/>
      <c r="F95" s="23"/>
      <c r="G95" s="23"/>
      <c r="H95" s="23"/>
      <c r="I95" s="23"/>
      <c r="J95" s="23"/>
      <c r="K95" s="23"/>
      <c r="L95" s="23"/>
      <c r="M95" s="23"/>
      <c r="N95" s="23"/>
      <c r="O95" s="23"/>
      <c r="P95" s="23"/>
      <c r="Q95" s="23"/>
      <c r="R95" s="23"/>
    </row>
    <row r="96" spans="1:18" ht="30" customHeight="1" x14ac:dyDescent="0.25">
      <c r="A96" s="22" t="s">
        <v>228</v>
      </c>
      <c r="B96" s="23"/>
      <c r="C96" s="23"/>
      <c r="D96" s="23"/>
      <c r="E96" s="23"/>
      <c r="F96" s="23"/>
      <c r="G96" s="23"/>
      <c r="H96" s="23"/>
      <c r="I96" s="23"/>
      <c r="J96" s="23"/>
      <c r="K96" s="23"/>
      <c r="L96" s="23"/>
      <c r="M96" s="23"/>
      <c r="N96" s="23"/>
      <c r="O96" s="23"/>
      <c r="P96" s="23"/>
      <c r="Q96" s="23"/>
      <c r="R96" s="23"/>
    </row>
  </sheetData>
  <mergeCells count="22">
    <mergeCell ref="O4:P4"/>
    <mergeCell ref="Q4:R4"/>
    <mergeCell ref="A1:R1"/>
    <mergeCell ref="A2:R2"/>
    <mergeCell ref="A84:R84"/>
    <mergeCell ref="E4:F4"/>
    <mergeCell ref="G4:H4"/>
    <mergeCell ref="I4:J4"/>
    <mergeCell ref="K4:L4"/>
    <mergeCell ref="M4:N4"/>
    <mergeCell ref="A85:R85"/>
    <mergeCell ref="A86:R86"/>
    <mergeCell ref="A87:R87"/>
    <mergeCell ref="A88:R88"/>
    <mergeCell ref="A89:R89"/>
    <mergeCell ref="A95:R95"/>
    <mergeCell ref="A96:R96"/>
    <mergeCell ref="A90:R90"/>
    <mergeCell ref="A91:R91"/>
    <mergeCell ref="A92:R92"/>
    <mergeCell ref="A93:R93"/>
    <mergeCell ref="A94:R94"/>
  </mergeCells>
  <pageMargins left="0.75" right="0.75" top="1" bottom="1" header="0.5" footer="0.5"/>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9"/>
  <dimension ref="A1:R96"/>
  <sheetViews>
    <sheetView zoomScale="80" workbookViewId="0">
      <pane xSplit="4" topLeftCell="E1" activePane="topRight" state="frozen"/>
      <selection sqref="A1:R1"/>
      <selection pane="topRight" sqref="A1:R1"/>
    </sheetView>
  </sheetViews>
  <sheetFormatPr defaultColWidth="11.42578125" defaultRowHeight="15" x14ac:dyDescent="0.25"/>
  <cols>
    <col min="1" max="1" width="50" customWidth="1"/>
  </cols>
  <sheetData>
    <row r="1" spans="1:18" x14ac:dyDescent="0.25">
      <c r="A1" s="26" t="s">
        <v>122</v>
      </c>
      <c r="B1" s="23"/>
      <c r="C1" s="23"/>
      <c r="D1" s="23"/>
      <c r="E1" s="23"/>
      <c r="F1" s="23"/>
      <c r="G1" s="23"/>
      <c r="H1" s="23"/>
      <c r="I1" s="23"/>
      <c r="J1" s="23"/>
      <c r="K1" s="23"/>
      <c r="L1" s="23"/>
      <c r="M1" s="23"/>
      <c r="N1" s="23"/>
      <c r="O1" s="23"/>
      <c r="P1" s="23"/>
      <c r="Q1" s="23"/>
      <c r="R1" s="23"/>
    </row>
    <row r="2" spans="1:18" x14ac:dyDescent="0.25">
      <c r="A2" s="27" t="s">
        <v>305</v>
      </c>
      <c r="B2" s="23"/>
      <c r="C2" s="23"/>
      <c r="D2" s="23"/>
      <c r="E2" s="23"/>
      <c r="F2" s="23"/>
      <c r="G2" s="23"/>
      <c r="H2" s="23"/>
      <c r="I2" s="23"/>
      <c r="J2" s="23"/>
      <c r="K2" s="23"/>
      <c r="L2" s="23"/>
      <c r="M2" s="23"/>
      <c r="N2" s="23"/>
      <c r="O2" s="23"/>
      <c r="P2" s="23"/>
      <c r="Q2" s="23"/>
      <c r="R2" s="23"/>
    </row>
    <row r="4" spans="1:18" ht="30" customHeight="1" x14ac:dyDescent="0.25">
      <c r="A4" s="4"/>
      <c r="B4" s="5" t="s">
        <v>123</v>
      </c>
      <c r="C4" s="5" t="s">
        <v>124</v>
      </c>
      <c r="D4" s="6" t="s">
        <v>123</v>
      </c>
      <c r="E4" s="24" t="s">
        <v>125</v>
      </c>
      <c r="F4" s="25"/>
      <c r="G4" s="24" t="s">
        <v>126</v>
      </c>
      <c r="H4" s="25"/>
      <c r="I4" s="24" t="s">
        <v>127</v>
      </c>
      <c r="J4" s="25"/>
      <c r="K4" s="24" t="s">
        <v>128</v>
      </c>
      <c r="L4" s="25"/>
      <c r="M4" s="24" t="s">
        <v>129</v>
      </c>
      <c r="N4" s="25"/>
      <c r="O4" s="24" t="s">
        <v>130</v>
      </c>
      <c r="P4" s="25"/>
      <c r="Q4" s="24" t="s">
        <v>131</v>
      </c>
      <c r="R4" s="25"/>
    </row>
    <row r="5" spans="1:18" x14ac:dyDescent="0.25">
      <c r="A5" s="7"/>
      <c r="B5" s="8" t="s">
        <v>132</v>
      </c>
      <c r="C5" s="8" t="s">
        <v>133</v>
      </c>
      <c r="D5" s="7" t="s">
        <v>134</v>
      </c>
      <c r="E5" s="8" t="s">
        <v>135</v>
      </c>
      <c r="F5" s="7" t="s">
        <v>136</v>
      </c>
      <c r="G5" s="8" t="s">
        <v>135</v>
      </c>
      <c r="H5" s="7" t="s">
        <v>136</v>
      </c>
      <c r="I5" s="8" t="s">
        <v>135</v>
      </c>
      <c r="J5" s="7" t="s">
        <v>136</v>
      </c>
      <c r="K5" s="8" t="s">
        <v>135</v>
      </c>
      <c r="L5" s="7" t="s">
        <v>136</v>
      </c>
      <c r="M5" s="8" t="s">
        <v>135</v>
      </c>
      <c r="N5" s="7" t="s">
        <v>136</v>
      </c>
      <c r="O5" s="8" t="s">
        <v>135</v>
      </c>
      <c r="P5" s="7" t="s">
        <v>136</v>
      </c>
      <c r="Q5" s="8" t="s">
        <v>135</v>
      </c>
      <c r="R5" s="7" t="s">
        <v>136</v>
      </c>
    </row>
    <row r="6" spans="1:18" x14ac:dyDescent="0.25">
      <c r="A6" s="9" t="s">
        <v>137</v>
      </c>
      <c r="B6" s="10"/>
      <c r="C6" s="10"/>
      <c r="D6" s="11"/>
      <c r="E6" s="10"/>
      <c r="F6" s="11"/>
      <c r="G6" s="10"/>
      <c r="H6" s="11"/>
      <c r="I6" s="10"/>
      <c r="J6" s="11"/>
      <c r="K6" s="10"/>
      <c r="L6" s="11"/>
      <c r="M6" s="10"/>
      <c r="N6" s="11"/>
      <c r="O6" s="10"/>
      <c r="P6" s="11"/>
      <c r="Q6" s="10"/>
      <c r="R6" s="12"/>
    </row>
    <row r="7" spans="1:18" x14ac:dyDescent="0.25">
      <c r="A7" s="11" t="s">
        <v>138</v>
      </c>
      <c r="B7" s="13">
        <v>14530</v>
      </c>
      <c r="C7" s="14">
        <f>(12188/B7*100)</f>
        <v>83.881624225739841</v>
      </c>
      <c r="D7" s="15">
        <v>2342</v>
      </c>
      <c r="E7" s="14">
        <v>14.970598320000001</v>
      </c>
      <c r="F7" s="16">
        <v>0.87026886000000003</v>
      </c>
      <c r="G7" s="14">
        <v>85.029401680000007</v>
      </c>
      <c r="H7" s="16">
        <v>0.87026886000000003</v>
      </c>
      <c r="I7" s="14" t="s">
        <v>139</v>
      </c>
      <c r="J7" s="16" t="s">
        <v>139</v>
      </c>
      <c r="K7" s="14">
        <v>0</v>
      </c>
      <c r="L7" s="16">
        <v>0</v>
      </c>
      <c r="M7" s="14">
        <v>0</v>
      </c>
      <c r="N7" s="16">
        <v>0</v>
      </c>
      <c r="O7" s="14">
        <v>0</v>
      </c>
      <c r="P7" s="16">
        <v>0</v>
      </c>
      <c r="Q7" s="14">
        <v>0</v>
      </c>
      <c r="R7" s="16">
        <v>0</v>
      </c>
    </row>
    <row r="8" spans="1:18" x14ac:dyDescent="0.25">
      <c r="A8" s="11" t="s">
        <v>140</v>
      </c>
      <c r="B8" s="13">
        <v>7007</v>
      </c>
      <c r="C8" s="14">
        <f>(5837/B8*100)</f>
        <v>83.302411873840441</v>
      </c>
      <c r="D8" s="15">
        <v>1170</v>
      </c>
      <c r="E8" s="14">
        <v>13.080726289999999</v>
      </c>
      <c r="F8" s="16">
        <v>1.04900506</v>
      </c>
      <c r="G8" s="14">
        <v>86.919273709999999</v>
      </c>
      <c r="H8" s="16">
        <v>1.04900506</v>
      </c>
      <c r="I8" s="14" t="s">
        <v>139</v>
      </c>
      <c r="J8" s="16" t="s">
        <v>139</v>
      </c>
      <c r="K8" s="14">
        <v>0</v>
      </c>
      <c r="L8" s="16">
        <v>0</v>
      </c>
      <c r="M8" s="14">
        <v>0</v>
      </c>
      <c r="N8" s="16">
        <v>0</v>
      </c>
      <c r="O8" s="14">
        <v>0</v>
      </c>
      <c r="P8" s="16">
        <v>0</v>
      </c>
      <c r="Q8" s="14">
        <v>0</v>
      </c>
      <c r="R8" s="16">
        <v>0</v>
      </c>
    </row>
    <row r="9" spans="1:18" x14ac:dyDescent="0.25">
      <c r="A9" s="11" t="s">
        <v>141</v>
      </c>
      <c r="B9" s="13">
        <v>9651</v>
      </c>
      <c r="C9" s="14">
        <f>(8124/B9*100)</f>
        <v>84.17780540876592</v>
      </c>
      <c r="D9" s="15">
        <v>1527</v>
      </c>
      <c r="E9" s="14">
        <v>12.193045570000001</v>
      </c>
      <c r="F9" s="16">
        <v>0.84652373999999997</v>
      </c>
      <c r="G9" s="14">
        <v>87.806954430000005</v>
      </c>
      <c r="H9" s="16">
        <v>0.84652373999999997</v>
      </c>
      <c r="I9" s="14" t="s">
        <v>139</v>
      </c>
      <c r="J9" s="16" t="s">
        <v>139</v>
      </c>
      <c r="K9" s="14">
        <v>0</v>
      </c>
      <c r="L9" s="16">
        <v>0</v>
      </c>
      <c r="M9" s="14">
        <v>0</v>
      </c>
      <c r="N9" s="16">
        <v>0</v>
      </c>
      <c r="O9" s="14">
        <v>0</v>
      </c>
      <c r="P9" s="16">
        <v>0</v>
      </c>
      <c r="Q9" s="14">
        <v>0</v>
      </c>
      <c r="R9" s="16">
        <v>0</v>
      </c>
    </row>
    <row r="10" spans="1:18" x14ac:dyDescent="0.25">
      <c r="A10" s="11" t="s">
        <v>142</v>
      </c>
      <c r="B10" s="13">
        <v>20058</v>
      </c>
      <c r="C10" s="14">
        <f>(16690/B10*100)</f>
        <v>83.208694785123143</v>
      </c>
      <c r="D10" s="15">
        <v>3368</v>
      </c>
      <c r="E10" s="14">
        <v>12.29236991</v>
      </c>
      <c r="F10" s="16">
        <v>0.93358403000000001</v>
      </c>
      <c r="G10" s="14">
        <v>87.707630089999995</v>
      </c>
      <c r="H10" s="16">
        <v>0.93358403000000001</v>
      </c>
      <c r="I10" s="14" t="s">
        <v>139</v>
      </c>
      <c r="J10" s="16" t="s">
        <v>139</v>
      </c>
      <c r="K10" s="14">
        <v>0</v>
      </c>
      <c r="L10" s="16">
        <v>0</v>
      </c>
      <c r="M10" s="14">
        <v>0</v>
      </c>
      <c r="N10" s="16">
        <v>0</v>
      </c>
      <c r="O10" s="14">
        <v>0</v>
      </c>
      <c r="P10" s="16">
        <v>0</v>
      </c>
      <c r="Q10" s="14">
        <v>0</v>
      </c>
      <c r="R10" s="16">
        <v>0</v>
      </c>
    </row>
    <row r="11" spans="1:18" x14ac:dyDescent="0.25">
      <c r="A11" s="11" t="s">
        <v>143</v>
      </c>
      <c r="B11" s="13">
        <v>7053</v>
      </c>
      <c r="C11" s="14">
        <f>(5899/B11*100)</f>
        <v>83.638168155394865</v>
      </c>
      <c r="D11" s="15">
        <v>1154</v>
      </c>
      <c r="E11" s="14">
        <v>11.333177360000001</v>
      </c>
      <c r="F11" s="16">
        <v>1.2130191299999999</v>
      </c>
      <c r="G11" s="14">
        <v>88.666822640000007</v>
      </c>
      <c r="H11" s="16">
        <v>1.2130191299999999</v>
      </c>
      <c r="I11" s="14" t="s">
        <v>139</v>
      </c>
      <c r="J11" s="16" t="s">
        <v>139</v>
      </c>
      <c r="K11" s="14">
        <v>0</v>
      </c>
      <c r="L11" s="16">
        <v>0</v>
      </c>
      <c r="M11" s="14">
        <v>0</v>
      </c>
      <c r="N11" s="16">
        <v>0</v>
      </c>
      <c r="O11" s="14">
        <v>0</v>
      </c>
      <c r="P11" s="16">
        <v>0</v>
      </c>
      <c r="Q11" s="14">
        <v>0</v>
      </c>
      <c r="R11" s="16">
        <v>0</v>
      </c>
    </row>
    <row r="12" spans="1:18" x14ac:dyDescent="0.25">
      <c r="A12" s="11" t="s">
        <v>144</v>
      </c>
      <c r="B12" s="13">
        <v>6894</v>
      </c>
      <c r="C12" s="14">
        <f>(5764/B12*100)</f>
        <v>83.608935306063245</v>
      </c>
      <c r="D12" s="15">
        <v>1130</v>
      </c>
      <c r="E12" s="14">
        <v>16.776377830000001</v>
      </c>
      <c r="F12" s="16">
        <v>1.4147022600000001</v>
      </c>
      <c r="G12" s="14">
        <v>83.223622169999999</v>
      </c>
      <c r="H12" s="16">
        <v>1.4147022600000001</v>
      </c>
      <c r="I12" s="14" t="s">
        <v>139</v>
      </c>
      <c r="J12" s="16" t="s">
        <v>139</v>
      </c>
      <c r="K12" s="14">
        <v>0</v>
      </c>
      <c r="L12" s="16">
        <v>0</v>
      </c>
      <c r="M12" s="14">
        <v>0</v>
      </c>
      <c r="N12" s="16">
        <v>0</v>
      </c>
      <c r="O12" s="14">
        <v>0</v>
      </c>
      <c r="P12" s="16">
        <v>0</v>
      </c>
      <c r="Q12" s="14">
        <v>0</v>
      </c>
      <c r="R12" s="16">
        <v>0</v>
      </c>
    </row>
    <row r="13" spans="1:18" x14ac:dyDescent="0.25">
      <c r="A13" s="11" t="s">
        <v>145</v>
      </c>
      <c r="B13" s="13">
        <v>7161</v>
      </c>
      <c r="C13" s="14">
        <f>(6052/B13*100)</f>
        <v>84.513336126239352</v>
      </c>
      <c r="D13" s="15">
        <v>1109</v>
      </c>
      <c r="E13" s="14">
        <v>13.478813280000001</v>
      </c>
      <c r="F13" s="16">
        <v>1.23370749</v>
      </c>
      <c r="G13" s="14">
        <v>86.521186720000003</v>
      </c>
      <c r="H13" s="16">
        <v>1.23370749</v>
      </c>
      <c r="I13" s="14" t="s">
        <v>139</v>
      </c>
      <c r="J13" s="16" t="s">
        <v>139</v>
      </c>
      <c r="K13" s="14">
        <v>0</v>
      </c>
      <c r="L13" s="16">
        <v>0</v>
      </c>
      <c r="M13" s="14">
        <v>0</v>
      </c>
      <c r="N13" s="16">
        <v>0</v>
      </c>
      <c r="O13" s="14">
        <v>0</v>
      </c>
      <c r="P13" s="16">
        <v>0</v>
      </c>
      <c r="Q13" s="14">
        <v>0</v>
      </c>
      <c r="R13" s="16">
        <v>0</v>
      </c>
    </row>
    <row r="14" spans="1:18" x14ac:dyDescent="0.25">
      <c r="A14" s="11" t="s">
        <v>146</v>
      </c>
      <c r="B14" s="13">
        <v>5587</v>
      </c>
      <c r="C14" s="14">
        <f>(4649/B14*100)</f>
        <v>83.211025595131559</v>
      </c>
      <c r="D14" s="15">
        <v>938</v>
      </c>
      <c r="E14" s="14">
        <v>10.279443710000001</v>
      </c>
      <c r="F14" s="16">
        <v>0.93509483999999998</v>
      </c>
      <c r="G14" s="14">
        <v>89.720556290000005</v>
      </c>
      <c r="H14" s="16">
        <v>0.93509483999999998</v>
      </c>
      <c r="I14" s="14" t="s">
        <v>139</v>
      </c>
      <c r="J14" s="16" t="s">
        <v>139</v>
      </c>
      <c r="K14" s="14">
        <v>0</v>
      </c>
      <c r="L14" s="16">
        <v>0</v>
      </c>
      <c r="M14" s="14">
        <v>0</v>
      </c>
      <c r="N14" s="16">
        <v>0</v>
      </c>
      <c r="O14" s="14">
        <v>0</v>
      </c>
      <c r="P14" s="16">
        <v>0</v>
      </c>
      <c r="Q14" s="14">
        <v>0</v>
      </c>
      <c r="R14" s="16">
        <v>0</v>
      </c>
    </row>
    <row r="15" spans="1:18" x14ac:dyDescent="0.25">
      <c r="A15" s="11" t="s">
        <v>147</v>
      </c>
      <c r="B15" s="13">
        <v>5882</v>
      </c>
      <c r="C15" s="14">
        <f>(4896/B15*100)</f>
        <v>83.236994219653184</v>
      </c>
      <c r="D15" s="15">
        <v>986</v>
      </c>
      <c r="E15" s="14">
        <v>9.8394868500000001</v>
      </c>
      <c r="F15" s="16">
        <v>1.07720028</v>
      </c>
      <c r="G15" s="14">
        <v>90.16051315</v>
      </c>
      <c r="H15" s="16">
        <v>1.07720028</v>
      </c>
      <c r="I15" s="14" t="s">
        <v>139</v>
      </c>
      <c r="J15" s="16" t="s">
        <v>139</v>
      </c>
      <c r="K15" s="14">
        <v>0</v>
      </c>
      <c r="L15" s="16">
        <v>0</v>
      </c>
      <c r="M15" s="14">
        <v>0</v>
      </c>
      <c r="N15" s="16">
        <v>0</v>
      </c>
      <c r="O15" s="14">
        <v>0</v>
      </c>
      <c r="P15" s="16">
        <v>0</v>
      </c>
      <c r="Q15" s="14">
        <v>0</v>
      </c>
      <c r="R15" s="16">
        <v>0</v>
      </c>
    </row>
    <row r="16" spans="1:18" x14ac:dyDescent="0.25">
      <c r="A16" s="11" t="s">
        <v>148</v>
      </c>
      <c r="B16" s="13">
        <v>6108</v>
      </c>
      <c r="C16" s="14">
        <f>(5078/B16*100)</f>
        <v>83.136869679109367</v>
      </c>
      <c r="D16" s="15">
        <v>1030</v>
      </c>
      <c r="E16" s="14">
        <v>11.640056850000001</v>
      </c>
      <c r="F16" s="16">
        <v>0.92792956000000004</v>
      </c>
      <c r="G16" s="14">
        <v>88.359943150000007</v>
      </c>
      <c r="H16" s="16">
        <v>0.92792956000000004</v>
      </c>
      <c r="I16" s="14" t="s">
        <v>139</v>
      </c>
      <c r="J16" s="16" t="s">
        <v>139</v>
      </c>
      <c r="K16" s="14">
        <v>0</v>
      </c>
      <c r="L16" s="16">
        <v>0</v>
      </c>
      <c r="M16" s="14">
        <v>0</v>
      </c>
      <c r="N16" s="16">
        <v>0</v>
      </c>
      <c r="O16" s="14">
        <v>0</v>
      </c>
      <c r="P16" s="16">
        <v>0</v>
      </c>
      <c r="Q16" s="14">
        <v>0</v>
      </c>
      <c r="R16" s="16">
        <v>0</v>
      </c>
    </row>
    <row r="17" spans="1:18" x14ac:dyDescent="0.25">
      <c r="A17" s="11" t="s">
        <v>149</v>
      </c>
      <c r="B17" s="13">
        <v>6504</v>
      </c>
      <c r="C17" s="14">
        <f>(5432/B17*100)</f>
        <v>83.517835178351788</v>
      </c>
      <c r="D17" s="15">
        <v>1072</v>
      </c>
      <c r="E17" s="14">
        <v>11.78812641</v>
      </c>
      <c r="F17" s="16">
        <v>1.04038224</v>
      </c>
      <c r="G17" s="14">
        <v>88.211873589999996</v>
      </c>
      <c r="H17" s="16">
        <v>1.04038224</v>
      </c>
      <c r="I17" s="14" t="s">
        <v>139</v>
      </c>
      <c r="J17" s="16" t="s">
        <v>139</v>
      </c>
      <c r="K17" s="14">
        <v>0</v>
      </c>
      <c r="L17" s="16">
        <v>0</v>
      </c>
      <c r="M17" s="14">
        <v>0</v>
      </c>
      <c r="N17" s="16">
        <v>0</v>
      </c>
      <c r="O17" s="14">
        <v>0</v>
      </c>
      <c r="P17" s="16">
        <v>0</v>
      </c>
      <c r="Q17" s="14">
        <v>0</v>
      </c>
      <c r="R17" s="16">
        <v>0</v>
      </c>
    </row>
    <row r="18" spans="1:18" x14ac:dyDescent="0.25">
      <c r="A18" s="11" t="s">
        <v>150</v>
      </c>
      <c r="B18" s="13">
        <v>5532</v>
      </c>
      <c r="C18" s="14">
        <f>(4633/B18*100)</f>
        <v>83.749096167751276</v>
      </c>
      <c r="D18" s="15">
        <v>899</v>
      </c>
      <c r="E18" s="14">
        <v>14.13435305</v>
      </c>
      <c r="F18" s="16">
        <v>1.4172612899999999</v>
      </c>
      <c r="G18" s="14">
        <v>85.865646949999999</v>
      </c>
      <c r="H18" s="16">
        <v>1.4172612899999999</v>
      </c>
      <c r="I18" s="14" t="s">
        <v>139</v>
      </c>
      <c r="J18" s="16" t="s">
        <v>139</v>
      </c>
      <c r="K18" s="14">
        <v>0</v>
      </c>
      <c r="L18" s="16">
        <v>0</v>
      </c>
      <c r="M18" s="14">
        <v>0</v>
      </c>
      <c r="N18" s="16">
        <v>0</v>
      </c>
      <c r="O18" s="14">
        <v>0</v>
      </c>
      <c r="P18" s="16">
        <v>0</v>
      </c>
      <c r="Q18" s="14">
        <v>0</v>
      </c>
      <c r="R18" s="16">
        <v>0</v>
      </c>
    </row>
    <row r="19" spans="1:18" x14ac:dyDescent="0.25">
      <c r="A19" s="11" t="s">
        <v>151</v>
      </c>
      <c r="B19" s="13">
        <v>5658</v>
      </c>
      <c r="C19" s="14">
        <f>(4733/B19*100)</f>
        <v>83.6514669494521</v>
      </c>
      <c r="D19" s="15">
        <v>925</v>
      </c>
      <c r="E19" s="14">
        <v>16.12977609</v>
      </c>
      <c r="F19" s="16">
        <v>1.1360197000000001</v>
      </c>
      <c r="G19" s="14">
        <v>83.870223910000007</v>
      </c>
      <c r="H19" s="16">
        <v>1.1360197000000001</v>
      </c>
      <c r="I19" s="14" t="s">
        <v>139</v>
      </c>
      <c r="J19" s="16" t="s">
        <v>139</v>
      </c>
      <c r="K19" s="14">
        <v>0</v>
      </c>
      <c r="L19" s="16">
        <v>0</v>
      </c>
      <c r="M19" s="14">
        <v>0</v>
      </c>
      <c r="N19" s="16">
        <v>0</v>
      </c>
      <c r="O19" s="14">
        <v>0</v>
      </c>
      <c r="P19" s="16">
        <v>0</v>
      </c>
      <c r="Q19" s="14">
        <v>0</v>
      </c>
      <c r="R19" s="16">
        <v>0</v>
      </c>
    </row>
    <row r="20" spans="1:18" x14ac:dyDescent="0.25">
      <c r="A20" s="11" t="s">
        <v>152</v>
      </c>
      <c r="B20" s="13">
        <v>3371</v>
      </c>
      <c r="C20" s="14">
        <f>(2823/B20*100)</f>
        <v>83.743696232571935</v>
      </c>
      <c r="D20" s="15">
        <v>548</v>
      </c>
      <c r="E20" s="14">
        <v>12.30389858</v>
      </c>
      <c r="F20" s="16">
        <v>1.5034356099999999</v>
      </c>
      <c r="G20" s="14">
        <v>87.696101420000005</v>
      </c>
      <c r="H20" s="16">
        <v>1.5034356099999999</v>
      </c>
      <c r="I20" s="14" t="s">
        <v>139</v>
      </c>
      <c r="J20" s="16" t="s">
        <v>139</v>
      </c>
      <c r="K20" s="14">
        <v>0</v>
      </c>
      <c r="L20" s="16">
        <v>0</v>
      </c>
      <c r="M20" s="14">
        <v>0</v>
      </c>
      <c r="N20" s="16">
        <v>0</v>
      </c>
      <c r="O20" s="14">
        <v>0</v>
      </c>
      <c r="P20" s="16">
        <v>0</v>
      </c>
      <c r="Q20" s="14">
        <v>0</v>
      </c>
      <c r="R20" s="16">
        <v>0</v>
      </c>
    </row>
    <row r="21" spans="1:18" x14ac:dyDescent="0.25">
      <c r="A21" s="11" t="s">
        <v>153</v>
      </c>
      <c r="B21" s="17" t="s">
        <v>154</v>
      </c>
      <c r="C21" s="17" t="s">
        <v>154</v>
      </c>
      <c r="D21" s="18" t="s">
        <v>154</v>
      </c>
      <c r="E21" s="17" t="s">
        <v>154</v>
      </c>
      <c r="F21" s="18" t="s">
        <v>154</v>
      </c>
      <c r="G21" s="17" t="s">
        <v>154</v>
      </c>
      <c r="H21" s="18" t="s">
        <v>154</v>
      </c>
      <c r="I21" s="17" t="s">
        <v>154</v>
      </c>
      <c r="J21" s="18" t="s">
        <v>154</v>
      </c>
      <c r="K21" s="17" t="s">
        <v>154</v>
      </c>
      <c r="L21" s="18" t="s">
        <v>154</v>
      </c>
      <c r="M21" s="17" t="s">
        <v>154</v>
      </c>
      <c r="N21" s="18" t="s">
        <v>154</v>
      </c>
      <c r="O21" s="17" t="s">
        <v>154</v>
      </c>
      <c r="P21" s="18" t="s">
        <v>154</v>
      </c>
      <c r="Q21" s="17" t="s">
        <v>154</v>
      </c>
      <c r="R21" s="18" t="s">
        <v>154</v>
      </c>
    </row>
    <row r="22" spans="1:18" x14ac:dyDescent="0.25">
      <c r="A22" s="11" t="s">
        <v>155</v>
      </c>
      <c r="B22" s="13">
        <v>6598</v>
      </c>
      <c r="C22" s="14">
        <f>(5586/B22*100)</f>
        <v>84.662018793573807</v>
      </c>
      <c r="D22" s="15">
        <v>1012</v>
      </c>
      <c r="E22" s="14">
        <v>17.302268080000001</v>
      </c>
      <c r="F22" s="16">
        <v>1.3149236399999999</v>
      </c>
      <c r="G22" s="14">
        <v>82.697731919999995</v>
      </c>
      <c r="H22" s="16">
        <v>1.3149236399999999</v>
      </c>
      <c r="I22" s="14" t="s">
        <v>139</v>
      </c>
      <c r="J22" s="16" t="s">
        <v>139</v>
      </c>
      <c r="K22" s="14">
        <v>0</v>
      </c>
      <c r="L22" s="16">
        <v>0</v>
      </c>
      <c r="M22" s="14">
        <v>0</v>
      </c>
      <c r="N22" s="16">
        <v>0</v>
      </c>
      <c r="O22" s="14">
        <v>0</v>
      </c>
      <c r="P22" s="16">
        <v>0</v>
      </c>
      <c r="Q22" s="14">
        <v>0</v>
      </c>
      <c r="R22" s="16">
        <v>0</v>
      </c>
    </row>
    <row r="23" spans="1:18" x14ac:dyDescent="0.25">
      <c r="A23" s="11" t="s">
        <v>156</v>
      </c>
      <c r="B23" s="13">
        <v>11583</v>
      </c>
      <c r="C23" s="14">
        <f>(9653/B23*100)</f>
        <v>83.337650004316671</v>
      </c>
      <c r="D23" s="15">
        <v>1930</v>
      </c>
      <c r="E23" s="14">
        <v>11.77842875</v>
      </c>
      <c r="F23" s="16">
        <v>0.99933824000000004</v>
      </c>
      <c r="G23" s="14">
        <v>88.221571249999997</v>
      </c>
      <c r="H23" s="16">
        <v>0.99933824000000004</v>
      </c>
      <c r="I23" s="14" t="s">
        <v>139</v>
      </c>
      <c r="J23" s="16" t="s">
        <v>139</v>
      </c>
      <c r="K23" s="14">
        <v>0</v>
      </c>
      <c r="L23" s="16">
        <v>0</v>
      </c>
      <c r="M23" s="14">
        <v>0</v>
      </c>
      <c r="N23" s="16">
        <v>0</v>
      </c>
      <c r="O23" s="14">
        <v>0</v>
      </c>
      <c r="P23" s="16">
        <v>0</v>
      </c>
      <c r="Q23" s="14">
        <v>0</v>
      </c>
      <c r="R23" s="16">
        <v>0</v>
      </c>
    </row>
    <row r="24" spans="1:18" x14ac:dyDescent="0.25">
      <c r="A24" s="11" t="s">
        <v>157</v>
      </c>
      <c r="B24" s="13">
        <v>6647</v>
      </c>
      <c r="C24" s="14">
        <f>(5482/B24*100)</f>
        <v>82.473296223860387</v>
      </c>
      <c r="D24" s="15">
        <v>1165</v>
      </c>
      <c r="E24" s="14">
        <v>12.787960249999999</v>
      </c>
      <c r="F24" s="16">
        <v>0.98897773</v>
      </c>
      <c r="G24" s="14">
        <v>87.212039750000002</v>
      </c>
      <c r="H24" s="16">
        <v>0.98897773</v>
      </c>
      <c r="I24" s="14" t="s">
        <v>139</v>
      </c>
      <c r="J24" s="16" t="s">
        <v>139</v>
      </c>
      <c r="K24" s="14">
        <v>0</v>
      </c>
      <c r="L24" s="16">
        <v>0</v>
      </c>
      <c r="M24" s="14">
        <v>0</v>
      </c>
      <c r="N24" s="16">
        <v>0</v>
      </c>
      <c r="O24" s="14">
        <v>0</v>
      </c>
      <c r="P24" s="16">
        <v>0</v>
      </c>
      <c r="Q24" s="14">
        <v>0</v>
      </c>
      <c r="R24" s="16">
        <v>0</v>
      </c>
    </row>
    <row r="25" spans="1:18" x14ac:dyDescent="0.25">
      <c r="A25" s="11" t="s">
        <v>158</v>
      </c>
      <c r="B25" s="13">
        <v>5581</v>
      </c>
      <c r="C25" s="14">
        <f>(4597/B25*100)</f>
        <v>82.368751119870993</v>
      </c>
      <c r="D25" s="15">
        <v>984</v>
      </c>
      <c r="E25" s="14">
        <v>23.023475120000001</v>
      </c>
      <c r="F25" s="16">
        <v>1.2797124099999999</v>
      </c>
      <c r="G25" s="14">
        <v>76.976524879999999</v>
      </c>
      <c r="H25" s="16">
        <v>1.2797124099999999</v>
      </c>
      <c r="I25" s="14" t="s">
        <v>139</v>
      </c>
      <c r="J25" s="16" t="s">
        <v>139</v>
      </c>
      <c r="K25" s="14">
        <v>0</v>
      </c>
      <c r="L25" s="16">
        <v>0</v>
      </c>
      <c r="M25" s="14">
        <v>0</v>
      </c>
      <c r="N25" s="16">
        <v>0</v>
      </c>
      <c r="O25" s="14">
        <v>0</v>
      </c>
      <c r="P25" s="16">
        <v>0</v>
      </c>
      <c r="Q25" s="14">
        <v>0</v>
      </c>
      <c r="R25" s="16">
        <v>0</v>
      </c>
    </row>
    <row r="26" spans="1:18" x14ac:dyDescent="0.25">
      <c r="A26" s="11" t="s">
        <v>159</v>
      </c>
      <c r="B26" s="13">
        <v>4869</v>
      </c>
      <c r="C26" s="14">
        <f>(4044/B26*100)</f>
        <v>83.056069008009857</v>
      </c>
      <c r="D26" s="15">
        <v>825</v>
      </c>
      <c r="E26" s="14">
        <v>15.0472714</v>
      </c>
      <c r="F26" s="16">
        <v>1.2410515200000001</v>
      </c>
      <c r="G26" s="14">
        <v>84.9527286</v>
      </c>
      <c r="H26" s="16">
        <v>1.2410515200000001</v>
      </c>
      <c r="I26" s="14" t="s">
        <v>139</v>
      </c>
      <c r="J26" s="16" t="s">
        <v>139</v>
      </c>
      <c r="K26" s="14">
        <v>0</v>
      </c>
      <c r="L26" s="16">
        <v>0</v>
      </c>
      <c r="M26" s="14">
        <v>0</v>
      </c>
      <c r="N26" s="16">
        <v>0</v>
      </c>
      <c r="O26" s="14">
        <v>0</v>
      </c>
      <c r="P26" s="16">
        <v>0</v>
      </c>
      <c r="Q26" s="14">
        <v>0</v>
      </c>
      <c r="R26" s="16">
        <v>0</v>
      </c>
    </row>
    <row r="27" spans="1:18" x14ac:dyDescent="0.25">
      <c r="A27" s="11" t="s">
        <v>160</v>
      </c>
      <c r="B27" s="13">
        <v>5299</v>
      </c>
      <c r="C27" s="14">
        <f>(4441/B27*100)</f>
        <v>83.808265710511421</v>
      </c>
      <c r="D27" s="15">
        <v>858</v>
      </c>
      <c r="E27" s="14">
        <v>11.54908723</v>
      </c>
      <c r="F27" s="16">
        <v>1.09451283</v>
      </c>
      <c r="G27" s="14">
        <v>88.450912770000002</v>
      </c>
      <c r="H27" s="16">
        <v>1.09451283</v>
      </c>
      <c r="I27" s="14" t="s">
        <v>139</v>
      </c>
      <c r="J27" s="16" t="s">
        <v>139</v>
      </c>
      <c r="K27" s="14">
        <v>0</v>
      </c>
      <c r="L27" s="16">
        <v>0</v>
      </c>
      <c r="M27" s="14">
        <v>0</v>
      </c>
      <c r="N27" s="16">
        <v>0</v>
      </c>
      <c r="O27" s="14">
        <v>0</v>
      </c>
      <c r="P27" s="16">
        <v>0</v>
      </c>
      <c r="Q27" s="14">
        <v>0</v>
      </c>
      <c r="R27" s="16">
        <v>0</v>
      </c>
    </row>
    <row r="28" spans="1:18" x14ac:dyDescent="0.25">
      <c r="A28" s="11" t="s">
        <v>161</v>
      </c>
      <c r="B28" s="13">
        <v>7568</v>
      </c>
      <c r="C28" s="14">
        <f>(6435/B28*100)</f>
        <v>85.029069767441854</v>
      </c>
      <c r="D28" s="15">
        <v>1133</v>
      </c>
      <c r="E28" s="14">
        <v>12.82565035</v>
      </c>
      <c r="F28" s="16">
        <v>1.1544832700000001</v>
      </c>
      <c r="G28" s="14">
        <v>87.174349649999996</v>
      </c>
      <c r="H28" s="16">
        <v>1.1544832700000001</v>
      </c>
      <c r="I28" s="14" t="s">
        <v>139</v>
      </c>
      <c r="J28" s="16" t="s">
        <v>139</v>
      </c>
      <c r="K28" s="14">
        <v>0</v>
      </c>
      <c r="L28" s="16">
        <v>0</v>
      </c>
      <c r="M28" s="14">
        <v>0</v>
      </c>
      <c r="N28" s="16">
        <v>0</v>
      </c>
      <c r="O28" s="14">
        <v>0</v>
      </c>
      <c r="P28" s="16">
        <v>0</v>
      </c>
      <c r="Q28" s="14">
        <v>0</v>
      </c>
      <c r="R28" s="16">
        <v>0</v>
      </c>
    </row>
    <row r="29" spans="1:18" x14ac:dyDescent="0.25">
      <c r="A29" s="11" t="s">
        <v>162</v>
      </c>
      <c r="B29" s="13">
        <v>5385</v>
      </c>
      <c r="C29" s="14">
        <f>(4468/B29*100)</f>
        <v>82.971216341689882</v>
      </c>
      <c r="D29" s="15">
        <v>917</v>
      </c>
      <c r="E29" s="14">
        <v>10.43430257</v>
      </c>
      <c r="F29" s="16">
        <v>0.95263739999999997</v>
      </c>
      <c r="G29" s="14">
        <v>89.56569743</v>
      </c>
      <c r="H29" s="16">
        <v>0.95263739999999997</v>
      </c>
      <c r="I29" s="14" t="s">
        <v>139</v>
      </c>
      <c r="J29" s="16" t="s">
        <v>139</v>
      </c>
      <c r="K29" s="14">
        <v>0</v>
      </c>
      <c r="L29" s="16">
        <v>0</v>
      </c>
      <c r="M29" s="14">
        <v>0</v>
      </c>
      <c r="N29" s="16">
        <v>0</v>
      </c>
      <c r="O29" s="14">
        <v>0</v>
      </c>
      <c r="P29" s="16">
        <v>0</v>
      </c>
      <c r="Q29" s="14">
        <v>0</v>
      </c>
      <c r="R29" s="16">
        <v>0</v>
      </c>
    </row>
    <row r="30" spans="1:18" x14ac:dyDescent="0.25">
      <c r="A30" s="11" t="s">
        <v>163</v>
      </c>
      <c r="B30" s="13">
        <v>4520</v>
      </c>
      <c r="C30" s="14">
        <f>(3789/B30*100)</f>
        <v>83.827433628318587</v>
      </c>
      <c r="D30" s="15">
        <v>731</v>
      </c>
      <c r="E30" s="14">
        <v>13.82430192</v>
      </c>
      <c r="F30" s="16">
        <v>1.2765165599999999</v>
      </c>
      <c r="G30" s="14">
        <v>86.175698080000004</v>
      </c>
      <c r="H30" s="16">
        <v>1.2765165599999999</v>
      </c>
      <c r="I30" s="14" t="s">
        <v>139</v>
      </c>
      <c r="J30" s="16" t="s">
        <v>139</v>
      </c>
      <c r="K30" s="14">
        <v>0</v>
      </c>
      <c r="L30" s="16">
        <v>0</v>
      </c>
      <c r="M30" s="14">
        <v>0</v>
      </c>
      <c r="N30" s="16">
        <v>0</v>
      </c>
      <c r="O30" s="14">
        <v>0</v>
      </c>
      <c r="P30" s="16">
        <v>0</v>
      </c>
      <c r="Q30" s="14">
        <v>0</v>
      </c>
      <c r="R30" s="16">
        <v>0</v>
      </c>
    </row>
    <row r="31" spans="1:18" x14ac:dyDescent="0.25">
      <c r="A31" s="11" t="s">
        <v>164</v>
      </c>
      <c r="B31" s="13">
        <v>5456</v>
      </c>
      <c r="C31" s="14">
        <f>(4512/B31*100)</f>
        <v>82.697947214076251</v>
      </c>
      <c r="D31" s="15">
        <v>944</v>
      </c>
      <c r="E31" s="14">
        <v>13.548882539999999</v>
      </c>
      <c r="F31" s="16">
        <v>1.1136493599999999</v>
      </c>
      <c r="G31" s="14">
        <v>86.451117460000006</v>
      </c>
      <c r="H31" s="16">
        <v>1.1136493599999999</v>
      </c>
      <c r="I31" s="14" t="s">
        <v>139</v>
      </c>
      <c r="J31" s="16" t="s">
        <v>139</v>
      </c>
      <c r="K31" s="14">
        <v>0</v>
      </c>
      <c r="L31" s="16">
        <v>0</v>
      </c>
      <c r="M31" s="14">
        <v>0</v>
      </c>
      <c r="N31" s="16">
        <v>0</v>
      </c>
      <c r="O31" s="14">
        <v>0</v>
      </c>
      <c r="P31" s="16">
        <v>0</v>
      </c>
      <c r="Q31" s="14">
        <v>0</v>
      </c>
      <c r="R31" s="16">
        <v>0</v>
      </c>
    </row>
    <row r="32" spans="1:18" x14ac:dyDescent="0.25">
      <c r="A32" s="11" t="s">
        <v>165</v>
      </c>
      <c r="B32" s="17" t="s">
        <v>154</v>
      </c>
      <c r="C32" s="17" t="s">
        <v>154</v>
      </c>
      <c r="D32" s="18" t="s">
        <v>154</v>
      </c>
      <c r="E32" s="17" t="s">
        <v>154</v>
      </c>
      <c r="F32" s="18" t="s">
        <v>154</v>
      </c>
      <c r="G32" s="17" t="s">
        <v>154</v>
      </c>
      <c r="H32" s="18" t="s">
        <v>154</v>
      </c>
      <c r="I32" s="17" t="s">
        <v>154</v>
      </c>
      <c r="J32" s="18" t="s">
        <v>154</v>
      </c>
      <c r="K32" s="17" t="s">
        <v>154</v>
      </c>
      <c r="L32" s="18" t="s">
        <v>154</v>
      </c>
      <c r="M32" s="17" t="s">
        <v>154</v>
      </c>
      <c r="N32" s="18" t="s">
        <v>154</v>
      </c>
      <c r="O32" s="17" t="s">
        <v>154</v>
      </c>
      <c r="P32" s="18" t="s">
        <v>154</v>
      </c>
      <c r="Q32" s="17" t="s">
        <v>154</v>
      </c>
      <c r="R32" s="18" t="s">
        <v>154</v>
      </c>
    </row>
    <row r="33" spans="1:18" x14ac:dyDescent="0.25">
      <c r="A33" s="11" t="s">
        <v>166</v>
      </c>
      <c r="B33" s="13">
        <v>7325</v>
      </c>
      <c r="C33" s="14">
        <f>(6115/B33*100)</f>
        <v>83.481228668941981</v>
      </c>
      <c r="D33" s="15">
        <v>1210</v>
      </c>
      <c r="E33" s="14">
        <v>9.3157584900000003</v>
      </c>
      <c r="F33" s="16">
        <v>1.0072752899999999</v>
      </c>
      <c r="G33" s="14">
        <v>90.684241510000007</v>
      </c>
      <c r="H33" s="16">
        <v>1.0072752899999999</v>
      </c>
      <c r="I33" s="14" t="s">
        <v>139</v>
      </c>
      <c r="J33" s="16" t="s">
        <v>139</v>
      </c>
      <c r="K33" s="14">
        <v>0</v>
      </c>
      <c r="L33" s="16">
        <v>0</v>
      </c>
      <c r="M33" s="14">
        <v>0</v>
      </c>
      <c r="N33" s="16">
        <v>0</v>
      </c>
      <c r="O33" s="14">
        <v>0</v>
      </c>
      <c r="P33" s="16">
        <v>0</v>
      </c>
      <c r="Q33" s="14">
        <v>0</v>
      </c>
      <c r="R33" s="16">
        <v>0</v>
      </c>
    </row>
    <row r="34" spans="1:18" x14ac:dyDescent="0.25">
      <c r="A34" s="11" t="s">
        <v>167</v>
      </c>
      <c r="B34" s="13">
        <v>6350</v>
      </c>
      <c r="C34" s="14">
        <f>(5356/B34*100)</f>
        <v>84.346456692913392</v>
      </c>
      <c r="D34" s="15">
        <v>994</v>
      </c>
      <c r="E34" s="14">
        <v>20.01721775</v>
      </c>
      <c r="F34" s="16">
        <v>1.36580123</v>
      </c>
      <c r="G34" s="14">
        <v>79.98278225</v>
      </c>
      <c r="H34" s="16">
        <v>1.36580123</v>
      </c>
      <c r="I34" s="14" t="s">
        <v>139</v>
      </c>
      <c r="J34" s="16" t="s">
        <v>139</v>
      </c>
      <c r="K34" s="14">
        <v>0</v>
      </c>
      <c r="L34" s="16">
        <v>0</v>
      </c>
      <c r="M34" s="14">
        <v>0</v>
      </c>
      <c r="N34" s="16">
        <v>0</v>
      </c>
      <c r="O34" s="14">
        <v>0</v>
      </c>
      <c r="P34" s="16">
        <v>0</v>
      </c>
      <c r="Q34" s="14">
        <v>0</v>
      </c>
      <c r="R34" s="16">
        <v>0</v>
      </c>
    </row>
    <row r="35" spans="1:18" x14ac:dyDescent="0.25">
      <c r="A35" s="11" t="s">
        <v>168</v>
      </c>
      <c r="B35" s="13">
        <v>6406</v>
      </c>
      <c r="C35" s="14">
        <f>(5336/B35*100)</f>
        <v>83.296909147674057</v>
      </c>
      <c r="D35" s="15">
        <v>1070</v>
      </c>
      <c r="E35" s="14">
        <v>13.670613899999999</v>
      </c>
      <c r="F35" s="16">
        <v>1.46632316</v>
      </c>
      <c r="G35" s="14">
        <v>86.329386099999994</v>
      </c>
      <c r="H35" s="16">
        <v>1.46632316</v>
      </c>
      <c r="I35" s="14" t="s">
        <v>139</v>
      </c>
      <c r="J35" s="16" t="s">
        <v>139</v>
      </c>
      <c r="K35" s="14">
        <v>0</v>
      </c>
      <c r="L35" s="16">
        <v>0</v>
      </c>
      <c r="M35" s="14">
        <v>0</v>
      </c>
      <c r="N35" s="16">
        <v>0</v>
      </c>
      <c r="O35" s="14">
        <v>0</v>
      </c>
      <c r="P35" s="16">
        <v>0</v>
      </c>
      <c r="Q35" s="14">
        <v>0</v>
      </c>
      <c r="R35" s="16">
        <v>0</v>
      </c>
    </row>
    <row r="36" spans="1:18" x14ac:dyDescent="0.25">
      <c r="A36" s="11" t="s">
        <v>169</v>
      </c>
      <c r="B36" s="13">
        <v>6736</v>
      </c>
      <c r="C36" s="14">
        <f>(5649/B36*100)</f>
        <v>83.862826603325416</v>
      </c>
      <c r="D36" s="15">
        <v>1087</v>
      </c>
      <c r="E36" s="14">
        <v>10.681054100000001</v>
      </c>
      <c r="F36" s="16">
        <v>0.89885674000000004</v>
      </c>
      <c r="G36" s="14">
        <v>89.318945900000003</v>
      </c>
      <c r="H36" s="16">
        <v>0.89885674000000004</v>
      </c>
      <c r="I36" s="14" t="s">
        <v>139</v>
      </c>
      <c r="J36" s="16" t="s">
        <v>139</v>
      </c>
      <c r="K36" s="14">
        <v>0</v>
      </c>
      <c r="L36" s="16">
        <v>0</v>
      </c>
      <c r="M36" s="14">
        <v>0</v>
      </c>
      <c r="N36" s="16">
        <v>0</v>
      </c>
      <c r="O36" s="14">
        <v>0</v>
      </c>
      <c r="P36" s="16">
        <v>0</v>
      </c>
      <c r="Q36" s="14">
        <v>0</v>
      </c>
      <c r="R36" s="16">
        <v>0</v>
      </c>
    </row>
    <row r="37" spans="1:18" x14ac:dyDescent="0.25">
      <c r="A37" s="11" t="s">
        <v>170</v>
      </c>
      <c r="B37" s="13">
        <v>5458</v>
      </c>
      <c r="C37" s="14">
        <f>(4553/B37*100)</f>
        <v>83.418834737999276</v>
      </c>
      <c r="D37" s="15">
        <v>905</v>
      </c>
      <c r="E37" s="14">
        <v>13.14080381</v>
      </c>
      <c r="F37" s="16">
        <v>1.3051759999999999</v>
      </c>
      <c r="G37" s="14">
        <v>86.859196190000006</v>
      </c>
      <c r="H37" s="16">
        <v>1.3051759999999999</v>
      </c>
      <c r="I37" s="14" t="s">
        <v>139</v>
      </c>
      <c r="J37" s="16" t="s">
        <v>139</v>
      </c>
      <c r="K37" s="14">
        <v>0</v>
      </c>
      <c r="L37" s="16">
        <v>0</v>
      </c>
      <c r="M37" s="14">
        <v>0</v>
      </c>
      <c r="N37" s="16">
        <v>0</v>
      </c>
      <c r="O37" s="14">
        <v>0</v>
      </c>
      <c r="P37" s="16">
        <v>0</v>
      </c>
      <c r="Q37" s="14">
        <v>0</v>
      </c>
      <c r="R37" s="16">
        <v>0</v>
      </c>
    </row>
    <row r="38" spans="1:18" x14ac:dyDescent="0.25">
      <c r="A38" s="11" t="s">
        <v>171</v>
      </c>
      <c r="B38" s="17" t="s">
        <v>154</v>
      </c>
      <c r="C38" s="17" t="s">
        <v>154</v>
      </c>
      <c r="D38" s="18" t="s">
        <v>154</v>
      </c>
      <c r="E38" s="17" t="s">
        <v>154</v>
      </c>
      <c r="F38" s="18" t="s">
        <v>154</v>
      </c>
      <c r="G38" s="17" t="s">
        <v>154</v>
      </c>
      <c r="H38" s="18" t="s">
        <v>154</v>
      </c>
      <c r="I38" s="17" t="s">
        <v>154</v>
      </c>
      <c r="J38" s="18" t="s">
        <v>154</v>
      </c>
      <c r="K38" s="17" t="s">
        <v>154</v>
      </c>
      <c r="L38" s="18" t="s">
        <v>154</v>
      </c>
      <c r="M38" s="17" t="s">
        <v>154</v>
      </c>
      <c r="N38" s="18" t="s">
        <v>154</v>
      </c>
      <c r="O38" s="17" t="s">
        <v>154</v>
      </c>
      <c r="P38" s="18" t="s">
        <v>154</v>
      </c>
      <c r="Q38" s="17" t="s">
        <v>154</v>
      </c>
      <c r="R38" s="18" t="s">
        <v>154</v>
      </c>
    </row>
    <row r="39" spans="1:18" x14ac:dyDescent="0.25">
      <c r="A39" s="11" t="s">
        <v>172</v>
      </c>
      <c r="B39" s="13">
        <v>5895</v>
      </c>
      <c r="C39" s="14">
        <f>(4865/B39*100)</f>
        <v>82.527565733672603</v>
      </c>
      <c r="D39" s="15">
        <v>1030</v>
      </c>
      <c r="E39" s="14">
        <v>19.084876189999999</v>
      </c>
      <c r="F39" s="16">
        <v>1.18572499</v>
      </c>
      <c r="G39" s="14">
        <v>80.915123809999997</v>
      </c>
      <c r="H39" s="16">
        <v>1.18572499</v>
      </c>
      <c r="I39" s="14" t="s">
        <v>139</v>
      </c>
      <c r="J39" s="16" t="s">
        <v>139</v>
      </c>
      <c r="K39" s="14">
        <v>0</v>
      </c>
      <c r="L39" s="16">
        <v>0</v>
      </c>
      <c r="M39" s="14">
        <v>0</v>
      </c>
      <c r="N39" s="16">
        <v>0</v>
      </c>
      <c r="O39" s="14">
        <v>0</v>
      </c>
      <c r="P39" s="16">
        <v>0</v>
      </c>
      <c r="Q39" s="14">
        <v>0</v>
      </c>
      <c r="R39" s="16">
        <v>0</v>
      </c>
    </row>
    <row r="40" spans="1:18" x14ac:dyDescent="0.25">
      <c r="A40" s="11" t="s">
        <v>173</v>
      </c>
      <c r="B40" s="13">
        <v>14157</v>
      </c>
      <c r="C40" s="14">
        <f>(11700/B40*100)</f>
        <v>82.644628099173559</v>
      </c>
      <c r="D40" s="15">
        <v>2457</v>
      </c>
      <c r="E40" s="14">
        <v>15.162156250000001</v>
      </c>
      <c r="F40" s="16">
        <v>1.0600776700000001</v>
      </c>
      <c r="G40" s="14">
        <v>84.837843750000005</v>
      </c>
      <c r="H40" s="16">
        <v>1.0600776700000001</v>
      </c>
      <c r="I40" s="14" t="s">
        <v>139</v>
      </c>
      <c r="J40" s="16" t="s">
        <v>139</v>
      </c>
      <c r="K40" s="14">
        <v>0</v>
      </c>
      <c r="L40" s="16">
        <v>0</v>
      </c>
      <c r="M40" s="14">
        <v>0</v>
      </c>
      <c r="N40" s="16">
        <v>0</v>
      </c>
      <c r="O40" s="14">
        <v>0</v>
      </c>
      <c r="P40" s="16">
        <v>0</v>
      </c>
      <c r="Q40" s="14">
        <v>0</v>
      </c>
      <c r="R40" s="16">
        <v>0</v>
      </c>
    </row>
    <row r="41" spans="1:18" x14ac:dyDescent="0.25">
      <c r="A41" s="11" t="s">
        <v>174</v>
      </c>
      <c r="B41" s="13">
        <v>5712</v>
      </c>
      <c r="C41" s="14">
        <f>(4785/B41*100)</f>
        <v>83.77100840336135</v>
      </c>
      <c r="D41" s="15">
        <v>927</v>
      </c>
      <c r="E41" s="14">
        <v>14.189096409999999</v>
      </c>
      <c r="F41" s="16">
        <v>1.30265049</v>
      </c>
      <c r="G41" s="14">
        <v>85.810903589999995</v>
      </c>
      <c r="H41" s="16">
        <v>1.30265049</v>
      </c>
      <c r="I41" s="14" t="s">
        <v>139</v>
      </c>
      <c r="J41" s="16" t="s">
        <v>139</v>
      </c>
      <c r="K41" s="14">
        <v>0</v>
      </c>
      <c r="L41" s="16">
        <v>0</v>
      </c>
      <c r="M41" s="14">
        <v>0</v>
      </c>
      <c r="N41" s="16">
        <v>0</v>
      </c>
      <c r="O41" s="14">
        <v>0</v>
      </c>
      <c r="P41" s="16">
        <v>0</v>
      </c>
      <c r="Q41" s="14">
        <v>0</v>
      </c>
      <c r="R41" s="16">
        <v>0</v>
      </c>
    </row>
    <row r="42" spans="1:18" x14ac:dyDescent="0.25">
      <c r="A42" s="11" t="s">
        <v>175</v>
      </c>
      <c r="B42" s="13">
        <f>IF(COUNT(B7:B41) &gt; 0, AVERAGE(B7:B41), "\u2014")</f>
        <v>7266.90625</v>
      </c>
      <c r="C42" s="14">
        <f>IF(COUNT(C7:C41) &gt; 0, AVERAGE(C7:C41), "—")</f>
        <v>83.504972993809972</v>
      </c>
      <c r="D42" s="15">
        <f>IF(COUNT(D7:D41) &gt; 0, AVERAGE(D7:D41), "—")</f>
        <v>1199.28125</v>
      </c>
      <c r="E42" s="14">
        <f>IF(COUNT(E7:E41) &gt; 0, AVERAGE(E7:E41), "—")</f>
        <v>13.675732975312499</v>
      </c>
      <c r="F42" s="16">
        <f>IF(COUNT(F7:F41) &gt; 0, SQRT(SUMSQ(F7:F41)/(COUNT(F7:F41)*COUNT(F7:F41)) ), "—")</f>
        <v>0.20477292164232275</v>
      </c>
      <c r="G42" s="14">
        <f>IF(COUNT(G7:G41) &gt; 0, AVERAGE(G7:G41), "—")</f>
        <v>86.324267024687529</v>
      </c>
      <c r="H42" s="16">
        <f>IF(COUNT(H7:H41) &gt; 0, SQRT(SUMSQ(H7:H41)/(COUNT(H7:H41)*COUNT(H7:H41)) ), "—")</f>
        <v>0.20477292164232275</v>
      </c>
      <c r="I42" s="14" t="str">
        <f>IF(COUNT(I7:I41) &gt; 0, AVERAGE(I7:I41), "—")</f>
        <v>—</v>
      </c>
      <c r="J42" s="16" t="str">
        <f>IF(COUNT(J7:J41) &gt; 0, SQRT(SUMSQ(J7:J41)/(COUNT(J7:J41)*COUNT(J7:J41)) ), "—")</f>
        <v>—</v>
      </c>
      <c r="K42" s="14">
        <f>IF(COUNT(K7:K41) &gt; 0, AVERAGE(K7:K41), "—")</f>
        <v>0</v>
      </c>
      <c r="L42" s="16">
        <f>IF(COUNT(L7:L41) &gt; 0, SQRT(SUMSQ(L7:L41)/(COUNT(L7:L41)*COUNT(L7:L41)) ), "—")</f>
        <v>0</v>
      </c>
      <c r="M42" s="14">
        <f>IF(COUNT(M7:M41) &gt; 0, AVERAGE(M7:M41), "—")</f>
        <v>0</v>
      </c>
      <c r="N42" s="16">
        <f>IF(COUNT(N7:N41) &gt; 0, SQRT(SUMSQ(N7:N41)/(COUNT(N7:N41)*COUNT(N7:N41)) ), "—")</f>
        <v>0</v>
      </c>
      <c r="O42" s="14">
        <f>IF(COUNT(O7:O41) &gt; 0, AVERAGE(O7:O41), "—")</f>
        <v>0</v>
      </c>
      <c r="P42" s="16">
        <f>IF(COUNT(P7:P41) &gt; 0, SQRT(SUMSQ(P7:P41)/(COUNT(P7:P41)*COUNT(P7:P41)) ), "—")</f>
        <v>0</v>
      </c>
      <c r="Q42" s="14">
        <f>IF(COUNT(Q7:Q41) &gt; 0, AVERAGE(Q7:Q41), "—")</f>
        <v>0</v>
      </c>
      <c r="R42" s="16">
        <f>IF(COUNT(R7:R41) &gt; 0, SQRT(SUMSQ(R7:R41)/(COUNT(R7:R41)*COUNT(R7:R41)) ), "—")</f>
        <v>0</v>
      </c>
    </row>
    <row r="43" spans="1:18" x14ac:dyDescent="0.25">
      <c r="A43" s="9" t="s">
        <v>176</v>
      </c>
      <c r="B43" s="10"/>
      <c r="C43" s="10"/>
      <c r="D43" s="11"/>
      <c r="E43" s="10"/>
      <c r="F43" s="11"/>
      <c r="G43" s="10"/>
      <c r="H43" s="11"/>
      <c r="I43" s="10"/>
      <c r="J43" s="11"/>
      <c r="K43" s="10"/>
      <c r="L43" s="11"/>
      <c r="M43" s="10"/>
      <c r="N43" s="11"/>
      <c r="O43" s="10"/>
      <c r="P43" s="11"/>
      <c r="Q43" s="10"/>
      <c r="R43" s="12"/>
    </row>
    <row r="44" spans="1:18" x14ac:dyDescent="0.25">
      <c r="A44" s="11" t="s">
        <v>177</v>
      </c>
      <c r="B44" s="17" t="s">
        <v>154</v>
      </c>
      <c r="C44" s="17" t="s">
        <v>154</v>
      </c>
      <c r="D44" s="18" t="s">
        <v>154</v>
      </c>
      <c r="E44" s="17" t="s">
        <v>154</v>
      </c>
      <c r="F44" s="18" t="s">
        <v>154</v>
      </c>
      <c r="G44" s="17" t="s">
        <v>154</v>
      </c>
      <c r="H44" s="18" t="s">
        <v>154</v>
      </c>
      <c r="I44" s="17" t="s">
        <v>154</v>
      </c>
      <c r="J44" s="18" t="s">
        <v>154</v>
      </c>
      <c r="K44" s="17" t="s">
        <v>154</v>
      </c>
      <c r="L44" s="18" t="s">
        <v>154</v>
      </c>
      <c r="M44" s="17" t="s">
        <v>154</v>
      </c>
      <c r="N44" s="18" t="s">
        <v>154</v>
      </c>
      <c r="O44" s="17" t="s">
        <v>154</v>
      </c>
      <c r="P44" s="18" t="s">
        <v>154</v>
      </c>
      <c r="Q44" s="17" t="s">
        <v>154</v>
      </c>
      <c r="R44" s="18" t="s">
        <v>154</v>
      </c>
    </row>
    <row r="45" spans="1:18" x14ac:dyDescent="0.25">
      <c r="A45" s="11" t="s">
        <v>178</v>
      </c>
      <c r="B45" s="17" t="s">
        <v>154</v>
      </c>
      <c r="C45" s="17" t="s">
        <v>154</v>
      </c>
      <c r="D45" s="18" t="s">
        <v>154</v>
      </c>
      <c r="E45" s="17" t="s">
        <v>154</v>
      </c>
      <c r="F45" s="18" t="s">
        <v>154</v>
      </c>
      <c r="G45" s="17" t="s">
        <v>154</v>
      </c>
      <c r="H45" s="18" t="s">
        <v>154</v>
      </c>
      <c r="I45" s="17" t="s">
        <v>154</v>
      </c>
      <c r="J45" s="18" t="s">
        <v>154</v>
      </c>
      <c r="K45" s="17" t="s">
        <v>154</v>
      </c>
      <c r="L45" s="18" t="s">
        <v>154</v>
      </c>
      <c r="M45" s="17" t="s">
        <v>154</v>
      </c>
      <c r="N45" s="18" t="s">
        <v>154</v>
      </c>
      <c r="O45" s="17" t="s">
        <v>154</v>
      </c>
      <c r="P45" s="18" t="s">
        <v>154</v>
      </c>
      <c r="Q45" s="17" t="s">
        <v>154</v>
      </c>
      <c r="R45" s="18" t="s">
        <v>154</v>
      </c>
    </row>
    <row r="46" spans="1:18" x14ac:dyDescent="0.25">
      <c r="A46" s="11" t="s">
        <v>179</v>
      </c>
      <c r="B46" s="13">
        <v>23141</v>
      </c>
      <c r="C46" s="14">
        <f>(20323/B46*100)</f>
        <v>87.822479581694822</v>
      </c>
      <c r="D46" s="15">
        <v>2818</v>
      </c>
      <c r="E46" s="14">
        <v>17.097175150000002</v>
      </c>
      <c r="F46" s="16">
        <v>0.99672114000000001</v>
      </c>
      <c r="G46" s="14">
        <v>82.902824850000002</v>
      </c>
      <c r="H46" s="16">
        <v>0.99672114000000001</v>
      </c>
      <c r="I46" s="14" t="s">
        <v>139</v>
      </c>
      <c r="J46" s="16" t="s">
        <v>139</v>
      </c>
      <c r="K46" s="14">
        <v>0</v>
      </c>
      <c r="L46" s="16">
        <v>0</v>
      </c>
      <c r="M46" s="14">
        <v>0</v>
      </c>
      <c r="N46" s="16">
        <v>0</v>
      </c>
      <c r="O46" s="14">
        <v>0</v>
      </c>
      <c r="P46" s="16">
        <v>0</v>
      </c>
      <c r="Q46" s="14">
        <v>0</v>
      </c>
      <c r="R46" s="16">
        <v>0</v>
      </c>
    </row>
    <row r="47" spans="1:18" x14ac:dyDescent="0.25">
      <c r="A47" s="11" t="s">
        <v>180</v>
      </c>
      <c r="B47" s="13">
        <v>5928</v>
      </c>
      <c r="C47" s="14">
        <f>(4983/B47*100)</f>
        <v>84.058704453441294</v>
      </c>
      <c r="D47" s="15">
        <v>945</v>
      </c>
      <c r="E47" s="14">
        <v>18.270926500000002</v>
      </c>
      <c r="F47" s="16">
        <v>1.2539539900000001</v>
      </c>
      <c r="G47" s="14">
        <v>81.729073499999998</v>
      </c>
      <c r="H47" s="16">
        <v>1.2539539900000001</v>
      </c>
      <c r="I47" s="14" t="s">
        <v>139</v>
      </c>
      <c r="J47" s="16" t="s">
        <v>139</v>
      </c>
      <c r="K47" s="14">
        <v>0</v>
      </c>
      <c r="L47" s="16">
        <v>0</v>
      </c>
      <c r="M47" s="14">
        <v>0</v>
      </c>
      <c r="N47" s="16">
        <v>0</v>
      </c>
      <c r="O47" s="14">
        <v>0</v>
      </c>
      <c r="P47" s="16">
        <v>0</v>
      </c>
      <c r="Q47" s="14">
        <v>0</v>
      </c>
      <c r="R47" s="16">
        <v>0</v>
      </c>
    </row>
    <row r="48" spans="1:18" x14ac:dyDescent="0.25">
      <c r="A48" s="11" t="s">
        <v>181</v>
      </c>
      <c r="B48" s="13">
        <v>9841</v>
      </c>
      <c r="C48" s="14">
        <f>(8156/B48*100)</f>
        <v>82.877756325576669</v>
      </c>
      <c r="D48" s="15">
        <v>1685</v>
      </c>
      <c r="E48" s="14">
        <v>19.464661799999998</v>
      </c>
      <c r="F48" s="16">
        <v>1.5452292400000001</v>
      </c>
      <c r="G48" s="14">
        <v>80.535338199999998</v>
      </c>
      <c r="H48" s="16">
        <v>1.5452292400000001</v>
      </c>
      <c r="I48" s="14" t="s">
        <v>139</v>
      </c>
      <c r="J48" s="16" t="s">
        <v>139</v>
      </c>
      <c r="K48" s="14">
        <v>0</v>
      </c>
      <c r="L48" s="16">
        <v>0</v>
      </c>
      <c r="M48" s="14">
        <v>0</v>
      </c>
      <c r="N48" s="16">
        <v>0</v>
      </c>
      <c r="O48" s="14">
        <v>0</v>
      </c>
      <c r="P48" s="16">
        <v>0</v>
      </c>
      <c r="Q48" s="14">
        <v>0</v>
      </c>
      <c r="R48" s="16">
        <v>0</v>
      </c>
    </row>
    <row r="49" spans="1:18" x14ac:dyDescent="0.25">
      <c r="A49" s="11" t="s">
        <v>182</v>
      </c>
      <c r="B49" s="17" t="s">
        <v>154</v>
      </c>
      <c r="C49" s="17" t="s">
        <v>154</v>
      </c>
      <c r="D49" s="18" t="s">
        <v>154</v>
      </c>
      <c r="E49" s="17" t="s">
        <v>154</v>
      </c>
      <c r="F49" s="18" t="s">
        <v>154</v>
      </c>
      <c r="G49" s="17" t="s">
        <v>154</v>
      </c>
      <c r="H49" s="18" t="s">
        <v>154</v>
      </c>
      <c r="I49" s="17" t="s">
        <v>154</v>
      </c>
      <c r="J49" s="18" t="s">
        <v>154</v>
      </c>
      <c r="K49" s="17" t="s">
        <v>154</v>
      </c>
      <c r="L49" s="18" t="s">
        <v>154</v>
      </c>
      <c r="M49" s="17" t="s">
        <v>154</v>
      </c>
      <c r="N49" s="18" t="s">
        <v>154</v>
      </c>
      <c r="O49" s="17" t="s">
        <v>154</v>
      </c>
      <c r="P49" s="18" t="s">
        <v>154</v>
      </c>
      <c r="Q49" s="17" t="s">
        <v>154</v>
      </c>
      <c r="R49" s="18" t="s">
        <v>154</v>
      </c>
    </row>
    <row r="50" spans="1:18" x14ac:dyDescent="0.25">
      <c r="A50" s="11" t="s">
        <v>183</v>
      </c>
      <c r="B50" s="13">
        <v>11795</v>
      </c>
      <c r="C50" s="14">
        <f>(9958/B50*100)</f>
        <v>84.425604069520986</v>
      </c>
      <c r="D50" s="15">
        <v>1837</v>
      </c>
      <c r="E50" s="14">
        <v>15.317774500000001</v>
      </c>
      <c r="F50" s="16">
        <v>1.17220133</v>
      </c>
      <c r="G50" s="14">
        <v>84.682225500000001</v>
      </c>
      <c r="H50" s="16">
        <v>1.17220133</v>
      </c>
      <c r="I50" s="14" t="s">
        <v>139</v>
      </c>
      <c r="J50" s="16" t="s">
        <v>139</v>
      </c>
      <c r="K50" s="14">
        <v>0</v>
      </c>
      <c r="L50" s="16">
        <v>0</v>
      </c>
      <c r="M50" s="14">
        <v>0</v>
      </c>
      <c r="N50" s="16">
        <v>0</v>
      </c>
      <c r="O50" s="14">
        <v>0</v>
      </c>
      <c r="P50" s="16">
        <v>0</v>
      </c>
      <c r="Q50" s="14">
        <v>0</v>
      </c>
      <c r="R50" s="16">
        <v>0</v>
      </c>
    </row>
    <row r="51" spans="1:18" x14ac:dyDescent="0.25">
      <c r="A51" s="11" t="s">
        <v>184</v>
      </c>
      <c r="B51" s="13">
        <v>6866</v>
      </c>
      <c r="C51" s="14">
        <f>(5911/B51*100)</f>
        <v>86.090882609962122</v>
      </c>
      <c r="D51" s="15">
        <v>955</v>
      </c>
      <c r="E51" s="14">
        <v>10.629071270000001</v>
      </c>
      <c r="F51" s="16">
        <v>1.0643450299999999</v>
      </c>
      <c r="G51" s="14">
        <v>89.370928730000003</v>
      </c>
      <c r="H51" s="16">
        <v>1.0643450299999999</v>
      </c>
      <c r="I51" s="14" t="s">
        <v>139</v>
      </c>
      <c r="J51" s="16" t="s">
        <v>139</v>
      </c>
      <c r="K51" s="14">
        <v>0</v>
      </c>
      <c r="L51" s="16">
        <v>0</v>
      </c>
      <c r="M51" s="14">
        <v>0</v>
      </c>
      <c r="N51" s="16">
        <v>0</v>
      </c>
      <c r="O51" s="14">
        <v>0</v>
      </c>
      <c r="P51" s="16">
        <v>0</v>
      </c>
      <c r="Q51" s="14">
        <v>0</v>
      </c>
      <c r="R51" s="16">
        <v>0</v>
      </c>
    </row>
    <row r="52" spans="1:18" x14ac:dyDescent="0.25">
      <c r="A52" s="11" t="s">
        <v>185</v>
      </c>
      <c r="B52" s="13">
        <v>5809</v>
      </c>
      <c r="C52" s="14">
        <f>(4832/B52*100)</f>
        <v>83.181270442416945</v>
      </c>
      <c r="D52" s="15">
        <v>977</v>
      </c>
      <c r="E52" s="14">
        <v>12.384645730000001</v>
      </c>
      <c r="F52" s="16">
        <v>1.1497649400000001</v>
      </c>
      <c r="G52" s="14">
        <v>87.615354269999997</v>
      </c>
      <c r="H52" s="16">
        <v>1.1497649400000001</v>
      </c>
      <c r="I52" s="14" t="s">
        <v>139</v>
      </c>
      <c r="J52" s="16" t="s">
        <v>139</v>
      </c>
      <c r="K52" s="14">
        <v>0</v>
      </c>
      <c r="L52" s="16">
        <v>0</v>
      </c>
      <c r="M52" s="14">
        <v>0</v>
      </c>
      <c r="N52" s="16">
        <v>0</v>
      </c>
      <c r="O52" s="14">
        <v>0</v>
      </c>
      <c r="P52" s="16">
        <v>0</v>
      </c>
      <c r="Q52" s="14">
        <v>0</v>
      </c>
      <c r="R52" s="16">
        <v>0</v>
      </c>
    </row>
    <row r="53" spans="1:18" x14ac:dyDescent="0.25">
      <c r="A53" s="11" t="s">
        <v>186</v>
      </c>
      <c r="B53" s="13">
        <v>5571</v>
      </c>
      <c r="C53" s="14">
        <f>(4622/B53*100)</f>
        <v>82.965356309459708</v>
      </c>
      <c r="D53" s="15">
        <v>949</v>
      </c>
      <c r="E53" s="14">
        <v>28.599854220000001</v>
      </c>
      <c r="F53" s="16">
        <v>1.1952011199999999</v>
      </c>
      <c r="G53" s="14">
        <v>71.400145780000003</v>
      </c>
      <c r="H53" s="16">
        <v>1.1952011199999999</v>
      </c>
      <c r="I53" s="14" t="s">
        <v>139</v>
      </c>
      <c r="J53" s="16" t="s">
        <v>139</v>
      </c>
      <c r="K53" s="14">
        <v>0</v>
      </c>
      <c r="L53" s="16">
        <v>0</v>
      </c>
      <c r="M53" s="14">
        <v>0</v>
      </c>
      <c r="N53" s="16">
        <v>0</v>
      </c>
      <c r="O53" s="14">
        <v>0</v>
      </c>
      <c r="P53" s="16">
        <v>0</v>
      </c>
      <c r="Q53" s="14">
        <v>0</v>
      </c>
      <c r="R53" s="16">
        <v>0</v>
      </c>
    </row>
    <row r="54" spans="1:18" x14ac:dyDescent="0.25">
      <c r="A54" s="11" t="s">
        <v>187</v>
      </c>
      <c r="B54" s="17" t="s">
        <v>154</v>
      </c>
      <c r="C54" s="17" t="s">
        <v>154</v>
      </c>
      <c r="D54" s="18" t="s">
        <v>154</v>
      </c>
      <c r="E54" s="17" t="s">
        <v>154</v>
      </c>
      <c r="F54" s="18" t="s">
        <v>154</v>
      </c>
      <c r="G54" s="17" t="s">
        <v>154</v>
      </c>
      <c r="H54" s="18" t="s">
        <v>154</v>
      </c>
      <c r="I54" s="17" t="s">
        <v>154</v>
      </c>
      <c r="J54" s="18" t="s">
        <v>154</v>
      </c>
      <c r="K54" s="17" t="s">
        <v>154</v>
      </c>
      <c r="L54" s="18" t="s">
        <v>154</v>
      </c>
      <c r="M54" s="17" t="s">
        <v>154</v>
      </c>
      <c r="N54" s="18" t="s">
        <v>154</v>
      </c>
      <c r="O54" s="17" t="s">
        <v>154</v>
      </c>
      <c r="P54" s="18" t="s">
        <v>154</v>
      </c>
      <c r="Q54" s="17" t="s">
        <v>154</v>
      </c>
      <c r="R54" s="18" t="s">
        <v>154</v>
      </c>
    </row>
    <row r="55" spans="1:18" x14ac:dyDescent="0.25">
      <c r="A55" s="11" t="s">
        <v>188</v>
      </c>
      <c r="B55" s="17" t="s">
        <v>154</v>
      </c>
      <c r="C55" s="17" t="s">
        <v>154</v>
      </c>
      <c r="D55" s="18" t="s">
        <v>154</v>
      </c>
      <c r="E55" s="17" t="s">
        <v>154</v>
      </c>
      <c r="F55" s="18" t="s">
        <v>154</v>
      </c>
      <c r="G55" s="17" t="s">
        <v>154</v>
      </c>
      <c r="H55" s="18" t="s">
        <v>154</v>
      </c>
      <c r="I55" s="17" t="s">
        <v>154</v>
      </c>
      <c r="J55" s="18" t="s">
        <v>154</v>
      </c>
      <c r="K55" s="17" t="s">
        <v>154</v>
      </c>
      <c r="L55" s="18" t="s">
        <v>154</v>
      </c>
      <c r="M55" s="17" t="s">
        <v>154</v>
      </c>
      <c r="N55" s="18" t="s">
        <v>154</v>
      </c>
      <c r="O55" s="17" t="s">
        <v>154</v>
      </c>
      <c r="P55" s="18" t="s">
        <v>154</v>
      </c>
      <c r="Q55" s="17" t="s">
        <v>154</v>
      </c>
      <c r="R55" s="18" t="s">
        <v>154</v>
      </c>
    </row>
    <row r="56" spans="1:18" x14ac:dyDescent="0.25">
      <c r="A56" s="11" t="s">
        <v>189</v>
      </c>
      <c r="B56" s="13">
        <v>5359</v>
      </c>
      <c r="C56" s="14">
        <f>(4423/B56*100)</f>
        <v>82.534054860981527</v>
      </c>
      <c r="D56" s="15">
        <v>936</v>
      </c>
      <c r="E56" s="14">
        <v>16.151863330000001</v>
      </c>
      <c r="F56" s="16">
        <v>1.23080754</v>
      </c>
      <c r="G56" s="14">
        <v>83.848136670000002</v>
      </c>
      <c r="H56" s="16">
        <v>1.23080754</v>
      </c>
      <c r="I56" s="14" t="s">
        <v>139</v>
      </c>
      <c r="J56" s="16" t="s">
        <v>139</v>
      </c>
      <c r="K56" s="14">
        <v>0</v>
      </c>
      <c r="L56" s="16">
        <v>0</v>
      </c>
      <c r="M56" s="14">
        <v>0</v>
      </c>
      <c r="N56" s="16">
        <v>0</v>
      </c>
      <c r="O56" s="14">
        <v>0</v>
      </c>
      <c r="P56" s="16">
        <v>0</v>
      </c>
      <c r="Q56" s="14">
        <v>0</v>
      </c>
      <c r="R56" s="16">
        <v>0</v>
      </c>
    </row>
    <row r="57" spans="1:18" x14ac:dyDescent="0.25">
      <c r="A57" s="11" t="s">
        <v>190</v>
      </c>
      <c r="B57" s="17" t="s">
        <v>154</v>
      </c>
      <c r="C57" s="17" t="s">
        <v>154</v>
      </c>
      <c r="D57" s="18" t="s">
        <v>154</v>
      </c>
      <c r="E57" s="17" t="s">
        <v>154</v>
      </c>
      <c r="F57" s="18" t="s">
        <v>154</v>
      </c>
      <c r="G57" s="17" t="s">
        <v>154</v>
      </c>
      <c r="H57" s="18" t="s">
        <v>154</v>
      </c>
      <c r="I57" s="17" t="s">
        <v>154</v>
      </c>
      <c r="J57" s="18" t="s">
        <v>154</v>
      </c>
      <c r="K57" s="17" t="s">
        <v>154</v>
      </c>
      <c r="L57" s="18" t="s">
        <v>154</v>
      </c>
      <c r="M57" s="17" t="s">
        <v>154</v>
      </c>
      <c r="N57" s="18" t="s">
        <v>154</v>
      </c>
      <c r="O57" s="17" t="s">
        <v>154</v>
      </c>
      <c r="P57" s="18" t="s">
        <v>154</v>
      </c>
      <c r="Q57" s="17" t="s">
        <v>154</v>
      </c>
      <c r="R57" s="18" t="s">
        <v>154</v>
      </c>
    </row>
    <row r="58" spans="1:18" x14ac:dyDescent="0.25">
      <c r="A58" s="11" t="s">
        <v>191</v>
      </c>
      <c r="B58" s="17" t="s">
        <v>154</v>
      </c>
      <c r="C58" s="17" t="s">
        <v>154</v>
      </c>
      <c r="D58" s="18" t="s">
        <v>154</v>
      </c>
      <c r="E58" s="17" t="s">
        <v>154</v>
      </c>
      <c r="F58" s="18" t="s">
        <v>154</v>
      </c>
      <c r="G58" s="17" t="s">
        <v>154</v>
      </c>
      <c r="H58" s="18" t="s">
        <v>154</v>
      </c>
      <c r="I58" s="17" t="s">
        <v>154</v>
      </c>
      <c r="J58" s="18" t="s">
        <v>154</v>
      </c>
      <c r="K58" s="17" t="s">
        <v>154</v>
      </c>
      <c r="L58" s="18" t="s">
        <v>154</v>
      </c>
      <c r="M58" s="17" t="s">
        <v>154</v>
      </c>
      <c r="N58" s="18" t="s">
        <v>154</v>
      </c>
      <c r="O58" s="17" t="s">
        <v>154</v>
      </c>
      <c r="P58" s="18" t="s">
        <v>154</v>
      </c>
      <c r="Q58" s="17" t="s">
        <v>154</v>
      </c>
      <c r="R58" s="18" t="s">
        <v>154</v>
      </c>
    </row>
    <row r="59" spans="1:18" x14ac:dyDescent="0.25">
      <c r="A59" s="11" t="s">
        <v>192</v>
      </c>
      <c r="B59" s="17" t="s">
        <v>154</v>
      </c>
      <c r="C59" s="17" t="s">
        <v>154</v>
      </c>
      <c r="D59" s="18" t="s">
        <v>154</v>
      </c>
      <c r="E59" s="17" t="s">
        <v>154</v>
      </c>
      <c r="F59" s="18" t="s">
        <v>154</v>
      </c>
      <c r="G59" s="17" t="s">
        <v>154</v>
      </c>
      <c r="H59" s="18" t="s">
        <v>154</v>
      </c>
      <c r="I59" s="17" t="s">
        <v>154</v>
      </c>
      <c r="J59" s="18" t="s">
        <v>154</v>
      </c>
      <c r="K59" s="17" t="s">
        <v>154</v>
      </c>
      <c r="L59" s="18" t="s">
        <v>154</v>
      </c>
      <c r="M59" s="17" t="s">
        <v>154</v>
      </c>
      <c r="N59" s="18" t="s">
        <v>154</v>
      </c>
      <c r="O59" s="17" t="s">
        <v>154</v>
      </c>
      <c r="P59" s="18" t="s">
        <v>154</v>
      </c>
      <c r="Q59" s="17" t="s">
        <v>154</v>
      </c>
      <c r="R59" s="18" t="s">
        <v>154</v>
      </c>
    </row>
    <row r="60" spans="1:18" x14ac:dyDescent="0.25">
      <c r="A60" s="11" t="s">
        <v>193</v>
      </c>
      <c r="B60" s="17" t="s">
        <v>154</v>
      </c>
      <c r="C60" s="17" t="s">
        <v>154</v>
      </c>
      <c r="D60" s="18" t="s">
        <v>154</v>
      </c>
      <c r="E60" s="17" t="s">
        <v>154</v>
      </c>
      <c r="F60" s="18" t="s">
        <v>154</v>
      </c>
      <c r="G60" s="17" t="s">
        <v>154</v>
      </c>
      <c r="H60" s="18" t="s">
        <v>154</v>
      </c>
      <c r="I60" s="17" t="s">
        <v>154</v>
      </c>
      <c r="J60" s="18" t="s">
        <v>154</v>
      </c>
      <c r="K60" s="17" t="s">
        <v>154</v>
      </c>
      <c r="L60" s="18" t="s">
        <v>154</v>
      </c>
      <c r="M60" s="17" t="s">
        <v>154</v>
      </c>
      <c r="N60" s="18" t="s">
        <v>154</v>
      </c>
      <c r="O60" s="17" t="s">
        <v>154</v>
      </c>
      <c r="P60" s="18" t="s">
        <v>154</v>
      </c>
      <c r="Q60" s="17" t="s">
        <v>154</v>
      </c>
      <c r="R60" s="18" t="s">
        <v>154</v>
      </c>
    </row>
    <row r="61" spans="1:18" x14ac:dyDescent="0.25">
      <c r="A61" s="11" t="s">
        <v>194</v>
      </c>
      <c r="B61" s="13">
        <v>6525</v>
      </c>
      <c r="C61" s="14">
        <f>(5438/B61*100)</f>
        <v>83.340996168582365</v>
      </c>
      <c r="D61" s="15">
        <v>1087</v>
      </c>
      <c r="E61" s="14">
        <v>14.68210433</v>
      </c>
      <c r="F61" s="16">
        <v>1.1453748800000001</v>
      </c>
      <c r="G61" s="14">
        <v>85.317895669999999</v>
      </c>
      <c r="H61" s="16">
        <v>1.1453748800000001</v>
      </c>
      <c r="I61" s="14" t="s">
        <v>139</v>
      </c>
      <c r="J61" s="16" t="s">
        <v>139</v>
      </c>
      <c r="K61" s="14">
        <v>0</v>
      </c>
      <c r="L61" s="16">
        <v>0</v>
      </c>
      <c r="M61" s="14">
        <v>0</v>
      </c>
      <c r="N61" s="16">
        <v>0</v>
      </c>
      <c r="O61" s="14">
        <v>0</v>
      </c>
      <c r="P61" s="16">
        <v>0</v>
      </c>
      <c r="Q61" s="14">
        <v>0</v>
      </c>
      <c r="R61" s="16">
        <v>0</v>
      </c>
    </row>
    <row r="62" spans="1:18" x14ac:dyDescent="0.25">
      <c r="A62" s="11" t="s">
        <v>195</v>
      </c>
      <c r="B62" s="13">
        <v>4476</v>
      </c>
      <c r="C62" s="14">
        <f>(3742/B62*100)</f>
        <v>83.601429848078652</v>
      </c>
      <c r="D62" s="15">
        <v>734</v>
      </c>
      <c r="E62" s="14">
        <v>14.44975241</v>
      </c>
      <c r="F62" s="16">
        <v>1.3949356100000001</v>
      </c>
      <c r="G62" s="14">
        <v>85.550247589999998</v>
      </c>
      <c r="H62" s="16">
        <v>1.3949356100000001</v>
      </c>
      <c r="I62" s="14" t="s">
        <v>139</v>
      </c>
      <c r="J62" s="16" t="s">
        <v>139</v>
      </c>
      <c r="K62" s="14">
        <v>0</v>
      </c>
      <c r="L62" s="16">
        <v>0</v>
      </c>
      <c r="M62" s="14">
        <v>0</v>
      </c>
      <c r="N62" s="16">
        <v>0</v>
      </c>
      <c r="O62" s="14">
        <v>0</v>
      </c>
      <c r="P62" s="16">
        <v>0</v>
      </c>
      <c r="Q62" s="14">
        <v>0</v>
      </c>
      <c r="R62" s="16">
        <v>0</v>
      </c>
    </row>
    <row r="63" spans="1:18" x14ac:dyDescent="0.25">
      <c r="A63" s="11" t="s">
        <v>196</v>
      </c>
      <c r="B63" s="17" t="s">
        <v>154</v>
      </c>
      <c r="C63" s="17" t="s">
        <v>154</v>
      </c>
      <c r="D63" s="18" t="s">
        <v>154</v>
      </c>
      <c r="E63" s="17" t="s">
        <v>154</v>
      </c>
      <c r="F63" s="18" t="s">
        <v>154</v>
      </c>
      <c r="G63" s="17" t="s">
        <v>154</v>
      </c>
      <c r="H63" s="18" t="s">
        <v>154</v>
      </c>
      <c r="I63" s="17" t="s">
        <v>154</v>
      </c>
      <c r="J63" s="18" t="s">
        <v>154</v>
      </c>
      <c r="K63" s="17" t="s">
        <v>154</v>
      </c>
      <c r="L63" s="18" t="s">
        <v>154</v>
      </c>
      <c r="M63" s="17" t="s">
        <v>154</v>
      </c>
      <c r="N63" s="18" t="s">
        <v>154</v>
      </c>
      <c r="O63" s="17" t="s">
        <v>154</v>
      </c>
      <c r="P63" s="18" t="s">
        <v>154</v>
      </c>
      <c r="Q63" s="17" t="s">
        <v>154</v>
      </c>
      <c r="R63" s="18" t="s">
        <v>154</v>
      </c>
    </row>
    <row r="64" spans="1:18" x14ac:dyDescent="0.25">
      <c r="A64" s="11" t="s">
        <v>197</v>
      </c>
      <c r="B64" s="17" t="s">
        <v>154</v>
      </c>
      <c r="C64" s="17" t="s">
        <v>154</v>
      </c>
      <c r="D64" s="18" t="s">
        <v>154</v>
      </c>
      <c r="E64" s="17" t="s">
        <v>154</v>
      </c>
      <c r="F64" s="18" t="s">
        <v>154</v>
      </c>
      <c r="G64" s="17" t="s">
        <v>154</v>
      </c>
      <c r="H64" s="18" t="s">
        <v>154</v>
      </c>
      <c r="I64" s="17" t="s">
        <v>154</v>
      </c>
      <c r="J64" s="18" t="s">
        <v>154</v>
      </c>
      <c r="K64" s="17" t="s">
        <v>154</v>
      </c>
      <c r="L64" s="18" t="s">
        <v>154</v>
      </c>
      <c r="M64" s="17" t="s">
        <v>154</v>
      </c>
      <c r="N64" s="18" t="s">
        <v>154</v>
      </c>
      <c r="O64" s="17" t="s">
        <v>154</v>
      </c>
      <c r="P64" s="18" t="s">
        <v>154</v>
      </c>
      <c r="Q64" s="17" t="s">
        <v>154</v>
      </c>
      <c r="R64" s="18" t="s">
        <v>154</v>
      </c>
    </row>
    <row r="65" spans="1:18" x14ac:dyDescent="0.25">
      <c r="A65" s="11" t="s">
        <v>198</v>
      </c>
      <c r="B65" s="17" t="s">
        <v>154</v>
      </c>
      <c r="C65" s="17" t="s">
        <v>154</v>
      </c>
      <c r="D65" s="18" t="s">
        <v>154</v>
      </c>
      <c r="E65" s="17" t="s">
        <v>154</v>
      </c>
      <c r="F65" s="18" t="s">
        <v>154</v>
      </c>
      <c r="G65" s="17" t="s">
        <v>154</v>
      </c>
      <c r="H65" s="18" t="s">
        <v>154</v>
      </c>
      <c r="I65" s="17" t="s">
        <v>154</v>
      </c>
      <c r="J65" s="18" t="s">
        <v>154</v>
      </c>
      <c r="K65" s="17" t="s">
        <v>154</v>
      </c>
      <c r="L65" s="18" t="s">
        <v>154</v>
      </c>
      <c r="M65" s="17" t="s">
        <v>154</v>
      </c>
      <c r="N65" s="18" t="s">
        <v>154</v>
      </c>
      <c r="O65" s="17" t="s">
        <v>154</v>
      </c>
      <c r="P65" s="18" t="s">
        <v>154</v>
      </c>
      <c r="Q65" s="17" t="s">
        <v>154</v>
      </c>
      <c r="R65" s="18" t="s">
        <v>154</v>
      </c>
    </row>
    <row r="66" spans="1:18" x14ac:dyDescent="0.25">
      <c r="A66" s="11" t="s">
        <v>199</v>
      </c>
      <c r="B66" s="13">
        <v>5665</v>
      </c>
      <c r="C66" s="14">
        <f>(4754/B66*100)</f>
        <v>83.918799646954994</v>
      </c>
      <c r="D66" s="15">
        <v>911</v>
      </c>
      <c r="E66" s="14">
        <v>23.694045620000001</v>
      </c>
      <c r="F66" s="16">
        <v>1.5406854800000001</v>
      </c>
      <c r="G66" s="14">
        <v>76.305954380000003</v>
      </c>
      <c r="H66" s="16">
        <v>1.5406854800000001</v>
      </c>
      <c r="I66" s="14" t="s">
        <v>139</v>
      </c>
      <c r="J66" s="16" t="s">
        <v>139</v>
      </c>
      <c r="K66" s="14">
        <v>0</v>
      </c>
      <c r="L66" s="16">
        <v>0</v>
      </c>
      <c r="M66" s="14">
        <v>0</v>
      </c>
      <c r="N66" s="16">
        <v>0</v>
      </c>
      <c r="O66" s="14">
        <v>0</v>
      </c>
      <c r="P66" s="16">
        <v>0</v>
      </c>
      <c r="Q66" s="14">
        <v>0</v>
      </c>
      <c r="R66" s="16">
        <v>0</v>
      </c>
    </row>
    <row r="67" spans="1:18" x14ac:dyDescent="0.25">
      <c r="A67" s="11" t="s">
        <v>200</v>
      </c>
      <c r="B67" s="13">
        <v>6971</v>
      </c>
      <c r="C67" s="14">
        <f>(6010/B67*100)</f>
        <v>86.214316453880357</v>
      </c>
      <c r="D67" s="15">
        <v>961</v>
      </c>
      <c r="E67" s="14">
        <v>12.51982568</v>
      </c>
      <c r="F67" s="16">
        <v>1.2155446999999999</v>
      </c>
      <c r="G67" s="14">
        <v>87.480174320000003</v>
      </c>
      <c r="H67" s="16">
        <v>1.2155446999999999</v>
      </c>
      <c r="I67" s="14" t="s">
        <v>139</v>
      </c>
      <c r="J67" s="16" t="s">
        <v>139</v>
      </c>
      <c r="K67" s="14">
        <v>0</v>
      </c>
      <c r="L67" s="16">
        <v>0</v>
      </c>
      <c r="M67" s="14">
        <v>0</v>
      </c>
      <c r="N67" s="16">
        <v>0</v>
      </c>
      <c r="O67" s="14">
        <v>0</v>
      </c>
      <c r="P67" s="16">
        <v>0</v>
      </c>
      <c r="Q67" s="14">
        <v>0</v>
      </c>
      <c r="R67" s="16">
        <v>0</v>
      </c>
    </row>
    <row r="68" spans="1:18" x14ac:dyDescent="0.25">
      <c r="A68" s="11" t="s">
        <v>201</v>
      </c>
      <c r="B68" s="17" t="s">
        <v>154</v>
      </c>
      <c r="C68" s="17" t="s">
        <v>154</v>
      </c>
      <c r="D68" s="18" t="s">
        <v>154</v>
      </c>
      <c r="E68" s="17" t="s">
        <v>154</v>
      </c>
      <c r="F68" s="18" t="s">
        <v>154</v>
      </c>
      <c r="G68" s="17" t="s">
        <v>154</v>
      </c>
      <c r="H68" s="18" t="s">
        <v>154</v>
      </c>
      <c r="I68" s="17" t="s">
        <v>154</v>
      </c>
      <c r="J68" s="18" t="s">
        <v>154</v>
      </c>
      <c r="K68" s="17" t="s">
        <v>154</v>
      </c>
      <c r="L68" s="18" t="s">
        <v>154</v>
      </c>
      <c r="M68" s="17" t="s">
        <v>154</v>
      </c>
      <c r="N68" s="18" t="s">
        <v>154</v>
      </c>
      <c r="O68" s="17" t="s">
        <v>154</v>
      </c>
      <c r="P68" s="18" t="s">
        <v>154</v>
      </c>
      <c r="Q68" s="17" t="s">
        <v>154</v>
      </c>
      <c r="R68" s="18" t="s">
        <v>154</v>
      </c>
    </row>
    <row r="69" spans="1:18" x14ac:dyDescent="0.25">
      <c r="A69" s="11" t="s">
        <v>202</v>
      </c>
      <c r="B69" s="17" t="s">
        <v>154</v>
      </c>
      <c r="C69" s="17" t="s">
        <v>154</v>
      </c>
      <c r="D69" s="18" t="s">
        <v>154</v>
      </c>
      <c r="E69" s="17" t="s">
        <v>154</v>
      </c>
      <c r="F69" s="18" t="s">
        <v>154</v>
      </c>
      <c r="G69" s="17" t="s">
        <v>154</v>
      </c>
      <c r="H69" s="18" t="s">
        <v>154</v>
      </c>
      <c r="I69" s="17" t="s">
        <v>154</v>
      </c>
      <c r="J69" s="18" t="s">
        <v>154</v>
      </c>
      <c r="K69" s="17" t="s">
        <v>154</v>
      </c>
      <c r="L69" s="18" t="s">
        <v>154</v>
      </c>
      <c r="M69" s="17" t="s">
        <v>154</v>
      </c>
      <c r="N69" s="18" t="s">
        <v>154</v>
      </c>
      <c r="O69" s="17" t="s">
        <v>154</v>
      </c>
      <c r="P69" s="18" t="s">
        <v>154</v>
      </c>
      <c r="Q69" s="17" t="s">
        <v>154</v>
      </c>
      <c r="R69" s="18" t="s">
        <v>154</v>
      </c>
    </row>
    <row r="70" spans="1:18" x14ac:dyDescent="0.25">
      <c r="A70" s="11" t="s">
        <v>203</v>
      </c>
      <c r="B70" s="13">
        <v>6036</v>
      </c>
      <c r="C70" s="14">
        <f>(5043/B70*100)</f>
        <v>83.548707753479121</v>
      </c>
      <c r="D70" s="15">
        <v>993</v>
      </c>
      <c r="E70" s="14">
        <v>14.161391679999999</v>
      </c>
      <c r="F70" s="16">
        <v>1.16568527</v>
      </c>
      <c r="G70" s="14">
        <v>85.838608320000006</v>
      </c>
      <c r="H70" s="16">
        <v>1.16568527</v>
      </c>
      <c r="I70" s="14" t="s">
        <v>139</v>
      </c>
      <c r="J70" s="16" t="s">
        <v>139</v>
      </c>
      <c r="K70" s="14">
        <v>0</v>
      </c>
      <c r="L70" s="16">
        <v>0</v>
      </c>
      <c r="M70" s="14">
        <v>0</v>
      </c>
      <c r="N70" s="16">
        <v>0</v>
      </c>
      <c r="O70" s="14">
        <v>0</v>
      </c>
      <c r="P70" s="16">
        <v>0</v>
      </c>
      <c r="Q70" s="14">
        <v>0</v>
      </c>
      <c r="R70" s="16">
        <v>0</v>
      </c>
    </row>
    <row r="71" spans="1:18" x14ac:dyDescent="0.25">
      <c r="A71" s="11" t="s">
        <v>204</v>
      </c>
      <c r="B71" s="17" t="s">
        <v>154</v>
      </c>
      <c r="C71" s="17" t="s">
        <v>154</v>
      </c>
      <c r="D71" s="18" t="s">
        <v>154</v>
      </c>
      <c r="E71" s="17" t="s">
        <v>154</v>
      </c>
      <c r="F71" s="18" t="s">
        <v>154</v>
      </c>
      <c r="G71" s="17" t="s">
        <v>154</v>
      </c>
      <c r="H71" s="18" t="s">
        <v>154</v>
      </c>
      <c r="I71" s="17" t="s">
        <v>154</v>
      </c>
      <c r="J71" s="18" t="s">
        <v>154</v>
      </c>
      <c r="K71" s="17" t="s">
        <v>154</v>
      </c>
      <c r="L71" s="18" t="s">
        <v>154</v>
      </c>
      <c r="M71" s="17" t="s">
        <v>154</v>
      </c>
      <c r="N71" s="18" t="s">
        <v>154</v>
      </c>
      <c r="O71" s="17" t="s">
        <v>154</v>
      </c>
      <c r="P71" s="18" t="s">
        <v>154</v>
      </c>
      <c r="Q71" s="17" t="s">
        <v>154</v>
      </c>
      <c r="R71" s="18" t="s">
        <v>154</v>
      </c>
    </row>
    <row r="72" spans="1:18" x14ac:dyDescent="0.25">
      <c r="A72" s="11" t="s">
        <v>205</v>
      </c>
      <c r="B72" s="13">
        <v>7708</v>
      </c>
      <c r="C72" s="14">
        <f>(6395/B72*100)</f>
        <v>82.965749870264659</v>
      </c>
      <c r="D72" s="15">
        <v>1313</v>
      </c>
      <c r="E72" s="14">
        <v>13.17092332</v>
      </c>
      <c r="F72" s="16">
        <v>0.95476357999999995</v>
      </c>
      <c r="G72" s="14">
        <v>86.82907668</v>
      </c>
      <c r="H72" s="16">
        <v>0.95476357999999995</v>
      </c>
      <c r="I72" s="14" t="s">
        <v>139</v>
      </c>
      <c r="J72" s="16" t="s">
        <v>139</v>
      </c>
      <c r="K72" s="14">
        <v>0</v>
      </c>
      <c r="L72" s="16">
        <v>0</v>
      </c>
      <c r="M72" s="14">
        <v>0</v>
      </c>
      <c r="N72" s="16">
        <v>0</v>
      </c>
      <c r="O72" s="14">
        <v>0</v>
      </c>
      <c r="P72" s="16">
        <v>0</v>
      </c>
      <c r="Q72" s="14">
        <v>0</v>
      </c>
      <c r="R72" s="16">
        <v>0</v>
      </c>
    </row>
    <row r="73" spans="1:18" x14ac:dyDescent="0.25">
      <c r="A73" s="11" t="s">
        <v>206</v>
      </c>
      <c r="B73" s="13">
        <v>8249</v>
      </c>
      <c r="C73" s="14">
        <f>(6966/B73*100)</f>
        <v>84.446599587828828</v>
      </c>
      <c r="D73" s="15">
        <v>1283</v>
      </c>
      <c r="E73" s="14">
        <v>22.05668987</v>
      </c>
      <c r="F73" s="16">
        <v>1.3120296499999999</v>
      </c>
      <c r="G73" s="14">
        <v>77.94331013</v>
      </c>
      <c r="H73" s="16">
        <v>1.3120296499999999</v>
      </c>
      <c r="I73" s="14" t="s">
        <v>139</v>
      </c>
      <c r="J73" s="16" t="s">
        <v>139</v>
      </c>
      <c r="K73" s="14">
        <v>0</v>
      </c>
      <c r="L73" s="16">
        <v>0</v>
      </c>
      <c r="M73" s="14">
        <v>0</v>
      </c>
      <c r="N73" s="16">
        <v>0</v>
      </c>
      <c r="O73" s="14">
        <v>0</v>
      </c>
      <c r="P73" s="16">
        <v>0</v>
      </c>
      <c r="Q73" s="14">
        <v>0</v>
      </c>
      <c r="R73" s="16">
        <v>0</v>
      </c>
    </row>
    <row r="74" spans="1:18" x14ac:dyDescent="0.25">
      <c r="A74" s="11" t="s">
        <v>207</v>
      </c>
      <c r="B74" s="17" t="s">
        <v>154</v>
      </c>
      <c r="C74" s="17" t="s">
        <v>154</v>
      </c>
      <c r="D74" s="18" t="s">
        <v>154</v>
      </c>
      <c r="E74" s="17" t="s">
        <v>154</v>
      </c>
      <c r="F74" s="18" t="s">
        <v>154</v>
      </c>
      <c r="G74" s="17" t="s">
        <v>154</v>
      </c>
      <c r="H74" s="18" t="s">
        <v>154</v>
      </c>
      <c r="I74" s="17" t="s">
        <v>154</v>
      </c>
      <c r="J74" s="18" t="s">
        <v>154</v>
      </c>
      <c r="K74" s="17" t="s">
        <v>154</v>
      </c>
      <c r="L74" s="18" t="s">
        <v>154</v>
      </c>
      <c r="M74" s="17" t="s">
        <v>154</v>
      </c>
      <c r="N74" s="18" t="s">
        <v>154</v>
      </c>
      <c r="O74" s="17" t="s">
        <v>154</v>
      </c>
      <c r="P74" s="18" t="s">
        <v>154</v>
      </c>
      <c r="Q74" s="17" t="s">
        <v>154</v>
      </c>
      <c r="R74" s="18" t="s">
        <v>154</v>
      </c>
    </row>
    <row r="75" spans="1:18" x14ac:dyDescent="0.25">
      <c r="A75" s="11" t="s">
        <v>208</v>
      </c>
      <c r="B75" s="13">
        <v>5375</v>
      </c>
      <c r="C75" s="14">
        <f>(4595/B75*100)</f>
        <v>85.488372093023258</v>
      </c>
      <c r="D75" s="15">
        <v>780</v>
      </c>
      <c r="E75" s="14">
        <v>25.001123700000001</v>
      </c>
      <c r="F75" s="16">
        <v>1.6020935700000001</v>
      </c>
      <c r="G75" s="14">
        <v>74.998876300000006</v>
      </c>
      <c r="H75" s="16">
        <v>1.6020935700000001</v>
      </c>
      <c r="I75" s="14" t="s">
        <v>139</v>
      </c>
      <c r="J75" s="16" t="s">
        <v>139</v>
      </c>
      <c r="K75" s="14">
        <v>0</v>
      </c>
      <c r="L75" s="16">
        <v>0</v>
      </c>
      <c r="M75" s="14">
        <v>0</v>
      </c>
      <c r="N75" s="16">
        <v>0</v>
      </c>
      <c r="O75" s="14">
        <v>0</v>
      </c>
      <c r="P75" s="16">
        <v>0</v>
      </c>
      <c r="Q75" s="14">
        <v>0</v>
      </c>
      <c r="R75" s="16">
        <v>0</v>
      </c>
    </row>
    <row r="76" spans="1:18" x14ac:dyDescent="0.25">
      <c r="A76" s="11" t="s">
        <v>209</v>
      </c>
      <c r="B76" s="13">
        <v>14167</v>
      </c>
      <c r="C76" s="14">
        <f>(11740/B76*100)</f>
        <v>82.868638384979178</v>
      </c>
      <c r="D76" s="15">
        <v>2427</v>
      </c>
      <c r="E76" s="14">
        <v>22.901722830000001</v>
      </c>
      <c r="F76" s="16">
        <v>0.85128378000000005</v>
      </c>
      <c r="G76" s="14">
        <v>77.098277170000003</v>
      </c>
      <c r="H76" s="16">
        <v>0.85128378000000005</v>
      </c>
      <c r="I76" s="14" t="s">
        <v>139</v>
      </c>
      <c r="J76" s="16" t="s">
        <v>139</v>
      </c>
      <c r="K76" s="14">
        <v>0</v>
      </c>
      <c r="L76" s="16">
        <v>0</v>
      </c>
      <c r="M76" s="14">
        <v>0</v>
      </c>
      <c r="N76" s="16">
        <v>0</v>
      </c>
      <c r="O76" s="14">
        <v>0</v>
      </c>
      <c r="P76" s="16">
        <v>0</v>
      </c>
      <c r="Q76" s="14">
        <v>0</v>
      </c>
      <c r="R76" s="16">
        <v>0</v>
      </c>
    </row>
    <row r="77" spans="1:18" x14ac:dyDescent="0.25">
      <c r="A77" s="11" t="s">
        <v>210</v>
      </c>
      <c r="B77" s="13">
        <v>6062</v>
      </c>
      <c r="C77" s="14">
        <f>(5082/B77*100)</f>
        <v>83.833718244803691</v>
      </c>
      <c r="D77" s="15">
        <v>980</v>
      </c>
      <c r="E77" s="14">
        <v>17.222785500000001</v>
      </c>
      <c r="F77" s="16">
        <v>1.2731768299999999</v>
      </c>
      <c r="G77" s="14">
        <v>82.777214499999999</v>
      </c>
      <c r="H77" s="16">
        <v>1.2731768299999999</v>
      </c>
      <c r="I77" s="14" t="s">
        <v>139</v>
      </c>
      <c r="J77" s="16" t="s">
        <v>139</v>
      </c>
      <c r="K77" s="14">
        <v>0</v>
      </c>
      <c r="L77" s="16">
        <v>0</v>
      </c>
      <c r="M77" s="14">
        <v>0</v>
      </c>
      <c r="N77" s="16">
        <v>0</v>
      </c>
      <c r="O77" s="14">
        <v>0</v>
      </c>
      <c r="P77" s="16">
        <v>0</v>
      </c>
      <c r="Q77" s="14">
        <v>0</v>
      </c>
      <c r="R77" s="16">
        <v>0</v>
      </c>
    </row>
    <row r="78" spans="1:18" x14ac:dyDescent="0.25">
      <c r="A78" s="11" t="s">
        <v>211</v>
      </c>
      <c r="B78" s="17" t="s">
        <v>154</v>
      </c>
      <c r="C78" s="17" t="s">
        <v>154</v>
      </c>
      <c r="D78" s="18" t="s">
        <v>154</v>
      </c>
      <c r="E78" s="17" t="s">
        <v>154</v>
      </c>
      <c r="F78" s="18" t="s">
        <v>154</v>
      </c>
      <c r="G78" s="17" t="s">
        <v>154</v>
      </c>
      <c r="H78" s="18" t="s">
        <v>154</v>
      </c>
      <c r="I78" s="17" t="s">
        <v>154</v>
      </c>
      <c r="J78" s="18" t="s">
        <v>154</v>
      </c>
      <c r="K78" s="17" t="s">
        <v>154</v>
      </c>
      <c r="L78" s="18" t="s">
        <v>154</v>
      </c>
      <c r="M78" s="17" t="s">
        <v>154</v>
      </c>
      <c r="N78" s="18" t="s">
        <v>154</v>
      </c>
      <c r="O78" s="17" t="s">
        <v>154</v>
      </c>
      <c r="P78" s="18" t="s">
        <v>154</v>
      </c>
      <c r="Q78" s="17" t="s">
        <v>154</v>
      </c>
      <c r="R78" s="18" t="s">
        <v>154</v>
      </c>
    </row>
    <row r="79" spans="1:18" ht="24.95" customHeight="1" x14ac:dyDescent="0.25">
      <c r="A79" s="11" t="s">
        <v>212</v>
      </c>
      <c r="B79" s="17" t="s">
        <v>154</v>
      </c>
      <c r="C79" s="17" t="s">
        <v>154</v>
      </c>
      <c r="D79" s="18" t="s">
        <v>154</v>
      </c>
      <c r="E79" s="17" t="s">
        <v>154</v>
      </c>
      <c r="F79" s="18" t="s">
        <v>154</v>
      </c>
      <c r="G79" s="17" t="s">
        <v>154</v>
      </c>
      <c r="H79" s="18" t="s">
        <v>154</v>
      </c>
      <c r="I79" s="17" t="s">
        <v>154</v>
      </c>
      <c r="J79" s="18" t="s">
        <v>154</v>
      </c>
      <c r="K79" s="17" t="s">
        <v>154</v>
      </c>
      <c r="L79" s="18" t="s">
        <v>154</v>
      </c>
      <c r="M79" s="17" t="s">
        <v>154</v>
      </c>
      <c r="N79" s="18" t="s">
        <v>154</v>
      </c>
      <c r="O79" s="17" t="s">
        <v>154</v>
      </c>
      <c r="P79" s="18" t="s">
        <v>154</v>
      </c>
      <c r="Q79" s="17" t="s">
        <v>154</v>
      </c>
      <c r="R79" s="18" t="s">
        <v>154</v>
      </c>
    </row>
    <row r="80" spans="1:18" x14ac:dyDescent="0.25">
      <c r="A80" s="11" t="s">
        <v>213</v>
      </c>
      <c r="B80" s="17" t="s">
        <v>154</v>
      </c>
      <c r="C80" s="17" t="s">
        <v>154</v>
      </c>
      <c r="D80" s="18" t="s">
        <v>154</v>
      </c>
      <c r="E80" s="17" t="s">
        <v>154</v>
      </c>
      <c r="F80" s="18" t="s">
        <v>154</v>
      </c>
      <c r="G80" s="17" t="s">
        <v>154</v>
      </c>
      <c r="H80" s="18" t="s">
        <v>154</v>
      </c>
      <c r="I80" s="17" t="s">
        <v>154</v>
      </c>
      <c r="J80" s="18" t="s">
        <v>154</v>
      </c>
      <c r="K80" s="17" t="s">
        <v>154</v>
      </c>
      <c r="L80" s="18" t="s">
        <v>154</v>
      </c>
      <c r="M80" s="17" t="s">
        <v>154</v>
      </c>
      <c r="N80" s="18" t="s">
        <v>154</v>
      </c>
      <c r="O80" s="17" t="s">
        <v>154</v>
      </c>
      <c r="P80" s="18" t="s">
        <v>154</v>
      </c>
      <c r="Q80" s="17" t="s">
        <v>154</v>
      </c>
      <c r="R80" s="18" t="s">
        <v>154</v>
      </c>
    </row>
    <row r="81" spans="1:18" x14ac:dyDescent="0.25">
      <c r="A81" s="19" t="s">
        <v>214</v>
      </c>
      <c r="B81" s="13">
        <v>8861</v>
      </c>
      <c r="C81" s="14">
        <f>(7385/B81*100)</f>
        <v>83.342737839972912</v>
      </c>
      <c r="D81" s="15">
        <v>1476</v>
      </c>
      <c r="E81" s="14">
        <v>26.452921880000002</v>
      </c>
      <c r="F81" s="16">
        <v>1.50135175</v>
      </c>
      <c r="G81" s="14">
        <v>73.547078119999995</v>
      </c>
      <c r="H81" s="16">
        <v>1.50135175</v>
      </c>
      <c r="I81" s="14" t="s">
        <v>139</v>
      </c>
      <c r="J81" s="16" t="s">
        <v>139</v>
      </c>
      <c r="K81" s="14">
        <v>0</v>
      </c>
      <c r="L81" s="16">
        <v>0</v>
      </c>
      <c r="M81" s="14">
        <v>0</v>
      </c>
      <c r="N81" s="16">
        <v>0</v>
      </c>
      <c r="O81" s="14">
        <v>0</v>
      </c>
      <c r="P81" s="16">
        <v>0</v>
      </c>
      <c r="Q81" s="14">
        <v>0</v>
      </c>
      <c r="R81" s="16">
        <v>0</v>
      </c>
    </row>
    <row r="82" spans="1:18" x14ac:dyDescent="0.25">
      <c r="A82" s="20"/>
      <c r="B82" s="20" t="s">
        <v>215</v>
      </c>
      <c r="C82" s="20" t="s">
        <v>215</v>
      </c>
      <c r="D82" s="20" t="s">
        <v>215</v>
      </c>
      <c r="E82" s="20" t="s">
        <v>215</v>
      </c>
      <c r="F82" s="20" t="s">
        <v>215</v>
      </c>
      <c r="G82" s="20" t="s">
        <v>215</v>
      </c>
      <c r="H82" s="20" t="s">
        <v>215</v>
      </c>
      <c r="I82" s="20" t="s">
        <v>215</v>
      </c>
      <c r="J82" s="20" t="s">
        <v>215</v>
      </c>
      <c r="K82" s="20" t="s">
        <v>215</v>
      </c>
      <c r="L82" s="20" t="s">
        <v>215</v>
      </c>
      <c r="M82" s="20" t="s">
        <v>215</v>
      </c>
      <c r="N82" s="20" t="s">
        <v>215</v>
      </c>
      <c r="O82" s="20" t="s">
        <v>215</v>
      </c>
      <c r="P82" s="20" t="s">
        <v>215</v>
      </c>
      <c r="Q82" s="20" t="s">
        <v>215</v>
      </c>
      <c r="R82" s="20" t="s">
        <v>215</v>
      </c>
    </row>
    <row r="83" spans="1:18" x14ac:dyDescent="0.25">
      <c r="A83" s="3" t="s">
        <v>216</v>
      </c>
    </row>
    <row r="84" spans="1:18" x14ac:dyDescent="0.25">
      <c r="A84" s="22" t="s">
        <v>217</v>
      </c>
      <c r="B84" s="23"/>
      <c r="C84" s="23"/>
      <c r="D84" s="23"/>
      <c r="E84" s="23"/>
      <c r="F84" s="23"/>
      <c r="G84" s="23"/>
      <c r="H84" s="23"/>
      <c r="I84" s="23"/>
      <c r="J84" s="23"/>
      <c r="K84" s="23"/>
      <c r="L84" s="23"/>
      <c r="M84" s="23"/>
      <c r="N84" s="23"/>
      <c r="O84" s="23"/>
      <c r="P84" s="23"/>
      <c r="Q84" s="23"/>
      <c r="R84" s="23"/>
    </row>
    <row r="85" spans="1:18" x14ac:dyDescent="0.25">
      <c r="A85" s="22" t="s">
        <v>218</v>
      </c>
      <c r="B85" s="23"/>
      <c r="C85" s="23"/>
      <c r="D85" s="23"/>
      <c r="E85" s="23"/>
      <c r="F85" s="23"/>
      <c r="G85" s="23"/>
      <c r="H85" s="23"/>
      <c r="I85" s="23"/>
      <c r="J85" s="23"/>
      <c r="K85" s="23"/>
      <c r="L85" s="23"/>
      <c r="M85" s="23"/>
      <c r="N85" s="23"/>
      <c r="O85" s="23"/>
      <c r="P85" s="23"/>
      <c r="Q85" s="23"/>
      <c r="R85" s="23"/>
    </row>
    <row r="86" spans="1:18" ht="30" customHeight="1" x14ac:dyDescent="0.25">
      <c r="A86" s="22" t="s">
        <v>219</v>
      </c>
      <c r="B86" s="23"/>
      <c r="C86" s="23"/>
      <c r="D86" s="23"/>
      <c r="E86" s="23"/>
      <c r="F86" s="23"/>
      <c r="G86" s="23"/>
      <c r="H86" s="23"/>
      <c r="I86" s="23"/>
      <c r="J86" s="23"/>
      <c r="K86" s="23"/>
      <c r="L86" s="23"/>
      <c r="M86" s="23"/>
      <c r="N86" s="23"/>
      <c r="O86" s="23"/>
      <c r="P86" s="23"/>
      <c r="Q86" s="23"/>
      <c r="R86" s="23"/>
    </row>
    <row r="87" spans="1:18" ht="30" customHeight="1" x14ac:dyDescent="0.25">
      <c r="A87" s="22" t="s">
        <v>215</v>
      </c>
      <c r="B87" s="23"/>
      <c r="C87" s="23"/>
      <c r="D87" s="23"/>
      <c r="E87" s="23"/>
      <c r="F87" s="23"/>
      <c r="G87" s="23"/>
      <c r="H87" s="23"/>
      <c r="I87" s="23"/>
      <c r="J87" s="23"/>
      <c r="K87" s="23"/>
      <c r="L87" s="23"/>
      <c r="M87" s="23"/>
      <c r="N87" s="23"/>
      <c r="O87" s="23"/>
      <c r="P87" s="23"/>
      <c r="Q87" s="23"/>
      <c r="R87" s="23"/>
    </row>
    <row r="88" spans="1:18" ht="30" customHeight="1" x14ac:dyDescent="0.25">
      <c r="A88" s="22" t="s">
        <v>220</v>
      </c>
      <c r="B88" s="23"/>
      <c r="C88" s="23"/>
      <c r="D88" s="23"/>
      <c r="E88" s="23"/>
      <c r="F88" s="23"/>
      <c r="G88" s="23"/>
      <c r="H88" s="23"/>
      <c r="I88" s="23"/>
      <c r="J88" s="23"/>
      <c r="K88" s="23"/>
      <c r="L88" s="23"/>
      <c r="M88" s="23"/>
      <c r="N88" s="23"/>
      <c r="O88" s="23"/>
      <c r="P88" s="23"/>
      <c r="Q88" s="23"/>
      <c r="R88" s="23"/>
    </row>
    <row r="89" spans="1:18" ht="30" customHeight="1" x14ac:dyDescent="0.25">
      <c r="A89" s="22" t="s">
        <v>221</v>
      </c>
      <c r="B89" s="23"/>
      <c r="C89" s="23"/>
      <c r="D89" s="23"/>
      <c r="E89" s="23"/>
      <c r="F89" s="23"/>
      <c r="G89" s="23"/>
      <c r="H89" s="23"/>
      <c r="I89" s="23"/>
      <c r="J89" s="23"/>
      <c r="K89" s="23"/>
      <c r="L89" s="23"/>
      <c r="M89" s="23"/>
      <c r="N89" s="23"/>
      <c r="O89" s="23"/>
      <c r="P89" s="23"/>
      <c r="Q89" s="23"/>
      <c r="R89" s="23"/>
    </row>
    <row r="90" spans="1:18" ht="30" customHeight="1" x14ac:dyDescent="0.25">
      <c r="A90" s="22" t="s">
        <v>222</v>
      </c>
      <c r="B90" s="23"/>
      <c r="C90" s="23"/>
      <c r="D90" s="23"/>
      <c r="E90" s="23"/>
      <c r="F90" s="23"/>
      <c r="G90" s="23"/>
      <c r="H90" s="23"/>
      <c r="I90" s="23"/>
      <c r="J90" s="23"/>
      <c r="K90" s="23"/>
      <c r="L90" s="23"/>
      <c r="M90" s="23"/>
      <c r="N90" s="23"/>
      <c r="O90" s="23"/>
      <c r="P90" s="23"/>
      <c r="Q90" s="23"/>
      <c r="R90" s="23"/>
    </row>
    <row r="91" spans="1:18" ht="30" customHeight="1" x14ac:dyDescent="0.25">
      <c r="A91" s="22" t="s">
        <v>223</v>
      </c>
      <c r="B91" s="23"/>
      <c r="C91" s="23"/>
      <c r="D91" s="23"/>
      <c r="E91" s="23"/>
      <c r="F91" s="23"/>
      <c r="G91" s="23"/>
      <c r="H91" s="23"/>
      <c r="I91" s="23"/>
      <c r="J91" s="23"/>
      <c r="K91" s="23"/>
      <c r="L91" s="23"/>
      <c r="M91" s="23"/>
      <c r="N91" s="23"/>
      <c r="O91" s="23"/>
      <c r="P91" s="23"/>
      <c r="Q91" s="23"/>
      <c r="R91" s="23"/>
    </row>
    <row r="92" spans="1:18" ht="30" customHeight="1" x14ac:dyDescent="0.25">
      <c r="A92" s="22" t="s">
        <v>224</v>
      </c>
      <c r="B92" s="23"/>
      <c r="C92" s="23"/>
      <c r="D92" s="23"/>
      <c r="E92" s="23"/>
      <c r="F92" s="23"/>
      <c r="G92" s="23"/>
      <c r="H92" s="23"/>
      <c r="I92" s="23"/>
      <c r="J92" s="23"/>
      <c r="K92" s="23"/>
      <c r="L92" s="23"/>
      <c r="M92" s="23"/>
      <c r="N92" s="23"/>
      <c r="O92" s="23"/>
      <c r="P92" s="23"/>
      <c r="Q92" s="23"/>
      <c r="R92" s="23"/>
    </row>
    <row r="93" spans="1:18" ht="30" customHeight="1" x14ac:dyDescent="0.25">
      <c r="A93" s="22" t="s">
        <v>225</v>
      </c>
      <c r="B93" s="23"/>
      <c r="C93" s="23"/>
      <c r="D93" s="23"/>
      <c r="E93" s="23"/>
      <c r="F93" s="23"/>
      <c r="G93" s="23"/>
      <c r="H93" s="23"/>
      <c r="I93" s="23"/>
      <c r="J93" s="23"/>
      <c r="K93" s="23"/>
      <c r="L93" s="23"/>
      <c r="M93" s="23"/>
      <c r="N93" s="23"/>
      <c r="O93" s="23"/>
      <c r="P93" s="23"/>
      <c r="Q93" s="23"/>
      <c r="R93" s="23"/>
    </row>
    <row r="94" spans="1:18" ht="30" customHeight="1" x14ac:dyDescent="0.25">
      <c r="A94" s="22" t="s">
        <v>226</v>
      </c>
      <c r="B94" s="23"/>
      <c r="C94" s="23"/>
      <c r="D94" s="23"/>
      <c r="E94" s="23"/>
      <c r="F94" s="23"/>
      <c r="G94" s="23"/>
      <c r="H94" s="23"/>
      <c r="I94" s="23"/>
      <c r="J94" s="23"/>
      <c r="K94" s="23"/>
      <c r="L94" s="23"/>
      <c r="M94" s="23"/>
      <c r="N94" s="23"/>
      <c r="O94" s="23"/>
      <c r="P94" s="23"/>
      <c r="Q94" s="23"/>
      <c r="R94" s="23"/>
    </row>
    <row r="95" spans="1:18" ht="30" customHeight="1" x14ac:dyDescent="0.25">
      <c r="A95" s="22" t="s">
        <v>227</v>
      </c>
      <c r="B95" s="23"/>
      <c r="C95" s="23"/>
      <c r="D95" s="23"/>
      <c r="E95" s="23"/>
      <c r="F95" s="23"/>
      <c r="G95" s="23"/>
      <c r="H95" s="23"/>
      <c r="I95" s="23"/>
      <c r="J95" s="23"/>
      <c r="K95" s="23"/>
      <c r="L95" s="23"/>
      <c r="M95" s="23"/>
      <c r="N95" s="23"/>
      <c r="O95" s="23"/>
      <c r="P95" s="23"/>
      <c r="Q95" s="23"/>
      <c r="R95" s="23"/>
    </row>
    <row r="96" spans="1:18" ht="30" customHeight="1" x14ac:dyDescent="0.25">
      <c r="A96" s="22" t="s">
        <v>228</v>
      </c>
      <c r="B96" s="23"/>
      <c r="C96" s="23"/>
      <c r="D96" s="23"/>
      <c r="E96" s="23"/>
      <c r="F96" s="23"/>
      <c r="G96" s="23"/>
      <c r="H96" s="23"/>
      <c r="I96" s="23"/>
      <c r="J96" s="23"/>
      <c r="K96" s="23"/>
      <c r="L96" s="23"/>
      <c r="M96" s="23"/>
      <c r="N96" s="23"/>
      <c r="O96" s="23"/>
      <c r="P96" s="23"/>
      <c r="Q96" s="23"/>
      <c r="R96" s="23"/>
    </row>
  </sheetData>
  <mergeCells count="22">
    <mergeCell ref="O4:P4"/>
    <mergeCell ref="Q4:R4"/>
    <mergeCell ref="A1:R1"/>
    <mergeCell ref="A2:R2"/>
    <mergeCell ref="A84:R84"/>
    <mergeCell ref="E4:F4"/>
    <mergeCell ref="G4:H4"/>
    <mergeCell ref="I4:J4"/>
    <mergeCell ref="K4:L4"/>
    <mergeCell ref="M4:N4"/>
    <mergeCell ref="A85:R85"/>
    <mergeCell ref="A86:R86"/>
    <mergeCell ref="A87:R87"/>
    <mergeCell ref="A88:R88"/>
    <mergeCell ref="A89:R89"/>
    <mergeCell ref="A95:R95"/>
    <mergeCell ref="A96:R96"/>
    <mergeCell ref="A90:R90"/>
    <mergeCell ref="A91:R91"/>
    <mergeCell ref="A92:R92"/>
    <mergeCell ref="A93:R93"/>
    <mergeCell ref="A94:R94"/>
  </mergeCells>
  <pageMargins left="0.75" right="0.75" top="1" bottom="1" header="0.5" footer="0.5"/>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0"/>
  <dimension ref="A1:R96"/>
  <sheetViews>
    <sheetView zoomScale="80" workbookViewId="0">
      <pane xSplit="4" topLeftCell="E1" activePane="topRight" state="frozen"/>
      <selection sqref="A1:R1"/>
      <selection pane="topRight" sqref="A1:R1"/>
    </sheetView>
  </sheetViews>
  <sheetFormatPr defaultColWidth="11.42578125" defaultRowHeight="15" x14ac:dyDescent="0.25"/>
  <cols>
    <col min="1" max="1" width="50" customWidth="1"/>
  </cols>
  <sheetData>
    <row r="1" spans="1:18" x14ac:dyDescent="0.25">
      <c r="A1" s="26" t="s">
        <v>122</v>
      </c>
      <c r="B1" s="23"/>
      <c r="C1" s="23"/>
      <c r="D1" s="23"/>
      <c r="E1" s="23"/>
      <c r="F1" s="23"/>
      <c r="G1" s="23"/>
      <c r="H1" s="23"/>
      <c r="I1" s="23"/>
      <c r="J1" s="23"/>
      <c r="K1" s="23"/>
      <c r="L1" s="23"/>
      <c r="M1" s="23"/>
      <c r="N1" s="23"/>
      <c r="O1" s="23"/>
      <c r="P1" s="23"/>
      <c r="Q1" s="23"/>
      <c r="R1" s="23"/>
    </row>
    <row r="2" spans="1:18" x14ac:dyDescent="0.25">
      <c r="A2" s="27" t="s">
        <v>306</v>
      </c>
      <c r="B2" s="23"/>
      <c r="C2" s="23"/>
      <c r="D2" s="23"/>
      <c r="E2" s="23"/>
      <c r="F2" s="23"/>
      <c r="G2" s="23"/>
      <c r="H2" s="23"/>
      <c r="I2" s="23"/>
      <c r="J2" s="23"/>
      <c r="K2" s="23"/>
      <c r="L2" s="23"/>
      <c r="M2" s="23"/>
      <c r="N2" s="23"/>
      <c r="O2" s="23"/>
      <c r="P2" s="23"/>
      <c r="Q2" s="23"/>
      <c r="R2" s="23"/>
    </row>
    <row r="4" spans="1:18" ht="30" customHeight="1" x14ac:dyDescent="0.25">
      <c r="A4" s="4"/>
      <c r="B4" s="5" t="s">
        <v>123</v>
      </c>
      <c r="C4" s="5" t="s">
        <v>124</v>
      </c>
      <c r="D4" s="6" t="s">
        <v>123</v>
      </c>
      <c r="E4" s="24" t="s">
        <v>125</v>
      </c>
      <c r="F4" s="25"/>
      <c r="G4" s="24" t="s">
        <v>126</v>
      </c>
      <c r="H4" s="25"/>
      <c r="I4" s="24" t="s">
        <v>127</v>
      </c>
      <c r="J4" s="25"/>
      <c r="K4" s="24" t="s">
        <v>128</v>
      </c>
      <c r="L4" s="25"/>
      <c r="M4" s="24" t="s">
        <v>129</v>
      </c>
      <c r="N4" s="25"/>
      <c r="O4" s="24" t="s">
        <v>130</v>
      </c>
      <c r="P4" s="25"/>
      <c r="Q4" s="24" t="s">
        <v>131</v>
      </c>
      <c r="R4" s="25"/>
    </row>
    <row r="5" spans="1:18" x14ac:dyDescent="0.25">
      <c r="A5" s="7"/>
      <c r="B5" s="8" t="s">
        <v>132</v>
      </c>
      <c r="C5" s="8" t="s">
        <v>133</v>
      </c>
      <c r="D5" s="7" t="s">
        <v>134</v>
      </c>
      <c r="E5" s="8" t="s">
        <v>135</v>
      </c>
      <c r="F5" s="7" t="s">
        <v>136</v>
      </c>
      <c r="G5" s="8" t="s">
        <v>135</v>
      </c>
      <c r="H5" s="7" t="s">
        <v>136</v>
      </c>
      <c r="I5" s="8" t="s">
        <v>135</v>
      </c>
      <c r="J5" s="7" t="s">
        <v>136</v>
      </c>
      <c r="K5" s="8" t="s">
        <v>135</v>
      </c>
      <c r="L5" s="7" t="s">
        <v>136</v>
      </c>
      <c r="M5" s="8" t="s">
        <v>135</v>
      </c>
      <c r="N5" s="7" t="s">
        <v>136</v>
      </c>
      <c r="O5" s="8" t="s">
        <v>135</v>
      </c>
      <c r="P5" s="7" t="s">
        <v>136</v>
      </c>
      <c r="Q5" s="8" t="s">
        <v>135</v>
      </c>
      <c r="R5" s="7" t="s">
        <v>136</v>
      </c>
    </row>
    <row r="6" spans="1:18" x14ac:dyDescent="0.25">
      <c r="A6" s="9" t="s">
        <v>137</v>
      </c>
      <c r="B6" s="10"/>
      <c r="C6" s="10"/>
      <c r="D6" s="11"/>
      <c r="E6" s="10"/>
      <c r="F6" s="11"/>
      <c r="G6" s="10"/>
      <c r="H6" s="11"/>
      <c r="I6" s="10"/>
      <c r="J6" s="11"/>
      <c r="K6" s="10"/>
      <c r="L6" s="11"/>
      <c r="M6" s="10"/>
      <c r="N6" s="11"/>
      <c r="O6" s="10"/>
      <c r="P6" s="11"/>
      <c r="Q6" s="10"/>
      <c r="R6" s="12"/>
    </row>
    <row r="7" spans="1:18" x14ac:dyDescent="0.25">
      <c r="A7" s="11" t="s">
        <v>138</v>
      </c>
      <c r="B7" s="13">
        <v>14530</v>
      </c>
      <c r="C7" s="14">
        <f>(12188/B7*100)</f>
        <v>83.881624225739841</v>
      </c>
      <c r="D7" s="15">
        <v>2342</v>
      </c>
      <c r="E7" s="14">
        <v>23.974054720000002</v>
      </c>
      <c r="F7" s="16">
        <v>1.2139928</v>
      </c>
      <c r="G7" s="14">
        <v>76.025945280000002</v>
      </c>
      <c r="H7" s="16">
        <v>1.2139928</v>
      </c>
      <c r="I7" s="14" t="s">
        <v>139</v>
      </c>
      <c r="J7" s="16" t="s">
        <v>139</v>
      </c>
      <c r="K7" s="14">
        <v>0</v>
      </c>
      <c r="L7" s="16">
        <v>0</v>
      </c>
      <c r="M7" s="14">
        <v>0</v>
      </c>
      <c r="N7" s="16">
        <v>0</v>
      </c>
      <c r="O7" s="14">
        <v>0</v>
      </c>
      <c r="P7" s="16">
        <v>0</v>
      </c>
      <c r="Q7" s="14">
        <v>0</v>
      </c>
      <c r="R7" s="16">
        <v>0</v>
      </c>
    </row>
    <row r="8" spans="1:18" x14ac:dyDescent="0.25">
      <c r="A8" s="11" t="s">
        <v>140</v>
      </c>
      <c r="B8" s="13">
        <v>7007</v>
      </c>
      <c r="C8" s="14">
        <f>(5837/B8*100)</f>
        <v>83.302411873840441</v>
      </c>
      <c r="D8" s="15">
        <v>1170</v>
      </c>
      <c r="E8" s="14">
        <v>12.537224119999999</v>
      </c>
      <c r="F8" s="16">
        <v>1.03351295</v>
      </c>
      <c r="G8" s="14">
        <v>87.462775879999995</v>
      </c>
      <c r="H8" s="16">
        <v>1.03351295</v>
      </c>
      <c r="I8" s="14" t="s">
        <v>139</v>
      </c>
      <c r="J8" s="16" t="s">
        <v>139</v>
      </c>
      <c r="K8" s="14">
        <v>0</v>
      </c>
      <c r="L8" s="16">
        <v>0</v>
      </c>
      <c r="M8" s="14">
        <v>0</v>
      </c>
      <c r="N8" s="16">
        <v>0</v>
      </c>
      <c r="O8" s="14">
        <v>0</v>
      </c>
      <c r="P8" s="16">
        <v>0</v>
      </c>
      <c r="Q8" s="14">
        <v>0</v>
      </c>
      <c r="R8" s="16">
        <v>0</v>
      </c>
    </row>
    <row r="9" spans="1:18" x14ac:dyDescent="0.25">
      <c r="A9" s="11" t="s">
        <v>141</v>
      </c>
      <c r="B9" s="13">
        <v>9651</v>
      </c>
      <c r="C9" s="14">
        <f>(8124/B9*100)</f>
        <v>84.17780540876592</v>
      </c>
      <c r="D9" s="15">
        <v>1527</v>
      </c>
      <c r="E9" s="14">
        <v>15.04948752</v>
      </c>
      <c r="F9" s="16">
        <v>0.95462338000000002</v>
      </c>
      <c r="G9" s="14">
        <v>84.95051248</v>
      </c>
      <c r="H9" s="16">
        <v>0.95462338000000002</v>
      </c>
      <c r="I9" s="14" t="s">
        <v>139</v>
      </c>
      <c r="J9" s="16" t="s">
        <v>139</v>
      </c>
      <c r="K9" s="14">
        <v>0</v>
      </c>
      <c r="L9" s="16">
        <v>0</v>
      </c>
      <c r="M9" s="14">
        <v>0</v>
      </c>
      <c r="N9" s="16">
        <v>0</v>
      </c>
      <c r="O9" s="14">
        <v>0</v>
      </c>
      <c r="P9" s="16">
        <v>0</v>
      </c>
      <c r="Q9" s="14">
        <v>0</v>
      </c>
      <c r="R9" s="16">
        <v>0</v>
      </c>
    </row>
    <row r="10" spans="1:18" x14ac:dyDescent="0.25">
      <c r="A10" s="11" t="s">
        <v>142</v>
      </c>
      <c r="B10" s="13">
        <v>20058</v>
      </c>
      <c r="C10" s="14">
        <f>(16690/B10*100)</f>
        <v>83.208694785123143</v>
      </c>
      <c r="D10" s="15">
        <v>3368</v>
      </c>
      <c r="E10" s="14">
        <v>20.733077099999999</v>
      </c>
      <c r="F10" s="16">
        <v>1.0998975099999999</v>
      </c>
      <c r="G10" s="14">
        <v>79.266922899999997</v>
      </c>
      <c r="H10" s="16">
        <v>1.0998975099999999</v>
      </c>
      <c r="I10" s="14" t="s">
        <v>139</v>
      </c>
      <c r="J10" s="16" t="s">
        <v>139</v>
      </c>
      <c r="K10" s="14">
        <v>0</v>
      </c>
      <c r="L10" s="16">
        <v>0</v>
      </c>
      <c r="M10" s="14">
        <v>0</v>
      </c>
      <c r="N10" s="16">
        <v>0</v>
      </c>
      <c r="O10" s="14">
        <v>0</v>
      </c>
      <c r="P10" s="16">
        <v>0</v>
      </c>
      <c r="Q10" s="14">
        <v>0</v>
      </c>
      <c r="R10" s="16">
        <v>0</v>
      </c>
    </row>
    <row r="11" spans="1:18" x14ac:dyDescent="0.25">
      <c r="A11" s="11" t="s">
        <v>143</v>
      </c>
      <c r="B11" s="13">
        <v>7053</v>
      </c>
      <c r="C11" s="14">
        <f>(5899/B11*100)</f>
        <v>83.638168155394865</v>
      </c>
      <c r="D11" s="15">
        <v>1154</v>
      </c>
      <c r="E11" s="14">
        <v>22.103377890000001</v>
      </c>
      <c r="F11" s="16">
        <v>1.6379417599999999</v>
      </c>
      <c r="G11" s="14">
        <v>77.896622109999996</v>
      </c>
      <c r="H11" s="16">
        <v>1.6379417599999999</v>
      </c>
      <c r="I11" s="14" t="s">
        <v>139</v>
      </c>
      <c r="J11" s="16" t="s">
        <v>139</v>
      </c>
      <c r="K11" s="14">
        <v>0</v>
      </c>
      <c r="L11" s="16">
        <v>0</v>
      </c>
      <c r="M11" s="14">
        <v>0</v>
      </c>
      <c r="N11" s="16">
        <v>0</v>
      </c>
      <c r="O11" s="14">
        <v>0</v>
      </c>
      <c r="P11" s="16">
        <v>0</v>
      </c>
      <c r="Q11" s="14">
        <v>0</v>
      </c>
      <c r="R11" s="16">
        <v>0</v>
      </c>
    </row>
    <row r="12" spans="1:18" x14ac:dyDescent="0.25">
      <c r="A12" s="11" t="s">
        <v>144</v>
      </c>
      <c r="B12" s="13">
        <v>6894</v>
      </c>
      <c r="C12" s="14">
        <f>(5764/B12*100)</f>
        <v>83.608935306063245</v>
      </c>
      <c r="D12" s="15">
        <v>1130</v>
      </c>
      <c r="E12" s="14">
        <v>18.484095719999999</v>
      </c>
      <c r="F12" s="16">
        <v>1.2962966899999999</v>
      </c>
      <c r="G12" s="14">
        <v>81.515904280000001</v>
      </c>
      <c r="H12" s="16">
        <v>1.2962966899999999</v>
      </c>
      <c r="I12" s="14" t="s">
        <v>139</v>
      </c>
      <c r="J12" s="16" t="s">
        <v>139</v>
      </c>
      <c r="K12" s="14">
        <v>0</v>
      </c>
      <c r="L12" s="16">
        <v>0</v>
      </c>
      <c r="M12" s="14">
        <v>0</v>
      </c>
      <c r="N12" s="16">
        <v>0</v>
      </c>
      <c r="O12" s="14">
        <v>0</v>
      </c>
      <c r="P12" s="16">
        <v>0</v>
      </c>
      <c r="Q12" s="14">
        <v>0</v>
      </c>
      <c r="R12" s="16">
        <v>0</v>
      </c>
    </row>
    <row r="13" spans="1:18" x14ac:dyDescent="0.25">
      <c r="A13" s="11" t="s">
        <v>145</v>
      </c>
      <c r="B13" s="13">
        <v>7161</v>
      </c>
      <c r="C13" s="14">
        <f>(6052/B13*100)</f>
        <v>84.513336126239352</v>
      </c>
      <c r="D13" s="15">
        <v>1109</v>
      </c>
      <c r="E13" s="14">
        <v>18.461738950000001</v>
      </c>
      <c r="F13" s="16">
        <v>1.4444951399999999</v>
      </c>
      <c r="G13" s="14">
        <v>81.538261050000003</v>
      </c>
      <c r="H13" s="16">
        <v>1.4444951399999999</v>
      </c>
      <c r="I13" s="14" t="s">
        <v>139</v>
      </c>
      <c r="J13" s="16" t="s">
        <v>139</v>
      </c>
      <c r="K13" s="14">
        <v>0</v>
      </c>
      <c r="L13" s="16">
        <v>0</v>
      </c>
      <c r="M13" s="14">
        <v>0</v>
      </c>
      <c r="N13" s="16">
        <v>0</v>
      </c>
      <c r="O13" s="14">
        <v>0</v>
      </c>
      <c r="P13" s="16">
        <v>0</v>
      </c>
      <c r="Q13" s="14">
        <v>0</v>
      </c>
      <c r="R13" s="16">
        <v>0</v>
      </c>
    </row>
    <row r="14" spans="1:18" x14ac:dyDescent="0.25">
      <c r="A14" s="11" t="s">
        <v>146</v>
      </c>
      <c r="B14" s="13">
        <v>5587</v>
      </c>
      <c r="C14" s="14">
        <f>(4649/B14*100)</f>
        <v>83.211025595131559</v>
      </c>
      <c r="D14" s="15">
        <v>938</v>
      </c>
      <c r="E14" s="14">
        <v>9.2803398300000008</v>
      </c>
      <c r="F14" s="16">
        <v>1.1237108899999999</v>
      </c>
      <c r="G14" s="14">
        <v>90.719660169999997</v>
      </c>
      <c r="H14" s="16">
        <v>1.1237108899999999</v>
      </c>
      <c r="I14" s="14" t="s">
        <v>139</v>
      </c>
      <c r="J14" s="16" t="s">
        <v>139</v>
      </c>
      <c r="K14" s="14">
        <v>0</v>
      </c>
      <c r="L14" s="16">
        <v>0</v>
      </c>
      <c r="M14" s="14">
        <v>0</v>
      </c>
      <c r="N14" s="16">
        <v>0</v>
      </c>
      <c r="O14" s="14">
        <v>0</v>
      </c>
      <c r="P14" s="16">
        <v>0</v>
      </c>
      <c r="Q14" s="14">
        <v>0</v>
      </c>
      <c r="R14" s="16">
        <v>0</v>
      </c>
    </row>
    <row r="15" spans="1:18" x14ac:dyDescent="0.25">
      <c r="A15" s="11" t="s">
        <v>147</v>
      </c>
      <c r="B15" s="13">
        <v>5882</v>
      </c>
      <c r="C15" s="14">
        <f>(4896/B15*100)</f>
        <v>83.236994219653184</v>
      </c>
      <c r="D15" s="15">
        <v>986</v>
      </c>
      <c r="E15" s="14">
        <v>14.0765592</v>
      </c>
      <c r="F15" s="16">
        <v>1.0061437099999999</v>
      </c>
      <c r="G15" s="14">
        <v>85.923440799999995</v>
      </c>
      <c r="H15" s="16">
        <v>1.0061437099999999</v>
      </c>
      <c r="I15" s="14" t="s">
        <v>139</v>
      </c>
      <c r="J15" s="16" t="s">
        <v>139</v>
      </c>
      <c r="K15" s="14">
        <v>0</v>
      </c>
      <c r="L15" s="16">
        <v>0</v>
      </c>
      <c r="M15" s="14">
        <v>0</v>
      </c>
      <c r="N15" s="16">
        <v>0</v>
      </c>
      <c r="O15" s="14">
        <v>0</v>
      </c>
      <c r="P15" s="16">
        <v>0</v>
      </c>
      <c r="Q15" s="14">
        <v>0</v>
      </c>
      <c r="R15" s="16">
        <v>0</v>
      </c>
    </row>
    <row r="16" spans="1:18" x14ac:dyDescent="0.25">
      <c r="A16" s="11" t="s">
        <v>148</v>
      </c>
      <c r="B16" s="13">
        <v>6108</v>
      </c>
      <c r="C16" s="14">
        <f>(5078/B16*100)</f>
        <v>83.136869679109367</v>
      </c>
      <c r="D16" s="15">
        <v>1030</v>
      </c>
      <c r="E16" s="14">
        <v>17.336504009999999</v>
      </c>
      <c r="F16" s="16">
        <v>1.3006848900000001</v>
      </c>
      <c r="G16" s="14">
        <v>82.663495990000001</v>
      </c>
      <c r="H16" s="16">
        <v>1.3006848900000001</v>
      </c>
      <c r="I16" s="14" t="s">
        <v>139</v>
      </c>
      <c r="J16" s="16" t="s">
        <v>139</v>
      </c>
      <c r="K16" s="14">
        <v>0</v>
      </c>
      <c r="L16" s="16">
        <v>0</v>
      </c>
      <c r="M16" s="14">
        <v>0</v>
      </c>
      <c r="N16" s="16">
        <v>0</v>
      </c>
      <c r="O16" s="14">
        <v>0</v>
      </c>
      <c r="P16" s="16">
        <v>0</v>
      </c>
      <c r="Q16" s="14">
        <v>0</v>
      </c>
      <c r="R16" s="16">
        <v>0</v>
      </c>
    </row>
    <row r="17" spans="1:18" x14ac:dyDescent="0.25">
      <c r="A17" s="11" t="s">
        <v>149</v>
      </c>
      <c r="B17" s="13">
        <v>6504</v>
      </c>
      <c r="C17" s="14">
        <f>(5432/B17*100)</f>
        <v>83.517835178351788</v>
      </c>
      <c r="D17" s="15">
        <v>1072</v>
      </c>
      <c r="E17" s="14">
        <v>10.92636866</v>
      </c>
      <c r="F17" s="16">
        <v>0.95314418999999995</v>
      </c>
      <c r="G17" s="14">
        <v>89.073631340000006</v>
      </c>
      <c r="H17" s="16">
        <v>0.95314418999999995</v>
      </c>
      <c r="I17" s="14" t="s">
        <v>139</v>
      </c>
      <c r="J17" s="16" t="s">
        <v>139</v>
      </c>
      <c r="K17" s="14">
        <v>0</v>
      </c>
      <c r="L17" s="16">
        <v>0</v>
      </c>
      <c r="M17" s="14">
        <v>0</v>
      </c>
      <c r="N17" s="16">
        <v>0</v>
      </c>
      <c r="O17" s="14">
        <v>0</v>
      </c>
      <c r="P17" s="16">
        <v>0</v>
      </c>
      <c r="Q17" s="14">
        <v>0</v>
      </c>
      <c r="R17" s="16">
        <v>0</v>
      </c>
    </row>
    <row r="18" spans="1:18" x14ac:dyDescent="0.25">
      <c r="A18" s="11" t="s">
        <v>150</v>
      </c>
      <c r="B18" s="13">
        <v>5532</v>
      </c>
      <c r="C18" s="14">
        <f>(4633/B18*100)</f>
        <v>83.749096167751276</v>
      </c>
      <c r="D18" s="15">
        <v>899</v>
      </c>
      <c r="E18" s="14">
        <v>22.73628656</v>
      </c>
      <c r="F18" s="16">
        <v>1.4743217799999999</v>
      </c>
      <c r="G18" s="14">
        <v>77.263713440000004</v>
      </c>
      <c r="H18" s="16">
        <v>1.4743217799999999</v>
      </c>
      <c r="I18" s="14" t="s">
        <v>139</v>
      </c>
      <c r="J18" s="16" t="s">
        <v>139</v>
      </c>
      <c r="K18" s="14">
        <v>0</v>
      </c>
      <c r="L18" s="16">
        <v>0</v>
      </c>
      <c r="M18" s="14">
        <v>0</v>
      </c>
      <c r="N18" s="16">
        <v>0</v>
      </c>
      <c r="O18" s="14">
        <v>0</v>
      </c>
      <c r="P18" s="16">
        <v>0</v>
      </c>
      <c r="Q18" s="14">
        <v>0</v>
      </c>
      <c r="R18" s="16">
        <v>0</v>
      </c>
    </row>
    <row r="19" spans="1:18" x14ac:dyDescent="0.25">
      <c r="A19" s="11" t="s">
        <v>151</v>
      </c>
      <c r="B19" s="13">
        <v>5658</v>
      </c>
      <c r="C19" s="14">
        <f>(4733/B19*100)</f>
        <v>83.6514669494521</v>
      </c>
      <c r="D19" s="15">
        <v>925</v>
      </c>
      <c r="E19" s="14">
        <v>23.685415450000001</v>
      </c>
      <c r="F19" s="16">
        <v>1.4437162299999999</v>
      </c>
      <c r="G19" s="14">
        <v>76.314584550000006</v>
      </c>
      <c r="H19" s="16">
        <v>1.4437162299999999</v>
      </c>
      <c r="I19" s="14" t="s">
        <v>139</v>
      </c>
      <c r="J19" s="16" t="s">
        <v>139</v>
      </c>
      <c r="K19" s="14">
        <v>0</v>
      </c>
      <c r="L19" s="16">
        <v>0</v>
      </c>
      <c r="M19" s="14">
        <v>0</v>
      </c>
      <c r="N19" s="16">
        <v>0</v>
      </c>
      <c r="O19" s="14">
        <v>0</v>
      </c>
      <c r="P19" s="16">
        <v>0</v>
      </c>
      <c r="Q19" s="14">
        <v>0</v>
      </c>
      <c r="R19" s="16">
        <v>0</v>
      </c>
    </row>
    <row r="20" spans="1:18" x14ac:dyDescent="0.25">
      <c r="A20" s="11" t="s">
        <v>152</v>
      </c>
      <c r="B20" s="13">
        <v>3371</v>
      </c>
      <c r="C20" s="14">
        <f>(2823/B20*100)</f>
        <v>83.743696232571935</v>
      </c>
      <c r="D20" s="15">
        <v>548</v>
      </c>
      <c r="E20" s="14">
        <v>17.280976630000001</v>
      </c>
      <c r="F20" s="16">
        <v>1.5729215599999999</v>
      </c>
      <c r="G20" s="14">
        <v>82.719023370000002</v>
      </c>
      <c r="H20" s="16">
        <v>1.5729215599999999</v>
      </c>
      <c r="I20" s="14" t="s">
        <v>139</v>
      </c>
      <c r="J20" s="16" t="s">
        <v>139</v>
      </c>
      <c r="K20" s="14">
        <v>0</v>
      </c>
      <c r="L20" s="16">
        <v>0</v>
      </c>
      <c r="M20" s="14">
        <v>0</v>
      </c>
      <c r="N20" s="16">
        <v>0</v>
      </c>
      <c r="O20" s="14">
        <v>0</v>
      </c>
      <c r="P20" s="16">
        <v>0</v>
      </c>
      <c r="Q20" s="14">
        <v>0</v>
      </c>
      <c r="R20" s="16">
        <v>0</v>
      </c>
    </row>
    <row r="21" spans="1:18" x14ac:dyDescent="0.25">
      <c r="A21" s="11" t="s">
        <v>153</v>
      </c>
      <c r="B21" s="17" t="s">
        <v>154</v>
      </c>
      <c r="C21" s="17" t="s">
        <v>154</v>
      </c>
      <c r="D21" s="18" t="s">
        <v>154</v>
      </c>
      <c r="E21" s="17" t="s">
        <v>154</v>
      </c>
      <c r="F21" s="18" t="s">
        <v>154</v>
      </c>
      <c r="G21" s="17" t="s">
        <v>154</v>
      </c>
      <c r="H21" s="18" t="s">
        <v>154</v>
      </c>
      <c r="I21" s="17" t="s">
        <v>154</v>
      </c>
      <c r="J21" s="18" t="s">
        <v>154</v>
      </c>
      <c r="K21" s="17" t="s">
        <v>154</v>
      </c>
      <c r="L21" s="18" t="s">
        <v>154</v>
      </c>
      <c r="M21" s="17" t="s">
        <v>154</v>
      </c>
      <c r="N21" s="18" t="s">
        <v>154</v>
      </c>
      <c r="O21" s="17" t="s">
        <v>154</v>
      </c>
      <c r="P21" s="18" t="s">
        <v>154</v>
      </c>
      <c r="Q21" s="17" t="s">
        <v>154</v>
      </c>
      <c r="R21" s="18" t="s">
        <v>154</v>
      </c>
    </row>
    <row r="22" spans="1:18" x14ac:dyDescent="0.25">
      <c r="A22" s="11" t="s">
        <v>155</v>
      </c>
      <c r="B22" s="13">
        <v>6598</v>
      </c>
      <c r="C22" s="14">
        <f>(5586/B22*100)</f>
        <v>84.662018793573807</v>
      </c>
      <c r="D22" s="15">
        <v>1012</v>
      </c>
      <c r="E22" s="14">
        <v>20.46511602</v>
      </c>
      <c r="F22" s="16">
        <v>1.4956757199999999</v>
      </c>
      <c r="G22" s="14">
        <v>79.534883980000004</v>
      </c>
      <c r="H22" s="16">
        <v>1.4956757199999999</v>
      </c>
      <c r="I22" s="14" t="s">
        <v>139</v>
      </c>
      <c r="J22" s="16" t="s">
        <v>139</v>
      </c>
      <c r="K22" s="14">
        <v>0</v>
      </c>
      <c r="L22" s="16">
        <v>0</v>
      </c>
      <c r="M22" s="14">
        <v>0</v>
      </c>
      <c r="N22" s="16">
        <v>0</v>
      </c>
      <c r="O22" s="14">
        <v>0</v>
      </c>
      <c r="P22" s="16">
        <v>0</v>
      </c>
      <c r="Q22" s="14">
        <v>0</v>
      </c>
      <c r="R22" s="16">
        <v>0</v>
      </c>
    </row>
    <row r="23" spans="1:18" x14ac:dyDescent="0.25">
      <c r="A23" s="11" t="s">
        <v>156</v>
      </c>
      <c r="B23" s="13">
        <v>11583</v>
      </c>
      <c r="C23" s="14">
        <f>(9653/B23*100)</f>
        <v>83.337650004316671</v>
      </c>
      <c r="D23" s="15">
        <v>1930</v>
      </c>
      <c r="E23" s="14">
        <v>17.573573530000001</v>
      </c>
      <c r="F23" s="16">
        <v>1.1574751999999999</v>
      </c>
      <c r="G23" s="14">
        <v>82.426426469999996</v>
      </c>
      <c r="H23" s="16">
        <v>1.1574751999999999</v>
      </c>
      <c r="I23" s="14" t="s">
        <v>139</v>
      </c>
      <c r="J23" s="16" t="s">
        <v>139</v>
      </c>
      <c r="K23" s="14">
        <v>0</v>
      </c>
      <c r="L23" s="16">
        <v>0</v>
      </c>
      <c r="M23" s="14">
        <v>0</v>
      </c>
      <c r="N23" s="16">
        <v>0</v>
      </c>
      <c r="O23" s="14">
        <v>0</v>
      </c>
      <c r="P23" s="16">
        <v>0</v>
      </c>
      <c r="Q23" s="14">
        <v>0</v>
      </c>
      <c r="R23" s="16">
        <v>0</v>
      </c>
    </row>
    <row r="24" spans="1:18" x14ac:dyDescent="0.25">
      <c r="A24" s="11" t="s">
        <v>157</v>
      </c>
      <c r="B24" s="13">
        <v>6647</v>
      </c>
      <c r="C24" s="14">
        <f>(5482/B24*100)</f>
        <v>82.473296223860387</v>
      </c>
      <c r="D24" s="15">
        <v>1165</v>
      </c>
      <c r="E24" s="14">
        <v>10.248972330000001</v>
      </c>
      <c r="F24" s="16">
        <v>1.0167465099999999</v>
      </c>
      <c r="G24" s="14">
        <v>89.751027669999999</v>
      </c>
      <c r="H24" s="16">
        <v>1.0167465099999999</v>
      </c>
      <c r="I24" s="14" t="s">
        <v>139</v>
      </c>
      <c r="J24" s="16" t="s">
        <v>139</v>
      </c>
      <c r="K24" s="14">
        <v>0</v>
      </c>
      <c r="L24" s="16">
        <v>0</v>
      </c>
      <c r="M24" s="14">
        <v>0</v>
      </c>
      <c r="N24" s="16">
        <v>0</v>
      </c>
      <c r="O24" s="14">
        <v>0</v>
      </c>
      <c r="P24" s="16">
        <v>0</v>
      </c>
      <c r="Q24" s="14">
        <v>0</v>
      </c>
      <c r="R24" s="16">
        <v>0</v>
      </c>
    </row>
    <row r="25" spans="1:18" x14ac:dyDescent="0.25">
      <c r="A25" s="11" t="s">
        <v>158</v>
      </c>
      <c r="B25" s="13">
        <v>5581</v>
      </c>
      <c r="C25" s="14">
        <f>(4597/B25*100)</f>
        <v>82.368751119870993</v>
      </c>
      <c r="D25" s="15">
        <v>984</v>
      </c>
      <c r="E25" s="14">
        <v>10.52944177</v>
      </c>
      <c r="F25" s="16">
        <v>1.0838253600000001</v>
      </c>
      <c r="G25" s="14">
        <v>89.470558229999995</v>
      </c>
      <c r="H25" s="16">
        <v>1.0838253600000001</v>
      </c>
      <c r="I25" s="14" t="s">
        <v>139</v>
      </c>
      <c r="J25" s="16" t="s">
        <v>139</v>
      </c>
      <c r="K25" s="14">
        <v>0</v>
      </c>
      <c r="L25" s="16">
        <v>0</v>
      </c>
      <c r="M25" s="14">
        <v>0</v>
      </c>
      <c r="N25" s="16">
        <v>0</v>
      </c>
      <c r="O25" s="14">
        <v>0</v>
      </c>
      <c r="P25" s="16">
        <v>0</v>
      </c>
      <c r="Q25" s="14">
        <v>0</v>
      </c>
      <c r="R25" s="16">
        <v>0</v>
      </c>
    </row>
    <row r="26" spans="1:18" x14ac:dyDescent="0.25">
      <c r="A26" s="11" t="s">
        <v>159</v>
      </c>
      <c r="B26" s="13">
        <v>4869</v>
      </c>
      <c r="C26" s="14">
        <f>(4044/B26*100)</f>
        <v>83.056069008009857</v>
      </c>
      <c r="D26" s="15">
        <v>825</v>
      </c>
      <c r="E26" s="14">
        <v>11.965072279999999</v>
      </c>
      <c r="F26" s="16">
        <v>0.99500792999999998</v>
      </c>
      <c r="G26" s="14">
        <v>88.034927719999999</v>
      </c>
      <c r="H26" s="16">
        <v>0.99500792999999998</v>
      </c>
      <c r="I26" s="14" t="s">
        <v>139</v>
      </c>
      <c r="J26" s="16" t="s">
        <v>139</v>
      </c>
      <c r="K26" s="14">
        <v>0</v>
      </c>
      <c r="L26" s="16">
        <v>0</v>
      </c>
      <c r="M26" s="14">
        <v>0</v>
      </c>
      <c r="N26" s="16">
        <v>0</v>
      </c>
      <c r="O26" s="14">
        <v>0</v>
      </c>
      <c r="P26" s="16">
        <v>0</v>
      </c>
      <c r="Q26" s="14">
        <v>0</v>
      </c>
      <c r="R26" s="16">
        <v>0</v>
      </c>
    </row>
    <row r="27" spans="1:18" x14ac:dyDescent="0.25">
      <c r="A27" s="11" t="s">
        <v>160</v>
      </c>
      <c r="B27" s="13">
        <v>5299</v>
      </c>
      <c r="C27" s="14">
        <f>(4441/B27*100)</f>
        <v>83.808265710511421</v>
      </c>
      <c r="D27" s="15">
        <v>858</v>
      </c>
      <c r="E27" s="14">
        <v>17.528389170000001</v>
      </c>
      <c r="F27" s="16">
        <v>1.1614020899999999</v>
      </c>
      <c r="G27" s="14">
        <v>82.471610830000003</v>
      </c>
      <c r="H27" s="16">
        <v>1.1614020899999999</v>
      </c>
      <c r="I27" s="14" t="s">
        <v>139</v>
      </c>
      <c r="J27" s="16" t="s">
        <v>139</v>
      </c>
      <c r="K27" s="14">
        <v>0</v>
      </c>
      <c r="L27" s="16">
        <v>0</v>
      </c>
      <c r="M27" s="14">
        <v>0</v>
      </c>
      <c r="N27" s="16">
        <v>0</v>
      </c>
      <c r="O27" s="14">
        <v>0</v>
      </c>
      <c r="P27" s="16">
        <v>0</v>
      </c>
      <c r="Q27" s="14">
        <v>0</v>
      </c>
      <c r="R27" s="16">
        <v>0</v>
      </c>
    </row>
    <row r="28" spans="1:18" x14ac:dyDescent="0.25">
      <c r="A28" s="11" t="s">
        <v>161</v>
      </c>
      <c r="B28" s="13">
        <v>7568</v>
      </c>
      <c r="C28" s="14">
        <f>(6435/B28*100)</f>
        <v>85.029069767441854</v>
      </c>
      <c r="D28" s="15">
        <v>1133</v>
      </c>
      <c r="E28" s="14">
        <v>32.395299540000003</v>
      </c>
      <c r="F28" s="16">
        <v>1.4212158100000001</v>
      </c>
      <c r="G28" s="14">
        <v>67.604700460000004</v>
      </c>
      <c r="H28" s="16">
        <v>1.4212158100000001</v>
      </c>
      <c r="I28" s="14" t="s">
        <v>139</v>
      </c>
      <c r="J28" s="16" t="s">
        <v>139</v>
      </c>
      <c r="K28" s="14">
        <v>0</v>
      </c>
      <c r="L28" s="16">
        <v>0</v>
      </c>
      <c r="M28" s="14">
        <v>0</v>
      </c>
      <c r="N28" s="16">
        <v>0</v>
      </c>
      <c r="O28" s="14">
        <v>0</v>
      </c>
      <c r="P28" s="16">
        <v>0</v>
      </c>
      <c r="Q28" s="14">
        <v>0</v>
      </c>
      <c r="R28" s="16">
        <v>0</v>
      </c>
    </row>
    <row r="29" spans="1:18" x14ac:dyDescent="0.25">
      <c r="A29" s="11" t="s">
        <v>162</v>
      </c>
      <c r="B29" s="13">
        <v>5385</v>
      </c>
      <c r="C29" s="14">
        <f>(4468/B29*100)</f>
        <v>82.971216341689882</v>
      </c>
      <c r="D29" s="15">
        <v>917</v>
      </c>
      <c r="E29" s="14">
        <v>13.150952200000001</v>
      </c>
      <c r="F29" s="16">
        <v>1.0011663799999999</v>
      </c>
      <c r="G29" s="14">
        <v>86.849047799999994</v>
      </c>
      <c r="H29" s="16">
        <v>1.0011663799999999</v>
      </c>
      <c r="I29" s="14" t="s">
        <v>139</v>
      </c>
      <c r="J29" s="16" t="s">
        <v>139</v>
      </c>
      <c r="K29" s="14">
        <v>0</v>
      </c>
      <c r="L29" s="16">
        <v>0</v>
      </c>
      <c r="M29" s="14">
        <v>0</v>
      </c>
      <c r="N29" s="16">
        <v>0</v>
      </c>
      <c r="O29" s="14">
        <v>0</v>
      </c>
      <c r="P29" s="16">
        <v>0</v>
      </c>
      <c r="Q29" s="14">
        <v>0</v>
      </c>
      <c r="R29" s="16">
        <v>0</v>
      </c>
    </row>
    <row r="30" spans="1:18" x14ac:dyDescent="0.25">
      <c r="A30" s="11" t="s">
        <v>163</v>
      </c>
      <c r="B30" s="13">
        <v>4520</v>
      </c>
      <c r="C30" s="14">
        <f>(3789/B30*100)</f>
        <v>83.827433628318587</v>
      </c>
      <c r="D30" s="15">
        <v>731</v>
      </c>
      <c r="E30" s="14">
        <v>22.229787770000002</v>
      </c>
      <c r="F30" s="16">
        <v>1.4468204099999999</v>
      </c>
      <c r="G30" s="14">
        <v>77.770212229999998</v>
      </c>
      <c r="H30" s="16">
        <v>1.4468204099999999</v>
      </c>
      <c r="I30" s="14" t="s">
        <v>139</v>
      </c>
      <c r="J30" s="16" t="s">
        <v>139</v>
      </c>
      <c r="K30" s="14">
        <v>0</v>
      </c>
      <c r="L30" s="16">
        <v>0</v>
      </c>
      <c r="M30" s="14">
        <v>0</v>
      </c>
      <c r="N30" s="16">
        <v>0</v>
      </c>
      <c r="O30" s="14">
        <v>0</v>
      </c>
      <c r="P30" s="16">
        <v>0</v>
      </c>
      <c r="Q30" s="14">
        <v>0</v>
      </c>
      <c r="R30" s="16">
        <v>0</v>
      </c>
    </row>
    <row r="31" spans="1:18" x14ac:dyDescent="0.25">
      <c r="A31" s="11" t="s">
        <v>164</v>
      </c>
      <c r="B31" s="13">
        <v>5456</v>
      </c>
      <c r="C31" s="14">
        <f>(4512/B31*100)</f>
        <v>82.697947214076251</v>
      </c>
      <c r="D31" s="15">
        <v>944</v>
      </c>
      <c r="E31" s="14">
        <v>15.04838852</v>
      </c>
      <c r="F31" s="16">
        <v>1.24144104</v>
      </c>
      <c r="G31" s="14">
        <v>84.951611479999997</v>
      </c>
      <c r="H31" s="16">
        <v>1.24144104</v>
      </c>
      <c r="I31" s="14" t="s">
        <v>139</v>
      </c>
      <c r="J31" s="16" t="s">
        <v>139</v>
      </c>
      <c r="K31" s="14">
        <v>0</v>
      </c>
      <c r="L31" s="16">
        <v>0</v>
      </c>
      <c r="M31" s="14">
        <v>0</v>
      </c>
      <c r="N31" s="16">
        <v>0</v>
      </c>
      <c r="O31" s="14">
        <v>0</v>
      </c>
      <c r="P31" s="16">
        <v>0</v>
      </c>
      <c r="Q31" s="14">
        <v>0</v>
      </c>
      <c r="R31" s="16">
        <v>0</v>
      </c>
    </row>
    <row r="32" spans="1:18" x14ac:dyDescent="0.25">
      <c r="A32" s="11" t="s">
        <v>165</v>
      </c>
      <c r="B32" s="17" t="s">
        <v>154</v>
      </c>
      <c r="C32" s="17" t="s">
        <v>154</v>
      </c>
      <c r="D32" s="18" t="s">
        <v>154</v>
      </c>
      <c r="E32" s="17" t="s">
        <v>154</v>
      </c>
      <c r="F32" s="18" t="s">
        <v>154</v>
      </c>
      <c r="G32" s="17" t="s">
        <v>154</v>
      </c>
      <c r="H32" s="18" t="s">
        <v>154</v>
      </c>
      <c r="I32" s="17" t="s">
        <v>154</v>
      </c>
      <c r="J32" s="18" t="s">
        <v>154</v>
      </c>
      <c r="K32" s="17" t="s">
        <v>154</v>
      </c>
      <c r="L32" s="18" t="s">
        <v>154</v>
      </c>
      <c r="M32" s="17" t="s">
        <v>154</v>
      </c>
      <c r="N32" s="18" t="s">
        <v>154</v>
      </c>
      <c r="O32" s="17" t="s">
        <v>154</v>
      </c>
      <c r="P32" s="18" t="s">
        <v>154</v>
      </c>
      <c r="Q32" s="17" t="s">
        <v>154</v>
      </c>
      <c r="R32" s="18" t="s">
        <v>154</v>
      </c>
    </row>
    <row r="33" spans="1:18" x14ac:dyDescent="0.25">
      <c r="A33" s="11" t="s">
        <v>166</v>
      </c>
      <c r="B33" s="13">
        <v>7325</v>
      </c>
      <c r="C33" s="14">
        <f>(6115/B33*100)</f>
        <v>83.481228668941981</v>
      </c>
      <c r="D33" s="15">
        <v>1210</v>
      </c>
      <c r="E33" s="14">
        <v>12.950826380000001</v>
      </c>
      <c r="F33" s="16">
        <v>1.2450465100000001</v>
      </c>
      <c r="G33" s="14">
        <v>87.049173620000005</v>
      </c>
      <c r="H33" s="16">
        <v>1.2450465100000001</v>
      </c>
      <c r="I33" s="14" t="s">
        <v>139</v>
      </c>
      <c r="J33" s="16" t="s">
        <v>139</v>
      </c>
      <c r="K33" s="14">
        <v>0</v>
      </c>
      <c r="L33" s="16">
        <v>0</v>
      </c>
      <c r="M33" s="14">
        <v>0</v>
      </c>
      <c r="N33" s="16">
        <v>0</v>
      </c>
      <c r="O33" s="14">
        <v>0</v>
      </c>
      <c r="P33" s="16">
        <v>0</v>
      </c>
      <c r="Q33" s="14">
        <v>0</v>
      </c>
      <c r="R33" s="16">
        <v>0</v>
      </c>
    </row>
    <row r="34" spans="1:18" x14ac:dyDescent="0.25">
      <c r="A34" s="11" t="s">
        <v>167</v>
      </c>
      <c r="B34" s="13">
        <v>6350</v>
      </c>
      <c r="C34" s="14">
        <f>(5356/B34*100)</f>
        <v>84.346456692913392</v>
      </c>
      <c r="D34" s="15">
        <v>994</v>
      </c>
      <c r="E34" s="14">
        <v>20.723429020000001</v>
      </c>
      <c r="F34" s="16">
        <v>1.27170676</v>
      </c>
      <c r="G34" s="14">
        <v>79.276570980000002</v>
      </c>
      <c r="H34" s="16">
        <v>1.27170676</v>
      </c>
      <c r="I34" s="14" t="s">
        <v>139</v>
      </c>
      <c r="J34" s="16" t="s">
        <v>139</v>
      </c>
      <c r="K34" s="14">
        <v>0</v>
      </c>
      <c r="L34" s="16">
        <v>0</v>
      </c>
      <c r="M34" s="14">
        <v>0</v>
      </c>
      <c r="N34" s="16">
        <v>0</v>
      </c>
      <c r="O34" s="14">
        <v>0</v>
      </c>
      <c r="P34" s="16">
        <v>0</v>
      </c>
      <c r="Q34" s="14">
        <v>0</v>
      </c>
      <c r="R34" s="16">
        <v>0</v>
      </c>
    </row>
    <row r="35" spans="1:18" x14ac:dyDescent="0.25">
      <c r="A35" s="11" t="s">
        <v>168</v>
      </c>
      <c r="B35" s="13">
        <v>6406</v>
      </c>
      <c r="C35" s="14">
        <f>(5336/B35*100)</f>
        <v>83.296909147674057</v>
      </c>
      <c r="D35" s="15">
        <v>1070</v>
      </c>
      <c r="E35" s="14">
        <v>10.95744184</v>
      </c>
      <c r="F35" s="16">
        <v>1.1878030900000001</v>
      </c>
      <c r="G35" s="14">
        <v>89.042558159999999</v>
      </c>
      <c r="H35" s="16">
        <v>1.1878030900000001</v>
      </c>
      <c r="I35" s="14" t="s">
        <v>139</v>
      </c>
      <c r="J35" s="16" t="s">
        <v>139</v>
      </c>
      <c r="K35" s="14">
        <v>0</v>
      </c>
      <c r="L35" s="16">
        <v>0</v>
      </c>
      <c r="M35" s="14">
        <v>0</v>
      </c>
      <c r="N35" s="16">
        <v>0</v>
      </c>
      <c r="O35" s="14">
        <v>0</v>
      </c>
      <c r="P35" s="16">
        <v>0</v>
      </c>
      <c r="Q35" s="14">
        <v>0</v>
      </c>
      <c r="R35" s="16">
        <v>0</v>
      </c>
    </row>
    <row r="36" spans="1:18" x14ac:dyDescent="0.25">
      <c r="A36" s="11" t="s">
        <v>169</v>
      </c>
      <c r="B36" s="13">
        <v>6736</v>
      </c>
      <c r="C36" s="14">
        <f>(5649/B36*100)</f>
        <v>83.862826603325416</v>
      </c>
      <c r="D36" s="15">
        <v>1087</v>
      </c>
      <c r="E36" s="14">
        <v>15.480584199999999</v>
      </c>
      <c r="F36" s="16">
        <v>1.0016273</v>
      </c>
      <c r="G36" s="14">
        <v>84.519415800000004</v>
      </c>
      <c r="H36" s="16">
        <v>1.0016273</v>
      </c>
      <c r="I36" s="14" t="s">
        <v>139</v>
      </c>
      <c r="J36" s="16" t="s">
        <v>139</v>
      </c>
      <c r="K36" s="14">
        <v>0</v>
      </c>
      <c r="L36" s="16">
        <v>0</v>
      </c>
      <c r="M36" s="14">
        <v>0</v>
      </c>
      <c r="N36" s="16">
        <v>0</v>
      </c>
      <c r="O36" s="14">
        <v>0</v>
      </c>
      <c r="P36" s="16">
        <v>0</v>
      </c>
      <c r="Q36" s="14">
        <v>0</v>
      </c>
      <c r="R36" s="16">
        <v>0</v>
      </c>
    </row>
    <row r="37" spans="1:18" x14ac:dyDescent="0.25">
      <c r="A37" s="11" t="s">
        <v>170</v>
      </c>
      <c r="B37" s="13">
        <v>5458</v>
      </c>
      <c r="C37" s="14">
        <f>(4553/B37*100)</f>
        <v>83.418834737999276</v>
      </c>
      <c r="D37" s="15">
        <v>905</v>
      </c>
      <c r="E37" s="14">
        <v>19.91565894</v>
      </c>
      <c r="F37" s="16">
        <v>1.4475418799999999</v>
      </c>
      <c r="G37" s="14">
        <v>80.08434106</v>
      </c>
      <c r="H37" s="16">
        <v>1.4475418799999999</v>
      </c>
      <c r="I37" s="14" t="s">
        <v>139</v>
      </c>
      <c r="J37" s="16" t="s">
        <v>139</v>
      </c>
      <c r="K37" s="14">
        <v>0</v>
      </c>
      <c r="L37" s="16">
        <v>0</v>
      </c>
      <c r="M37" s="14">
        <v>0</v>
      </c>
      <c r="N37" s="16">
        <v>0</v>
      </c>
      <c r="O37" s="14">
        <v>0</v>
      </c>
      <c r="P37" s="16">
        <v>0</v>
      </c>
      <c r="Q37" s="14">
        <v>0</v>
      </c>
      <c r="R37" s="16">
        <v>0</v>
      </c>
    </row>
    <row r="38" spans="1:18" x14ac:dyDescent="0.25">
      <c r="A38" s="11" t="s">
        <v>171</v>
      </c>
      <c r="B38" s="17" t="s">
        <v>154</v>
      </c>
      <c r="C38" s="17" t="s">
        <v>154</v>
      </c>
      <c r="D38" s="18" t="s">
        <v>154</v>
      </c>
      <c r="E38" s="17" t="s">
        <v>154</v>
      </c>
      <c r="F38" s="18" t="s">
        <v>154</v>
      </c>
      <c r="G38" s="17" t="s">
        <v>154</v>
      </c>
      <c r="H38" s="18" t="s">
        <v>154</v>
      </c>
      <c r="I38" s="17" t="s">
        <v>154</v>
      </c>
      <c r="J38" s="18" t="s">
        <v>154</v>
      </c>
      <c r="K38" s="17" t="s">
        <v>154</v>
      </c>
      <c r="L38" s="18" t="s">
        <v>154</v>
      </c>
      <c r="M38" s="17" t="s">
        <v>154</v>
      </c>
      <c r="N38" s="18" t="s">
        <v>154</v>
      </c>
      <c r="O38" s="17" t="s">
        <v>154</v>
      </c>
      <c r="P38" s="18" t="s">
        <v>154</v>
      </c>
      <c r="Q38" s="17" t="s">
        <v>154</v>
      </c>
      <c r="R38" s="18" t="s">
        <v>154</v>
      </c>
    </row>
    <row r="39" spans="1:18" x14ac:dyDescent="0.25">
      <c r="A39" s="11" t="s">
        <v>172</v>
      </c>
      <c r="B39" s="13">
        <v>5895</v>
      </c>
      <c r="C39" s="14">
        <f>(4865/B39*100)</f>
        <v>82.527565733672603</v>
      </c>
      <c r="D39" s="15">
        <v>1030</v>
      </c>
      <c r="E39" s="14">
        <v>31.006816600000001</v>
      </c>
      <c r="F39" s="16">
        <v>1.9342859400000001</v>
      </c>
      <c r="G39" s="14">
        <v>68.993183400000007</v>
      </c>
      <c r="H39" s="16">
        <v>1.9342859400000001</v>
      </c>
      <c r="I39" s="14" t="s">
        <v>139</v>
      </c>
      <c r="J39" s="16" t="s">
        <v>139</v>
      </c>
      <c r="K39" s="14">
        <v>0</v>
      </c>
      <c r="L39" s="16">
        <v>0</v>
      </c>
      <c r="M39" s="14">
        <v>0</v>
      </c>
      <c r="N39" s="16">
        <v>0</v>
      </c>
      <c r="O39" s="14">
        <v>0</v>
      </c>
      <c r="P39" s="16">
        <v>0</v>
      </c>
      <c r="Q39" s="14">
        <v>0</v>
      </c>
      <c r="R39" s="16">
        <v>0</v>
      </c>
    </row>
    <row r="40" spans="1:18" x14ac:dyDescent="0.25">
      <c r="A40" s="11" t="s">
        <v>173</v>
      </c>
      <c r="B40" s="13">
        <v>14157</v>
      </c>
      <c r="C40" s="14">
        <f>(11700/B40*100)</f>
        <v>82.644628099173559</v>
      </c>
      <c r="D40" s="15">
        <v>2457</v>
      </c>
      <c r="E40" s="14">
        <v>22.088341939999999</v>
      </c>
      <c r="F40" s="16">
        <v>1.22456056</v>
      </c>
      <c r="G40" s="14">
        <v>77.911658059999993</v>
      </c>
      <c r="H40" s="16">
        <v>1.22456056</v>
      </c>
      <c r="I40" s="14" t="s">
        <v>139</v>
      </c>
      <c r="J40" s="16" t="s">
        <v>139</v>
      </c>
      <c r="K40" s="14">
        <v>0</v>
      </c>
      <c r="L40" s="16">
        <v>0</v>
      </c>
      <c r="M40" s="14">
        <v>0</v>
      </c>
      <c r="N40" s="16">
        <v>0</v>
      </c>
      <c r="O40" s="14">
        <v>0</v>
      </c>
      <c r="P40" s="16">
        <v>0</v>
      </c>
      <c r="Q40" s="14">
        <v>0</v>
      </c>
      <c r="R40" s="16">
        <v>0</v>
      </c>
    </row>
    <row r="41" spans="1:18" x14ac:dyDescent="0.25">
      <c r="A41" s="11" t="s">
        <v>174</v>
      </c>
      <c r="B41" s="13">
        <v>5712</v>
      </c>
      <c r="C41" s="14">
        <f>(4785/B41*100)</f>
        <v>83.77100840336135</v>
      </c>
      <c r="D41" s="15">
        <v>927</v>
      </c>
      <c r="E41" s="14">
        <v>23.737948620000001</v>
      </c>
      <c r="F41" s="16">
        <v>1.4129764199999999</v>
      </c>
      <c r="G41" s="14">
        <v>76.262051380000003</v>
      </c>
      <c r="H41" s="16">
        <v>1.4129764199999999</v>
      </c>
      <c r="I41" s="14" t="s">
        <v>139</v>
      </c>
      <c r="J41" s="16" t="s">
        <v>139</v>
      </c>
      <c r="K41" s="14">
        <v>0</v>
      </c>
      <c r="L41" s="16">
        <v>0</v>
      </c>
      <c r="M41" s="14">
        <v>0</v>
      </c>
      <c r="N41" s="16">
        <v>0</v>
      </c>
      <c r="O41" s="14">
        <v>0</v>
      </c>
      <c r="P41" s="16">
        <v>0</v>
      </c>
      <c r="Q41" s="14">
        <v>0</v>
      </c>
      <c r="R41" s="16">
        <v>0</v>
      </c>
    </row>
    <row r="42" spans="1:18" x14ac:dyDescent="0.25">
      <c r="A42" s="11" t="s">
        <v>175</v>
      </c>
      <c r="B42" s="13">
        <f>IF(COUNT(B7:B41) &gt; 0, AVERAGE(B7:B41), "\u2014")</f>
        <v>7266.90625</v>
      </c>
      <c r="C42" s="14">
        <f>IF(COUNT(C7:C41) &gt; 0, AVERAGE(C7:C41), "—")</f>
        <v>83.504972993809972</v>
      </c>
      <c r="D42" s="15">
        <f>IF(COUNT(D7:D41) &gt; 0, AVERAGE(D7:D41), "—")</f>
        <v>1199.28125</v>
      </c>
      <c r="E42" s="14">
        <f>IF(COUNT(E7:E41) &gt; 0, AVERAGE(E7:E41), "—")</f>
        <v>17.958173344687502</v>
      </c>
      <c r="F42" s="16">
        <f>IF(COUNT(F7:F41) &gt; 0, SQRT(SUMSQ(F7:F41)/(COUNT(F7:F41)*COUNT(F7:F41)) ), "—")</f>
        <v>0.22624514393779457</v>
      </c>
      <c r="G42" s="14">
        <f>IF(COUNT(G7:G41) &gt; 0, AVERAGE(G7:G41), "—")</f>
        <v>82.041826655312519</v>
      </c>
      <c r="H42" s="16">
        <f>IF(COUNT(H7:H41) &gt; 0, SQRT(SUMSQ(H7:H41)/(COUNT(H7:H41)*COUNT(H7:H41)) ), "—")</f>
        <v>0.22624514393779457</v>
      </c>
      <c r="I42" s="14" t="str">
        <f>IF(COUNT(I7:I41) &gt; 0, AVERAGE(I7:I41), "—")</f>
        <v>—</v>
      </c>
      <c r="J42" s="16" t="str">
        <f>IF(COUNT(J7:J41) &gt; 0, SQRT(SUMSQ(J7:J41)/(COUNT(J7:J41)*COUNT(J7:J41)) ), "—")</f>
        <v>—</v>
      </c>
      <c r="K42" s="14">
        <f>IF(COUNT(K7:K41) &gt; 0, AVERAGE(K7:K41), "—")</f>
        <v>0</v>
      </c>
      <c r="L42" s="16">
        <f>IF(COUNT(L7:L41) &gt; 0, SQRT(SUMSQ(L7:L41)/(COUNT(L7:L41)*COUNT(L7:L41)) ), "—")</f>
        <v>0</v>
      </c>
      <c r="M42" s="14">
        <f>IF(COUNT(M7:M41) &gt; 0, AVERAGE(M7:M41), "—")</f>
        <v>0</v>
      </c>
      <c r="N42" s="16">
        <f>IF(COUNT(N7:N41) &gt; 0, SQRT(SUMSQ(N7:N41)/(COUNT(N7:N41)*COUNT(N7:N41)) ), "—")</f>
        <v>0</v>
      </c>
      <c r="O42" s="14">
        <f>IF(COUNT(O7:O41) &gt; 0, AVERAGE(O7:O41), "—")</f>
        <v>0</v>
      </c>
      <c r="P42" s="16">
        <f>IF(COUNT(P7:P41) &gt; 0, SQRT(SUMSQ(P7:P41)/(COUNT(P7:P41)*COUNT(P7:P41)) ), "—")</f>
        <v>0</v>
      </c>
      <c r="Q42" s="14">
        <f>IF(COUNT(Q7:Q41) &gt; 0, AVERAGE(Q7:Q41), "—")</f>
        <v>0</v>
      </c>
      <c r="R42" s="16">
        <f>IF(COUNT(R7:R41) &gt; 0, SQRT(SUMSQ(R7:R41)/(COUNT(R7:R41)*COUNT(R7:R41)) ), "—")</f>
        <v>0</v>
      </c>
    </row>
    <row r="43" spans="1:18" x14ac:dyDescent="0.25">
      <c r="A43" s="9" t="s">
        <v>176</v>
      </c>
      <c r="B43" s="10"/>
      <c r="C43" s="10"/>
      <c r="D43" s="11"/>
      <c r="E43" s="10"/>
      <c r="F43" s="11"/>
      <c r="G43" s="10"/>
      <c r="H43" s="11"/>
      <c r="I43" s="10"/>
      <c r="J43" s="11"/>
      <c r="K43" s="10"/>
      <c r="L43" s="11"/>
      <c r="M43" s="10"/>
      <c r="N43" s="11"/>
      <c r="O43" s="10"/>
      <c r="P43" s="11"/>
      <c r="Q43" s="10"/>
      <c r="R43" s="12"/>
    </row>
    <row r="44" spans="1:18" x14ac:dyDescent="0.25">
      <c r="A44" s="11" t="s">
        <v>177</v>
      </c>
      <c r="B44" s="17" t="s">
        <v>154</v>
      </c>
      <c r="C44" s="17" t="s">
        <v>154</v>
      </c>
      <c r="D44" s="18" t="s">
        <v>154</v>
      </c>
      <c r="E44" s="17" t="s">
        <v>154</v>
      </c>
      <c r="F44" s="18" t="s">
        <v>154</v>
      </c>
      <c r="G44" s="17" t="s">
        <v>154</v>
      </c>
      <c r="H44" s="18" t="s">
        <v>154</v>
      </c>
      <c r="I44" s="17" t="s">
        <v>154</v>
      </c>
      <c r="J44" s="18" t="s">
        <v>154</v>
      </c>
      <c r="K44" s="17" t="s">
        <v>154</v>
      </c>
      <c r="L44" s="18" t="s">
        <v>154</v>
      </c>
      <c r="M44" s="17" t="s">
        <v>154</v>
      </c>
      <c r="N44" s="18" t="s">
        <v>154</v>
      </c>
      <c r="O44" s="17" t="s">
        <v>154</v>
      </c>
      <c r="P44" s="18" t="s">
        <v>154</v>
      </c>
      <c r="Q44" s="17" t="s">
        <v>154</v>
      </c>
      <c r="R44" s="18" t="s">
        <v>154</v>
      </c>
    </row>
    <row r="45" spans="1:18" x14ac:dyDescent="0.25">
      <c r="A45" s="11" t="s">
        <v>178</v>
      </c>
      <c r="B45" s="17" t="s">
        <v>154</v>
      </c>
      <c r="C45" s="17" t="s">
        <v>154</v>
      </c>
      <c r="D45" s="18" t="s">
        <v>154</v>
      </c>
      <c r="E45" s="17" t="s">
        <v>154</v>
      </c>
      <c r="F45" s="18" t="s">
        <v>154</v>
      </c>
      <c r="G45" s="17" t="s">
        <v>154</v>
      </c>
      <c r="H45" s="18" t="s">
        <v>154</v>
      </c>
      <c r="I45" s="17" t="s">
        <v>154</v>
      </c>
      <c r="J45" s="18" t="s">
        <v>154</v>
      </c>
      <c r="K45" s="17" t="s">
        <v>154</v>
      </c>
      <c r="L45" s="18" t="s">
        <v>154</v>
      </c>
      <c r="M45" s="17" t="s">
        <v>154</v>
      </c>
      <c r="N45" s="18" t="s">
        <v>154</v>
      </c>
      <c r="O45" s="17" t="s">
        <v>154</v>
      </c>
      <c r="P45" s="18" t="s">
        <v>154</v>
      </c>
      <c r="Q45" s="17" t="s">
        <v>154</v>
      </c>
      <c r="R45" s="18" t="s">
        <v>154</v>
      </c>
    </row>
    <row r="46" spans="1:18" x14ac:dyDescent="0.25">
      <c r="A46" s="11" t="s">
        <v>179</v>
      </c>
      <c r="B46" s="13">
        <v>23141</v>
      </c>
      <c r="C46" s="14">
        <f>(20323/B46*100)</f>
        <v>87.822479581694822</v>
      </c>
      <c r="D46" s="15">
        <v>2818</v>
      </c>
      <c r="E46" s="14">
        <v>31.59605784</v>
      </c>
      <c r="F46" s="16">
        <v>1.12234531</v>
      </c>
      <c r="G46" s="14">
        <v>68.40394216</v>
      </c>
      <c r="H46" s="16">
        <v>1.12234531</v>
      </c>
      <c r="I46" s="14" t="s">
        <v>139</v>
      </c>
      <c r="J46" s="16" t="s">
        <v>139</v>
      </c>
      <c r="K46" s="14">
        <v>0</v>
      </c>
      <c r="L46" s="16">
        <v>0</v>
      </c>
      <c r="M46" s="14">
        <v>0</v>
      </c>
      <c r="N46" s="16">
        <v>0</v>
      </c>
      <c r="O46" s="14">
        <v>0</v>
      </c>
      <c r="P46" s="16">
        <v>0</v>
      </c>
      <c r="Q46" s="14">
        <v>0</v>
      </c>
      <c r="R46" s="16">
        <v>0</v>
      </c>
    </row>
    <row r="47" spans="1:18" x14ac:dyDescent="0.25">
      <c r="A47" s="11" t="s">
        <v>180</v>
      </c>
      <c r="B47" s="13">
        <v>5928</v>
      </c>
      <c r="C47" s="14">
        <f>(4983/B47*100)</f>
        <v>84.058704453441294</v>
      </c>
      <c r="D47" s="15">
        <v>945</v>
      </c>
      <c r="E47" s="14">
        <v>25.89397172</v>
      </c>
      <c r="F47" s="16">
        <v>1.5547076399999999</v>
      </c>
      <c r="G47" s="14">
        <v>74.106028280000004</v>
      </c>
      <c r="H47" s="16">
        <v>1.5547076399999999</v>
      </c>
      <c r="I47" s="14" t="s">
        <v>139</v>
      </c>
      <c r="J47" s="16" t="s">
        <v>139</v>
      </c>
      <c r="K47" s="14">
        <v>0</v>
      </c>
      <c r="L47" s="16">
        <v>0</v>
      </c>
      <c r="M47" s="14">
        <v>0</v>
      </c>
      <c r="N47" s="16">
        <v>0</v>
      </c>
      <c r="O47" s="14">
        <v>0</v>
      </c>
      <c r="P47" s="16">
        <v>0</v>
      </c>
      <c r="Q47" s="14">
        <v>0</v>
      </c>
      <c r="R47" s="16">
        <v>0</v>
      </c>
    </row>
    <row r="48" spans="1:18" x14ac:dyDescent="0.25">
      <c r="A48" s="11" t="s">
        <v>181</v>
      </c>
      <c r="B48" s="13">
        <v>9841</v>
      </c>
      <c r="C48" s="14">
        <f>(8156/B48*100)</f>
        <v>82.877756325576669</v>
      </c>
      <c r="D48" s="15">
        <v>1685</v>
      </c>
      <c r="E48" s="14">
        <v>19.639399699999998</v>
      </c>
      <c r="F48" s="16">
        <v>1.0525938399999999</v>
      </c>
      <c r="G48" s="14">
        <v>80.360600300000002</v>
      </c>
      <c r="H48" s="16">
        <v>1.0525938399999999</v>
      </c>
      <c r="I48" s="14" t="s">
        <v>139</v>
      </c>
      <c r="J48" s="16" t="s">
        <v>139</v>
      </c>
      <c r="K48" s="14">
        <v>0</v>
      </c>
      <c r="L48" s="16">
        <v>0</v>
      </c>
      <c r="M48" s="14">
        <v>0</v>
      </c>
      <c r="N48" s="16">
        <v>0</v>
      </c>
      <c r="O48" s="14">
        <v>0</v>
      </c>
      <c r="P48" s="16">
        <v>0</v>
      </c>
      <c r="Q48" s="14">
        <v>0</v>
      </c>
      <c r="R48" s="16">
        <v>0</v>
      </c>
    </row>
    <row r="49" spans="1:18" x14ac:dyDescent="0.25">
      <c r="A49" s="11" t="s">
        <v>182</v>
      </c>
      <c r="B49" s="17" t="s">
        <v>154</v>
      </c>
      <c r="C49" s="17" t="s">
        <v>154</v>
      </c>
      <c r="D49" s="18" t="s">
        <v>154</v>
      </c>
      <c r="E49" s="17" t="s">
        <v>154</v>
      </c>
      <c r="F49" s="18" t="s">
        <v>154</v>
      </c>
      <c r="G49" s="17" t="s">
        <v>154</v>
      </c>
      <c r="H49" s="18" t="s">
        <v>154</v>
      </c>
      <c r="I49" s="17" t="s">
        <v>154</v>
      </c>
      <c r="J49" s="18" t="s">
        <v>154</v>
      </c>
      <c r="K49" s="17" t="s">
        <v>154</v>
      </c>
      <c r="L49" s="18" t="s">
        <v>154</v>
      </c>
      <c r="M49" s="17" t="s">
        <v>154</v>
      </c>
      <c r="N49" s="18" t="s">
        <v>154</v>
      </c>
      <c r="O49" s="17" t="s">
        <v>154</v>
      </c>
      <c r="P49" s="18" t="s">
        <v>154</v>
      </c>
      <c r="Q49" s="17" t="s">
        <v>154</v>
      </c>
      <c r="R49" s="18" t="s">
        <v>154</v>
      </c>
    </row>
    <row r="50" spans="1:18" x14ac:dyDescent="0.25">
      <c r="A50" s="11" t="s">
        <v>183</v>
      </c>
      <c r="B50" s="13">
        <v>11795</v>
      </c>
      <c r="C50" s="14">
        <f>(9958/B50*100)</f>
        <v>84.425604069520986</v>
      </c>
      <c r="D50" s="15">
        <v>1837</v>
      </c>
      <c r="E50" s="14">
        <v>29.72637404</v>
      </c>
      <c r="F50" s="16">
        <v>1.50055512</v>
      </c>
      <c r="G50" s="14">
        <v>70.273625960000004</v>
      </c>
      <c r="H50" s="16">
        <v>1.50055512</v>
      </c>
      <c r="I50" s="14" t="s">
        <v>139</v>
      </c>
      <c r="J50" s="16" t="s">
        <v>139</v>
      </c>
      <c r="K50" s="14">
        <v>0</v>
      </c>
      <c r="L50" s="16">
        <v>0</v>
      </c>
      <c r="M50" s="14">
        <v>0</v>
      </c>
      <c r="N50" s="16">
        <v>0</v>
      </c>
      <c r="O50" s="14">
        <v>0</v>
      </c>
      <c r="P50" s="16">
        <v>0</v>
      </c>
      <c r="Q50" s="14">
        <v>0</v>
      </c>
      <c r="R50" s="16">
        <v>0</v>
      </c>
    </row>
    <row r="51" spans="1:18" x14ac:dyDescent="0.25">
      <c r="A51" s="11" t="s">
        <v>184</v>
      </c>
      <c r="B51" s="13">
        <v>6866</v>
      </c>
      <c r="C51" s="14">
        <f>(5911/B51*100)</f>
        <v>86.090882609962122</v>
      </c>
      <c r="D51" s="15">
        <v>955</v>
      </c>
      <c r="E51" s="14">
        <v>22.064074009999999</v>
      </c>
      <c r="F51" s="16">
        <v>1.24623493</v>
      </c>
      <c r="G51" s="14">
        <v>77.935925990000001</v>
      </c>
      <c r="H51" s="16">
        <v>1.24623493</v>
      </c>
      <c r="I51" s="14" t="s">
        <v>139</v>
      </c>
      <c r="J51" s="16" t="s">
        <v>139</v>
      </c>
      <c r="K51" s="14">
        <v>0</v>
      </c>
      <c r="L51" s="16">
        <v>0</v>
      </c>
      <c r="M51" s="14">
        <v>0</v>
      </c>
      <c r="N51" s="16">
        <v>0</v>
      </c>
      <c r="O51" s="14">
        <v>0</v>
      </c>
      <c r="P51" s="16">
        <v>0</v>
      </c>
      <c r="Q51" s="14">
        <v>0</v>
      </c>
      <c r="R51" s="16">
        <v>0</v>
      </c>
    </row>
    <row r="52" spans="1:18" x14ac:dyDescent="0.25">
      <c r="A52" s="11" t="s">
        <v>185</v>
      </c>
      <c r="B52" s="13">
        <v>5809</v>
      </c>
      <c r="C52" s="14">
        <f>(4832/B52*100)</f>
        <v>83.181270442416945</v>
      </c>
      <c r="D52" s="15">
        <v>977</v>
      </c>
      <c r="E52" s="14">
        <v>16.133723830000001</v>
      </c>
      <c r="F52" s="16">
        <v>1.06754763</v>
      </c>
      <c r="G52" s="14">
        <v>83.866276170000006</v>
      </c>
      <c r="H52" s="16">
        <v>1.06754763</v>
      </c>
      <c r="I52" s="14" t="s">
        <v>139</v>
      </c>
      <c r="J52" s="16" t="s">
        <v>139</v>
      </c>
      <c r="K52" s="14">
        <v>0</v>
      </c>
      <c r="L52" s="16">
        <v>0</v>
      </c>
      <c r="M52" s="14">
        <v>0</v>
      </c>
      <c r="N52" s="16">
        <v>0</v>
      </c>
      <c r="O52" s="14">
        <v>0</v>
      </c>
      <c r="P52" s="16">
        <v>0</v>
      </c>
      <c r="Q52" s="14">
        <v>0</v>
      </c>
      <c r="R52" s="16">
        <v>0</v>
      </c>
    </row>
    <row r="53" spans="1:18" x14ac:dyDescent="0.25">
      <c r="A53" s="11" t="s">
        <v>186</v>
      </c>
      <c r="B53" s="13">
        <v>5571</v>
      </c>
      <c r="C53" s="14">
        <f>(4622/B53*100)</f>
        <v>82.965356309459708</v>
      </c>
      <c r="D53" s="15">
        <v>949</v>
      </c>
      <c r="E53" s="14">
        <v>26.157502650000001</v>
      </c>
      <c r="F53" s="16">
        <v>1.43570832</v>
      </c>
      <c r="G53" s="14">
        <v>73.842497350000002</v>
      </c>
      <c r="H53" s="16">
        <v>1.43570832</v>
      </c>
      <c r="I53" s="14" t="s">
        <v>139</v>
      </c>
      <c r="J53" s="16" t="s">
        <v>139</v>
      </c>
      <c r="K53" s="14">
        <v>0</v>
      </c>
      <c r="L53" s="16">
        <v>0</v>
      </c>
      <c r="M53" s="14">
        <v>0</v>
      </c>
      <c r="N53" s="16">
        <v>0</v>
      </c>
      <c r="O53" s="14">
        <v>0</v>
      </c>
      <c r="P53" s="16">
        <v>0</v>
      </c>
      <c r="Q53" s="14">
        <v>0</v>
      </c>
      <c r="R53" s="16">
        <v>0</v>
      </c>
    </row>
    <row r="54" spans="1:18" x14ac:dyDescent="0.25">
      <c r="A54" s="11" t="s">
        <v>187</v>
      </c>
      <c r="B54" s="17" t="s">
        <v>154</v>
      </c>
      <c r="C54" s="17" t="s">
        <v>154</v>
      </c>
      <c r="D54" s="18" t="s">
        <v>154</v>
      </c>
      <c r="E54" s="17" t="s">
        <v>154</v>
      </c>
      <c r="F54" s="18" t="s">
        <v>154</v>
      </c>
      <c r="G54" s="17" t="s">
        <v>154</v>
      </c>
      <c r="H54" s="18" t="s">
        <v>154</v>
      </c>
      <c r="I54" s="17" t="s">
        <v>154</v>
      </c>
      <c r="J54" s="18" t="s">
        <v>154</v>
      </c>
      <c r="K54" s="17" t="s">
        <v>154</v>
      </c>
      <c r="L54" s="18" t="s">
        <v>154</v>
      </c>
      <c r="M54" s="17" t="s">
        <v>154</v>
      </c>
      <c r="N54" s="18" t="s">
        <v>154</v>
      </c>
      <c r="O54" s="17" t="s">
        <v>154</v>
      </c>
      <c r="P54" s="18" t="s">
        <v>154</v>
      </c>
      <c r="Q54" s="17" t="s">
        <v>154</v>
      </c>
      <c r="R54" s="18" t="s">
        <v>154</v>
      </c>
    </row>
    <row r="55" spans="1:18" x14ac:dyDescent="0.25">
      <c r="A55" s="11" t="s">
        <v>188</v>
      </c>
      <c r="B55" s="17" t="s">
        <v>154</v>
      </c>
      <c r="C55" s="17" t="s">
        <v>154</v>
      </c>
      <c r="D55" s="18" t="s">
        <v>154</v>
      </c>
      <c r="E55" s="17" t="s">
        <v>154</v>
      </c>
      <c r="F55" s="18" t="s">
        <v>154</v>
      </c>
      <c r="G55" s="17" t="s">
        <v>154</v>
      </c>
      <c r="H55" s="18" t="s">
        <v>154</v>
      </c>
      <c r="I55" s="17" t="s">
        <v>154</v>
      </c>
      <c r="J55" s="18" t="s">
        <v>154</v>
      </c>
      <c r="K55" s="17" t="s">
        <v>154</v>
      </c>
      <c r="L55" s="18" t="s">
        <v>154</v>
      </c>
      <c r="M55" s="17" t="s">
        <v>154</v>
      </c>
      <c r="N55" s="18" t="s">
        <v>154</v>
      </c>
      <c r="O55" s="17" t="s">
        <v>154</v>
      </c>
      <c r="P55" s="18" t="s">
        <v>154</v>
      </c>
      <c r="Q55" s="17" t="s">
        <v>154</v>
      </c>
      <c r="R55" s="18" t="s">
        <v>154</v>
      </c>
    </row>
    <row r="56" spans="1:18" x14ac:dyDescent="0.25">
      <c r="A56" s="11" t="s">
        <v>189</v>
      </c>
      <c r="B56" s="13">
        <v>5359</v>
      </c>
      <c r="C56" s="14">
        <f>(4423/B56*100)</f>
        <v>82.534054860981527</v>
      </c>
      <c r="D56" s="15">
        <v>936</v>
      </c>
      <c r="E56" s="14">
        <v>8.7776279200000005</v>
      </c>
      <c r="F56" s="16">
        <v>1.2796319199999999</v>
      </c>
      <c r="G56" s="14">
        <v>91.22237208</v>
      </c>
      <c r="H56" s="16">
        <v>1.2796319199999999</v>
      </c>
      <c r="I56" s="14" t="s">
        <v>139</v>
      </c>
      <c r="J56" s="16" t="s">
        <v>139</v>
      </c>
      <c r="K56" s="14">
        <v>0</v>
      </c>
      <c r="L56" s="16">
        <v>0</v>
      </c>
      <c r="M56" s="14">
        <v>0</v>
      </c>
      <c r="N56" s="16">
        <v>0</v>
      </c>
      <c r="O56" s="14">
        <v>0</v>
      </c>
      <c r="P56" s="16">
        <v>0</v>
      </c>
      <c r="Q56" s="14">
        <v>0</v>
      </c>
      <c r="R56" s="16">
        <v>0</v>
      </c>
    </row>
    <row r="57" spans="1:18" x14ac:dyDescent="0.25">
      <c r="A57" s="11" t="s">
        <v>190</v>
      </c>
      <c r="B57" s="17" t="s">
        <v>154</v>
      </c>
      <c r="C57" s="17" t="s">
        <v>154</v>
      </c>
      <c r="D57" s="18" t="s">
        <v>154</v>
      </c>
      <c r="E57" s="17" t="s">
        <v>154</v>
      </c>
      <c r="F57" s="18" t="s">
        <v>154</v>
      </c>
      <c r="G57" s="17" t="s">
        <v>154</v>
      </c>
      <c r="H57" s="18" t="s">
        <v>154</v>
      </c>
      <c r="I57" s="17" t="s">
        <v>154</v>
      </c>
      <c r="J57" s="18" t="s">
        <v>154</v>
      </c>
      <c r="K57" s="17" t="s">
        <v>154</v>
      </c>
      <c r="L57" s="18" t="s">
        <v>154</v>
      </c>
      <c r="M57" s="17" t="s">
        <v>154</v>
      </c>
      <c r="N57" s="18" t="s">
        <v>154</v>
      </c>
      <c r="O57" s="17" t="s">
        <v>154</v>
      </c>
      <c r="P57" s="18" t="s">
        <v>154</v>
      </c>
      <c r="Q57" s="17" t="s">
        <v>154</v>
      </c>
      <c r="R57" s="18" t="s">
        <v>154</v>
      </c>
    </row>
    <row r="58" spans="1:18" x14ac:dyDescent="0.25">
      <c r="A58" s="11" t="s">
        <v>191</v>
      </c>
      <c r="B58" s="17" t="s">
        <v>154</v>
      </c>
      <c r="C58" s="17" t="s">
        <v>154</v>
      </c>
      <c r="D58" s="18" t="s">
        <v>154</v>
      </c>
      <c r="E58" s="17" t="s">
        <v>154</v>
      </c>
      <c r="F58" s="18" t="s">
        <v>154</v>
      </c>
      <c r="G58" s="17" t="s">
        <v>154</v>
      </c>
      <c r="H58" s="18" t="s">
        <v>154</v>
      </c>
      <c r="I58" s="17" t="s">
        <v>154</v>
      </c>
      <c r="J58" s="18" t="s">
        <v>154</v>
      </c>
      <c r="K58" s="17" t="s">
        <v>154</v>
      </c>
      <c r="L58" s="18" t="s">
        <v>154</v>
      </c>
      <c r="M58" s="17" t="s">
        <v>154</v>
      </c>
      <c r="N58" s="18" t="s">
        <v>154</v>
      </c>
      <c r="O58" s="17" t="s">
        <v>154</v>
      </c>
      <c r="P58" s="18" t="s">
        <v>154</v>
      </c>
      <c r="Q58" s="17" t="s">
        <v>154</v>
      </c>
      <c r="R58" s="18" t="s">
        <v>154</v>
      </c>
    </row>
    <row r="59" spans="1:18" x14ac:dyDescent="0.25">
      <c r="A59" s="11" t="s">
        <v>192</v>
      </c>
      <c r="B59" s="17" t="s">
        <v>154</v>
      </c>
      <c r="C59" s="17" t="s">
        <v>154</v>
      </c>
      <c r="D59" s="18" t="s">
        <v>154</v>
      </c>
      <c r="E59" s="17" t="s">
        <v>154</v>
      </c>
      <c r="F59" s="18" t="s">
        <v>154</v>
      </c>
      <c r="G59" s="17" t="s">
        <v>154</v>
      </c>
      <c r="H59" s="18" t="s">
        <v>154</v>
      </c>
      <c r="I59" s="17" t="s">
        <v>154</v>
      </c>
      <c r="J59" s="18" t="s">
        <v>154</v>
      </c>
      <c r="K59" s="17" t="s">
        <v>154</v>
      </c>
      <c r="L59" s="18" t="s">
        <v>154</v>
      </c>
      <c r="M59" s="17" t="s">
        <v>154</v>
      </c>
      <c r="N59" s="18" t="s">
        <v>154</v>
      </c>
      <c r="O59" s="17" t="s">
        <v>154</v>
      </c>
      <c r="P59" s="18" t="s">
        <v>154</v>
      </c>
      <c r="Q59" s="17" t="s">
        <v>154</v>
      </c>
      <c r="R59" s="18" t="s">
        <v>154</v>
      </c>
    </row>
    <row r="60" spans="1:18" x14ac:dyDescent="0.25">
      <c r="A60" s="11" t="s">
        <v>193</v>
      </c>
      <c r="B60" s="17" t="s">
        <v>154</v>
      </c>
      <c r="C60" s="17" t="s">
        <v>154</v>
      </c>
      <c r="D60" s="18" t="s">
        <v>154</v>
      </c>
      <c r="E60" s="17" t="s">
        <v>154</v>
      </c>
      <c r="F60" s="18" t="s">
        <v>154</v>
      </c>
      <c r="G60" s="17" t="s">
        <v>154</v>
      </c>
      <c r="H60" s="18" t="s">
        <v>154</v>
      </c>
      <c r="I60" s="17" t="s">
        <v>154</v>
      </c>
      <c r="J60" s="18" t="s">
        <v>154</v>
      </c>
      <c r="K60" s="17" t="s">
        <v>154</v>
      </c>
      <c r="L60" s="18" t="s">
        <v>154</v>
      </c>
      <c r="M60" s="17" t="s">
        <v>154</v>
      </c>
      <c r="N60" s="18" t="s">
        <v>154</v>
      </c>
      <c r="O60" s="17" t="s">
        <v>154</v>
      </c>
      <c r="P60" s="18" t="s">
        <v>154</v>
      </c>
      <c r="Q60" s="17" t="s">
        <v>154</v>
      </c>
      <c r="R60" s="18" t="s">
        <v>154</v>
      </c>
    </row>
    <row r="61" spans="1:18" x14ac:dyDescent="0.25">
      <c r="A61" s="11" t="s">
        <v>194</v>
      </c>
      <c r="B61" s="13">
        <v>6525</v>
      </c>
      <c r="C61" s="14">
        <f>(5438/B61*100)</f>
        <v>83.340996168582365</v>
      </c>
      <c r="D61" s="15">
        <v>1087</v>
      </c>
      <c r="E61" s="14">
        <v>14.333415990000001</v>
      </c>
      <c r="F61" s="16">
        <v>1.11342951</v>
      </c>
      <c r="G61" s="14">
        <v>85.666584009999994</v>
      </c>
      <c r="H61" s="16">
        <v>1.11342951</v>
      </c>
      <c r="I61" s="14" t="s">
        <v>139</v>
      </c>
      <c r="J61" s="16" t="s">
        <v>139</v>
      </c>
      <c r="K61" s="14">
        <v>0</v>
      </c>
      <c r="L61" s="16">
        <v>0</v>
      </c>
      <c r="M61" s="14">
        <v>0</v>
      </c>
      <c r="N61" s="16">
        <v>0</v>
      </c>
      <c r="O61" s="14">
        <v>0</v>
      </c>
      <c r="P61" s="16">
        <v>0</v>
      </c>
      <c r="Q61" s="14">
        <v>0</v>
      </c>
      <c r="R61" s="16">
        <v>0</v>
      </c>
    </row>
    <row r="62" spans="1:18" x14ac:dyDescent="0.25">
      <c r="A62" s="11" t="s">
        <v>195</v>
      </c>
      <c r="B62" s="13">
        <v>4476</v>
      </c>
      <c r="C62" s="14">
        <f>(3742/B62*100)</f>
        <v>83.601429848078652</v>
      </c>
      <c r="D62" s="15">
        <v>734</v>
      </c>
      <c r="E62" s="14">
        <v>10.52775671</v>
      </c>
      <c r="F62" s="16">
        <v>0.97783207999999999</v>
      </c>
      <c r="G62" s="14">
        <v>89.472243289999994</v>
      </c>
      <c r="H62" s="16">
        <v>0.97783207999999999</v>
      </c>
      <c r="I62" s="14" t="s">
        <v>139</v>
      </c>
      <c r="J62" s="16" t="s">
        <v>139</v>
      </c>
      <c r="K62" s="14">
        <v>0</v>
      </c>
      <c r="L62" s="16">
        <v>0</v>
      </c>
      <c r="M62" s="14">
        <v>0</v>
      </c>
      <c r="N62" s="16">
        <v>0</v>
      </c>
      <c r="O62" s="14">
        <v>0</v>
      </c>
      <c r="P62" s="16">
        <v>0</v>
      </c>
      <c r="Q62" s="14">
        <v>0</v>
      </c>
      <c r="R62" s="16">
        <v>0</v>
      </c>
    </row>
    <row r="63" spans="1:18" x14ac:dyDescent="0.25">
      <c r="A63" s="11" t="s">
        <v>196</v>
      </c>
      <c r="B63" s="17" t="s">
        <v>154</v>
      </c>
      <c r="C63" s="17" t="s">
        <v>154</v>
      </c>
      <c r="D63" s="18" t="s">
        <v>154</v>
      </c>
      <c r="E63" s="17" t="s">
        <v>154</v>
      </c>
      <c r="F63" s="18" t="s">
        <v>154</v>
      </c>
      <c r="G63" s="17" t="s">
        <v>154</v>
      </c>
      <c r="H63" s="18" t="s">
        <v>154</v>
      </c>
      <c r="I63" s="17" t="s">
        <v>154</v>
      </c>
      <c r="J63" s="18" t="s">
        <v>154</v>
      </c>
      <c r="K63" s="17" t="s">
        <v>154</v>
      </c>
      <c r="L63" s="18" t="s">
        <v>154</v>
      </c>
      <c r="M63" s="17" t="s">
        <v>154</v>
      </c>
      <c r="N63" s="18" t="s">
        <v>154</v>
      </c>
      <c r="O63" s="17" t="s">
        <v>154</v>
      </c>
      <c r="P63" s="18" t="s">
        <v>154</v>
      </c>
      <c r="Q63" s="17" t="s">
        <v>154</v>
      </c>
      <c r="R63" s="18" t="s">
        <v>154</v>
      </c>
    </row>
    <row r="64" spans="1:18" x14ac:dyDescent="0.25">
      <c r="A64" s="11" t="s">
        <v>197</v>
      </c>
      <c r="B64" s="17" t="s">
        <v>154</v>
      </c>
      <c r="C64" s="17" t="s">
        <v>154</v>
      </c>
      <c r="D64" s="18" t="s">
        <v>154</v>
      </c>
      <c r="E64" s="17" t="s">
        <v>154</v>
      </c>
      <c r="F64" s="18" t="s">
        <v>154</v>
      </c>
      <c r="G64" s="17" t="s">
        <v>154</v>
      </c>
      <c r="H64" s="18" t="s">
        <v>154</v>
      </c>
      <c r="I64" s="17" t="s">
        <v>154</v>
      </c>
      <c r="J64" s="18" t="s">
        <v>154</v>
      </c>
      <c r="K64" s="17" t="s">
        <v>154</v>
      </c>
      <c r="L64" s="18" t="s">
        <v>154</v>
      </c>
      <c r="M64" s="17" t="s">
        <v>154</v>
      </c>
      <c r="N64" s="18" t="s">
        <v>154</v>
      </c>
      <c r="O64" s="17" t="s">
        <v>154</v>
      </c>
      <c r="P64" s="18" t="s">
        <v>154</v>
      </c>
      <c r="Q64" s="17" t="s">
        <v>154</v>
      </c>
      <c r="R64" s="18" t="s">
        <v>154</v>
      </c>
    </row>
    <row r="65" spans="1:18" x14ac:dyDescent="0.25">
      <c r="A65" s="11" t="s">
        <v>198</v>
      </c>
      <c r="B65" s="17" t="s">
        <v>154</v>
      </c>
      <c r="C65" s="17" t="s">
        <v>154</v>
      </c>
      <c r="D65" s="18" t="s">
        <v>154</v>
      </c>
      <c r="E65" s="17" t="s">
        <v>154</v>
      </c>
      <c r="F65" s="18" t="s">
        <v>154</v>
      </c>
      <c r="G65" s="17" t="s">
        <v>154</v>
      </c>
      <c r="H65" s="18" t="s">
        <v>154</v>
      </c>
      <c r="I65" s="17" t="s">
        <v>154</v>
      </c>
      <c r="J65" s="18" t="s">
        <v>154</v>
      </c>
      <c r="K65" s="17" t="s">
        <v>154</v>
      </c>
      <c r="L65" s="18" t="s">
        <v>154</v>
      </c>
      <c r="M65" s="17" t="s">
        <v>154</v>
      </c>
      <c r="N65" s="18" t="s">
        <v>154</v>
      </c>
      <c r="O65" s="17" t="s">
        <v>154</v>
      </c>
      <c r="P65" s="18" t="s">
        <v>154</v>
      </c>
      <c r="Q65" s="17" t="s">
        <v>154</v>
      </c>
      <c r="R65" s="18" t="s">
        <v>154</v>
      </c>
    </row>
    <row r="66" spans="1:18" x14ac:dyDescent="0.25">
      <c r="A66" s="11" t="s">
        <v>199</v>
      </c>
      <c r="B66" s="13">
        <v>5665</v>
      </c>
      <c r="C66" s="14">
        <f>(4754/B66*100)</f>
        <v>83.918799646954994</v>
      </c>
      <c r="D66" s="15">
        <v>911</v>
      </c>
      <c r="E66" s="14">
        <v>28.10559164</v>
      </c>
      <c r="F66" s="16">
        <v>1.57628758</v>
      </c>
      <c r="G66" s="14">
        <v>71.89440836</v>
      </c>
      <c r="H66" s="16">
        <v>1.57628758</v>
      </c>
      <c r="I66" s="14" t="s">
        <v>139</v>
      </c>
      <c r="J66" s="16" t="s">
        <v>139</v>
      </c>
      <c r="K66" s="14">
        <v>0</v>
      </c>
      <c r="L66" s="16">
        <v>0</v>
      </c>
      <c r="M66" s="14">
        <v>0</v>
      </c>
      <c r="N66" s="16">
        <v>0</v>
      </c>
      <c r="O66" s="14">
        <v>0</v>
      </c>
      <c r="P66" s="16">
        <v>0</v>
      </c>
      <c r="Q66" s="14">
        <v>0</v>
      </c>
      <c r="R66" s="16">
        <v>0</v>
      </c>
    </row>
    <row r="67" spans="1:18" x14ac:dyDescent="0.25">
      <c r="A67" s="11" t="s">
        <v>200</v>
      </c>
      <c r="B67" s="13">
        <v>6971</v>
      </c>
      <c r="C67" s="14">
        <f>(6010/B67*100)</f>
        <v>86.214316453880357</v>
      </c>
      <c r="D67" s="15">
        <v>961</v>
      </c>
      <c r="E67" s="14">
        <v>32.48751712</v>
      </c>
      <c r="F67" s="16">
        <v>1.5432489700000001</v>
      </c>
      <c r="G67" s="14">
        <v>67.512482879999993</v>
      </c>
      <c r="H67" s="16">
        <v>1.5432489700000001</v>
      </c>
      <c r="I67" s="14" t="s">
        <v>139</v>
      </c>
      <c r="J67" s="16" t="s">
        <v>139</v>
      </c>
      <c r="K67" s="14">
        <v>0</v>
      </c>
      <c r="L67" s="16">
        <v>0</v>
      </c>
      <c r="M67" s="14">
        <v>0</v>
      </c>
      <c r="N67" s="16">
        <v>0</v>
      </c>
      <c r="O67" s="14">
        <v>0</v>
      </c>
      <c r="P67" s="16">
        <v>0</v>
      </c>
      <c r="Q67" s="14">
        <v>0</v>
      </c>
      <c r="R67" s="16">
        <v>0</v>
      </c>
    </row>
    <row r="68" spans="1:18" x14ac:dyDescent="0.25">
      <c r="A68" s="11" t="s">
        <v>201</v>
      </c>
      <c r="B68" s="17" t="s">
        <v>154</v>
      </c>
      <c r="C68" s="17" t="s">
        <v>154</v>
      </c>
      <c r="D68" s="18" t="s">
        <v>154</v>
      </c>
      <c r="E68" s="17" t="s">
        <v>154</v>
      </c>
      <c r="F68" s="18" t="s">
        <v>154</v>
      </c>
      <c r="G68" s="17" t="s">
        <v>154</v>
      </c>
      <c r="H68" s="18" t="s">
        <v>154</v>
      </c>
      <c r="I68" s="17" t="s">
        <v>154</v>
      </c>
      <c r="J68" s="18" t="s">
        <v>154</v>
      </c>
      <c r="K68" s="17" t="s">
        <v>154</v>
      </c>
      <c r="L68" s="18" t="s">
        <v>154</v>
      </c>
      <c r="M68" s="17" t="s">
        <v>154</v>
      </c>
      <c r="N68" s="18" t="s">
        <v>154</v>
      </c>
      <c r="O68" s="17" t="s">
        <v>154</v>
      </c>
      <c r="P68" s="18" t="s">
        <v>154</v>
      </c>
      <c r="Q68" s="17" t="s">
        <v>154</v>
      </c>
      <c r="R68" s="18" t="s">
        <v>154</v>
      </c>
    </row>
    <row r="69" spans="1:18" x14ac:dyDescent="0.25">
      <c r="A69" s="11" t="s">
        <v>202</v>
      </c>
      <c r="B69" s="17" t="s">
        <v>154</v>
      </c>
      <c r="C69" s="17" t="s">
        <v>154</v>
      </c>
      <c r="D69" s="18" t="s">
        <v>154</v>
      </c>
      <c r="E69" s="17" t="s">
        <v>154</v>
      </c>
      <c r="F69" s="18" t="s">
        <v>154</v>
      </c>
      <c r="G69" s="17" t="s">
        <v>154</v>
      </c>
      <c r="H69" s="18" t="s">
        <v>154</v>
      </c>
      <c r="I69" s="17" t="s">
        <v>154</v>
      </c>
      <c r="J69" s="18" t="s">
        <v>154</v>
      </c>
      <c r="K69" s="17" t="s">
        <v>154</v>
      </c>
      <c r="L69" s="18" t="s">
        <v>154</v>
      </c>
      <c r="M69" s="17" t="s">
        <v>154</v>
      </c>
      <c r="N69" s="18" t="s">
        <v>154</v>
      </c>
      <c r="O69" s="17" t="s">
        <v>154</v>
      </c>
      <c r="P69" s="18" t="s">
        <v>154</v>
      </c>
      <c r="Q69" s="17" t="s">
        <v>154</v>
      </c>
      <c r="R69" s="18" t="s">
        <v>154</v>
      </c>
    </row>
    <row r="70" spans="1:18" x14ac:dyDescent="0.25">
      <c r="A70" s="11" t="s">
        <v>203</v>
      </c>
      <c r="B70" s="13">
        <v>6036</v>
      </c>
      <c r="C70" s="14">
        <f>(5043/B70*100)</f>
        <v>83.548707753479121</v>
      </c>
      <c r="D70" s="15">
        <v>993</v>
      </c>
      <c r="E70" s="14">
        <v>15.260038570000001</v>
      </c>
      <c r="F70" s="16">
        <v>1.2314660399999999</v>
      </c>
      <c r="G70" s="14">
        <v>84.739961429999994</v>
      </c>
      <c r="H70" s="16">
        <v>1.2314660399999999</v>
      </c>
      <c r="I70" s="14" t="s">
        <v>139</v>
      </c>
      <c r="J70" s="16" t="s">
        <v>139</v>
      </c>
      <c r="K70" s="14">
        <v>0</v>
      </c>
      <c r="L70" s="16">
        <v>0</v>
      </c>
      <c r="M70" s="14">
        <v>0</v>
      </c>
      <c r="N70" s="16">
        <v>0</v>
      </c>
      <c r="O70" s="14">
        <v>0</v>
      </c>
      <c r="P70" s="16">
        <v>0</v>
      </c>
      <c r="Q70" s="14">
        <v>0</v>
      </c>
      <c r="R70" s="16">
        <v>0</v>
      </c>
    </row>
    <row r="71" spans="1:18" x14ac:dyDescent="0.25">
      <c r="A71" s="11" t="s">
        <v>204</v>
      </c>
      <c r="B71" s="17" t="s">
        <v>154</v>
      </c>
      <c r="C71" s="17" t="s">
        <v>154</v>
      </c>
      <c r="D71" s="18" t="s">
        <v>154</v>
      </c>
      <c r="E71" s="17" t="s">
        <v>154</v>
      </c>
      <c r="F71" s="18" t="s">
        <v>154</v>
      </c>
      <c r="G71" s="17" t="s">
        <v>154</v>
      </c>
      <c r="H71" s="18" t="s">
        <v>154</v>
      </c>
      <c r="I71" s="17" t="s">
        <v>154</v>
      </c>
      <c r="J71" s="18" t="s">
        <v>154</v>
      </c>
      <c r="K71" s="17" t="s">
        <v>154</v>
      </c>
      <c r="L71" s="18" t="s">
        <v>154</v>
      </c>
      <c r="M71" s="17" t="s">
        <v>154</v>
      </c>
      <c r="N71" s="18" t="s">
        <v>154</v>
      </c>
      <c r="O71" s="17" t="s">
        <v>154</v>
      </c>
      <c r="P71" s="18" t="s">
        <v>154</v>
      </c>
      <c r="Q71" s="17" t="s">
        <v>154</v>
      </c>
      <c r="R71" s="18" t="s">
        <v>154</v>
      </c>
    </row>
    <row r="72" spans="1:18" x14ac:dyDescent="0.25">
      <c r="A72" s="11" t="s">
        <v>205</v>
      </c>
      <c r="B72" s="13">
        <v>7708</v>
      </c>
      <c r="C72" s="14">
        <f>(6395/B72*100)</f>
        <v>82.965749870264659</v>
      </c>
      <c r="D72" s="15">
        <v>1313</v>
      </c>
      <c r="E72" s="14">
        <v>12.089111859999999</v>
      </c>
      <c r="F72" s="16">
        <v>1.02331123</v>
      </c>
      <c r="G72" s="14">
        <v>87.910888139999997</v>
      </c>
      <c r="H72" s="16">
        <v>1.02331123</v>
      </c>
      <c r="I72" s="14" t="s">
        <v>139</v>
      </c>
      <c r="J72" s="16" t="s">
        <v>139</v>
      </c>
      <c r="K72" s="14">
        <v>0</v>
      </c>
      <c r="L72" s="16">
        <v>0</v>
      </c>
      <c r="M72" s="14">
        <v>0</v>
      </c>
      <c r="N72" s="16">
        <v>0</v>
      </c>
      <c r="O72" s="14">
        <v>0</v>
      </c>
      <c r="P72" s="16">
        <v>0</v>
      </c>
      <c r="Q72" s="14">
        <v>0</v>
      </c>
      <c r="R72" s="16">
        <v>0</v>
      </c>
    </row>
    <row r="73" spans="1:18" x14ac:dyDescent="0.25">
      <c r="A73" s="11" t="s">
        <v>206</v>
      </c>
      <c r="B73" s="13">
        <v>8249</v>
      </c>
      <c r="C73" s="14">
        <f>(6966/B73*100)</f>
        <v>84.446599587828828</v>
      </c>
      <c r="D73" s="15">
        <v>1283</v>
      </c>
      <c r="E73" s="14">
        <v>36.117492650000003</v>
      </c>
      <c r="F73" s="16">
        <v>1.8313442200000001</v>
      </c>
      <c r="G73" s="14">
        <v>63.882507349999997</v>
      </c>
      <c r="H73" s="16">
        <v>1.8313442200000001</v>
      </c>
      <c r="I73" s="14" t="s">
        <v>139</v>
      </c>
      <c r="J73" s="16" t="s">
        <v>139</v>
      </c>
      <c r="K73" s="14">
        <v>0</v>
      </c>
      <c r="L73" s="16">
        <v>0</v>
      </c>
      <c r="M73" s="14">
        <v>0</v>
      </c>
      <c r="N73" s="16">
        <v>0</v>
      </c>
      <c r="O73" s="14">
        <v>0</v>
      </c>
      <c r="P73" s="16">
        <v>0</v>
      </c>
      <c r="Q73" s="14">
        <v>0</v>
      </c>
      <c r="R73" s="16">
        <v>0</v>
      </c>
    </row>
    <row r="74" spans="1:18" x14ac:dyDescent="0.25">
      <c r="A74" s="11" t="s">
        <v>207</v>
      </c>
      <c r="B74" s="17" t="s">
        <v>154</v>
      </c>
      <c r="C74" s="17" t="s">
        <v>154</v>
      </c>
      <c r="D74" s="18" t="s">
        <v>154</v>
      </c>
      <c r="E74" s="17" t="s">
        <v>154</v>
      </c>
      <c r="F74" s="18" t="s">
        <v>154</v>
      </c>
      <c r="G74" s="17" t="s">
        <v>154</v>
      </c>
      <c r="H74" s="18" t="s">
        <v>154</v>
      </c>
      <c r="I74" s="17" t="s">
        <v>154</v>
      </c>
      <c r="J74" s="18" t="s">
        <v>154</v>
      </c>
      <c r="K74" s="17" t="s">
        <v>154</v>
      </c>
      <c r="L74" s="18" t="s">
        <v>154</v>
      </c>
      <c r="M74" s="17" t="s">
        <v>154</v>
      </c>
      <c r="N74" s="18" t="s">
        <v>154</v>
      </c>
      <c r="O74" s="17" t="s">
        <v>154</v>
      </c>
      <c r="P74" s="18" t="s">
        <v>154</v>
      </c>
      <c r="Q74" s="17" t="s">
        <v>154</v>
      </c>
      <c r="R74" s="18" t="s">
        <v>154</v>
      </c>
    </row>
    <row r="75" spans="1:18" x14ac:dyDescent="0.25">
      <c r="A75" s="11" t="s">
        <v>208</v>
      </c>
      <c r="B75" s="13">
        <v>5375</v>
      </c>
      <c r="C75" s="14">
        <f>(4595/B75*100)</f>
        <v>85.488372093023258</v>
      </c>
      <c r="D75" s="15">
        <v>780</v>
      </c>
      <c r="E75" s="14">
        <v>45.489398440000002</v>
      </c>
      <c r="F75" s="16">
        <v>1.79980188</v>
      </c>
      <c r="G75" s="14">
        <v>54.510601559999998</v>
      </c>
      <c r="H75" s="16">
        <v>1.79980188</v>
      </c>
      <c r="I75" s="14" t="s">
        <v>139</v>
      </c>
      <c r="J75" s="16" t="s">
        <v>139</v>
      </c>
      <c r="K75" s="14">
        <v>0</v>
      </c>
      <c r="L75" s="16">
        <v>0</v>
      </c>
      <c r="M75" s="14">
        <v>0</v>
      </c>
      <c r="N75" s="16">
        <v>0</v>
      </c>
      <c r="O75" s="14">
        <v>0</v>
      </c>
      <c r="P75" s="16">
        <v>0</v>
      </c>
      <c r="Q75" s="14">
        <v>0</v>
      </c>
      <c r="R75" s="16">
        <v>0</v>
      </c>
    </row>
    <row r="76" spans="1:18" x14ac:dyDescent="0.25">
      <c r="A76" s="11" t="s">
        <v>209</v>
      </c>
      <c r="B76" s="13">
        <v>14167</v>
      </c>
      <c r="C76" s="14">
        <f>(11740/B76*100)</f>
        <v>82.868638384979178</v>
      </c>
      <c r="D76" s="15">
        <v>2427</v>
      </c>
      <c r="E76" s="14">
        <v>30.265139130000001</v>
      </c>
      <c r="F76" s="16">
        <v>1.3320121599999999</v>
      </c>
      <c r="G76" s="14">
        <v>69.734860870000006</v>
      </c>
      <c r="H76" s="16">
        <v>1.3320121599999999</v>
      </c>
      <c r="I76" s="14" t="s">
        <v>139</v>
      </c>
      <c r="J76" s="16" t="s">
        <v>139</v>
      </c>
      <c r="K76" s="14">
        <v>0</v>
      </c>
      <c r="L76" s="16">
        <v>0</v>
      </c>
      <c r="M76" s="14">
        <v>0</v>
      </c>
      <c r="N76" s="16">
        <v>0</v>
      </c>
      <c r="O76" s="14">
        <v>0</v>
      </c>
      <c r="P76" s="16">
        <v>0</v>
      </c>
      <c r="Q76" s="14">
        <v>0</v>
      </c>
      <c r="R76" s="16">
        <v>0</v>
      </c>
    </row>
    <row r="77" spans="1:18" x14ac:dyDescent="0.25">
      <c r="A77" s="11" t="s">
        <v>210</v>
      </c>
      <c r="B77" s="13">
        <v>6062</v>
      </c>
      <c r="C77" s="14">
        <f>(5082/B77*100)</f>
        <v>83.833718244803691</v>
      </c>
      <c r="D77" s="15">
        <v>980</v>
      </c>
      <c r="E77" s="14">
        <v>25.51414522</v>
      </c>
      <c r="F77" s="16">
        <v>1.50007666</v>
      </c>
      <c r="G77" s="14">
        <v>74.485854779999997</v>
      </c>
      <c r="H77" s="16">
        <v>1.50007666</v>
      </c>
      <c r="I77" s="14" t="s">
        <v>139</v>
      </c>
      <c r="J77" s="16" t="s">
        <v>139</v>
      </c>
      <c r="K77" s="14">
        <v>0</v>
      </c>
      <c r="L77" s="16">
        <v>0</v>
      </c>
      <c r="M77" s="14">
        <v>0</v>
      </c>
      <c r="N77" s="16">
        <v>0</v>
      </c>
      <c r="O77" s="14">
        <v>0</v>
      </c>
      <c r="P77" s="16">
        <v>0</v>
      </c>
      <c r="Q77" s="14">
        <v>0</v>
      </c>
      <c r="R77" s="16">
        <v>0</v>
      </c>
    </row>
    <row r="78" spans="1:18" x14ac:dyDescent="0.25">
      <c r="A78" s="11" t="s">
        <v>211</v>
      </c>
      <c r="B78" s="17" t="s">
        <v>154</v>
      </c>
      <c r="C78" s="17" t="s">
        <v>154</v>
      </c>
      <c r="D78" s="18" t="s">
        <v>154</v>
      </c>
      <c r="E78" s="17" t="s">
        <v>154</v>
      </c>
      <c r="F78" s="18" t="s">
        <v>154</v>
      </c>
      <c r="G78" s="17" t="s">
        <v>154</v>
      </c>
      <c r="H78" s="18" t="s">
        <v>154</v>
      </c>
      <c r="I78" s="17" t="s">
        <v>154</v>
      </c>
      <c r="J78" s="18" t="s">
        <v>154</v>
      </c>
      <c r="K78" s="17" t="s">
        <v>154</v>
      </c>
      <c r="L78" s="18" t="s">
        <v>154</v>
      </c>
      <c r="M78" s="17" t="s">
        <v>154</v>
      </c>
      <c r="N78" s="18" t="s">
        <v>154</v>
      </c>
      <c r="O78" s="17" t="s">
        <v>154</v>
      </c>
      <c r="P78" s="18" t="s">
        <v>154</v>
      </c>
      <c r="Q78" s="17" t="s">
        <v>154</v>
      </c>
      <c r="R78" s="18" t="s">
        <v>154</v>
      </c>
    </row>
    <row r="79" spans="1:18" ht="24.95" customHeight="1" x14ac:dyDescent="0.25">
      <c r="A79" s="11" t="s">
        <v>212</v>
      </c>
      <c r="B79" s="17" t="s">
        <v>154</v>
      </c>
      <c r="C79" s="17" t="s">
        <v>154</v>
      </c>
      <c r="D79" s="18" t="s">
        <v>154</v>
      </c>
      <c r="E79" s="17" t="s">
        <v>154</v>
      </c>
      <c r="F79" s="18" t="s">
        <v>154</v>
      </c>
      <c r="G79" s="17" t="s">
        <v>154</v>
      </c>
      <c r="H79" s="18" t="s">
        <v>154</v>
      </c>
      <c r="I79" s="17" t="s">
        <v>154</v>
      </c>
      <c r="J79" s="18" t="s">
        <v>154</v>
      </c>
      <c r="K79" s="17" t="s">
        <v>154</v>
      </c>
      <c r="L79" s="18" t="s">
        <v>154</v>
      </c>
      <c r="M79" s="17" t="s">
        <v>154</v>
      </c>
      <c r="N79" s="18" t="s">
        <v>154</v>
      </c>
      <c r="O79" s="17" t="s">
        <v>154</v>
      </c>
      <c r="P79" s="18" t="s">
        <v>154</v>
      </c>
      <c r="Q79" s="17" t="s">
        <v>154</v>
      </c>
      <c r="R79" s="18" t="s">
        <v>154</v>
      </c>
    </row>
    <row r="80" spans="1:18" x14ac:dyDescent="0.25">
      <c r="A80" s="11" t="s">
        <v>213</v>
      </c>
      <c r="B80" s="17" t="s">
        <v>154</v>
      </c>
      <c r="C80" s="17" t="s">
        <v>154</v>
      </c>
      <c r="D80" s="18" t="s">
        <v>154</v>
      </c>
      <c r="E80" s="17" t="s">
        <v>154</v>
      </c>
      <c r="F80" s="18" t="s">
        <v>154</v>
      </c>
      <c r="G80" s="17" t="s">
        <v>154</v>
      </c>
      <c r="H80" s="18" t="s">
        <v>154</v>
      </c>
      <c r="I80" s="17" t="s">
        <v>154</v>
      </c>
      <c r="J80" s="18" t="s">
        <v>154</v>
      </c>
      <c r="K80" s="17" t="s">
        <v>154</v>
      </c>
      <c r="L80" s="18" t="s">
        <v>154</v>
      </c>
      <c r="M80" s="17" t="s">
        <v>154</v>
      </c>
      <c r="N80" s="18" t="s">
        <v>154</v>
      </c>
      <c r="O80" s="17" t="s">
        <v>154</v>
      </c>
      <c r="P80" s="18" t="s">
        <v>154</v>
      </c>
      <c r="Q80" s="17" t="s">
        <v>154</v>
      </c>
      <c r="R80" s="18" t="s">
        <v>154</v>
      </c>
    </row>
    <row r="81" spans="1:18" x14ac:dyDescent="0.25">
      <c r="A81" s="19" t="s">
        <v>214</v>
      </c>
      <c r="B81" s="13">
        <v>8861</v>
      </c>
      <c r="C81" s="14">
        <f>(7385/B81*100)</f>
        <v>83.342737839972912</v>
      </c>
      <c r="D81" s="15">
        <v>1476</v>
      </c>
      <c r="E81" s="14">
        <v>34.675020400000001</v>
      </c>
      <c r="F81" s="16">
        <v>1.6617313499999999</v>
      </c>
      <c r="G81" s="14">
        <v>65.324979600000006</v>
      </c>
      <c r="H81" s="16">
        <v>1.6617313499999999</v>
      </c>
      <c r="I81" s="14" t="s">
        <v>139</v>
      </c>
      <c r="J81" s="16" t="s">
        <v>139</v>
      </c>
      <c r="K81" s="14">
        <v>0</v>
      </c>
      <c r="L81" s="16">
        <v>0</v>
      </c>
      <c r="M81" s="14">
        <v>0</v>
      </c>
      <c r="N81" s="16">
        <v>0</v>
      </c>
      <c r="O81" s="14">
        <v>0</v>
      </c>
      <c r="P81" s="16">
        <v>0</v>
      </c>
      <c r="Q81" s="14">
        <v>0</v>
      </c>
      <c r="R81" s="16">
        <v>0</v>
      </c>
    </row>
    <row r="82" spans="1:18" x14ac:dyDescent="0.25">
      <c r="A82" s="20"/>
      <c r="B82" s="20" t="s">
        <v>215</v>
      </c>
      <c r="C82" s="20" t="s">
        <v>215</v>
      </c>
      <c r="D82" s="20" t="s">
        <v>215</v>
      </c>
      <c r="E82" s="20" t="s">
        <v>215</v>
      </c>
      <c r="F82" s="20" t="s">
        <v>215</v>
      </c>
      <c r="G82" s="20" t="s">
        <v>215</v>
      </c>
      <c r="H82" s="20" t="s">
        <v>215</v>
      </c>
      <c r="I82" s="20" t="s">
        <v>215</v>
      </c>
      <c r="J82" s="20" t="s">
        <v>215</v>
      </c>
      <c r="K82" s="20" t="s">
        <v>215</v>
      </c>
      <c r="L82" s="20" t="s">
        <v>215</v>
      </c>
      <c r="M82" s="20" t="s">
        <v>215</v>
      </c>
      <c r="N82" s="20" t="s">
        <v>215</v>
      </c>
      <c r="O82" s="20" t="s">
        <v>215</v>
      </c>
      <c r="P82" s="20" t="s">
        <v>215</v>
      </c>
      <c r="Q82" s="20" t="s">
        <v>215</v>
      </c>
      <c r="R82" s="20" t="s">
        <v>215</v>
      </c>
    </row>
    <row r="83" spans="1:18" x14ac:dyDescent="0.25">
      <c r="A83" s="3" t="s">
        <v>216</v>
      </c>
    </row>
    <row r="84" spans="1:18" x14ac:dyDescent="0.25">
      <c r="A84" s="22" t="s">
        <v>217</v>
      </c>
      <c r="B84" s="23"/>
      <c r="C84" s="23"/>
      <c r="D84" s="23"/>
      <c r="E84" s="23"/>
      <c r="F84" s="23"/>
      <c r="G84" s="23"/>
      <c r="H84" s="23"/>
      <c r="I84" s="23"/>
      <c r="J84" s="23"/>
      <c r="K84" s="23"/>
      <c r="L84" s="23"/>
      <c r="M84" s="23"/>
      <c r="N84" s="23"/>
      <c r="O84" s="23"/>
      <c r="P84" s="23"/>
      <c r="Q84" s="23"/>
      <c r="R84" s="23"/>
    </row>
    <row r="85" spans="1:18" x14ac:dyDescent="0.25">
      <c r="A85" s="22" t="s">
        <v>218</v>
      </c>
      <c r="B85" s="23"/>
      <c r="C85" s="23"/>
      <c r="D85" s="23"/>
      <c r="E85" s="23"/>
      <c r="F85" s="23"/>
      <c r="G85" s="23"/>
      <c r="H85" s="23"/>
      <c r="I85" s="23"/>
      <c r="J85" s="23"/>
      <c r="K85" s="23"/>
      <c r="L85" s="23"/>
      <c r="M85" s="23"/>
      <c r="N85" s="23"/>
      <c r="O85" s="23"/>
      <c r="P85" s="23"/>
      <c r="Q85" s="23"/>
      <c r="R85" s="23"/>
    </row>
    <row r="86" spans="1:18" ht="30" customHeight="1" x14ac:dyDescent="0.25">
      <c r="A86" s="22" t="s">
        <v>219</v>
      </c>
      <c r="B86" s="23"/>
      <c r="C86" s="23"/>
      <c r="D86" s="23"/>
      <c r="E86" s="23"/>
      <c r="F86" s="23"/>
      <c r="G86" s="23"/>
      <c r="H86" s="23"/>
      <c r="I86" s="23"/>
      <c r="J86" s="23"/>
      <c r="K86" s="23"/>
      <c r="L86" s="23"/>
      <c r="M86" s="23"/>
      <c r="N86" s="23"/>
      <c r="O86" s="23"/>
      <c r="P86" s="23"/>
      <c r="Q86" s="23"/>
      <c r="R86" s="23"/>
    </row>
    <row r="87" spans="1:18" ht="30" customHeight="1" x14ac:dyDescent="0.25">
      <c r="A87" s="22" t="s">
        <v>215</v>
      </c>
      <c r="B87" s="23"/>
      <c r="C87" s="23"/>
      <c r="D87" s="23"/>
      <c r="E87" s="23"/>
      <c r="F87" s="23"/>
      <c r="G87" s="23"/>
      <c r="H87" s="23"/>
      <c r="I87" s="23"/>
      <c r="J87" s="23"/>
      <c r="K87" s="23"/>
      <c r="L87" s="23"/>
      <c r="M87" s="23"/>
      <c r="N87" s="23"/>
      <c r="O87" s="23"/>
      <c r="P87" s="23"/>
      <c r="Q87" s="23"/>
      <c r="R87" s="23"/>
    </row>
    <row r="88" spans="1:18" ht="30" customHeight="1" x14ac:dyDescent="0.25">
      <c r="A88" s="22" t="s">
        <v>220</v>
      </c>
      <c r="B88" s="23"/>
      <c r="C88" s="23"/>
      <c r="D88" s="23"/>
      <c r="E88" s="23"/>
      <c r="F88" s="23"/>
      <c r="G88" s="23"/>
      <c r="H88" s="23"/>
      <c r="I88" s="23"/>
      <c r="J88" s="23"/>
      <c r="K88" s="23"/>
      <c r="L88" s="23"/>
      <c r="M88" s="23"/>
      <c r="N88" s="23"/>
      <c r="O88" s="23"/>
      <c r="P88" s="23"/>
      <c r="Q88" s="23"/>
      <c r="R88" s="23"/>
    </row>
    <row r="89" spans="1:18" ht="30" customHeight="1" x14ac:dyDescent="0.25">
      <c r="A89" s="22" t="s">
        <v>221</v>
      </c>
      <c r="B89" s="23"/>
      <c r="C89" s="23"/>
      <c r="D89" s="23"/>
      <c r="E89" s="23"/>
      <c r="F89" s="23"/>
      <c r="G89" s="23"/>
      <c r="H89" s="23"/>
      <c r="I89" s="23"/>
      <c r="J89" s="23"/>
      <c r="K89" s="23"/>
      <c r="L89" s="23"/>
      <c r="M89" s="23"/>
      <c r="N89" s="23"/>
      <c r="O89" s="23"/>
      <c r="P89" s="23"/>
      <c r="Q89" s="23"/>
      <c r="R89" s="23"/>
    </row>
    <row r="90" spans="1:18" ht="30" customHeight="1" x14ac:dyDescent="0.25">
      <c r="A90" s="22" t="s">
        <v>222</v>
      </c>
      <c r="B90" s="23"/>
      <c r="C90" s="23"/>
      <c r="D90" s="23"/>
      <c r="E90" s="23"/>
      <c r="F90" s="23"/>
      <c r="G90" s="23"/>
      <c r="H90" s="23"/>
      <c r="I90" s="23"/>
      <c r="J90" s="23"/>
      <c r="K90" s="23"/>
      <c r="L90" s="23"/>
      <c r="M90" s="23"/>
      <c r="N90" s="23"/>
      <c r="O90" s="23"/>
      <c r="P90" s="23"/>
      <c r="Q90" s="23"/>
      <c r="R90" s="23"/>
    </row>
    <row r="91" spans="1:18" ht="30" customHeight="1" x14ac:dyDescent="0.25">
      <c r="A91" s="22" t="s">
        <v>223</v>
      </c>
      <c r="B91" s="23"/>
      <c r="C91" s="23"/>
      <c r="D91" s="23"/>
      <c r="E91" s="23"/>
      <c r="F91" s="23"/>
      <c r="G91" s="23"/>
      <c r="H91" s="23"/>
      <c r="I91" s="23"/>
      <c r="J91" s="23"/>
      <c r="K91" s="23"/>
      <c r="L91" s="23"/>
      <c r="M91" s="23"/>
      <c r="N91" s="23"/>
      <c r="O91" s="23"/>
      <c r="P91" s="23"/>
      <c r="Q91" s="23"/>
      <c r="R91" s="23"/>
    </row>
    <row r="92" spans="1:18" ht="30" customHeight="1" x14ac:dyDescent="0.25">
      <c r="A92" s="22" t="s">
        <v>224</v>
      </c>
      <c r="B92" s="23"/>
      <c r="C92" s="23"/>
      <c r="D92" s="23"/>
      <c r="E92" s="23"/>
      <c r="F92" s="23"/>
      <c r="G92" s="23"/>
      <c r="H92" s="23"/>
      <c r="I92" s="23"/>
      <c r="J92" s="23"/>
      <c r="K92" s="23"/>
      <c r="L92" s="23"/>
      <c r="M92" s="23"/>
      <c r="N92" s="23"/>
      <c r="O92" s="23"/>
      <c r="P92" s="23"/>
      <c r="Q92" s="23"/>
      <c r="R92" s="23"/>
    </row>
    <row r="93" spans="1:18" ht="30" customHeight="1" x14ac:dyDescent="0.25">
      <c r="A93" s="22" t="s">
        <v>225</v>
      </c>
      <c r="B93" s="23"/>
      <c r="C93" s="23"/>
      <c r="D93" s="23"/>
      <c r="E93" s="23"/>
      <c r="F93" s="23"/>
      <c r="G93" s="23"/>
      <c r="H93" s="23"/>
      <c r="I93" s="23"/>
      <c r="J93" s="23"/>
      <c r="K93" s="23"/>
      <c r="L93" s="23"/>
      <c r="M93" s="23"/>
      <c r="N93" s="23"/>
      <c r="O93" s="23"/>
      <c r="P93" s="23"/>
      <c r="Q93" s="23"/>
      <c r="R93" s="23"/>
    </row>
    <row r="94" spans="1:18" ht="30" customHeight="1" x14ac:dyDescent="0.25">
      <c r="A94" s="22" t="s">
        <v>226</v>
      </c>
      <c r="B94" s="23"/>
      <c r="C94" s="23"/>
      <c r="D94" s="23"/>
      <c r="E94" s="23"/>
      <c r="F94" s="23"/>
      <c r="G94" s="23"/>
      <c r="H94" s="23"/>
      <c r="I94" s="23"/>
      <c r="J94" s="23"/>
      <c r="K94" s="23"/>
      <c r="L94" s="23"/>
      <c r="M94" s="23"/>
      <c r="N94" s="23"/>
      <c r="O94" s="23"/>
      <c r="P94" s="23"/>
      <c r="Q94" s="23"/>
      <c r="R94" s="23"/>
    </row>
    <row r="95" spans="1:18" ht="30" customHeight="1" x14ac:dyDescent="0.25">
      <c r="A95" s="22" t="s">
        <v>227</v>
      </c>
      <c r="B95" s="23"/>
      <c r="C95" s="23"/>
      <c r="D95" s="23"/>
      <c r="E95" s="23"/>
      <c r="F95" s="23"/>
      <c r="G95" s="23"/>
      <c r="H95" s="23"/>
      <c r="I95" s="23"/>
      <c r="J95" s="23"/>
      <c r="K95" s="23"/>
      <c r="L95" s="23"/>
      <c r="M95" s="23"/>
      <c r="N95" s="23"/>
      <c r="O95" s="23"/>
      <c r="P95" s="23"/>
      <c r="Q95" s="23"/>
      <c r="R95" s="23"/>
    </row>
    <row r="96" spans="1:18" ht="30" customHeight="1" x14ac:dyDescent="0.25">
      <c r="A96" s="22" t="s">
        <v>228</v>
      </c>
      <c r="B96" s="23"/>
      <c r="C96" s="23"/>
      <c r="D96" s="23"/>
      <c r="E96" s="23"/>
      <c r="F96" s="23"/>
      <c r="G96" s="23"/>
      <c r="H96" s="23"/>
      <c r="I96" s="23"/>
      <c r="J96" s="23"/>
      <c r="K96" s="23"/>
      <c r="L96" s="23"/>
      <c r="M96" s="23"/>
      <c r="N96" s="23"/>
      <c r="O96" s="23"/>
      <c r="P96" s="23"/>
      <c r="Q96" s="23"/>
      <c r="R96" s="23"/>
    </row>
  </sheetData>
  <mergeCells count="22">
    <mergeCell ref="O4:P4"/>
    <mergeCell ref="Q4:R4"/>
    <mergeCell ref="A1:R1"/>
    <mergeCell ref="A2:R2"/>
    <mergeCell ref="A84:R84"/>
    <mergeCell ref="E4:F4"/>
    <mergeCell ref="G4:H4"/>
    <mergeCell ref="I4:J4"/>
    <mergeCell ref="K4:L4"/>
    <mergeCell ref="M4:N4"/>
    <mergeCell ref="A85:R85"/>
    <mergeCell ref="A86:R86"/>
    <mergeCell ref="A87:R87"/>
    <mergeCell ref="A88:R88"/>
    <mergeCell ref="A89:R89"/>
    <mergeCell ref="A95:R95"/>
    <mergeCell ref="A96:R96"/>
    <mergeCell ref="A90:R90"/>
    <mergeCell ref="A91:R91"/>
    <mergeCell ref="A92:R92"/>
    <mergeCell ref="A93:R93"/>
    <mergeCell ref="A94:R94"/>
  </mergeCells>
  <pageMargins left="0.75" right="0.75" top="1" bottom="1" header="0.5" footer="0.5"/>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1"/>
  <dimension ref="A1:R96"/>
  <sheetViews>
    <sheetView zoomScale="80" workbookViewId="0">
      <pane xSplit="4" topLeftCell="E1" activePane="topRight" state="frozen"/>
      <selection sqref="A1:R1"/>
      <selection pane="topRight" sqref="A1:R1"/>
    </sheetView>
  </sheetViews>
  <sheetFormatPr defaultColWidth="11.42578125" defaultRowHeight="15" x14ac:dyDescent="0.25"/>
  <cols>
    <col min="1" max="1" width="50" customWidth="1"/>
  </cols>
  <sheetData>
    <row r="1" spans="1:18" x14ac:dyDescent="0.25">
      <c r="A1" s="26" t="s">
        <v>122</v>
      </c>
      <c r="B1" s="23"/>
      <c r="C1" s="23"/>
      <c r="D1" s="23"/>
      <c r="E1" s="23"/>
      <c r="F1" s="23"/>
      <c r="G1" s="23"/>
      <c r="H1" s="23"/>
      <c r="I1" s="23"/>
      <c r="J1" s="23"/>
      <c r="K1" s="23"/>
      <c r="L1" s="23"/>
      <c r="M1" s="23"/>
      <c r="N1" s="23"/>
      <c r="O1" s="23"/>
      <c r="P1" s="23"/>
      <c r="Q1" s="23"/>
      <c r="R1" s="23"/>
    </row>
    <row r="2" spans="1:18" x14ac:dyDescent="0.25">
      <c r="A2" s="27" t="s">
        <v>307</v>
      </c>
      <c r="B2" s="23"/>
      <c r="C2" s="23"/>
      <c r="D2" s="23"/>
      <c r="E2" s="23"/>
      <c r="F2" s="23"/>
      <c r="G2" s="23"/>
      <c r="H2" s="23"/>
      <c r="I2" s="23"/>
      <c r="J2" s="23"/>
      <c r="K2" s="23"/>
      <c r="L2" s="23"/>
      <c r="M2" s="23"/>
      <c r="N2" s="23"/>
      <c r="O2" s="23"/>
      <c r="P2" s="23"/>
      <c r="Q2" s="23"/>
      <c r="R2" s="23"/>
    </row>
    <row r="4" spans="1:18" ht="30" customHeight="1" x14ac:dyDescent="0.25">
      <c r="A4" s="4"/>
      <c r="B4" s="5" t="s">
        <v>123</v>
      </c>
      <c r="C4" s="5" t="s">
        <v>124</v>
      </c>
      <c r="D4" s="6" t="s">
        <v>123</v>
      </c>
      <c r="E4" s="24" t="s">
        <v>125</v>
      </c>
      <c r="F4" s="25"/>
      <c r="G4" s="24" t="s">
        <v>126</v>
      </c>
      <c r="H4" s="25"/>
      <c r="I4" s="24" t="s">
        <v>127</v>
      </c>
      <c r="J4" s="25"/>
      <c r="K4" s="24" t="s">
        <v>128</v>
      </c>
      <c r="L4" s="25"/>
      <c r="M4" s="24" t="s">
        <v>129</v>
      </c>
      <c r="N4" s="25"/>
      <c r="O4" s="24" t="s">
        <v>130</v>
      </c>
      <c r="P4" s="25"/>
      <c r="Q4" s="24" t="s">
        <v>131</v>
      </c>
      <c r="R4" s="25"/>
    </row>
    <row r="5" spans="1:18" x14ac:dyDescent="0.25">
      <c r="A5" s="7"/>
      <c r="B5" s="8" t="s">
        <v>132</v>
      </c>
      <c r="C5" s="8" t="s">
        <v>133</v>
      </c>
      <c r="D5" s="7" t="s">
        <v>134</v>
      </c>
      <c r="E5" s="8" t="s">
        <v>135</v>
      </c>
      <c r="F5" s="7" t="s">
        <v>136</v>
      </c>
      <c r="G5" s="8" t="s">
        <v>135</v>
      </c>
      <c r="H5" s="7" t="s">
        <v>136</v>
      </c>
      <c r="I5" s="8" t="s">
        <v>135</v>
      </c>
      <c r="J5" s="7" t="s">
        <v>136</v>
      </c>
      <c r="K5" s="8" t="s">
        <v>135</v>
      </c>
      <c r="L5" s="7" t="s">
        <v>136</v>
      </c>
      <c r="M5" s="8" t="s">
        <v>135</v>
      </c>
      <c r="N5" s="7" t="s">
        <v>136</v>
      </c>
      <c r="O5" s="8" t="s">
        <v>135</v>
      </c>
      <c r="P5" s="7" t="s">
        <v>136</v>
      </c>
      <c r="Q5" s="8" t="s">
        <v>135</v>
      </c>
      <c r="R5" s="7" t="s">
        <v>136</v>
      </c>
    </row>
    <row r="6" spans="1:18" x14ac:dyDescent="0.25">
      <c r="A6" s="9" t="s">
        <v>137</v>
      </c>
      <c r="B6" s="10"/>
      <c r="C6" s="10"/>
      <c r="D6" s="11"/>
      <c r="E6" s="10"/>
      <c r="F6" s="11"/>
      <c r="G6" s="10"/>
      <c r="H6" s="11"/>
      <c r="I6" s="10"/>
      <c r="J6" s="11"/>
      <c r="K6" s="10"/>
      <c r="L6" s="11"/>
      <c r="M6" s="10"/>
      <c r="N6" s="11"/>
      <c r="O6" s="10"/>
      <c r="P6" s="11"/>
      <c r="Q6" s="10"/>
      <c r="R6" s="12"/>
    </row>
    <row r="7" spans="1:18" x14ac:dyDescent="0.25">
      <c r="A7" s="11" t="s">
        <v>138</v>
      </c>
      <c r="B7" s="13">
        <v>14530</v>
      </c>
      <c r="C7" s="14">
        <f>(12188/B7*100)</f>
        <v>83.881624225739841</v>
      </c>
      <c r="D7" s="15">
        <v>2342</v>
      </c>
      <c r="E7" s="14">
        <v>25.696501640000001</v>
      </c>
      <c r="F7" s="16">
        <v>0.99263424</v>
      </c>
      <c r="G7" s="14">
        <v>74.303498360000006</v>
      </c>
      <c r="H7" s="16">
        <v>0.99263424</v>
      </c>
      <c r="I7" s="14" t="s">
        <v>139</v>
      </c>
      <c r="J7" s="16" t="s">
        <v>139</v>
      </c>
      <c r="K7" s="14">
        <v>0</v>
      </c>
      <c r="L7" s="16">
        <v>0</v>
      </c>
      <c r="M7" s="14">
        <v>0</v>
      </c>
      <c r="N7" s="16">
        <v>0</v>
      </c>
      <c r="O7" s="14">
        <v>0</v>
      </c>
      <c r="P7" s="16">
        <v>0</v>
      </c>
      <c r="Q7" s="14">
        <v>0</v>
      </c>
      <c r="R7" s="16">
        <v>0</v>
      </c>
    </row>
    <row r="8" spans="1:18" x14ac:dyDescent="0.25">
      <c r="A8" s="11" t="s">
        <v>140</v>
      </c>
      <c r="B8" s="13">
        <v>7007</v>
      </c>
      <c r="C8" s="14">
        <f>(5837/B8*100)</f>
        <v>83.302411873840441</v>
      </c>
      <c r="D8" s="15">
        <v>1170</v>
      </c>
      <c r="E8" s="14">
        <v>19.507485989999999</v>
      </c>
      <c r="F8" s="16">
        <v>1.2030203100000001</v>
      </c>
      <c r="G8" s="14">
        <v>80.492514009999994</v>
      </c>
      <c r="H8" s="16">
        <v>1.2030203100000001</v>
      </c>
      <c r="I8" s="14" t="s">
        <v>139</v>
      </c>
      <c r="J8" s="16" t="s">
        <v>139</v>
      </c>
      <c r="K8" s="14">
        <v>0</v>
      </c>
      <c r="L8" s="16">
        <v>0</v>
      </c>
      <c r="M8" s="14">
        <v>0</v>
      </c>
      <c r="N8" s="16">
        <v>0</v>
      </c>
      <c r="O8" s="14">
        <v>0</v>
      </c>
      <c r="P8" s="16">
        <v>0</v>
      </c>
      <c r="Q8" s="14">
        <v>0</v>
      </c>
      <c r="R8" s="16">
        <v>0</v>
      </c>
    </row>
    <row r="9" spans="1:18" x14ac:dyDescent="0.25">
      <c r="A9" s="11" t="s">
        <v>141</v>
      </c>
      <c r="B9" s="13">
        <v>9651</v>
      </c>
      <c r="C9" s="14">
        <f>(8124/B9*100)</f>
        <v>84.17780540876592</v>
      </c>
      <c r="D9" s="15">
        <v>1527</v>
      </c>
      <c r="E9" s="14">
        <v>26.91094803</v>
      </c>
      <c r="F9" s="16">
        <v>1.33426735</v>
      </c>
      <c r="G9" s="14">
        <v>73.08905197</v>
      </c>
      <c r="H9" s="16">
        <v>1.33426735</v>
      </c>
      <c r="I9" s="14" t="s">
        <v>139</v>
      </c>
      <c r="J9" s="16" t="s">
        <v>139</v>
      </c>
      <c r="K9" s="14">
        <v>0</v>
      </c>
      <c r="L9" s="16">
        <v>0</v>
      </c>
      <c r="M9" s="14">
        <v>0</v>
      </c>
      <c r="N9" s="16">
        <v>0</v>
      </c>
      <c r="O9" s="14">
        <v>0</v>
      </c>
      <c r="P9" s="16">
        <v>0</v>
      </c>
      <c r="Q9" s="14">
        <v>0</v>
      </c>
      <c r="R9" s="16">
        <v>0</v>
      </c>
    </row>
    <row r="10" spans="1:18" x14ac:dyDescent="0.25">
      <c r="A10" s="11" t="s">
        <v>142</v>
      </c>
      <c r="B10" s="13">
        <v>20058</v>
      </c>
      <c r="C10" s="14">
        <f>(16690/B10*100)</f>
        <v>83.208694785123143</v>
      </c>
      <c r="D10" s="15">
        <v>3368</v>
      </c>
      <c r="E10" s="14">
        <v>25.709174969999999</v>
      </c>
      <c r="F10" s="16">
        <v>1.1067832399999999</v>
      </c>
      <c r="G10" s="14">
        <v>74.290825029999993</v>
      </c>
      <c r="H10" s="16">
        <v>1.1067832399999999</v>
      </c>
      <c r="I10" s="14" t="s">
        <v>139</v>
      </c>
      <c r="J10" s="16" t="s">
        <v>139</v>
      </c>
      <c r="K10" s="14">
        <v>0</v>
      </c>
      <c r="L10" s="16">
        <v>0</v>
      </c>
      <c r="M10" s="14">
        <v>0</v>
      </c>
      <c r="N10" s="16">
        <v>0</v>
      </c>
      <c r="O10" s="14">
        <v>0</v>
      </c>
      <c r="P10" s="16">
        <v>0</v>
      </c>
      <c r="Q10" s="14">
        <v>0</v>
      </c>
      <c r="R10" s="16">
        <v>0</v>
      </c>
    </row>
    <row r="11" spans="1:18" x14ac:dyDescent="0.25">
      <c r="A11" s="11" t="s">
        <v>143</v>
      </c>
      <c r="B11" s="13">
        <v>7053</v>
      </c>
      <c r="C11" s="14">
        <f>(5899/B11*100)</f>
        <v>83.638168155394865</v>
      </c>
      <c r="D11" s="15">
        <v>1154</v>
      </c>
      <c r="E11" s="14">
        <v>37.308731459999997</v>
      </c>
      <c r="F11" s="16">
        <v>1.4812488399999999</v>
      </c>
      <c r="G11" s="14">
        <v>62.691268540000003</v>
      </c>
      <c r="H11" s="16">
        <v>1.4812488399999999</v>
      </c>
      <c r="I11" s="14" t="s">
        <v>139</v>
      </c>
      <c r="J11" s="16" t="s">
        <v>139</v>
      </c>
      <c r="K11" s="14">
        <v>0</v>
      </c>
      <c r="L11" s="16">
        <v>0</v>
      </c>
      <c r="M11" s="14">
        <v>0</v>
      </c>
      <c r="N11" s="16">
        <v>0</v>
      </c>
      <c r="O11" s="14">
        <v>0</v>
      </c>
      <c r="P11" s="16">
        <v>0</v>
      </c>
      <c r="Q11" s="14">
        <v>0</v>
      </c>
      <c r="R11" s="16">
        <v>0</v>
      </c>
    </row>
    <row r="12" spans="1:18" x14ac:dyDescent="0.25">
      <c r="A12" s="11" t="s">
        <v>144</v>
      </c>
      <c r="B12" s="13">
        <v>6894</v>
      </c>
      <c r="C12" s="14">
        <f>(5764/B12*100)</f>
        <v>83.608935306063245</v>
      </c>
      <c r="D12" s="15">
        <v>1130</v>
      </c>
      <c r="E12" s="14">
        <v>21.389066509999999</v>
      </c>
      <c r="F12" s="16">
        <v>1.30728551</v>
      </c>
      <c r="G12" s="14">
        <v>78.610933489999994</v>
      </c>
      <c r="H12" s="16">
        <v>1.30728551</v>
      </c>
      <c r="I12" s="14" t="s">
        <v>139</v>
      </c>
      <c r="J12" s="16" t="s">
        <v>139</v>
      </c>
      <c r="K12" s="14">
        <v>0</v>
      </c>
      <c r="L12" s="16">
        <v>0</v>
      </c>
      <c r="M12" s="14">
        <v>0</v>
      </c>
      <c r="N12" s="16">
        <v>0</v>
      </c>
      <c r="O12" s="14">
        <v>0</v>
      </c>
      <c r="P12" s="16">
        <v>0</v>
      </c>
      <c r="Q12" s="14">
        <v>0</v>
      </c>
      <c r="R12" s="16">
        <v>0</v>
      </c>
    </row>
    <row r="13" spans="1:18" x14ac:dyDescent="0.25">
      <c r="A13" s="11" t="s">
        <v>145</v>
      </c>
      <c r="B13" s="13">
        <v>7161</v>
      </c>
      <c r="C13" s="14">
        <f>(6052/B13*100)</f>
        <v>84.513336126239352</v>
      </c>
      <c r="D13" s="15">
        <v>1109</v>
      </c>
      <c r="E13" s="14">
        <v>19.489172750000002</v>
      </c>
      <c r="F13" s="16">
        <v>1.3546684099999999</v>
      </c>
      <c r="G13" s="14">
        <v>80.510827250000006</v>
      </c>
      <c r="H13" s="16">
        <v>1.3546684099999999</v>
      </c>
      <c r="I13" s="14" t="s">
        <v>139</v>
      </c>
      <c r="J13" s="16" t="s">
        <v>139</v>
      </c>
      <c r="K13" s="14">
        <v>0</v>
      </c>
      <c r="L13" s="16">
        <v>0</v>
      </c>
      <c r="M13" s="14">
        <v>0</v>
      </c>
      <c r="N13" s="16">
        <v>0</v>
      </c>
      <c r="O13" s="14">
        <v>0</v>
      </c>
      <c r="P13" s="16">
        <v>0</v>
      </c>
      <c r="Q13" s="14">
        <v>0</v>
      </c>
      <c r="R13" s="16">
        <v>0</v>
      </c>
    </row>
    <row r="14" spans="1:18" x14ac:dyDescent="0.25">
      <c r="A14" s="11" t="s">
        <v>146</v>
      </c>
      <c r="B14" s="13">
        <v>5587</v>
      </c>
      <c r="C14" s="14">
        <f>(4649/B14*100)</f>
        <v>83.211025595131559</v>
      </c>
      <c r="D14" s="15">
        <v>938</v>
      </c>
      <c r="E14" s="14">
        <v>13.04273545</v>
      </c>
      <c r="F14" s="16">
        <v>1.3011600699999999</v>
      </c>
      <c r="G14" s="14">
        <v>86.957264550000005</v>
      </c>
      <c r="H14" s="16">
        <v>1.3011600699999999</v>
      </c>
      <c r="I14" s="14" t="s">
        <v>139</v>
      </c>
      <c r="J14" s="16" t="s">
        <v>139</v>
      </c>
      <c r="K14" s="14">
        <v>0</v>
      </c>
      <c r="L14" s="16">
        <v>0</v>
      </c>
      <c r="M14" s="14">
        <v>0</v>
      </c>
      <c r="N14" s="16">
        <v>0</v>
      </c>
      <c r="O14" s="14">
        <v>0</v>
      </c>
      <c r="P14" s="16">
        <v>0</v>
      </c>
      <c r="Q14" s="14">
        <v>0</v>
      </c>
      <c r="R14" s="16">
        <v>0</v>
      </c>
    </row>
    <row r="15" spans="1:18" x14ac:dyDescent="0.25">
      <c r="A15" s="11" t="s">
        <v>147</v>
      </c>
      <c r="B15" s="13">
        <v>5882</v>
      </c>
      <c r="C15" s="14">
        <f>(4896/B15*100)</f>
        <v>83.236994219653184</v>
      </c>
      <c r="D15" s="15">
        <v>986</v>
      </c>
      <c r="E15" s="14">
        <v>19.506081160000001</v>
      </c>
      <c r="F15" s="16">
        <v>1.2156029399999999</v>
      </c>
      <c r="G15" s="14">
        <v>80.493918840000006</v>
      </c>
      <c r="H15" s="16">
        <v>1.2156029399999999</v>
      </c>
      <c r="I15" s="14" t="s">
        <v>139</v>
      </c>
      <c r="J15" s="16" t="s">
        <v>139</v>
      </c>
      <c r="K15" s="14">
        <v>0</v>
      </c>
      <c r="L15" s="16">
        <v>0</v>
      </c>
      <c r="M15" s="14">
        <v>0</v>
      </c>
      <c r="N15" s="16">
        <v>0</v>
      </c>
      <c r="O15" s="14">
        <v>0</v>
      </c>
      <c r="P15" s="16">
        <v>0</v>
      </c>
      <c r="Q15" s="14">
        <v>0</v>
      </c>
      <c r="R15" s="16">
        <v>0</v>
      </c>
    </row>
    <row r="16" spans="1:18" x14ac:dyDescent="0.25">
      <c r="A16" s="11" t="s">
        <v>148</v>
      </c>
      <c r="B16" s="13">
        <v>6108</v>
      </c>
      <c r="C16" s="14">
        <f>(5078/B16*100)</f>
        <v>83.136869679109367</v>
      </c>
      <c r="D16" s="15">
        <v>1030</v>
      </c>
      <c r="E16" s="14">
        <v>29.25521067</v>
      </c>
      <c r="F16" s="16">
        <v>1.4819221300000001</v>
      </c>
      <c r="G16" s="14">
        <v>70.744789330000003</v>
      </c>
      <c r="H16" s="16">
        <v>1.4819221300000001</v>
      </c>
      <c r="I16" s="14" t="s">
        <v>139</v>
      </c>
      <c r="J16" s="16" t="s">
        <v>139</v>
      </c>
      <c r="K16" s="14">
        <v>0</v>
      </c>
      <c r="L16" s="16">
        <v>0</v>
      </c>
      <c r="M16" s="14">
        <v>0</v>
      </c>
      <c r="N16" s="16">
        <v>0</v>
      </c>
      <c r="O16" s="14">
        <v>0</v>
      </c>
      <c r="P16" s="16">
        <v>0</v>
      </c>
      <c r="Q16" s="14">
        <v>0</v>
      </c>
      <c r="R16" s="16">
        <v>0</v>
      </c>
    </row>
    <row r="17" spans="1:18" x14ac:dyDescent="0.25">
      <c r="A17" s="11" t="s">
        <v>149</v>
      </c>
      <c r="B17" s="13">
        <v>6504</v>
      </c>
      <c r="C17" s="14">
        <f>(5432/B17*100)</f>
        <v>83.517835178351788</v>
      </c>
      <c r="D17" s="15">
        <v>1072</v>
      </c>
      <c r="E17" s="14">
        <v>24.575076960000001</v>
      </c>
      <c r="F17" s="16">
        <v>1.3676025700000001</v>
      </c>
      <c r="G17" s="14">
        <v>75.424923039999996</v>
      </c>
      <c r="H17" s="16">
        <v>1.3676025700000001</v>
      </c>
      <c r="I17" s="14" t="s">
        <v>139</v>
      </c>
      <c r="J17" s="16" t="s">
        <v>139</v>
      </c>
      <c r="K17" s="14">
        <v>0</v>
      </c>
      <c r="L17" s="16">
        <v>0</v>
      </c>
      <c r="M17" s="14">
        <v>0</v>
      </c>
      <c r="N17" s="16">
        <v>0</v>
      </c>
      <c r="O17" s="14">
        <v>0</v>
      </c>
      <c r="P17" s="16">
        <v>0</v>
      </c>
      <c r="Q17" s="14">
        <v>0</v>
      </c>
      <c r="R17" s="16">
        <v>0</v>
      </c>
    </row>
    <row r="18" spans="1:18" x14ac:dyDescent="0.25">
      <c r="A18" s="11" t="s">
        <v>150</v>
      </c>
      <c r="B18" s="13">
        <v>5532</v>
      </c>
      <c r="C18" s="14">
        <f>(4633/B18*100)</f>
        <v>83.749096167751276</v>
      </c>
      <c r="D18" s="15">
        <v>899</v>
      </c>
      <c r="E18" s="14">
        <v>31.575931149999999</v>
      </c>
      <c r="F18" s="16">
        <v>1.66035022</v>
      </c>
      <c r="G18" s="14">
        <v>68.424068849999998</v>
      </c>
      <c r="H18" s="16">
        <v>1.66035022</v>
      </c>
      <c r="I18" s="14" t="s">
        <v>139</v>
      </c>
      <c r="J18" s="16" t="s">
        <v>139</v>
      </c>
      <c r="K18" s="14">
        <v>0</v>
      </c>
      <c r="L18" s="16">
        <v>0</v>
      </c>
      <c r="M18" s="14">
        <v>0</v>
      </c>
      <c r="N18" s="16">
        <v>0</v>
      </c>
      <c r="O18" s="14">
        <v>0</v>
      </c>
      <c r="P18" s="16">
        <v>0</v>
      </c>
      <c r="Q18" s="14">
        <v>0</v>
      </c>
      <c r="R18" s="16">
        <v>0</v>
      </c>
    </row>
    <row r="19" spans="1:18" x14ac:dyDescent="0.25">
      <c r="A19" s="11" t="s">
        <v>151</v>
      </c>
      <c r="B19" s="13">
        <v>5658</v>
      </c>
      <c r="C19" s="14">
        <f>(4733/B19*100)</f>
        <v>83.6514669494521</v>
      </c>
      <c r="D19" s="15">
        <v>925</v>
      </c>
      <c r="E19" s="14">
        <v>30.011289850000001</v>
      </c>
      <c r="F19" s="16">
        <v>1.6526443099999999</v>
      </c>
      <c r="G19" s="14">
        <v>69.988710150000003</v>
      </c>
      <c r="H19" s="16">
        <v>1.6526443099999999</v>
      </c>
      <c r="I19" s="14" t="s">
        <v>139</v>
      </c>
      <c r="J19" s="16" t="s">
        <v>139</v>
      </c>
      <c r="K19" s="14">
        <v>0</v>
      </c>
      <c r="L19" s="16">
        <v>0</v>
      </c>
      <c r="M19" s="14">
        <v>0</v>
      </c>
      <c r="N19" s="16">
        <v>0</v>
      </c>
      <c r="O19" s="14">
        <v>0</v>
      </c>
      <c r="P19" s="16">
        <v>0</v>
      </c>
      <c r="Q19" s="14">
        <v>0</v>
      </c>
      <c r="R19" s="16">
        <v>0</v>
      </c>
    </row>
    <row r="20" spans="1:18" x14ac:dyDescent="0.25">
      <c r="A20" s="11" t="s">
        <v>152</v>
      </c>
      <c r="B20" s="13">
        <v>3371</v>
      </c>
      <c r="C20" s="14">
        <f>(2823/B20*100)</f>
        <v>83.743696232571935</v>
      </c>
      <c r="D20" s="15">
        <v>548</v>
      </c>
      <c r="E20" s="14">
        <v>23.27643114</v>
      </c>
      <c r="F20" s="16">
        <v>1.6382729599999999</v>
      </c>
      <c r="G20" s="14">
        <v>76.72356886</v>
      </c>
      <c r="H20" s="16">
        <v>1.6382729599999999</v>
      </c>
      <c r="I20" s="14" t="s">
        <v>139</v>
      </c>
      <c r="J20" s="16" t="s">
        <v>139</v>
      </c>
      <c r="K20" s="14">
        <v>0</v>
      </c>
      <c r="L20" s="16">
        <v>0</v>
      </c>
      <c r="M20" s="14">
        <v>0</v>
      </c>
      <c r="N20" s="16">
        <v>0</v>
      </c>
      <c r="O20" s="14">
        <v>0</v>
      </c>
      <c r="P20" s="16">
        <v>0</v>
      </c>
      <c r="Q20" s="14">
        <v>0</v>
      </c>
      <c r="R20" s="16">
        <v>0</v>
      </c>
    </row>
    <row r="21" spans="1:18" x14ac:dyDescent="0.25">
      <c r="A21" s="11" t="s">
        <v>153</v>
      </c>
      <c r="B21" s="17" t="s">
        <v>154</v>
      </c>
      <c r="C21" s="17" t="s">
        <v>154</v>
      </c>
      <c r="D21" s="18" t="s">
        <v>154</v>
      </c>
      <c r="E21" s="17" t="s">
        <v>154</v>
      </c>
      <c r="F21" s="18" t="s">
        <v>154</v>
      </c>
      <c r="G21" s="17" t="s">
        <v>154</v>
      </c>
      <c r="H21" s="18" t="s">
        <v>154</v>
      </c>
      <c r="I21" s="17" t="s">
        <v>154</v>
      </c>
      <c r="J21" s="18" t="s">
        <v>154</v>
      </c>
      <c r="K21" s="17" t="s">
        <v>154</v>
      </c>
      <c r="L21" s="18" t="s">
        <v>154</v>
      </c>
      <c r="M21" s="17" t="s">
        <v>154</v>
      </c>
      <c r="N21" s="18" t="s">
        <v>154</v>
      </c>
      <c r="O21" s="17" t="s">
        <v>154</v>
      </c>
      <c r="P21" s="18" t="s">
        <v>154</v>
      </c>
      <c r="Q21" s="17" t="s">
        <v>154</v>
      </c>
      <c r="R21" s="18" t="s">
        <v>154</v>
      </c>
    </row>
    <row r="22" spans="1:18" x14ac:dyDescent="0.25">
      <c r="A22" s="11" t="s">
        <v>155</v>
      </c>
      <c r="B22" s="13">
        <v>6598</v>
      </c>
      <c r="C22" s="14">
        <f>(5586/B22*100)</f>
        <v>84.662018793573807</v>
      </c>
      <c r="D22" s="15">
        <v>1012</v>
      </c>
      <c r="E22" s="14">
        <v>31.33834177</v>
      </c>
      <c r="F22" s="16">
        <v>1.65753317</v>
      </c>
      <c r="G22" s="14">
        <v>68.66165823</v>
      </c>
      <c r="H22" s="16">
        <v>1.65753317</v>
      </c>
      <c r="I22" s="14" t="s">
        <v>139</v>
      </c>
      <c r="J22" s="16" t="s">
        <v>139</v>
      </c>
      <c r="K22" s="14">
        <v>0</v>
      </c>
      <c r="L22" s="16">
        <v>0</v>
      </c>
      <c r="M22" s="14">
        <v>0</v>
      </c>
      <c r="N22" s="16">
        <v>0</v>
      </c>
      <c r="O22" s="14">
        <v>0</v>
      </c>
      <c r="P22" s="16">
        <v>0</v>
      </c>
      <c r="Q22" s="14">
        <v>0</v>
      </c>
      <c r="R22" s="16">
        <v>0</v>
      </c>
    </row>
    <row r="23" spans="1:18" x14ac:dyDescent="0.25">
      <c r="A23" s="11" t="s">
        <v>156</v>
      </c>
      <c r="B23" s="13">
        <v>11583</v>
      </c>
      <c r="C23" s="14">
        <f>(9653/B23*100)</f>
        <v>83.337650004316671</v>
      </c>
      <c r="D23" s="15">
        <v>1930</v>
      </c>
      <c r="E23" s="14">
        <v>21.052087520000001</v>
      </c>
      <c r="F23" s="16">
        <v>1.4020897800000001</v>
      </c>
      <c r="G23" s="14">
        <v>78.947912479999999</v>
      </c>
      <c r="H23" s="16">
        <v>1.4020897800000001</v>
      </c>
      <c r="I23" s="14" t="s">
        <v>139</v>
      </c>
      <c r="J23" s="16" t="s">
        <v>139</v>
      </c>
      <c r="K23" s="14">
        <v>0</v>
      </c>
      <c r="L23" s="16">
        <v>0</v>
      </c>
      <c r="M23" s="14">
        <v>0</v>
      </c>
      <c r="N23" s="16">
        <v>0</v>
      </c>
      <c r="O23" s="14">
        <v>0</v>
      </c>
      <c r="P23" s="16">
        <v>0</v>
      </c>
      <c r="Q23" s="14">
        <v>0</v>
      </c>
      <c r="R23" s="16">
        <v>0</v>
      </c>
    </row>
    <row r="24" spans="1:18" x14ac:dyDescent="0.25">
      <c r="A24" s="11" t="s">
        <v>157</v>
      </c>
      <c r="B24" s="13">
        <v>6647</v>
      </c>
      <c r="C24" s="14">
        <f>(5482/B24*100)</f>
        <v>82.473296223860387</v>
      </c>
      <c r="D24" s="15">
        <v>1165</v>
      </c>
      <c r="E24" s="14">
        <v>30.468012470000001</v>
      </c>
      <c r="F24" s="16">
        <v>1.71467821</v>
      </c>
      <c r="G24" s="14">
        <v>69.531987529999995</v>
      </c>
      <c r="H24" s="16">
        <v>1.71467821</v>
      </c>
      <c r="I24" s="14" t="s">
        <v>139</v>
      </c>
      <c r="J24" s="16" t="s">
        <v>139</v>
      </c>
      <c r="K24" s="14">
        <v>0</v>
      </c>
      <c r="L24" s="16">
        <v>0</v>
      </c>
      <c r="M24" s="14">
        <v>0</v>
      </c>
      <c r="N24" s="16">
        <v>0</v>
      </c>
      <c r="O24" s="14">
        <v>0</v>
      </c>
      <c r="P24" s="16">
        <v>0</v>
      </c>
      <c r="Q24" s="14">
        <v>0</v>
      </c>
      <c r="R24" s="16">
        <v>0</v>
      </c>
    </row>
    <row r="25" spans="1:18" x14ac:dyDescent="0.25">
      <c r="A25" s="11" t="s">
        <v>158</v>
      </c>
      <c r="B25" s="13">
        <v>5581</v>
      </c>
      <c r="C25" s="14">
        <f>(4597/B25*100)</f>
        <v>82.368751119870993</v>
      </c>
      <c r="D25" s="15">
        <v>984</v>
      </c>
      <c r="E25" s="14">
        <v>27.322746540000001</v>
      </c>
      <c r="F25" s="16">
        <v>1.47000178</v>
      </c>
      <c r="G25" s="14">
        <v>72.677253460000003</v>
      </c>
      <c r="H25" s="16">
        <v>1.47000178</v>
      </c>
      <c r="I25" s="14" t="s">
        <v>139</v>
      </c>
      <c r="J25" s="16" t="s">
        <v>139</v>
      </c>
      <c r="K25" s="14">
        <v>0</v>
      </c>
      <c r="L25" s="16">
        <v>0</v>
      </c>
      <c r="M25" s="14">
        <v>0</v>
      </c>
      <c r="N25" s="16">
        <v>0</v>
      </c>
      <c r="O25" s="14">
        <v>0</v>
      </c>
      <c r="P25" s="16">
        <v>0</v>
      </c>
      <c r="Q25" s="14">
        <v>0</v>
      </c>
      <c r="R25" s="16">
        <v>0</v>
      </c>
    </row>
    <row r="26" spans="1:18" x14ac:dyDescent="0.25">
      <c r="A26" s="11" t="s">
        <v>159</v>
      </c>
      <c r="B26" s="13">
        <v>4869</v>
      </c>
      <c r="C26" s="14">
        <f>(4044/B26*100)</f>
        <v>83.056069008009857</v>
      </c>
      <c r="D26" s="15">
        <v>825</v>
      </c>
      <c r="E26" s="14">
        <v>18.284735019999999</v>
      </c>
      <c r="F26" s="16">
        <v>1.5402127699999999</v>
      </c>
      <c r="G26" s="14">
        <v>81.715264980000001</v>
      </c>
      <c r="H26" s="16">
        <v>1.5402127699999999</v>
      </c>
      <c r="I26" s="14" t="s">
        <v>139</v>
      </c>
      <c r="J26" s="16" t="s">
        <v>139</v>
      </c>
      <c r="K26" s="14">
        <v>0</v>
      </c>
      <c r="L26" s="16">
        <v>0</v>
      </c>
      <c r="M26" s="14">
        <v>0</v>
      </c>
      <c r="N26" s="16">
        <v>0</v>
      </c>
      <c r="O26" s="14">
        <v>0</v>
      </c>
      <c r="P26" s="16">
        <v>0</v>
      </c>
      <c r="Q26" s="14">
        <v>0</v>
      </c>
      <c r="R26" s="16">
        <v>0</v>
      </c>
    </row>
    <row r="27" spans="1:18" x14ac:dyDescent="0.25">
      <c r="A27" s="11" t="s">
        <v>160</v>
      </c>
      <c r="B27" s="13">
        <v>5299</v>
      </c>
      <c r="C27" s="14">
        <f>(4441/B27*100)</f>
        <v>83.808265710511421</v>
      </c>
      <c r="D27" s="15">
        <v>858</v>
      </c>
      <c r="E27" s="14">
        <v>31.000639110000002</v>
      </c>
      <c r="F27" s="16">
        <v>1.48158514</v>
      </c>
      <c r="G27" s="14">
        <v>68.999360890000005</v>
      </c>
      <c r="H27" s="16">
        <v>1.48158514</v>
      </c>
      <c r="I27" s="14" t="s">
        <v>139</v>
      </c>
      <c r="J27" s="16" t="s">
        <v>139</v>
      </c>
      <c r="K27" s="14">
        <v>0</v>
      </c>
      <c r="L27" s="16">
        <v>0</v>
      </c>
      <c r="M27" s="14">
        <v>0</v>
      </c>
      <c r="N27" s="16">
        <v>0</v>
      </c>
      <c r="O27" s="14">
        <v>0</v>
      </c>
      <c r="P27" s="16">
        <v>0</v>
      </c>
      <c r="Q27" s="14">
        <v>0</v>
      </c>
      <c r="R27" s="16">
        <v>0</v>
      </c>
    </row>
    <row r="28" spans="1:18" x14ac:dyDescent="0.25">
      <c r="A28" s="11" t="s">
        <v>161</v>
      </c>
      <c r="B28" s="13">
        <v>7568</v>
      </c>
      <c r="C28" s="14">
        <f>(6435/B28*100)</f>
        <v>85.029069767441854</v>
      </c>
      <c r="D28" s="15">
        <v>1133</v>
      </c>
      <c r="E28" s="14">
        <v>31.474462020000001</v>
      </c>
      <c r="F28" s="16">
        <v>1.65050158</v>
      </c>
      <c r="G28" s="14">
        <v>68.525537979999996</v>
      </c>
      <c r="H28" s="16">
        <v>1.65050158</v>
      </c>
      <c r="I28" s="14" t="s">
        <v>139</v>
      </c>
      <c r="J28" s="16" t="s">
        <v>139</v>
      </c>
      <c r="K28" s="14">
        <v>0</v>
      </c>
      <c r="L28" s="16">
        <v>0</v>
      </c>
      <c r="M28" s="14">
        <v>0</v>
      </c>
      <c r="N28" s="16">
        <v>0</v>
      </c>
      <c r="O28" s="14">
        <v>0</v>
      </c>
      <c r="P28" s="16">
        <v>0</v>
      </c>
      <c r="Q28" s="14">
        <v>0</v>
      </c>
      <c r="R28" s="16">
        <v>0</v>
      </c>
    </row>
    <row r="29" spans="1:18" x14ac:dyDescent="0.25">
      <c r="A29" s="11" t="s">
        <v>162</v>
      </c>
      <c r="B29" s="13">
        <v>5385</v>
      </c>
      <c r="C29" s="14">
        <f>(4468/B29*100)</f>
        <v>82.971216341689882</v>
      </c>
      <c r="D29" s="15">
        <v>917</v>
      </c>
      <c r="E29" s="14">
        <v>20.080836040000001</v>
      </c>
      <c r="F29" s="16">
        <v>1.4959396899999999</v>
      </c>
      <c r="G29" s="14">
        <v>79.919163960000006</v>
      </c>
      <c r="H29" s="16">
        <v>1.4959396899999999</v>
      </c>
      <c r="I29" s="14" t="s">
        <v>139</v>
      </c>
      <c r="J29" s="16" t="s">
        <v>139</v>
      </c>
      <c r="K29" s="14">
        <v>0</v>
      </c>
      <c r="L29" s="16">
        <v>0</v>
      </c>
      <c r="M29" s="14">
        <v>0</v>
      </c>
      <c r="N29" s="16">
        <v>0</v>
      </c>
      <c r="O29" s="14">
        <v>0</v>
      </c>
      <c r="P29" s="16">
        <v>0</v>
      </c>
      <c r="Q29" s="14">
        <v>0</v>
      </c>
      <c r="R29" s="16">
        <v>0</v>
      </c>
    </row>
    <row r="30" spans="1:18" x14ac:dyDescent="0.25">
      <c r="A30" s="11" t="s">
        <v>163</v>
      </c>
      <c r="B30" s="13">
        <v>4520</v>
      </c>
      <c r="C30" s="14">
        <f>(3789/B30*100)</f>
        <v>83.827433628318587</v>
      </c>
      <c r="D30" s="15">
        <v>731</v>
      </c>
      <c r="E30" s="14">
        <v>25.261294800000002</v>
      </c>
      <c r="F30" s="16">
        <v>1.26559299</v>
      </c>
      <c r="G30" s="14">
        <v>74.738705199999998</v>
      </c>
      <c r="H30" s="16">
        <v>1.26559299</v>
      </c>
      <c r="I30" s="14" t="s">
        <v>139</v>
      </c>
      <c r="J30" s="16" t="s">
        <v>139</v>
      </c>
      <c r="K30" s="14">
        <v>0</v>
      </c>
      <c r="L30" s="16">
        <v>0</v>
      </c>
      <c r="M30" s="14">
        <v>0</v>
      </c>
      <c r="N30" s="16">
        <v>0</v>
      </c>
      <c r="O30" s="14">
        <v>0</v>
      </c>
      <c r="P30" s="16">
        <v>0</v>
      </c>
      <c r="Q30" s="14">
        <v>0</v>
      </c>
      <c r="R30" s="16">
        <v>0</v>
      </c>
    </row>
    <row r="31" spans="1:18" x14ac:dyDescent="0.25">
      <c r="A31" s="11" t="s">
        <v>164</v>
      </c>
      <c r="B31" s="13">
        <v>5456</v>
      </c>
      <c r="C31" s="14">
        <f>(4512/B31*100)</f>
        <v>82.697947214076251</v>
      </c>
      <c r="D31" s="15">
        <v>944</v>
      </c>
      <c r="E31" s="14">
        <v>20.526934149999999</v>
      </c>
      <c r="F31" s="16">
        <v>1.3633677500000001</v>
      </c>
      <c r="G31" s="14">
        <v>79.473065849999998</v>
      </c>
      <c r="H31" s="16">
        <v>1.3633677500000001</v>
      </c>
      <c r="I31" s="14" t="s">
        <v>139</v>
      </c>
      <c r="J31" s="16" t="s">
        <v>139</v>
      </c>
      <c r="K31" s="14">
        <v>0</v>
      </c>
      <c r="L31" s="16">
        <v>0</v>
      </c>
      <c r="M31" s="14">
        <v>0</v>
      </c>
      <c r="N31" s="16">
        <v>0</v>
      </c>
      <c r="O31" s="14">
        <v>0</v>
      </c>
      <c r="P31" s="16">
        <v>0</v>
      </c>
      <c r="Q31" s="14">
        <v>0</v>
      </c>
      <c r="R31" s="16">
        <v>0</v>
      </c>
    </row>
    <row r="32" spans="1:18" x14ac:dyDescent="0.25">
      <c r="A32" s="11" t="s">
        <v>165</v>
      </c>
      <c r="B32" s="17" t="s">
        <v>154</v>
      </c>
      <c r="C32" s="17" t="s">
        <v>154</v>
      </c>
      <c r="D32" s="18" t="s">
        <v>154</v>
      </c>
      <c r="E32" s="17" t="s">
        <v>154</v>
      </c>
      <c r="F32" s="18" t="s">
        <v>154</v>
      </c>
      <c r="G32" s="17" t="s">
        <v>154</v>
      </c>
      <c r="H32" s="18" t="s">
        <v>154</v>
      </c>
      <c r="I32" s="17" t="s">
        <v>154</v>
      </c>
      <c r="J32" s="18" t="s">
        <v>154</v>
      </c>
      <c r="K32" s="17" t="s">
        <v>154</v>
      </c>
      <c r="L32" s="18" t="s">
        <v>154</v>
      </c>
      <c r="M32" s="17" t="s">
        <v>154</v>
      </c>
      <c r="N32" s="18" t="s">
        <v>154</v>
      </c>
      <c r="O32" s="17" t="s">
        <v>154</v>
      </c>
      <c r="P32" s="18" t="s">
        <v>154</v>
      </c>
      <c r="Q32" s="17" t="s">
        <v>154</v>
      </c>
      <c r="R32" s="18" t="s">
        <v>154</v>
      </c>
    </row>
    <row r="33" spans="1:18" x14ac:dyDescent="0.25">
      <c r="A33" s="11" t="s">
        <v>166</v>
      </c>
      <c r="B33" s="13">
        <v>7325</v>
      </c>
      <c r="C33" s="14">
        <f>(6115/B33*100)</f>
        <v>83.481228668941981</v>
      </c>
      <c r="D33" s="15">
        <v>1210</v>
      </c>
      <c r="E33" s="14">
        <v>15.39105835</v>
      </c>
      <c r="F33" s="16">
        <v>1.4244131799999999</v>
      </c>
      <c r="G33" s="14">
        <v>84.608941650000006</v>
      </c>
      <c r="H33" s="16">
        <v>1.4244131799999999</v>
      </c>
      <c r="I33" s="14" t="s">
        <v>139</v>
      </c>
      <c r="J33" s="16" t="s">
        <v>139</v>
      </c>
      <c r="K33" s="14">
        <v>0</v>
      </c>
      <c r="L33" s="16">
        <v>0</v>
      </c>
      <c r="M33" s="14">
        <v>0</v>
      </c>
      <c r="N33" s="16">
        <v>0</v>
      </c>
      <c r="O33" s="14">
        <v>0</v>
      </c>
      <c r="P33" s="16">
        <v>0</v>
      </c>
      <c r="Q33" s="14">
        <v>0</v>
      </c>
      <c r="R33" s="16">
        <v>0</v>
      </c>
    </row>
    <row r="34" spans="1:18" x14ac:dyDescent="0.25">
      <c r="A34" s="11" t="s">
        <v>167</v>
      </c>
      <c r="B34" s="13">
        <v>6350</v>
      </c>
      <c r="C34" s="14">
        <f>(5356/B34*100)</f>
        <v>84.346456692913392</v>
      </c>
      <c r="D34" s="15">
        <v>994</v>
      </c>
      <c r="E34" s="14">
        <v>24.934241629999999</v>
      </c>
      <c r="F34" s="16">
        <v>1.51759179</v>
      </c>
      <c r="G34" s="14">
        <v>75.065758369999998</v>
      </c>
      <c r="H34" s="16">
        <v>1.51759179</v>
      </c>
      <c r="I34" s="14" t="s">
        <v>139</v>
      </c>
      <c r="J34" s="16" t="s">
        <v>139</v>
      </c>
      <c r="K34" s="14">
        <v>0</v>
      </c>
      <c r="L34" s="16">
        <v>0</v>
      </c>
      <c r="M34" s="14">
        <v>0</v>
      </c>
      <c r="N34" s="16">
        <v>0</v>
      </c>
      <c r="O34" s="14">
        <v>0</v>
      </c>
      <c r="P34" s="16">
        <v>0</v>
      </c>
      <c r="Q34" s="14">
        <v>0</v>
      </c>
      <c r="R34" s="16">
        <v>0</v>
      </c>
    </row>
    <row r="35" spans="1:18" x14ac:dyDescent="0.25">
      <c r="A35" s="11" t="s">
        <v>168</v>
      </c>
      <c r="B35" s="13">
        <v>6406</v>
      </c>
      <c r="C35" s="14">
        <f>(5336/B35*100)</f>
        <v>83.296909147674057</v>
      </c>
      <c r="D35" s="15">
        <v>1070</v>
      </c>
      <c r="E35" s="14">
        <v>18.508202010000002</v>
      </c>
      <c r="F35" s="16">
        <v>1.3921931000000001</v>
      </c>
      <c r="G35" s="14">
        <v>81.491797989999995</v>
      </c>
      <c r="H35" s="16">
        <v>1.3921931000000001</v>
      </c>
      <c r="I35" s="14" t="s">
        <v>139</v>
      </c>
      <c r="J35" s="16" t="s">
        <v>139</v>
      </c>
      <c r="K35" s="14">
        <v>0</v>
      </c>
      <c r="L35" s="16">
        <v>0</v>
      </c>
      <c r="M35" s="14">
        <v>0</v>
      </c>
      <c r="N35" s="16">
        <v>0</v>
      </c>
      <c r="O35" s="14">
        <v>0</v>
      </c>
      <c r="P35" s="16">
        <v>0</v>
      </c>
      <c r="Q35" s="14">
        <v>0</v>
      </c>
      <c r="R35" s="16">
        <v>0</v>
      </c>
    </row>
    <row r="36" spans="1:18" x14ac:dyDescent="0.25">
      <c r="A36" s="11" t="s">
        <v>169</v>
      </c>
      <c r="B36" s="13">
        <v>6736</v>
      </c>
      <c r="C36" s="14">
        <f>(5649/B36*100)</f>
        <v>83.862826603325416</v>
      </c>
      <c r="D36" s="15">
        <v>1087</v>
      </c>
      <c r="E36" s="14">
        <v>28.386550310000001</v>
      </c>
      <c r="F36" s="16">
        <v>1.19500691</v>
      </c>
      <c r="G36" s="14">
        <v>71.613449689999996</v>
      </c>
      <c r="H36" s="16">
        <v>1.19500691</v>
      </c>
      <c r="I36" s="14" t="s">
        <v>139</v>
      </c>
      <c r="J36" s="16" t="s">
        <v>139</v>
      </c>
      <c r="K36" s="14">
        <v>0</v>
      </c>
      <c r="L36" s="16">
        <v>0</v>
      </c>
      <c r="M36" s="14">
        <v>0</v>
      </c>
      <c r="N36" s="16">
        <v>0</v>
      </c>
      <c r="O36" s="14">
        <v>0</v>
      </c>
      <c r="P36" s="16">
        <v>0</v>
      </c>
      <c r="Q36" s="14">
        <v>0</v>
      </c>
      <c r="R36" s="16">
        <v>0</v>
      </c>
    </row>
    <row r="37" spans="1:18" x14ac:dyDescent="0.25">
      <c r="A37" s="11" t="s">
        <v>170</v>
      </c>
      <c r="B37" s="13">
        <v>5458</v>
      </c>
      <c r="C37" s="14">
        <f>(4553/B37*100)</f>
        <v>83.418834737999276</v>
      </c>
      <c r="D37" s="15">
        <v>905</v>
      </c>
      <c r="E37" s="14">
        <v>19.4621295</v>
      </c>
      <c r="F37" s="16">
        <v>1.31880723</v>
      </c>
      <c r="G37" s="14">
        <v>80.537870499999997</v>
      </c>
      <c r="H37" s="16">
        <v>1.31880723</v>
      </c>
      <c r="I37" s="14" t="s">
        <v>139</v>
      </c>
      <c r="J37" s="16" t="s">
        <v>139</v>
      </c>
      <c r="K37" s="14">
        <v>0</v>
      </c>
      <c r="L37" s="16">
        <v>0</v>
      </c>
      <c r="M37" s="14">
        <v>0</v>
      </c>
      <c r="N37" s="16">
        <v>0</v>
      </c>
      <c r="O37" s="14">
        <v>0</v>
      </c>
      <c r="P37" s="16">
        <v>0</v>
      </c>
      <c r="Q37" s="14">
        <v>0</v>
      </c>
      <c r="R37" s="16">
        <v>0</v>
      </c>
    </row>
    <row r="38" spans="1:18" x14ac:dyDescent="0.25">
      <c r="A38" s="11" t="s">
        <v>171</v>
      </c>
      <c r="B38" s="17" t="s">
        <v>154</v>
      </c>
      <c r="C38" s="17" t="s">
        <v>154</v>
      </c>
      <c r="D38" s="18" t="s">
        <v>154</v>
      </c>
      <c r="E38" s="17" t="s">
        <v>154</v>
      </c>
      <c r="F38" s="18" t="s">
        <v>154</v>
      </c>
      <c r="G38" s="17" t="s">
        <v>154</v>
      </c>
      <c r="H38" s="18" t="s">
        <v>154</v>
      </c>
      <c r="I38" s="17" t="s">
        <v>154</v>
      </c>
      <c r="J38" s="18" t="s">
        <v>154</v>
      </c>
      <c r="K38" s="17" t="s">
        <v>154</v>
      </c>
      <c r="L38" s="18" t="s">
        <v>154</v>
      </c>
      <c r="M38" s="17" t="s">
        <v>154</v>
      </c>
      <c r="N38" s="18" t="s">
        <v>154</v>
      </c>
      <c r="O38" s="17" t="s">
        <v>154</v>
      </c>
      <c r="P38" s="18" t="s">
        <v>154</v>
      </c>
      <c r="Q38" s="17" t="s">
        <v>154</v>
      </c>
      <c r="R38" s="18" t="s">
        <v>154</v>
      </c>
    </row>
    <row r="39" spans="1:18" x14ac:dyDescent="0.25">
      <c r="A39" s="11" t="s">
        <v>172</v>
      </c>
      <c r="B39" s="13">
        <v>5895</v>
      </c>
      <c r="C39" s="14">
        <f>(4865/B39*100)</f>
        <v>82.527565733672603</v>
      </c>
      <c r="D39" s="15">
        <v>1030</v>
      </c>
      <c r="E39" s="14">
        <v>35.44915134</v>
      </c>
      <c r="F39" s="16">
        <v>1.9216136100000001</v>
      </c>
      <c r="G39" s="14">
        <v>64.55084866</v>
      </c>
      <c r="H39" s="16">
        <v>1.9216136100000001</v>
      </c>
      <c r="I39" s="14" t="s">
        <v>139</v>
      </c>
      <c r="J39" s="16" t="s">
        <v>139</v>
      </c>
      <c r="K39" s="14">
        <v>0</v>
      </c>
      <c r="L39" s="16">
        <v>0</v>
      </c>
      <c r="M39" s="14">
        <v>0</v>
      </c>
      <c r="N39" s="16">
        <v>0</v>
      </c>
      <c r="O39" s="14">
        <v>0</v>
      </c>
      <c r="P39" s="16">
        <v>0</v>
      </c>
      <c r="Q39" s="14">
        <v>0</v>
      </c>
      <c r="R39" s="16">
        <v>0</v>
      </c>
    </row>
    <row r="40" spans="1:18" x14ac:dyDescent="0.25">
      <c r="A40" s="11" t="s">
        <v>173</v>
      </c>
      <c r="B40" s="13">
        <v>14157</v>
      </c>
      <c r="C40" s="14">
        <f>(11700/B40*100)</f>
        <v>82.644628099173559</v>
      </c>
      <c r="D40" s="15">
        <v>2457</v>
      </c>
      <c r="E40" s="14">
        <v>28.540388490000002</v>
      </c>
      <c r="F40" s="16">
        <v>1.3557048300000001</v>
      </c>
      <c r="G40" s="14">
        <v>71.459611510000002</v>
      </c>
      <c r="H40" s="16">
        <v>1.3557048300000001</v>
      </c>
      <c r="I40" s="14" t="s">
        <v>139</v>
      </c>
      <c r="J40" s="16" t="s">
        <v>139</v>
      </c>
      <c r="K40" s="14">
        <v>0</v>
      </c>
      <c r="L40" s="16">
        <v>0</v>
      </c>
      <c r="M40" s="14">
        <v>0</v>
      </c>
      <c r="N40" s="16">
        <v>0</v>
      </c>
      <c r="O40" s="14">
        <v>0</v>
      </c>
      <c r="P40" s="16">
        <v>0</v>
      </c>
      <c r="Q40" s="14">
        <v>0</v>
      </c>
      <c r="R40" s="16">
        <v>0</v>
      </c>
    </row>
    <row r="41" spans="1:18" x14ac:dyDescent="0.25">
      <c r="A41" s="11" t="s">
        <v>174</v>
      </c>
      <c r="B41" s="13">
        <v>5712</v>
      </c>
      <c r="C41" s="14">
        <f>(4785/B41*100)</f>
        <v>83.77100840336135</v>
      </c>
      <c r="D41" s="15">
        <v>927</v>
      </c>
      <c r="E41" s="14">
        <v>27.461789670000002</v>
      </c>
      <c r="F41" s="16">
        <v>1.5138988200000001</v>
      </c>
      <c r="G41" s="14">
        <v>72.538210329999998</v>
      </c>
      <c r="H41" s="16">
        <v>1.5138988200000001</v>
      </c>
      <c r="I41" s="14" t="s">
        <v>139</v>
      </c>
      <c r="J41" s="16" t="s">
        <v>139</v>
      </c>
      <c r="K41" s="14">
        <v>0</v>
      </c>
      <c r="L41" s="16">
        <v>0</v>
      </c>
      <c r="M41" s="14">
        <v>0</v>
      </c>
      <c r="N41" s="16">
        <v>0</v>
      </c>
      <c r="O41" s="14">
        <v>0</v>
      </c>
      <c r="P41" s="16">
        <v>0</v>
      </c>
      <c r="Q41" s="14">
        <v>0</v>
      </c>
      <c r="R41" s="16">
        <v>0</v>
      </c>
    </row>
    <row r="42" spans="1:18" x14ac:dyDescent="0.25">
      <c r="A42" s="11" t="s">
        <v>175</v>
      </c>
      <c r="B42" s="13">
        <f>IF(COUNT(B7:B41) &gt; 0, AVERAGE(B7:B41), "\u2014")</f>
        <v>7266.90625</v>
      </c>
      <c r="C42" s="14">
        <f>IF(COUNT(C7:C41) &gt; 0, AVERAGE(C7:C41), "—")</f>
        <v>83.504972993809972</v>
      </c>
      <c r="D42" s="15">
        <f>IF(COUNT(D7:D41) &gt; 0, AVERAGE(D7:D41), "—")</f>
        <v>1199.28125</v>
      </c>
      <c r="E42" s="14">
        <f>IF(COUNT(E7:E41) &gt; 0, AVERAGE(E7:E41), "—")</f>
        <v>25.068669952187495</v>
      </c>
      <c r="F42" s="16">
        <f>IF(COUNT(F7:F41) &gt; 0, SQRT(SUMSQ(F7:F41)/(COUNT(F7:F41)*COUNT(F7:F41)) ), "—")</f>
        <v>0.25512176498871725</v>
      </c>
      <c r="G42" s="14">
        <f>IF(COUNT(G7:G41) &gt; 0, AVERAGE(G7:G41), "—")</f>
        <v>74.93133004781248</v>
      </c>
      <c r="H42" s="16">
        <f>IF(COUNT(H7:H41) &gt; 0, SQRT(SUMSQ(H7:H41)/(COUNT(H7:H41)*COUNT(H7:H41)) ), "—")</f>
        <v>0.25512176498871725</v>
      </c>
      <c r="I42" s="14" t="str">
        <f>IF(COUNT(I7:I41) &gt; 0, AVERAGE(I7:I41), "—")</f>
        <v>—</v>
      </c>
      <c r="J42" s="16" t="str">
        <f>IF(COUNT(J7:J41) &gt; 0, SQRT(SUMSQ(J7:J41)/(COUNT(J7:J41)*COUNT(J7:J41)) ), "—")</f>
        <v>—</v>
      </c>
      <c r="K42" s="14">
        <f>IF(COUNT(K7:K41) &gt; 0, AVERAGE(K7:K41), "—")</f>
        <v>0</v>
      </c>
      <c r="L42" s="16">
        <f>IF(COUNT(L7:L41) &gt; 0, SQRT(SUMSQ(L7:L41)/(COUNT(L7:L41)*COUNT(L7:L41)) ), "—")</f>
        <v>0</v>
      </c>
      <c r="M42" s="14">
        <f>IF(COUNT(M7:M41) &gt; 0, AVERAGE(M7:M41), "—")</f>
        <v>0</v>
      </c>
      <c r="N42" s="16">
        <f>IF(COUNT(N7:N41) &gt; 0, SQRT(SUMSQ(N7:N41)/(COUNT(N7:N41)*COUNT(N7:N41)) ), "—")</f>
        <v>0</v>
      </c>
      <c r="O42" s="14">
        <f>IF(COUNT(O7:O41) &gt; 0, AVERAGE(O7:O41), "—")</f>
        <v>0</v>
      </c>
      <c r="P42" s="16">
        <f>IF(COUNT(P7:P41) &gt; 0, SQRT(SUMSQ(P7:P41)/(COUNT(P7:P41)*COUNT(P7:P41)) ), "—")</f>
        <v>0</v>
      </c>
      <c r="Q42" s="14">
        <f>IF(COUNT(Q7:Q41) &gt; 0, AVERAGE(Q7:Q41), "—")</f>
        <v>0</v>
      </c>
      <c r="R42" s="16">
        <f>IF(COUNT(R7:R41) &gt; 0, SQRT(SUMSQ(R7:R41)/(COUNT(R7:R41)*COUNT(R7:R41)) ), "—")</f>
        <v>0</v>
      </c>
    </row>
    <row r="43" spans="1:18" x14ac:dyDescent="0.25">
      <c r="A43" s="9" t="s">
        <v>176</v>
      </c>
      <c r="B43" s="10"/>
      <c r="C43" s="10"/>
      <c r="D43" s="11"/>
      <c r="E43" s="10"/>
      <c r="F43" s="11"/>
      <c r="G43" s="10"/>
      <c r="H43" s="11"/>
      <c r="I43" s="10"/>
      <c r="J43" s="11"/>
      <c r="K43" s="10"/>
      <c r="L43" s="11"/>
      <c r="M43" s="10"/>
      <c r="N43" s="11"/>
      <c r="O43" s="10"/>
      <c r="P43" s="11"/>
      <c r="Q43" s="10"/>
      <c r="R43" s="12"/>
    </row>
    <row r="44" spans="1:18" x14ac:dyDescent="0.25">
      <c r="A44" s="11" t="s">
        <v>177</v>
      </c>
      <c r="B44" s="17" t="s">
        <v>154</v>
      </c>
      <c r="C44" s="17" t="s">
        <v>154</v>
      </c>
      <c r="D44" s="18" t="s">
        <v>154</v>
      </c>
      <c r="E44" s="17" t="s">
        <v>154</v>
      </c>
      <c r="F44" s="18" t="s">
        <v>154</v>
      </c>
      <c r="G44" s="17" t="s">
        <v>154</v>
      </c>
      <c r="H44" s="18" t="s">
        <v>154</v>
      </c>
      <c r="I44" s="17" t="s">
        <v>154</v>
      </c>
      <c r="J44" s="18" t="s">
        <v>154</v>
      </c>
      <c r="K44" s="17" t="s">
        <v>154</v>
      </c>
      <c r="L44" s="18" t="s">
        <v>154</v>
      </c>
      <c r="M44" s="17" t="s">
        <v>154</v>
      </c>
      <c r="N44" s="18" t="s">
        <v>154</v>
      </c>
      <c r="O44" s="17" t="s">
        <v>154</v>
      </c>
      <c r="P44" s="18" t="s">
        <v>154</v>
      </c>
      <c r="Q44" s="17" t="s">
        <v>154</v>
      </c>
      <c r="R44" s="18" t="s">
        <v>154</v>
      </c>
    </row>
    <row r="45" spans="1:18" x14ac:dyDescent="0.25">
      <c r="A45" s="11" t="s">
        <v>178</v>
      </c>
      <c r="B45" s="17" t="s">
        <v>154</v>
      </c>
      <c r="C45" s="17" t="s">
        <v>154</v>
      </c>
      <c r="D45" s="18" t="s">
        <v>154</v>
      </c>
      <c r="E45" s="17" t="s">
        <v>154</v>
      </c>
      <c r="F45" s="18" t="s">
        <v>154</v>
      </c>
      <c r="G45" s="17" t="s">
        <v>154</v>
      </c>
      <c r="H45" s="18" t="s">
        <v>154</v>
      </c>
      <c r="I45" s="17" t="s">
        <v>154</v>
      </c>
      <c r="J45" s="18" t="s">
        <v>154</v>
      </c>
      <c r="K45" s="17" t="s">
        <v>154</v>
      </c>
      <c r="L45" s="18" t="s">
        <v>154</v>
      </c>
      <c r="M45" s="17" t="s">
        <v>154</v>
      </c>
      <c r="N45" s="18" t="s">
        <v>154</v>
      </c>
      <c r="O45" s="17" t="s">
        <v>154</v>
      </c>
      <c r="P45" s="18" t="s">
        <v>154</v>
      </c>
      <c r="Q45" s="17" t="s">
        <v>154</v>
      </c>
      <c r="R45" s="18" t="s">
        <v>154</v>
      </c>
    </row>
    <row r="46" spans="1:18" x14ac:dyDescent="0.25">
      <c r="A46" s="11" t="s">
        <v>179</v>
      </c>
      <c r="B46" s="13">
        <v>23141</v>
      </c>
      <c r="C46" s="14">
        <f>(20323/B46*100)</f>
        <v>87.822479581694822</v>
      </c>
      <c r="D46" s="15">
        <v>2818</v>
      </c>
      <c r="E46" s="14">
        <v>35.658025440000003</v>
      </c>
      <c r="F46" s="16">
        <v>1.1516944600000001</v>
      </c>
      <c r="G46" s="14">
        <v>64.341974559999997</v>
      </c>
      <c r="H46" s="16">
        <v>1.1516944600000001</v>
      </c>
      <c r="I46" s="14" t="s">
        <v>139</v>
      </c>
      <c r="J46" s="16" t="s">
        <v>139</v>
      </c>
      <c r="K46" s="14">
        <v>0</v>
      </c>
      <c r="L46" s="16">
        <v>0</v>
      </c>
      <c r="M46" s="14">
        <v>0</v>
      </c>
      <c r="N46" s="16">
        <v>0</v>
      </c>
      <c r="O46" s="14">
        <v>0</v>
      </c>
      <c r="P46" s="16">
        <v>0</v>
      </c>
      <c r="Q46" s="14">
        <v>0</v>
      </c>
      <c r="R46" s="16">
        <v>0</v>
      </c>
    </row>
    <row r="47" spans="1:18" x14ac:dyDescent="0.25">
      <c r="A47" s="11" t="s">
        <v>180</v>
      </c>
      <c r="B47" s="13">
        <v>5928</v>
      </c>
      <c r="C47" s="14">
        <f>(4983/B47*100)</f>
        <v>84.058704453441294</v>
      </c>
      <c r="D47" s="15">
        <v>945</v>
      </c>
      <c r="E47" s="14">
        <v>35.079438889999999</v>
      </c>
      <c r="F47" s="16">
        <v>2.0638769199999998</v>
      </c>
      <c r="G47" s="14">
        <v>64.920561109999994</v>
      </c>
      <c r="H47" s="16">
        <v>2.0638769199999998</v>
      </c>
      <c r="I47" s="14" t="s">
        <v>139</v>
      </c>
      <c r="J47" s="16" t="s">
        <v>139</v>
      </c>
      <c r="K47" s="14">
        <v>0</v>
      </c>
      <c r="L47" s="16">
        <v>0</v>
      </c>
      <c r="M47" s="14">
        <v>0</v>
      </c>
      <c r="N47" s="16">
        <v>0</v>
      </c>
      <c r="O47" s="14">
        <v>0</v>
      </c>
      <c r="P47" s="16">
        <v>0</v>
      </c>
      <c r="Q47" s="14">
        <v>0</v>
      </c>
      <c r="R47" s="16">
        <v>0</v>
      </c>
    </row>
    <row r="48" spans="1:18" x14ac:dyDescent="0.25">
      <c r="A48" s="11" t="s">
        <v>181</v>
      </c>
      <c r="B48" s="13">
        <v>9841</v>
      </c>
      <c r="C48" s="14">
        <f>(8156/B48*100)</f>
        <v>82.877756325576669</v>
      </c>
      <c r="D48" s="15">
        <v>1685</v>
      </c>
      <c r="E48" s="14">
        <v>30.187369539999999</v>
      </c>
      <c r="F48" s="16">
        <v>1.4888381799999999</v>
      </c>
      <c r="G48" s="14">
        <v>69.812630459999994</v>
      </c>
      <c r="H48" s="16">
        <v>1.4888381799999999</v>
      </c>
      <c r="I48" s="14" t="s">
        <v>139</v>
      </c>
      <c r="J48" s="16" t="s">
        <v>139</v>
      </c>
      <c r="K48" s="14">
        <v>0</v>
      </c>
      <c r="L48" s="16">
        <v>0</v>
      </c>
      <c r="M48" s="14">
        <v>0</v>
      </c>
      <c r="N48" s="16">
        <v>0</v>
      </c>
      <c r="O48" s="14">
        <v>0</v>
      </c>
      <c r="P48" s="16">
        <v>0</v>
      </c>
      <c r="Q48" s="14">
        <v>0</v>
      </c>
      <c r="R48" s="16">
        <v>0</v>
      </c>
    </row>
    <row r="49" spans="1:18" x14ac:dyDescent="0.25">
      <c r="A49" s="11" t="s">
        <v>182</v>
      </c>
      <c r="B49" s="17" t="s">
        <v>154</v>
      </c>
      <c r="C49" s="17" t="s">
        <v>154</v>
      </c>
      <c r="D49" s="18" t="s">
        <v>154</v>
      </c>
      <c r="E49" s="17" t="s">
        <v>154</v>
      </c>
      <c r="F49" s="18" t="s">
        <v>154</v>
      </c>
      <c r="G49" s="17" t="s">
        <v>154</v>
      </c>
      <c r="H49" s="18" t="s">
        <v>154</v>
      </c>
      <c r="I49" s="17" t="s">
        <v>154</v>
      </c>
      <c r="J49" s="18" t="s">
        <v>154</v>
      </c>
      <c r="K49" s="17" t="s">
        <v>154</v>
      </c>
      <c r="L49" s="18" t="s">
        <v>154</v>
      </c>
      <c r="M49" s="17" t="s">
        <v>154</v>
      </c>
      <c r="N49" s="18" t="s">
        <v>154</v>
      </c>
      <c r="O49" s="17" t="s">
        <v>154</v>
      </c>
      <c r="P49" s="18" t="s">
        <v>154</v>
      </c>
      <c r="Q49" s="17" t="s">
        <v>154</v>
      </c>
      <c r="R49" s="18" t="s">
        <v>154</v>
      </c>
    </row>
    <row r="50" spans="1:18" x14ac:dyDescent="0.25">
      <c r="A50" s="11" t="s">
        <v>183</v>
      </c>
      <c r="B50" s="13">
        <v>11795</v>
      </c>
      <c r="C50" s="14">
        <f>(9958/B50*100)</f>
        <v>84.425604069520986</v>
      </c>
      <c r="D50" s="15">
        <v>1837</v>
      </c>
      <c r="E50" s="14">
        <v>33.130265350000002</v>
      </c>
      <c r="F50" s="16">
        <v>1.61219585</v>
      </c>
      <c r="G50" s="14">
        <v>66.869734649999998</v>
      </c>
      <c r="H50" s="16">
        <v>1.61219585</v>
      </c>
      <c r="I50" s="14" t="s">
        <v>139</v>
      </c>
      <c r="J50" s="16" t="s">
        <v>139</v>
      </c>
      <c r="K50" s="14">
        <v>0</v>
      </c>
      <c r="L50" s="16">
        <v>0</v>
      </c>
      <c r="M50" s="14">
        <v>0</v>
      </c>
      <c r="N50" s="16">
        <v>0</v>
      </c>
      <c r="O50" s="14">
        <v>0</v>
      </c>
      <c r="P50" s="16">
        <v>0</v>
      </c>
      <c r="Q50" s="14">
        <v>0</v>
      </c>
      <c r="R50" s="16">
        <v>0</v>
      </c>
    </row>
    <row r="51" spans="1:18" x14ac:dyDescent="0.25">
      <c r="A51" s="11" t="s">
        <v>184</v>
      </c>
      <c r="B51" s="13">
        <v>6866</v>
      </c>
      <c r="C51" s="14">
        <f>(5911/B51*100)</f>
        <v>86.090882609962122</v>
      </c>
      <c r="D51" s="15">
        <v>955</v>
      </c>
      <c r="E51" s="14">
        <v>30.840263570000001</v>
      </c>
      <c r="F51" s="16">
        <v>1.7207850099999999</v>
      </c>
      <c r="G51" s="14">
        <v>69.159736429999995</v>
      </c>
      <c r="H51" s="16">
        <v>1.7207850099999999</v>
      </c>
      <c r="I51" s="14" t="s">
        <v>139</v>
      </c>
      <c r="J51" s="16" t="s">
        <v>139</v>
      </c>
      <c r="K51" s="14">
        <v>0</v>
      </c>
      <c r="L51" s="16">
        <v>0</v>
      </c>
      <c r="M51" s="14">
        <v>0</v>
      </c>
      <c r="N51" s="16">
        <v>0</v>
      </c>
      <c r="O51" s="14">
        <v>0</v>
      </c>
      <c r="P51" s="16">
        <v>0</v>
      </c>
      <c r="Q51" s="14">
        <v>0</v>
      </c>
      <c r="R51" s="16">
        <v>0</v>
      </c>
    </row>
    <row r="52" spans="1:18" x14ac:dyDescent="0.25">
      <c r="A52" s="11" t="s">
        <v>185</v>
      </c>
      <c r="B52" s="13">
        <v>5809</v>
      </c>
      <c r="C52" s="14">
        <f>(4832/B52*100)</f>
        <v>83.181270442416945</v>
      </c>
      <c r="D52" s="15">
        <v>977</v>
      </c>
      <c r="E52" s="14">
        <v>20.120206599999999</v>
      </c>
      <c r="F52" s="16">
        <v>1.5174664499999999</v>
      </c>
      <c r="G52" s="14">
        <v>79.879793399999997</v>
      </c>
      <c r="H52" s="16">
        <v>1.5174664499999999</v>
      </c>
      <c r="I52" s="14" t="s">
        <v>139</v>
      </c>
      <c r="J52" s="16" t="s">
        <v>139</v>
      </c>
      <c r="K52" s="14">
        <v>0</v>
      </c>
      <c r="L52" s="16">
        <v>0</v>
      </c>
      <c r="M52" s="14">
        <v>0</v>
      </c>
      <c r="N52" s="16">
        <v>0</v>
      </c>
      <c r="O52" s="14">
        <v>0</v>
      </c>
      <c r="P52" s="16">
        <v>0</v>
      </c>
      <c r="Q52" s="14">
        <v>0</v>
      </c>
      <c r="R52" s="16">
        <v>0</v>
      </c>
    </row>
    <row r="53" spans="1:18" x14ac:dyDescent="0.25">
      <c r="A53" s="11" t="s">
        <v>186</v>
      </c>
      <c r="B53" s="13">
        <v>5571</v>
      </c>
      <c r="C53" s="14">
        <f>(4622/B53*100)</f>
        <v>82.965356309459708</v>
      </c>
      <c r="D53" s="15">
        <v>949</v>
      </c>
      <c r="E53" s="14">
        <v>36.40657977</v>
      </c>
      <c r="F53" s="16">
        <v>1.67246239</v>
      </c>
      <c r="G53" s="14">
        <v>63.59342023</v>
      </c>
      <c r="H53" s="16">
        <v>1.67246239</v>
      </c>
      <c r="I53" s="14" t="s">
        <v>139</v>
      </c>
      <c r="J53" s="16" t="s">
        <v>139</v>
      </c>
      <c r="K53" s="14">
        <v>0</v>
      </c>
      <c r="L53" s="16">
        <v>0</v>
      </c>
      <c r="M53" s="14">
        <v>0</v>
      </c>
      <c r="N53" s="16">
        <v>0</v>
      </c>
      <c r="O53" s="14">
        <v>0</v>
      </c>
      <c r="P53" s="16">
        <v>0</v>
      </c>
      <c r="Q53" s="14">
        <v>0</v>
      </c>
      <c r="R53" s="16">
        <v>0</v>
      </c>
    </row>
    <row r="54" spans="1:18" x14ac:dyDescent="0.25">
      <c r="A54" s="11" t="s">
        <v>187</v>
      </c>
      <c r="B54" s="17" t="s">
        <v>154</v>
      </c>
      <c r="C54" s="17" t="s">
        <v>154</v>
      </c>
      <c r="D54" s="18" t="s">
        <v>154</v>
      </c>
      <c r="E54" s="17" t="s">
        <v>154</v>
      </c>
      <c r="F54" s="18" t="s">
        <v>154</v>
      </c>
      <c r="G54" s="17" t="s">
        <v>154</v>
      </c>
      <c r="H54" s="18" t="s">
        <v>154</v>
      </c>
      <c r="I54" s="17" t="s">
        <v>154</v>
      </c>
      <c r="J54" s="18" t="s">
        <v>154</v>
      </c>
      <c r="K54" s="17" t="s">
        <v>154</v>
      </c>
      <c r="L54" s="18" t="s">
        <v>154</v>
      </c>
      <c r="M54" s="17" t="s">
        <v>154</v>
      </c>
      <c r="N54" s="18" t="s">
        <v>154</v>
      </c>
      <c r="O54" s="17" t="s">
        <v>154</v>
      </c>
      <c r="P54" s="18" t="s">
        <v>154</v>
      </c>
      <c r="Q54" s="17" t="s">
        <v>154</v>
      </c>
      <c r="R54" s="18" t="s">
        <v>154</v>
      </c>
    </row>
    <row r="55" spans="1:18" x14ac:dyDescent="0.25">
      <c r="A55" s="11" t="s">
        <v>188</v>
      </c>
      <c r="B55" s="17" t="s">
        <v>154</v>
      </c>
      <c r="C55" s="17" t="s">
        <v>154</v>
      </c>
      <c r="D55" s="18" t="s">
        <v>154</v>
      </c>
      <c r="E55" s="17" t="s">
        <v>154</v>
      </c>
      <c r="F55" s="18" t="s">
        <v>154</v>
      </c>
      <c r="G55" s="17" t="s">
        <v>154</v>
      </c>
      <c r="H55" s="18" t="s">
        <v>154</v>
      </c>
      <c r="I55" s="17" t="s">
        <v>154</v>
      </c>
      <c r="J55" s="18" t="s">
        <v>154</v>
      </c>
      <c r="K55" s="17" t="s">
        <v>154</v>
      </c>
      <c r="L55" s="18" t="s">
        <v>154</v>
      </c>
      <c r="M55" s="17" t="s">
        <v>154</v>
      </c>
      <c r="N55" s="18" t="s">
        <v>154</v>
      </c>
      <c r="O55" s="17" t="s">
        <v>154</v>
      </c>
      <c r="P55" s="18" t="s">
        <v>154</v>
      </c>
      <c r="Q55" s="17" t="s">
        <v>154</v>
      </c>
      <c r="R55" s="18" t="s">
        <v>154</v>
      </c>
    </row>
    <row r="56" spans="1:18" x14ac:dyDescent="0.25">
      <c r="A56" s="11" t="s">
        <v>189</v>
      </c>
      <c r="B56" s="13">
        <v>5359</v>
      </c>
      <c r="C56" s="14">
        <f>(4423/B56*100)</f>
        <v>82.534054860981527</v>
      </c>
      <c r="D56" s="15">
        <v>936</v>
      </c>
      <c r="E56" s="14">
        <v>28.19078202</v>
      </c>
      <c r="F56" s="16">
        <v>1.72667371</v>
      </c>
      <c r="G56" s="14">
        <v>71.80921798</v>
      </c>
      <c r="H56" s="16">
        <v>1.72667371</v>
      </c>
      <c r="I56" s="14" t="s">
        <v>139</v>
      </c>
      <c r="J56" s="16" t="s">
        <v>139</v>
      </c>
      <c r="K56" s="14">
        <v>0</v>
      </c>
      <c r="L56" s="16">
        <v>0</v>
      </c>
      <c r="M56" s="14">
        <v>0</v>
      </c>
      <c r="N56" s="16">
        <v>0</v>
      </c>
      <c r="O56" s="14">
        <v>0</v>
      </c>
      <c r="P56" s="16">
        <v>0</v>
      </c>
      <c r="Q56" s="14">
        <v>0</v>
      </c>
      <c r="R56" s="16">
        <v>0</v>
      </c>
    </row>
    <row r="57" spans="1:18" x14ac:dyDescent="0.25">
      <c r="A57" s="11" t="s">
        <v>190</v>
      </c>
      <c r="B57" s="17" t="s">
        <v>154</v>
      </c>
      <c r="C57" s="17" t="s">
        <v>154</v>
      </c>
      <c r="D57" s="18" t="s">
        <v>154</v>
      </c>
      <c r="E57" s="17" t="s">
        <v>154</v>
      </c>
      <c r="F57" s="18" t="s">
        <v>154</v>
      </c>
      <c r="G57" s="17" t="s">
        <v>154</v>
      </c>
      <c r="H57" s="18" t="s">
        <v>154</v>
      </c>
      <c r="I57" s="17" t="s">
        <v>154</v>
      </c>
      <c r="J57" s="18" t="s">
        <v>154</v>
      </c>
      <c r="K57" s="17" t="s">
        <v>154</v>
      </c>
      <c r="L57" s="18" t="s">
        <v>154</v>
      </c>
      <c r="M57" s="17" t="s">
        <v>154</v>
      </c>
      <c r="N57" s="18" t="s">
        <v>154</v>
      </c>
      <c r="O57" s="17" t="s">
        <v>154</v>
      </c>
      <c r="P57" s="18" t="s">
        <v>154</v>
      </c>
      <c r="Q57" s="17" t="s">
        <v>154</v>
      </c>
      <c r="R57" s="18" t="s">
        <v>154</v>
      </c>
    </row>
    <row r="58" spans="1:18" x14ac:dyDescent="0.25">
      <c r="A58" s="11" t="s">
        <v>191</v>
      </c>
      <c r="B58" s="17" t="s">
        <v>154</v>
      </c>
      <c r="C58" s="17" t="s">
        <v>154</v>
      </c>
      <c r="D58" s="18" t="s">
        <v>154</v>
      </c>
      <c r="E58" s="17" t="s">
        <v>154</v>
      </c>
      <c r="F58" s="18" t="s">
        <v>154</v>
      </c>
      <c r="G58" s="17" t="s">
        <v>154</v>
      </c>
      <c r="H58" s="18" t="s">
        <v>154</v>
      </c>
      <c r="I58" s="17" t="s">
        <v>154</v>
      </c>
      <c r="J58" s="18" t="s">
        <v>154</v>
      </c>
      <c r="K58" s="17" t="s">
        <v>154</v>
      </c>
      <c r="L58" s="18" t="s">
        <v>154</v>
      </c>
      <c r="M58" s="17" t="s">
        <v>154</v>
      </c>
      <c r="N58" s="18" t="s">
        <v>154</v>
      </c>
      <c r="O58" s="17" t="s">
        <v>154</v>
      </c>
      <c r="P58" s="18" t="s">
        <v>154</v>
      </c>
      <c r="Q58" s="17" t="s">
        <v>154</v>
      </c>
      <c r="R58" s="18" t="s">
        <v>154</v>
      </c>
    </row>
    <row r="59" spans="1:18" x14ac:dyDescent="0.25">
      <c r="A59" s="11" t="s">
        <v>192</v>
      </c>
      <c r="B59" s="17" t="s">
        <v>154</v>
      </c>
      <c r="C59" s="17" t="s">
        <v>154</v>
      </c>
      <c r="D59" s="18" t="s">
        <v>154</v>
      </c>
      <c r="E59" s="17" t="s">
        <v>154</v>
      </c>
      <c r="F59" s="18" t="s">
        <v>154</v>
      </c>
      <c r="G59" s="17" t="s">
        <v>154</v>
      </c>
      <c r="H59" s="18" t="s">
        <v>154</v>
      </c>
      <c r="I59" s="17" t="s">
        <v>154</v>
      </c>
      <c r="J59" s="18" t="s">
        <v>154</v>
      </c>
      <c r="K59" s="17" t="s">
        <v>154</v>
      </c>
      <c r="L59" s="18" t="s">
        <v>154</v>
      </c>
      <c r="M59" s="17" t="s">
        <v>154</v>
      </c>
      <c r="N59" s="18" t="s">
        <v>154</v>
      </c>
      <c r="O59" s="17" t="s">
        <v>154</v>
      </c>
      <c r="P59" s="18" t="s">
        <v>154</v>
      </c>
      <c r="Q59" s="17" t="s">
        <v>154</v>
      </c>
      <c r="R59" s="18" t="s">
        <v>154</v>
      </c>
    </row>
    <row r="60" spans="1:18" x14ac:dyDescent="0.25">
      <c r="A60" s="11" t="s">
        <v>193</v>
      </c>
      <c r="B60" s="17" t="s">
        <v>154</v>
      </c>
      <c r="C60" s="17" t="s">
        <v>154</v>
      </c>
      <c r="D60" s="18" t="s">
        <v>154</v>
      </c>
      <c r="E60" s="17" t="s">
        <v>154</v>
      </c>
      <c r="F60" s="18" t="s">
        <v>154</v>
      </c>
      <c r="G60" s="17" t="s">
        <v>154</v>
      </c>
      <c r="H60" s="18" t="s">
        <v>154</v>
      </c>
      <c r="I60" s="17" t="s">
        <v>154</v>
      </c>
      <c r="J60" s="18" t="s">
        <v>154</v>
      </c>
      <c r="K60" s="17" t="s">
        <v>154</v>
      </c>
      <c r="L60" s="18" t="s">
        <v>154</v>
      </c>
      <c r="M60" s="17" t="s">
        <v>154</v>
      </c>
      <c r="N60" s="18" t="s">
        <v>154</v>
      </c>
      <c r="O60" s="17" t="s">
        <v>154</v>
      </c>
      <c r="P60" s="18" t="s">
        <v>154</v>
      </c>
      <c r="Q60" s="17" t="s">
        <v>154</v>
      </c>
      <c r="R60" s="18" t="s">
        <v>154</v>
      </c>
    </row>
    <row r="61" spans="1:18" x14ac:dyDescent="0.25">
      <c r="A61" s="11" t="s">
        <v>194</v>
      </c>
      <c r="B61" s="13">
        <v>6525</v>
      </c>
      <c r="C61" s="14">
        <f>(5438/B61*100)</f>
        <v>83.340996168582365</v>
      </c>
      <c r="D61" s="15">
        <v>1087</v>
      </c>
      <c r="E61" s="14">
        <v>22.98760463</v>
      </c>
      <c r="F61" s="16">
        <v>1.49980074</v>
      </c>
      <c r="G61" s="14">
        <v>77.012395369999993</v>
      </c>
      <c r="H61" s="16">
        <v>1.49980074</v>
      </c>
      <c r="I61" s="14" t="s">
        <v>139</v>
      </c>
      <c r="J61" s="16" t="s">
        <v>139</v>
      </c>
      <c r="K61" s="14">
        <v>0</v>
      </c>
      <c r="L61" s="16">
        <v>0</v>
      </c>
      <c r="M61" s="14">
        <v>0</v>
      </c>
      <c r="N61" s="16">
        <v>0</v>
      </c>
      <c r="O61" s="14">
        <v>0</v>
      </c>
      <c r="P61" s="16">
        <v>0</v>
      </c>
      <c r="Q61" s="14">
        <v>0</v>
      </c>
      <c r="R61" s="16">
        <v>0</v>
      </c>
    </row>
    <row r="62" spans="1:18" x14ac:dyDescent="0.25">
      <c r="A62" s="11" t="s">
        <v>195</v>
      </c>
      <c r="B62" s="13">
        <v>4476</v>
      </c>
      <c r="C62" s="14">
        <f>(3742/B62*100)</f>
        <v>83.601429848078652</v>
      </c>
      <c r="D62" s="15">
        <v>734</v>
      </c>
      <c r="E62" s="14">
        <v>24.4363493</v>
      </c>
      <c r="F62" s="16">
        <v>1.65919558</v>
      </c>
      <c r="G62" s="14">
        <v>75.563650699999997</v>
      </c>
      <c r="H62" s="16">
        <v>1.65919558</v>
      </c>
      <c r="I62" s="14" t="s">
        <v>139</v>
      </c>
      <c r="J62" s="16" t="s">
        <v>139</v>
      </c>
      <c r="K62" s="14">
        <v>0</v>
      </c>
      <c r="L62" s="16">
        <v>0</v>
      </c>
      <c r="M62" s="14">
        <v>0</v>
      </c>
      <c r="N62" s="16">
        <v>0</v>
      </c>
      <c r="O62" s="14">
        <v>0</v>
      </c>
      <c r="P62" s="16">
        <v>0</v>
      </c>
      <c r="Q62" s="14">
        <v>0</v>
      </c>
      <c r="R62" s="16">
        <v>0</v>
      </c>
    </row>
    <row r="63" spans="1:18" x14ac:dyDescent="0.25">
      <c r="A63" s="11" t="s">
        <v>196</v>
      </c>
      <c r="B63" s="17" t="s">
        <v>154</v>
      </c>
      <c r="C63" s="17" t="s">
        <v>154</v>
      </c>
      <c r="D63" s="18" t="s">
        <v>154</v>
      </c>
      <c r="E63" s="17" t="s">
        <v>154</v>
      </c>
      <c r="F63" s="18" t="s">
        <v>154</v>
      </c>
      <c r="G63" s="17" t="s">
        <v>154</v>
      </c>
      <c r="H63" s="18" t="s">
        <v>154</v>
      </c>
      <c r="I63" s="17" t="s">
        <v>154</v>
      </c>
      <c r="J63" s="18" t="s">
        <v>154</v>
      </c>
      <c r="K63" s="17" t="s">
        <v>154</v>
      </c>
      <c r="L63" s="18" t="s">
        <v>154</v>
      </c>
      <c r="M63" s="17" t="s">
        <v>154</v>
      </c>
      <c r="N63" s="18" t="s">
        <v>154</v>
      </c>
      <c r="O63" s="17" t="s">
        <v>154</v>
      </c>
      <c r="P63" s="18" t="s">
        <v>154</v>
      </c>
      <c r="Q63" s="17" t="s">
        <v>154</v>
      </c>
      <c r="R63" s="18" t="s">
        <v>154</v>
      </c>
    </row>
    <row r="64" spans="1:18" x14ac:dyDescent="0.25">
      <c r="A64" s="11" t="s">
        <v>197</v>
      </c>
      <c r="B64" s="17" t="s">
        <v>154</v>
      </c>
      <c r="C64" s="17" t="s">
        <v>154</v>
      </c>
      <c r="D64" s="18" t="s">
        <v>154</v>
      </c>
      <c r="E64" s="17" t="s">
        <v>154</v>
      </c>
      <c r="F64" s="18" t="s">
        <v>154</v>
      </c>
      <c r="G64" s="17" t="s">
        <v>154</v>
      </c>
      <c r="H64" s="18" t="s">
        <v>154</v>
      </c>
      <c r="I64" s="17" t="s">
        <v>154</v>
      </c>
      <c r="J64" s="18" t="s">
        <v>154</v>
      </c>
      <c r="K64" s="17" t="s">
        <v>154</v>
      </c>
      <c r="L64" s="18" t="s">
        <v>154</v>
      </c>
      <c r="M64" s="17" t="s">
        <v>154</v>
      </c>
      <c r="N64" s="18" t="s">
        <v>154</v>
      </c>
      <c r="O64" s="17" t="s">
        <v>154</v>
      </c>
      <c r="P64" s="18" t="s">
        <v>154</v>
      </c>
      <c r="Q64" s="17" t="s">
        <v>154</v>
      </c>
      <c r="R64" s="18" t="s">
        <v>154</v>
      </c>
    </row>
    <row r="65" spans="1:18" x14ac:dyDescent="0.25">
      <c r="A65" s="11" t="s">
        <v>198</v>
      </c>
      <c r="B65" s="17" t="s">
        <v>154</v>
      </c>
      <c r="C65" s="17" t="s">
        <v>154</v>
      </c>
      <c r="D65" s="18" t="s">
        <v>154</v>
      </c>
      <c r="E65" s="17" t="s">
        <v>154</v>
      </c>
      <c r="F65" s="18" t="s">
        <v>154</v>
      </c>
      <c r="G65" s="17" t="s">
        <v>154</v>
      </c>
      <c r="H65" s="18" t="s">
        <v>154</v>
      </c>
      <c r="I65" s="17" t="s">
        <v>154</v>
      </c>
      <c r="J65" s="18" t="s">
        <v>154</v>
      </c>
      <c r="K65" s="17" t="s">
        <v>154</v>
      </c>
      <c r="L65" s="18" t="s">
        <v>154</v>
      </c>
      <c r="M65" s="17" t="s">
        <v>154</v>
      </c>
      <c r="N65" s="18" t="s">
        <v>154</v>
      </c>
      <c r="O65" s="17" t="s">
        <v>154</v>
      </c>
      <c r="P65" s="18" t="s">
        <v>154</v>
      </c>
      <c r="Q65" s="17" t="s">
        <v>154</v>
      </c>
      <c r="R65" s="18" t="s">
        <v>154</v>
      </c>
    </row>
    <row r="66" spans="1:18" x14ac:dyDescent="0.25">
      <c r="A66" s="11" t="s">
        <v>199</v>
      </c>
      <c r="B66" s="13">
        <v>5665</v>
      </c>
      <c r="C66" s="14">
        <f>(4754/B66*100)</f>
        <v>83.918799646954994</v>
      </c>
      <c r="D66" s="15">
        <v>911</v>
      </c>
      <c r="E66" s="14">
        <v>43.074391259999999</v>
      </c>
      <c r="F66" s="16">
        <v>1.70967622</v>
      </c>
      <c r="G66" s="14">
        <v>56.925608740000001</v>
      </c>
      <c r="H66" s="16">
        <v>1.70967622</v>
      </c>
      <c r="I66" s="14" t="s">
        <v>139</v>
      </c>
      <c r="J66" s="16" t="s">
        <v>139</v>
      </c>
      <c r="K66" s="14">
        <v>0</v>
      </c>
      <c r="L66" s="16">
        <v>0</v>
      </c>
      <c r="M66" s="14">
        <v>0</v>
      </c>
      <c r="N66" s="16">
        <v>0</v>
      </c>
      <c r="O66" s="14">
        <v>0</v>
      </c>
      <c r="P66" s="16">
        <v>0</v>
      </c>
      <c r="Q66" s="14">
        <v>0</v>
      </c>
      <c r="R66" s="16">
        <v>0</v>
      </c>
    </row>
    <row r="67" spans="1:18" x14ac:dyDescent="0.25">
      <c r="A67" s="11" t="s">
        <v>200</v>
      </c>
      <c r="B67" s="13">
        <v>6971</v>
      </c>
      <c r="C67" s="14">
        <f>(6010/B67*100)</f>
        <v>86.214316453880357</v>
      </c>
      <c r="D67" s="15">
        <v>961</v>
      </c>
      <c r="E67" s="14">
        <v>44.120325940000001</v>
      </c>
      <c r="F67" s="16">
        <v>1.54726509</v>
      </c>
      <c r="G67" s="14">
        <v>55.879674059999999</v>
      </c>
      <c r="H67" s="16">
        <v>1.54726509</v>
      </c>
      <c r="I67" s="14" t="s">
        <v>139</v>
      </c>
      <c r="J67" s="16" t="s">
        <v>139</v>
      </c>
      <c r="K67" s="14">
        <v>0</v>
      </c>
      <c r="L67" s="16">
        <v>0</v>
      </c>
      <c r="M67" s="14">
        <v>0</v>
      </c>
      <c r="N67" s="16">
        <v>0</v>
      </c>
      <c r="O67" s="14">
        <v>0</v>
      </c>
      <c r="P67" s="16">
        <v>0</v>
      </c>
      <c r="Q67" s="14">
        <v>0</v>
      </c>
      <c r="R67" s="16">
        <v>0</v>
      </c>
    </row>
    <row r="68" spans="1:18" x14ac:dyDescent="0.25">
      <c r="A68" s="11" t="s">
        <v>201</v>
      </c>
      <c r="B68" s="17" t="s">
        <v>154</v>
      </c>
      <c r="C68" s="17" t="s">
        <v>154</v>
      </c>
      <c r="D68" s="18" t="s">
        <v>154</v>
      </c>
      <c r="E68" s="17" t="s">
        <v>154</v>
      </c>
      <c r="F68" s="18" t="s">
        <v>154</v>
      </c>
      <c r="G68" s="17" t="s">
        <v>154</v>
      </c>
      <c r="H68" s="18" t="s">
        <v>154</v>
      </c>
      <c r="I68" s="17" t="s">
        <v>154</v>
      </c>
      <c r="J68" s="18" t="s">
        <v>154</v>
      </c>
      <c r="K68" s="17" t="s">
        <v>154</v>
      </c>
      <c r="L68" s="18" t="s">
        <v>154</v>
      </c>
      <c r="M68" s="17" t="s">
        <v>154</v>
      </c>
      <c r="N68" s="18" t="s">
        <v>154</v>
      </c>
      <c r="O68" s="17" t="s">
        <v>154</v>
      </c>
      <c r="P68" s="18" t="s">
        <v>154</v>
      </c>
      <c r="Q68" s="17" t="s">
        <v>154</v>
      </c>
      <c r="R68" s="18" t="s">
        <v>154</v>
      </c>
    </row>
    <row r="69" spans="1:18" x14ac:dyDescent="0.25">
      <c r="A69" s="11" t="s">
        <v>202</v>
      </c>
      <c r="B69" s="17" t="s">
        <v>154</v>
      </c>
      <c r="C69" s="17" t="s">
        <v>154</v>
      </c>
      <c r="D69" s="18" t="s">
        <v>154</v>
      </c>
      <c r="E69" s="17" t="s">
        <v>154</v>
      </c>
      <c r="F69" s="18" t="s">
        <v>154</v>
      </c>
      <c r="G69" s="17" t="s">
        <v>154</v>
      </c>
      <c r="H69" s="18" t="s">
        <v>154</v>
      </c>
      <c r="I69" s="17" t="s">
        <v>154</v>
      </c>
      <c r="J69" s="18" t="s">
        <v>154</v>
      </c>
      <c r="K69" s="17" t="s">
        <v>154</v>
      </c>
      <c r="L69" s="18" t="s">
        <v>154</v>
      </c>
      <c r="M69" s="17" t="s">
        <v>154</v>
      </c>
      <c r="N69" s="18" t="s">
        <v>154</v>
      </c>
      <c r="O69" s="17" t="s">
        <v>154</v>
      </c>
      <c r="P69" s="18" t="s">
        <v>154</v>
      </c>
      <c r="Q69" s="17" t="s">
        <v>154</v>
      </c>
      <c r="R69" s="18" t="s">
        <v>154</v>
      </c>
    </row>
    <row r="70" spans="1:18" x14ac:dyDescent="0.25">
      <c r="A70" s="11" t="s">
        <v>203</v>
      </c>
      <c r="B70" s="13">
        <v>6036</v>
      </c>
      <c r="C70" s="14">
        <f>(5043/B70*100)</f>
        <v>83.548707753479121</v>
      </c>
      <c r="D70" s="15">
        <v>993</v>
      </c>
      <c r="E70" s="14">
        <v>26.290566699999999</v>
      </c>
      <c r="F70" s="16">
        <v>1.7325508199999999</v>
      </c>
      <c r="G70" s="14">
        <v>73.709433300000001</v>
      </c>
      <c r="H70" s="16">
        <v>1.7325508199999999</v>
      </c>
      <c r="I70" s="14" t="s">
        <v>139</v>
      </c>
      <c r="J70" s="16" t="s">
        <v>139</v>
      </c>
      <c r="K70" s="14">
        <v>0</v>
      </c>
      <c r="L70" s="16">
        <v>0</v>
      </c>
      <c r="M70" s="14">
        <v>0</v>
      </c>
      <c r="N70" s="16">
        <v>0</v>
      </c>
      <c r="O70" s="14">
        <v>0</v>
      </c>
      <c r="P70" s="16">
        <v>0</v>
      </c>
      <c r="Q70" s="14">
        <v>0</v>
      </c>
      <c r="R70" s="16">
        <v>0</v>
      </c>
    </row>
    <row r="71" spans="1:18" x14ac:dyDescent="0.25">
      <c r="A71" s="11" t="s">
        <v>204</v>
      </c>
      <c r="B71" s="17" t="s">
        <v>154</v>
      </c>
      <c r="C71" s="17" t="s">
        <v>154</v>
      </c>
      <c r="D71" s="18" t="s">
        <v>154</v>
      </c>
      <c r="E71" s="17" t="s">
        <v>154</v>
      </c>
      <c r="F71" s="18" t="s">
        <v>154</v>
      </c>
      <c r="G71" s="17" t="s">
        <v>154</v>
      </c>
      <c r="H71" s="18" t="s">
        <v>154</v>
      </c>
      <c r="I71" s="17" t="s">
        <v>154</v>
      </c>
      <c r="J71" s="18" t="s">
        <v>154</v>
      </c>
      <c r="K71" s="17" t="s">
        <v>154</v>
      </c>
      <c r="L71" s="18" t="s">
        <v>154</v>
      </c>
      <c r="M71" s="17" t="s">
        <v>154</v>
      </c>
      <c r="N71" s="18" t="s">
        <v>154</v>
      </c>
      <c r="O71" s="17" t="s">
        <v>154</v>
      </c>
      <c r="P71" s="18" t="s">
        <v>154</v>
      </c>
      <c r="Q71" s="17" t="s">
        <v>154</v>
      </c>
      <c r="R71" s="18" t="s">
        <v>154</v>
      </c>
    </row>
    <row r="72" spans="1:18" x14ac:dyDescent="0.25">
      <c r="A72" s="11" t="s">
        <v>205</v>
      </c>
      <c r="B72" s="13">
        <v>7708</v>
      </c>
      <c r="C72" s="14">
        <f>(6395/B72*100)</f>
        <v>82.965749870264659</v>
      </c>
      <c r="D72" s="15">
        <v>1313</v>
      </c>
      <c r="E72" s="14">
        <v>18.589767550000001</v>
      </c>
      <c r="F72" s="16">
        <v>1.15452533</v>
      </c>
      <c r="G72" s="14">
        <v>81.410232449999995</v>
      </c>
      <c r="H72" s="16">
        <v>1.15452533</v>
      </c>
      <c r="I72" s="14" t="s">
        <v>139</v>
      </c>
      <c r="J72" s="16" t="s">
        <v>139</v>
      </c>
      <c r="K72" s="14">
        <v>0</v>
      </c>
      <c r="L72" s="16">
        <v>0</v>
      </c>
      <c r="M72" s="14">
        <v>0</v>
      </c>
      <c r="N72" s="16">
        <v>0</v>
      </c>
      <c r="O72" s="14">
        <v>0</v>
      </c>
      <c r="P72" s="16">
        <v>0</v>
      </c>
      <c r="Q72" s="14">
        <v>0</v>
      </c>
      <c r="R72" s="16">
        <v>0</v>
      </c>
    </row>
    <row r="73" spans="1:18" x14ac:dyDescent="0.25">
      <c r="A73" s="11" t="s">
        <v>206</v>
      </c>
      <c r="B73" s="13">
        <v>8249</v>
      </c>
      <c r="C73" s="14">
        <f>(6966/B73*100)</f>
        <v>84.446599587828828</v>
      </c>
      <c r="D73" s="15">
        <v>1283</v>
      </c>
      <c r="E73" s="14">
        <v>43.516621370000003</v>
      </c>
      <c r="F73" s="16">
        <v>2.0869541200000001</v>
      </c>
      <c r="G73" s="14">
        <v>56.483378629999997</v>
      </c>
      <c r="H73" s="16">
        <v>2.0869541200000001</v>
      </c>
      <c r="I73" s="14" t="s">
        <v>139</v>
      </c>
      <c r="J73" s="16" t="s">
        <v>139</v>
      </c>
      <c r="K73" s="14">
        <v>0</v>
      </c>
      <c r="L73" s="16">
        <v>0</v>
      </c>
      <c r="M73" s="14">
        <v>0</v>
      </c>
      <c r="N73" s="16">
        <v>0</v>
      </c>
      <c r="O73" s="14">
        <v>0</v>
      </c>
      <c r="P73" s="16">
        <v>0</v>
      </c>
      <c r="Q73" s="14">
        <v>0</v>
      </c>
      <c r="R73" s="16">
        <v>0</v>
      </c>
    </row>
    <row r="74" spans="1:18" x14ac:dyDescent="0.25">
      <c r="A74" s="11" t="s">
        <v>207</v>
      </c>
      <c r="B74" s="17" t="s">
        <v>154</v>
      </c>
      <c r="C74" s="17" t="s">
        <v>154</v>
      </c>
      <c r="D74" s="18" t="s">
        <v>154</v>
      </c>
      <c r="E74" s="17" t="s">
        <v>154</v>
      </c>
      <c r="F74" s="18" t="s">
        <v>154</v>
      </c>
      <c r="G74" s="17" t="s">
        <v>154</v>
      </c>
      <c r="H74" s="18" t="s">
        <v>154</v>
      </c>
      <c r="I74" s="17" t="s">
        <v>154</v>
      </c>
      <c r="J74" s="18" t="s">
        <v>154</v>
      </c>
      <c r="K74" s="17" t="s">
        <v>154</v>
      </c>
      <c r="L74" s="18" t="s">
        <v>154</v>
      </c>
      <c r="M74" s="17" t="s">
        <v>154</v>
      </c>
      <c r="N74" s="18" t="s">
        <v>154</v>
      </c>
      <c r="O74" s="17" t="s">
        <v>154</v>
      </c>
      <c r="P74" s="18" t="s">
        <v>154</v>
      </c>
      <c r="Q74" s="17" t="s">
        <v>154</v>
      </c>
      <c r="R74" s="18" t="s">
        <v>154</v>
      </c>
    </row>
    <row r="75" spans="1:18" x14ac:dyDescent="0.25">
      <c r="A75" s="11" t="s">
        <v>208</v>
      </c>
      <c r="B75" s="13">
        <v>5375</v>
      </c>
      <c r="C75" s="14">
        <f>(4595/B75*100)</f>
        <v>85.488372093023258</v>
      </c>
      <c r="D75" s="15">
        <v>780</v>
      </c>
      <c r="E75" s="14">
        <v>50.499603159999999</v>
      </c>
      <c r="F75" s="16">
        <v>1.6210771500000001</v>
      </c>
      <c r="G75" s="14">
        <v>49.500396840000001</v>
      </c>
      <c r="H75" s="16">
        <v>1.6210771500000001</v>
      </c>
      <c r="I75" s="14" t="s">
        <v>139</v>
      </c>
      <c r="J75" s="16" t="s">
        <v>139</v>
      </c>
      <c r="K75" s="14">
        <v>0</v>
      </c>
      <c r="L75" s="16">
        <v>0</v>
      </c>
      <c r="M75" s="14">
        <v>0</v>
      </c>
      <c r="N75" s="16">
        <v>0</v>
      </c>
      <c r="O75" s="14">
        <v>0</v>
      </c>
      <c r="P75" s="16">
        <v>0</v>
      </c>
      <c r="Q75" s="14">
        <v>0</v>
      </c>
      <c r="R75" s="16">
        <v>0</v>
      </c>
    </row>
    <row r="76" spans="1:18" x14ac:dyDescent="0.25">
      <c r="A76" s="11" t="s">
        <v>209</v>
      </c>
      <c r="B76" s="13">
        <v>14167</v>
      </c>
      <c r="C76" s="14">
        <f>(11740/B76*100)</f>
        <v>82.868638384979178</v>
      </c>
      <c r="D76" s="15">
        <v>2427</v>
      </c>
      <c r="E76" s="14">
        <v>37.558773670000001</v>
      </c>
      <c r="F76" s="16">
        <v>1.2100149099999999</v>
      </c>
      <c r="G76" s="14">
        <v>62.441226329999999</v>
      </c>
      <c r="H76" s="16">
        <v>1.2100149099999999</v>
      </c>
      <c r="I76" s="14" t="s">
        <v>139</v>
      </c>
      <c r="J76" s="16" t="s">
        <v>139</v>
      </c>
      <c r="K76" s="14">
        <v>0</v>
      </c>
      <c r="L76" s="16">
        <v>0</v>
      </c>
      <c r="M76" s="14">
        <v>0</v>
      </c>
      <c r="N76" s="16">
        <v>0</v>
      </c>
      <c r="O76" s="14">
        <v>0</v>
      </c>
      <c r="P76" s="16">
        <v>0</v>
      </c>
      <c r="Q76" s="14">
        <v>0</v>
      </c>
      <c r="R76" s="16">
        <v>0</v>
      </c>
    </row>
    <row r="77" spans="1:18" x14ac:dyDescent="0.25">
      <c r="A77" s="11" t="s">
        <v>210</v>
      </c>
      <c r="B77" s="13">
        <v>6062</v>
      </c>
      <c r="C77" s="14">
        <f>(5082/B77*100)</f>
        <v>83.833718244803691</v>
      </c>
      <c r="D77" s="15">
        <v>980</v>
      </c>
      <c r="E77" s="14">
        <v>31.51049343</v>
      </c>
      <c r="F77" s="16">
        <v>1.61766934</v>
      </c>
      <c r="G77" s="14">
        <v>68.489506570000003</v>
      </c>
      <c r="H77" s="16">
        <v>1.61766934</v>
      </c>
      <c r="I77" s="14" t="s">
        <v>139</v>
      </c>
      <c r="J77" s="16" t="s">
        <v>139</v>
      </c>
      <c r="K77" s="14">
        <v>0</v>
      </c>
      <c r="L77" s="16">
        <v>0</v>
      </c>
      <c r="M77" s="14">
        <v>0</v>
      </c>
      <c r="N77" s="16">
        <v>0</v>
      </c>
      <c r="O77" s="14">
        <v>0</v>
      </c>
      <c r="P77" s="16">
        <v>0</v>
      </c>
      <c r="Q77" s="14">
        <v>0</v>
      </c>
      <c r="R77" s="16">
        <v>0</v>
      </c>
    </row>
    <row r="78" spans="1:18" x14ac:dyDescent="0.25">
      <c r="A78" s="11" t="s">
        <v>211</v>
      </c>
      <c r="B78" s="17" t="s">
        <v>154</v>
      </c>
      <c r="C78" s="17" t="s">
        <v>154</v>
      </c>
      <c r="D78" s="18" t="s">
        <v>154</v>
      </c>
      <c r="E78" s="17" t="s">
        <v>154</v>
      </c>
      <c r="F78" s="18" t="s">
        <v>154</v>
      </c>
      <c r="G78" s="17" t="s">
        <v>154</v>
      </c>
      <c r="H78" s="18" t="s">
        <v>154</v>
      </c>
      <c r="I78" s="17" t="s">
        <v>154</v>
      </c>
      <c r="J78" s="18" t="s">
        <v>154</v>
      </c>
      <c r="K78" s="17" t="s">
        <v>154</v>
      </c>
      <c r="L78" s="18" t="s">
        <v>154</v>
      </c>
      <c r="M78" s="17" t="s">
        <v>154</v>
      </c>
      <c r="N78" s="18" t="s">
        <v>154</v>
      </c>
      <c r="O78" s="17" t="s">
        <v>154</v>
      </c>
      <c r="P78" s="18" t="s">
        <v>154</v>
      </c>
      <c r="Q78" s="17" t="s">
        <v>154</v>
      </c>
      <c r="R78" s="18" t="s">
        <v>154</v>
      </c>
    </row>
    <row r="79" spans="1:18" ht="24.95" customHeight="1" x14ac:dyDescent="0.25">
      <c r="A79" s="11" t="s">
        <v>212</v>
      </c>
      <c r="B79" s="17" t="s">
        <v>154</v>
      </c>
      <c r="C79" s="17" t="s">
        <v>154</v>
      </c>
      <c r="D79" s="18" t="s">
        <v>154</v>
      </c>
      <c r="E79" s="17" t="s">
        <v>154</v>
      </c>
      <c r="F79" s="18" t="s">
        <v>154</v>
      </c>
      <c r="G79" s="17" t="s">
        <v>154</v>
      </c>
      <c r="H79" s="18" t="s">
        <v>154</v>
      </c>
      <c r="I79" s="17" t="s">
        <v>154</v>
      </c>
      <c r="J79" s="18" t="s">
        <v>154</v>
      </c>
      <c r="K79" s="17" t="s">
        <v>154</v>
      </c>
      <c r="L79" s="18" t="s">
        <v>154</v>
      </c>
      <c r="M79" s="17" t="s">
        <v>154</v>
      </c>
      <c r="N79" s="18" t="s">
        <v>154</v>
      </c>
      <c r="O79" s="17" t="s">
        <v>154</v>
      </c>
      <c r="P79" s="18" t="s">
        <v>154</v>
      </c>
      <c r="Q79" s="17" t="s">
        <v>154</v>
      </c>
      <c r="R79" s="18" t="s">
        <v>154</v>
      </c>
    </row>
    <row r="80" spans="1:18" x14ac:dyDescent="0.25">
      <c r="A80" s="11" t="s">
        <v>213</v>
      </c>
      <c r="B80" s="17" t="s">
        <v>154</v>
      </c>
      <c r="C80" s="17" t="s">
        <v>154</v>
      </c>
      <c r="D80" s="18" t="s">
        <v>154</v>
      </c>
      <c r="E80" s="17" t="s">
        <v>154</v>
      </c>
      <c r="F80" s="18" t="s">
        <v>154</v>
      </c>
      <c r="G80" s="17" t="s">
        <v>154</v>
      </c>
      <c r="H80" s="18" t="s">
        <v>154</v>
      </c>
      <c r="I80" s="17" t="s">
        <v>154</v>
      </c>
      <c r="J80" s="18" t="s">
        <v>154</v>
      </c>
      <c r="K80" s="17" t="s">
        <v>154</v>
      </c>
      <c r="L80" s="18" t="s">
        <v>154</v>
      </c>
      <c r="M80" s="17" t="s">
        <v>154</v>
      </c>
      <c r="N80" s="18" t="s">
        <v>154</v>
      </c>
      <c r="O80" s="17" t="s">
        <v>154</v>
      </c>
      <c r="P80" s="18" t="s">
        <v>154</v>
      </c>
      <c r="Q80" s="17" t="s">
        <v>154</v>
      </c>
      <c r="R80" s="18" t="s">
        <v>154</v>
      </c>
    </row>
    <row r="81" spans="1:18" x14ac:dyDescent="0.25">
      <c r="A81" s="19" t="s">
        <v>214</v>
      </c>
      <c r="B81" s="13">
        <v>8861</v>
      </c>
      <c r="C81" s="14">
        <f>(7385/B81*100)</f>
        <v>83.342737839972912</v>
      </c>
      <c r="D81" s="15">
        <v>1476</v>
      </c>
      <c r="E81" s="14">
        <v>45.822277829999997</v>
      </c>
      <c r="F81" s="16">
        <v>1.5025034900000001</v>
      </c>
      <c r="G81" s="14">
        <v>54.177722170000003</v>
      </c>
      <c r="H81" s="16">
        <v>1.5025034900000001</v>
      </c>
      <c r="I81" s="14" t="s">
        <v>139</v>
      </c>
      <c r="J81" s="16" t="s">
        <v>139</v>
      </c>
      <c r="K81" s="14">
        <v>0</v>
      </c>
      <c r="L81" s="16">
        <v>0</v>
      </c>
      <c r="M81" s="14">
        <v>0</v>
      </c>
      <c r="N81" s="16">
        <v>0</v>
      </c>
      <c r="O81" s="14">
        <v>0</v>
      </c>
      <c r="P81" s="16">
        <v>0</v>
      </c>
      <c r="Q81" s="14">
        <v>0</v>
      </c>
      <c r="R81" s="16">
        <v>0</v>
      </c>
    </row>
    <row r="82" spans="1:18" x14ac:dyDescent="0.25">
      <c r="A82" s="20"/>
      <c r="B82" s="20" t="s">
        <v>215</v>
      </c>
      <c r="C82" s="20" t="s">
        <v>215</v>
      </c>
      <c r="D82" s="20" t="s">
        <v>215</v>
      </c>
      <c r="E82" s="20" t="s">
        <v>215</v>
      </c>
      <c r="F82" s="20" t="s">
        <v>215</v>
      </c>
      <c r="G82" s="20" t="s">
        <v>215</v>
      </c>
      <c r="H82" s="20" t="s">
        <v>215</v>
      </c>
      <c r="I82" s="20" t="s">
        <v>215</v>
      </c>
      <c r="J82" s="20" t="s">
        <v>215</v>
      </c>
      <c r="K82" s="20" t="s">
        <v>215</v>
      </c>
      <c r="L82" s="20" t="s">
        <v>215</v>
      </c>
      <c r="M82" s="20" t="s">
        <v>215</v>
      </c>
      <c r="N82" s="20" t="s">
        <v>215</v>
      </c>
      <c r="O82" s="20" t="s">
        <v>215</v>
      </c>
      <c r="P82" s="20" t="s">
        <v>215</v>
      </c>
      <c r="Q82" s="20" t="s">
        <v>215</v>
      </c>
      <c r="R82" s="20" t="s">
        <v>215</v>
      </c>
    </row>
    <row r="83" spans="1:18" x14ac:dyDescent="0.25">
      <c r="A83" s="3" t="s">
        <v>216</v>
      </c>
    </row>
    <row r="84" spans="1:18" x14ac:dyDescent="0.25">
      <c r="A84" s="22" t="s">
        <v>217</v>
      </c>
      <c r="B84" s="23"/>
      <c r="C84" s="23"/>
      <c r="D84" s="23"/>
      <c r="E84" s="23"/>
      <c r="F84" s="23"/>
      <c r="G84" s="23"/>
      <c r="H84" s="23"/>
      <c r="I84" s="23"/>
      <c r="J84" s="23"/>
      <c r="K84" s="23"/>
      <c r="L84" s="23"/>
      <c r="M84" s="23"/>
      <c r="N84" s="23"/>
      <c r="O84" s="23"/>
      <c r="P84" s="23"/>
      <c r="Q84" s="23"/>
      <c r="R84" s="23"/>
    </row>
    <row r="85" spans="1:18" x14ac:dyDescent="0.25">
      <c r="A85" s="22" t="s">
        <v>218</v>
      </c>
      <c r="B85" s="23"/>
      <c r="C85" s="23"/>
      <c r="D85" s="23"/>
      <c r="E85" s="23"/>
      <c r="F85" s="23"/>
      <c r="G85" s="23"/>
      <c r="H85" s="23"/>
      <c r="I85" s="23"/>
      <c r="J85" s="23"/>
      <c r="K85" s="23"/>
      <c r="L85" s="23"/>
      <c r="M85" s="23"/>
      <c r="N85" s="23"/>
      <c r="O85" s="23"/>
      <c r="P85" s="23"/>
      <c r="Q85" s="23"/>
      <c r="R85" s="23"/>
    </row>
    <row r="86" spans="1:18" ht="30" customHeight="1" x14ac:dyDescent="0.25">
      <c r="A86" s="22" t="s">
        <v>219</v>
      </c>
      <c r="B86" s="23"/>
      <c r="C86" s="23"/>
      <c r="D86" s="23"/>
      <c r="E86" s="23"/>
      <c r="F86" s="23"/>
      <c r="G86" s="23"/>
      <c r="H86" s="23"/>
      <c r="I86" s="23"/>
      <c r="J86" s="23"/>
      <c r="K86" s="23"/>
      <c r="L86" s="23"/>
      <c r="M86" s="23"/>
      <c r="N86" s="23"/>
      <c r="O86" s="23"/>
      <c r="P86" s="23"/>
      <c r="Q86" s="23"/>
      <c r="R86" s="23"/>
    </row>
    <row r="87" spans="1:18" ht="30" customHeight="1" x14ac:dyDescent="0.25">
      <c r="A87" s="22" t="s">
        <v>215</v>
      </c>
      <c r="B87" s="23"/>
      <c r="C87" s="23"/>
      <c r="D87" s="23"/>
      <c r="E87" s="23"/>
      <c r="F87" s="23"/>
      <c r="G87" s="23"/>
      <c r="H87" s="23"/>
      <c r="I87" s="23"/>
      <c r="J87" s="23"/>
      <c r="K87" s="23"/>
      <c r="L87" s="23"/>
      <c r="M87" s="23"/>
      <c r="N87" s="23"/>
      <c r="O87" s="23"/>
      <c r="P87" s="23"/>
      <c r="Q87" s="23"/>
      <c r="R87" s="23"/>
    </row>
    <row r="88" spans="1:18" ht="30" customHeight="1" x14ac:dyDescent="0.25">
      <c r="A88" s="22" t="s">
        <v>220</v>
      </c>
      <c r="B88" s="23"/>
      <c r="C88" s="23"/>
      <c r="D88" s="23"/>
      <c r="E88" s="23"/>
      <c r="F88" s="23"/>
      <c r="G88" s="23"/>
      <c r="H88" s="23"/>
      <c r="I88" s="23"/>
      <c r="J88" s="23"/>
      <c r="K88" s="23"/>
      <c r="L88" s="23"/>
      <c r="M88" s="23"/>
      <c r="N88" s="23"/>
      <c r="O88" s="23"/>
      <c r="P88" s="23"/>
      <c r="Q88" s="23"/>
      <c r="R88" s="23"/>
    </row>
    <row r="89" spans="1:18" ht="30" customHeight="1" x14ac:dyDescent="0.25">
      <c r="A89" s="22" t="s">
        <v>221</v>
      </c>
      <c r="B89" s="23"/>
      <c r="C89" s="23"/>
      <c r="D89" s="23"/>
      <c r="E89" s="23"/>
      <c r="F89" s="23"/>
      <c r="G89" s="23"/>
      <c r="H89" s="23"/>
      <c r="I89" s="23"/>
      <c r="J89" s="23"/>
      <c r="K89" s="23"/>
      <c r="L89" s="23"/>
      <c r="M89" s="23"/>
      <c r="N89" s="23"/>
      <c r="O89" s="23"/>
      <c r="P89" s="23"/>
      <c r="Q89" s="23"/>
      <c r="R89" s="23"/>
    </row>
    <row r="90" spans="1:18" ht="30" customHeight="1" x14ac:dyDescent="0.25">
      <c r="A90" s="22" t="s">
        <v>222</v>
      </c>
      <c r="B90" s="23"/>
      <c r="C90" s="23"/>
      <c r="D90" s="23"/>
      <c r="E90" s="23"/>
      <c r="F90" s="23"/>
      <c r="G90" s="23"/>
      <c r="H90" s="23"/>
      <c r="I90" s="23"/>
      <c r="J90" s="23"/>
      <c r="K90" s="23"/>
      <c r="L90" s="23"/>
      <c r="M90" s="23"/>
      <c r="N90" s="23"/>
      <c r="O90" s="23"/>
      <c r="P90" s="23"/>
      <c r="Q90" s="23"/>
      <c r="R90" s="23"/>
    </row>
    <row r="91" spans="1:18" ht="30" customHeight="1" x14ac:dyDescent="0.25">
      <c r="A91" s="22" t="s">
        <v>223</v>
      </c>
      <c r="B91" s="23"/>
      <c r="C91" s="23"/>
      <c r="D91" s="23"/>
      <c r="E91" s="23"/>
      <c r="F91" s="23"/>
      <c r="G91" s="23"/>
      <c r="H91" s="23"/>
      <c r="I91" s="23"/>
      <c r="J91" s="23"/>
      <c r="K91" s="23"/>
      <c r="L91" s="23"/>
      <c r="M91" s="23"/>
      <c r="N91" s="23"/>
      <c r="O91" s="23"/>
      <c r="P91" s="23"/>
      <c r="Q91" s="23"/>
      <c r="R91" s="23"/>
    </row>
    <row r="92" spans="1:18" ht="30" customHeight="1" x14ac:dyDescent="0.25">
      <c r="A92" s="22" t="s">
        <v>224</v>
      </c>
      <c r="B92" s="23"/>
      <c r="C92" s="23"/>
      <c r="D92" s="23"/>
      <c r="E92" s="23"/>
      <c r="F92" s="23"/>
      <c r="G92" s="23"/>
      <c r="H92" s="23"/>
      <c r="I92" s="23"/>
      <c r="J92" s="23"/>
      <c r="K92" s="23"/>
      <c r="L92" s="23"/>
      <c r="M92" s="23"/>
      <c r="N92" s="23"/>
      <c r="O92" s="23"/>
      <c r="P92" s="23"/>
      <c r="Q92" s="23"/>
      <c r="R92" s="23"/>
    </row>
    <row r="93" spans="1:18" ht="30" customHeight="1" x14ac:dyDescent="0.25">
      <c r="A93" s="22" t="s">
        <v>225</v>
      </c>
      <c r="B93" s="23"/>
      <c r="C93" s="23"/>
      <c r="D93" s="23"/>
      <c r="E93" s="23"/>
      <c r="F93" s="23"/>
      <c r="G93" s="23"/>
      <c r="H93" s="23"/>
      <c r="I93" s="23"/>
      <c r="J93" s="23"/>
      <c r="K93" s="23"/>
      <c r="L93" s="23"/>
      <c r="M93" s="23"/>
      <c r="N93" s="23"/>
      <c r="O93" s="23"/>
      <c r="P93" s="23"/>
      <c r="Q93" s="23"/>
      <c r="R93" s="23"/>
    </row>
    <row r="94" spans="1:18" ht="30" customHeight="1" x14ac:dyDescent="0.25">
      <c r="A94" s="22" t="s">
        <v>226</v>
      </c>
      <c r="B94" s="23"/>
      <c r="C94" s="23"/>
      <c r="D94" s="23"/>
      <c r="E94" s="23"/>
      <c r="F94" s="23"/>
      <c r="G94" s="23"/>
      <c r="H94" s="23"/>
      <c r="I94" s="23"/>
      <c r="J94" s="23"/>
      <c r="K94" s="23"/>
      <c r="L94" s="23"/>
      <c r="M94" s="23"/>
      <c r="N94" s="23"/>
      <c r="O94" s="23"/>
      <c r="P94" s="23"/>
      <c r="Q94" s="23"/>
      <c r="R94" s="23"/>
    </row>
    <row r="95" spans="1:18" ht="30" customHeight="1" x14ac:dyDescent="0.25">
      <c r="A95" s="22" t="s">
        <v>227</v>
      </c>
      <c r="B95" s="23"/>
      <c r="C95" s="23"/>
      <c r="D95" s="23"/>
      <c r="E95" s="23"/>
      <c r="F95" s="23"/>
      <c r="G95" s="23"/>
      <c r="H95" s="23"/>
      <c r="I95" s="23"/>
      <c r="J95" s="23"/>
      <c r="K95" s="23"/>
      <c r="L95" s="23"/>
      <c r="M95" s="23"/>
      <c r="N95" s="23"/>
      <c r="O95" s="23"/>
      <c r="P95" s="23"/>
      <c r="Q95" s="23"/>
      <c r="R95" s="23"/>
    </row>
    <row r="96" spans="1:18" ht="30" customHeight="1" x14ac:dyDescent="0.25">
      <c r="A96" s="22" t="s">
        <v>228</v>
      </c>
      <c r="B96" s="23"/>
      <c r="C96" s="23"/>
      <c r="D96" s="23"/>
      <c r="E96" s="23"/>
      <c r="F96" s="23"/>
      <c r="G96" s="23"/>
      <c r="H96" s="23"/>
      <c r="I96" s="23"/>
      <c r="J96" s="23"/>
      <c r="K96" s="23"/>
      <c r="L96" s="23"/>
      <c r="M96" s="23"/>
      <c r="N96" s="23"/>
      <c r="O96" s="23"/>
      <c r="P96" s="23"/>
      <c r="Q96" s="23"/>
      <c r="R96" s="23"/>
    </row>
  </sheetData>
  <mergeCells count="22">
    <mergeCell ref="O4:P4"/>
    <mergeCell ref="Q4:R4"/>
    <mergeCell ref="A1:R1"/>
    <mergeCell ref="A2:R2"/>
    <mergeCell ref="A84:R84"/>
    <mergeCell ref="E4:F4"/>
    <mergeCell ref="G4:H4"/>
    <mergeCell ref="I4:J4"/>
    <mergeCell ref="K4:L4"/>
    <mergeCell ref="M4:N4"/>
    <mergeCell ref="A85:R85"/>
    <mergeCell ref="A86:R86"/>
    <mergeCell ref="A87:R87"/>
    <mergeCell ref="A88:R88"/>
    <mergeCell ref="A89:R89"/>
    <mergeCell ref="A95:R95"/>
    <mergeCell ref="A96:R96"/>
    <mergeCell ref="A90:R90"/>
    <mergeCell ref="A91:R91"/>
    <mergeCell ref="A92:R92"/>
    <mergeCell ref="A93:R93"/>
    <mergeCell ref="A94:R94"/>
  </mergeCells>
  <pageMargins left="0.75" right="0.75" top="1" bottom="1" header="0.5" footer="0.5"/>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2"/>
  <dimension ref="A1:R96"/>
  <sheetViews>
    <sheetView zoomScale="80" workbookViewId="0">
      <pane xSplit="4" topLeftCell="E1" activePane="topRight" state="frozen"/>
      <selection sqref="A1:R1"/>
      <selection pane="topRight" sqref="A1:R1"/>
    </sheetView>
  </sheetViews>
  <sheetFormatPr defaultColWidth="11.42578125" defaultRowHeight="15" x14ac:dyDescent="0.25"/>
  <cols>
    <col min="1" max="1" width="50" customWidth="1"/>
  </cols>
  <sheetData>
    <row r="1" spans="1:18" x14ac:dyDescent="0.25">
      <c r="A1" s="26" t="s">
        <v>122</v>
      </c>
      <c r="B1" s="23"/>
      <c r="C1" s="23"/>
      <c r="D1" s="23"/>
      <c r="E1" s="23"/>
      <c r="F1" s="23"/>
      <c r="G1" s="23"/>
      <c r="H1" s="23"/>
      <c r="I1" s="23"/>
      <c r="J1" s="23"/>
      <c r="K1" s="23"/>
      <c r="L1" s="23"/>
      <c r="M1" s="23"/>
      <c r="N1" s="23"/>
      <c r="O1" s="23"/>
      <c r="P1" s="23"/>
      <c r="Q1" s="23"/>
      <c r="R1" s="23"/>
    </row>
    <row r="2" spans="1:18" x14ac:dyDescent="0.25">
      <c r="A2" s="27" t="s">
        <v>308</v>
      </c>
      <c r="B2" s="23"/>
      <c r="C2" s="23"/>
      <c r="D2" s="23"/>
      <c r="E2" s="23"/>
      <c r="F2" s="23"/>
      <c r="G2" s="23"/>
      <c r="H2" s="23"/>
      <c r="I2" s="23"/>
      <c r="J2" s="23"/>
      <c r="K2" s="23"/>
      <c r="L2" s="23"/>
      <c r="M2" s="23"/>
      <c r="N2" s="23"/>
      <c r="O2" s="23"/>
      <c r="P2" s="23"/>
      <c r="Q2" s="23"/>
      <c r="R2" s="23"/>
    </row>
    <row r="4" spans="1:18" ht="30" customHeight="1" x14ac:dyDescent="0.25">
      <c r="A4" s="4"/>
      <c r="B4" s="5" t="s">
        <v>123</v>
      </c>
      <c r="C4" s="5" t="s">
        <v>124</v>
      </c>
      <c r="D4" s="6" t="s">
        <v>123</v>
      </c>
      <c r="E4" s="24" t="s">
        <v>125</v>
      </c>
      <c r="F4" s="25"/>
      <c r="G4" s="24" t="s">
        <v>126</v>
      </c>
      <c r="H4" s="25"/>
      <c r="I4" s="24" t="s">
        <v>127</v>
      </c>
      <c r="J4" s="25"/>
      <c r="K4" s="24" t="s">
        <v>128</v>
      </c>
      <c r="L4" s="25"/>
      <c r="M4" s="24" t="s">
        <v>129</v>
      </c>
      <c r="N4" s="25"/>
      <c r="O4" s="24" t="s">
        <v>130</v>
      </c>
      <c r="P4" s="25"/>
      <c r="Q4" s="24" t="s">
        <v>131</v>
      </c>
      <c r="R4" s="25"/>
    </row>
    <row r="5" spans="1:18" x14ac:dyDescent="0.25">
      <c r="A5" s="7"/>
      <c r="B5" s="8" t="s">
        <v>132</v>
      </c>
      <c r="C5" s="8" t="s">
        <v>133</v>
      </c>
      <c r="D5" s="7" t="s">
        <v>134</v>
      </c>
      <c r="E5" s="8" t="s">
        <v>135</v>
      </c>
      <c r="F5" s="7" t="s">
        <v>136</v>
      </c>
      <c r="G5" s="8" t="s">
        <v>135</v>
      </c>
      <c r="H5" s="7" t="s">
        <v>136</v>
      </c>
      <c r="I5" s="8" t="s">
        <v>135</v>
      </c>
      <c r="J5" s="7" t="s">
        <v>136</v>
      </c>
      <c r="K5" s="8" t="s">
        <v>135</v>
      </c>
      <c r="L5" s="7" t="s">
        <v>136</v>
      </c>
      <c r="M5" s="8" t="s">
        <v>135</v>
      </c>
      <c r="N5" s="7" t="s">
        <v>136</v>
      </c>
      <c r="O5" s="8" t="s">
        <v>135</v>
      </c>
      <c r="P5" s="7" t="s">
        <v>136</v>
      </c>
      <c r="Q5" s="8" t="s">
        <v>135</v>
      </c>
      <c r="R5" s="7" t="s">
        <v>136</v>
      </c>
    </row>
    <row r="6" spans="1:18" x14ac:dyDescent="0.25">
      <c r="A6" s="9" t="s">
        <v>137</v>
      </c>
      <c r="B6" s="10"/>
      <c r="C6" s="10"/>
      <c r="D6" s="11"/>
      <c r="E6" s="10"/>
      <c r="F6" s="11"/>
      <c r="G6" s="10"/>
      <c r="H6" s="11"/>
      <c r="I6" s="10"/>
      <c r="J6" s="11"/>
      <c r="K6" s="10"/>
      <c r="L6" s="11"/>
      <c r="M6" s="10"/>
      <c r="N6" s="11"/>
      <c r="O6" s="10"/>
      <c r="P6" s="11"/>
      <c r="Q6" s="10"/>
      <c r="R6" s="12"/>
    </row>
    <row r="7" spans="1:18" x14ac:dyDescent="0.25">
      <c r="A7" s="11" t="s">
        <v>138</v>
      </c>
      <c r="B7" s="13">
        <v>14530</v>
      </c>
      <c r="C7" s="14">
        <f>(12188/B7*100)</f>
        <v>83.881624225739841</v>
      </c>
      <c r="D7" s="15">
        <v>2342</v>
      </c>
      <c r="E7" s="14">
        <v>22.82694167</v>
      </c>
      <c r="F7" s="16">
        <v>0.99878254</v>
      </c>
      <c r="G7" s="14">
        <v>77.173058330000003</v>
      </c>
      <c r="H7" s="16">
        <v>0.99878254</v>
      </c>
      <c r="I7" s="14" t="s">
        <v>139</v>
      </c>
      <c r="J7" s="16" t="s">
        <v>139</v>
      </c>
      <c r="K7" s="14">
        <v>0</v>
      </c>
      <c r="L7" s="16">
        <v>0</v>
      </c>
      <c r="M7" s="14">
        <v>0</v>
      </c>
      <c r="N7" s="16">
        <v>0</v>
      </c>
      <c r="O7" s="14">
        <v>0</v>
      </c>
      <c r="P7" s="16">
        <v>0</v>
      </c>
      <c r="Q7" s="14">
        <v>0</v>
      </c>
      <c r="R7" s="16">
        <v>0</v>
      </c>
    </row>
    <row r="8" spans="1:18" x14ac:dyDescent="0.25">
      <c r="A8" s="11" t="s">
        <v>140</v>
      </c>
      <c r="B8" s="13">
        <v>7007</v>
      </c>
      <c r="C8" s="14">
        <f>(5837/B8*100)</f>
        <v>83.302411873840441</v>
      </c>
      <c r="D8" s="15">
        <v>1170</v>
      </c>
      <c r="E8" s="14">
        <v>23.70900761</v>
      </c>
      <c r="F8" s="16">
        <v>1.2449482300000001</v>
      </c>
      <c r="G8" s="14">
        <v>76.29099239</v>
      </c>
      <c r="H8" s="16">
        <v>1.2449482300000001</v>
      </c>
      <c r="I8" s="14" t="s">
        <v>139</v>
      </c>
      <c r="J8" s="16" t="s">
        <v>139</v>
      </c>
      <c r="K8" s="14">
        <v>0</v>
      </c>
      <c r="L8" s="16">
        <v>0</v>
      </c>
      <c r="M8" s="14">
        <v>0</v>
      </c>
      <c r="N8" s="16">
        <v>0</v>
      </c>
      <c r="O8" s="14">
        <v>0</v>
      </c>
      <c r="P8" s="16">
        <v>0</v>
      </c>
      <c r="Q8" s="14">
        <v>0</v>
      </c>
      <c r="R8" s="16">
        <v>0</v>
      </c>
    </row>
    <row r="9" spans="1:18" x14ac:dyDescent="0.25">
      <c r="A9" s="11" t="s">
        <v>141</v>
      </c>
      <c r="B9" s="13">
        <v>9651</v>
      </c>
      <c r="C9" s="14">
        <f>(8124/B9*100)</f>
        <v>84.17780540876592</v>
      </c>
      <c r="D9" s="15">
        <v>1527</v>
      </c>
      <c r="E9" s="14">
        <v>19.92138928</v>
      </c>
      <c r="F9" s="16">
        <v>1.0381028000000001</v>
      </c>
      <c r="G9" s="14">
        <v>80.07861072</v>
      </c>
      <c r="H9" s="16">
        <v>1.0381028000000001</v>
      </c>
      <c r="I9" s="14" t="s">
        <v>139</v>
      </c>
      <c r="J9" s="16" t="s">
        <v>139</v>
      </c>
      <c r="K9" s="14">
        <v>0</v>
      </c>
      <c r="L9" s="16">
        <v>0</v>
      </c>
      <c r="M9" s="14">
        <v>0</v>
      </c>
      <c r="N9" s="16">
        <v>0</v>
      </c>
      <c r="O9" s="14">
        <v>0</v>
      </c>
      <c r="P9" s="16">
        <v>0</v>
      </c>
      <c r="Q9" s="14">
        <v>0</v>
      </c>
      <c r="R9" s="16">
        <v>0</v>
      </c>
    </row>
    <row r="10" spans="1:18" x14ac:dyDescent="0.25">
      <c r="A10" s="11" t="s">
        <v>142</v>
      </c>
      <c r="B10" s="13">
        <v>20058</v>
      </c>
      <c r="C10" s="14">
        <f>(16690/B10*100)</f>
        <v>83.208694785123143</v>
      </c>
      <c r="D10" s="15">
        <v>3368</v>
      </c>
      <c r="E10" s="14">
        <v>21.462330789999999</v>
      </c>
      <c r="F10" s="16">
        <v>1.0072131099999999</v>
      </c>
      <c r="G10" s="14">
        <v>78.537669210000004</v>
      </c>
      <c r="H10" s="16">
        <v>1.0072131099999999</v>
      </c>
      <c r="I10" s="14" t="s">
        <v>139</v>
      </c>
      <c r="J10" s="16" t="s">
        <v>139</v>
      </c>
      <c r="K10" s="14">
        <v>0</v>
      </c>
      <c r="L10" s="16">
        <v>0</v>
      </c>
      <c r="M10" s="14">
        <v>0</v>
      </c>
      <c r="N10" s="16">
        <v>0</v>
      </c>
      <c r="O10" s="14">
        <v>0</v>
      </c>
      <c r="P10" s="16">
        <v>0</v>
      </c>
      <c r="Q10" s="14">
        <v>0</v>
      </c>
      <c r="R10" s="16">
        <v>0</v>
      </c>
    </row>
    <row r="11" spans="1:18" x14ac:dyDescent="0.25">
      <c r="A11" s="11" t="s">
        <v>143</v>
      </c>
      <c r="B11" s="13">
        <v>7053</v>
      </c>
      <c r="C11" s="14">
        <f>(5899/B11*100)</f>
        <v>83.638168155394865</v>
      </c>
      <c r="D11" s="15">
        <v>1154</v>
      </c>
      <c r="E11" s="14">
        <v>34.122015150000003</v>
      </c>
      <c r="F11" s="16">
        <v>1.58445744</v>
      </c>
      <c r="G11" s="14">
        <v>65.877984850000004</v>
      </c>
      <c r="H11" s="16">
        <v>1.58445744</v>
      </c>
      <c r="I11" s="14" t="s">
        <v>139</v>
      </c>
      <c r="J11" s="16" t="s">
        <v>139</v>
      </c>
      <c r="K11" s="14">
        <v>0</v>
      </c>
      <c r="L11" s="16">
        <v>0</v>
      </c>
      <c r="M11" s="14">
        <v>0</v>
      </c>
      <c r="N11" s="16">
        <v>0</v>
      </c>
      <c r="O11" s="14">
        <v>0</v>
      </c>
      <c r="P11" s="16">
        <v>0</v>
      </c>
      <c r="Q11" s="14">
        <v>0</v>
      </c>
      <c r="R11" s="16">
        <v>0</v>
      </c>
    </row>
    <row r="12" spans="1:18" x14ac:dyDescent="0.25">
      <c r="A12" s="11" t="s">
        <v>144</v>
      </c>
      <c r="B12" s="13">
        <v>6894</v>
      </c>
      <c r="C12" s="14">
        <f>(5764/B12*100)</f>
        <v>83.608935306063245</v>
      </c>
      <c r="D12" s="15">
        <v>1130</v>
      </c>
      <c r="E12" s="14">
        <v>23.19458328</v>
      </c>
      <c r="F12" s="16">
        <v>1.3077781399999999</v>
      </c>
      <c r="G12" s="14">
        <v>76.805416719999997</v>
      </c>
      <c r="H12" s="16">
        <v>1.3077781399999999</v>
      </c>
      <c r="I12" s="14" t="s">
        <v>139</v>
      </c>
      <c r="J12" s="16" t="s">
        <v>139</v>
      </c>
      <c r="K12" s="14">
        <v>0</v>
      </c>
      <c r="L12" s="16">
        <v>0</v>
      </c>
      <c r="M12" s="14">
        <v>0</v>
      </c>
      <c r="N12" s="16">
        <v>0</v>
      </c>
      <c r="O12" s="14">
        <v>0</v>
      </c>
      <c r="P12" s="16">
        <v>0</v>
      </c>
      <c r="Q12" s="14">
        <v>0</v>
      </c>
      <c r="R12" s="16">
        <v>0</v>
      </c>
    </row>
    <row r="13" spans="1:18" x14ac:dyDescent="0.25">
      <c r="A13" s="11" t="s">
        <v>145</v>
      </c>
      <c r="B13" s="13">
        <v>7161</v>
      </c>
      <c r="C13" s="14">
        <f>(6052/B13*100)</f>
        <v>84.513336126239352</v>
      </c>
      <c r="D13" s="15">
        <v>1109</v>
      </c>
      <c r="E13" s="14">
        <v>18.847010319999999</v>
      </c>
      <c r="F13" s="16">
        <v>1.34587849</v>
      </c>
      <c r="G13" s="14">
        <v>81.152989680000005</v>
      </c>
      <c r="H13" s="16">
        <v>1.34587849</v>
      </c>
      <c r="I13" s="14" t="s">
        <v>139</v>
      </c>
      <c r="J13" s="16" t="s">
        <v>139</v>
      </c>
      <c r="K13" s="14">
        <v>0</v>
      </c>
      <c r="L13" s="16">
        <v>0</v>
      </c>
      <c r="M13" s="14">
        <v>0</v>
      </c>
      <c r="N13" s="16">
        <v>0</v>
      </c>
      <c r="O13" s="14">
        <v>0</v>
      </c>
      <c r="P13" s="16">
        <v>0</v>
      </c>
      <c r="Q13" s="14">
        <v>0</v>
      </c>
      <c r="R13" s="16">
        <v>0</v>
      </c>
    </row>
    <row r="14" spans="1:18" x14ac:dyDescent="0.25">
      <c r="A14" s="11" t="s">
        <v>146</v>
      </c>
      <c r="B14" s="13">
        <v>5587</v>
      </c>
      <c r="C14" s="14">
        <f>(4649/B14*100)</f>
        <v>83.211025595131559</v>
      </c>
      <c r="D14" s="15">
        <v>938</v>
      </c>
      <c r="E14" s="14">
        <v>21.67175709</v>
      </c>
      <c r="F14" s="16">
        <v>1.419826</v>
      </c>
      <c r="G14" s="14">
        <v>78.32824291</v>
      </c>
      <c r="H14" s="16">
        <v>1.419826</v>
      </c>
      <c r="I14" s="14" t="s">
        <v>139</v>
      </c>
      <c r="J14" s="16" t="s">
        <v>139</v>
      </c>
      <c r="K14" s="14">
        <v>0</v>
      </c>
      <c r="L14" s="16">
        <v>0</v>
      </c>
      <c r="M14" s="14">
        <v>0</v>
      </c>
      <c r="N14" s="16">
        <v>0</v>
      </c>
      <c r="O14" s="14">
        <v>0</v>
      </c>
      <c r="P14" s="16">
        <v>0</v>
      </c>
      <c r="Q14" s="14">
        <v>0</v>
      </c>
      <c r="R14" s="16">
        <v>0</v>
      </c>
    </row>
    <row r="15" spans="1:18" x14ac:dyDescent="0.25">
      <c r="A15" s="11" t="s">
        <v>147</v>
      </c>
      <c r="B15" s="13">
        <v>5882</v>
      </c>
      <c r="C15" s="14">
        <f>(4896/B15*100)</f>
        <v>83.236994219653184</v>
      </c>
      <c r="D15" s="15">
        <v>986</v>
      </c>
      <c r="E15" s="14">
        <v>28.219263739999999</v>
      </c>
      <c r="F15" s="16">
        <v>1.3648711899999999</v>
      </c>
      <c r="G15" s="14">
        <v>71.780736259999998</v>
      </c>
      <c r="H15" s="16">
        <v>1.3648711899999999</v>
      </c>
      <c r="I15" s="14" t="s">
        <v>139</v>
      </c>
      <c r="J15" s="16" t="s">
        <v>139</v>
      </c>
      <c r="K15" s="14">
        <v>0</v>
      </c>
      <c r="L15" s="16">
        <v>0</v>
      </c>
      <c r="M15" s="14">
        <v>0</v>
      </c>
      <c r="N15" s="16">
        <v>0</v>
      </c>
      <c r="O15" s="14">
        <v>0</v>
      </c>
      <c r="P15" s="16">
        <v>0</v>
      </c>
      <c r="Q15" s="14">
        <v>0</v>
      </c>
      <c r="R15" s="16">
        <v>0</v>
      </c>
    </row>
    <row r="16" spans="1:18" x14ac:dyDescent="0.25">
      <c r="A16" s="11" t="s">
        <v>148</v>
      </c>
      <c r="B16" s="13">
        <v>6108</v>
      </c>
      <c r="C16" s="14">
        <f>(5078/B16*100)</f>
        <v>83.136869679109367</v>
      </c>
      <c r="D16" s="15">
        <v>1030</v>
      </c>
      <c r="E16" s="14">
        <v>23.754626779999999</v>
      </c>
      <c r="F16" s="16">
        <v>1.2693002600000001</v>
      </c>
      <c r="G16" s="14">
        <v>76.245373220000005</v>
      </c>
      <c r="H16" s="16">
        <v>1.2693002600000001</v>
      </c>
      <c r="I16" s="14" t="s">
        <v>139</v>
      </c>
      <c r="J16" s="16" t="s">
        <v>139</v>
      </c>
      <c r="K16" s="14">
        <v>0</v>
      </c>
      <c r="L16" s="16">
        <v>0</v>
      </c>
      <c r="M16" s="14">
        <v>0</v>
      </c>
      <c r="N16" s="16">
        <v>0</v>
      </c>
      <c r="O16" s="14">
        <v>0</v>
      </c>
      <c r="P16" s="16">
        <v>0</v>
      </c>
      <c r="Q16" s="14">
        <v>0</v>
      </c>
      <c r="R16" s="16">
        <v>0</v>
      </c>
    </row>
    <row r="17" spans="1:18" x14ac:dyDescent="0.25">
      <c r="A17" s="11" t="s">
        <v>149</v>
      </c>
      <c r="B17" s="13">
        <v>6504</v>
      </c>
      <c r="C17" s="14">
        <f>(5432/B17*100)</f>
        <v>83.517835178351788</v>
      </c>
      <c r="D17" s="15">
        <v>1072</v>
      </c>
      <c r="E17" s="14">
        <v>22.442184059999999</v>
      </c>
      <c r="F17" s="16">
        <v>1.2141519700000001</v>
      </c>
      <c r="G17" s="14">
        <v>77.557815939999998</v>
      </c>
      <c r="H17" s="16">
        <v>1.2141519700000001</v>
      </c>
      <c r="I17" s="14" t="s">
        <v>139</v>
      </c>
      <c r="J17" s="16" t="s">
        <v>139</v>
      </c>
      <c r="K17" s="14">
        <v>0</v>
      </c>
      <c r="L17" s="16">
        <v>0</v>
      </c>
      <c r="M17" s="14">
        <v>0</v>
      </c>
      <c r="N17" s="16">
        <v>0</v>
      </c>
      <c r="O17" s="14">
        <v>0</v>
      </c>
      <c r="P17" s="16">
        <v>0</v>
      </c>
      <c r="Q17" s="14">
        <v>0</v>
      </c>
      <c r="R17" s="16">
        <v>0</v>
      </c>
    </row>
    <row r="18" spans="1:18" x14ac:dyDescent="0.25">
      <c r="A18" s="11" t="s">
        <v>150</v>
      </c>
      <c r="B18" s="13">
        <v>5532</v>
      </c>
      <c r="C18" s="14">
        <f>(4633/B18*100)</f>
        <v>83.749096167751276</v>
      </c>
      <c r="D18" s="15">
        <v>899</v>
      </c>
      <c r="E18" s="14">
        <v>31.006224379999999</v>
      </c>
      <c r="F18" s="16">
        <v>1.79640373</v>
      </c>
      <c r="G18" s="14">
        <v>68.993775619999994</v>
      </c>
      <c r="H18" s="16">
        <v>1.79640373</v>
      </c>
      <c r="I18" s="14" t="s">
        <v>139</v>
      </c>
      <c r="J18" s="16" t="s">
        <v>139</v>
      </c>
      <c r="K18" s="14">
        <v>0</v>
      </c>
      <c r="L18" s="16">
        <v>0</v>
      </c>
      <c r="M18" s="14">
        <v>0</v>
      </c>
      <c r="N18" s="16">
        <v>0</v>
      </c>
      <c r="O18" s="14">
        <v>0</v>
      </c>
      <c r="P18" s="16">
        <v>0</v>
      </c>
      <c r="Q18" s="14">
        <v>0</v>
      </c>
      <c r="R18" s="16">
        <v>0</v>
      </c>
    </row>
    <row r="19" spans="1:18" x14ac:dyDescent="0.25">
      <c r="A19" s="11" t="s">
        <v>151</v>
      </c>
      <c r="B19" s="13">
        <v>5658</v>
      </c>
      <c r="C19" s="14">
        <f>(4733/B19*100)</f>
        <v>83.6514669494521</v>
      </c>
      <c r="D19" s="15">
        <v>925</v>
      </c>
      <c r="E19" s="14">
        <v>38.305137819999999</v>
      </c>
      <c r="F19" s="16">
        <v>1.728272</v>
      </c>
      <c r="G19" s="14">
        <v>61.694862180000001</v>
      </c>
      <c r="H19" s="16">
        <v>1.728272</v>
      </c>
      <c r="I19" s="14" t="s">
        <v>139</v>
      </c>
      <c r="J19" s="16" t="s">
        <v>139</v>
      </c>
      <c r="K19" s="14">
        <v>0</v>
      </c>
      <c r="L19" s="16">
        <v>0</v>
      </c>
      <c r="M19" s="14">
        <v>0</v>
      </c>
      <c r="N19" s="16">
        <v>0</v>
      </c>
      <c r="O19" s="14">
        <v>0</v>
      </c>
      <c r="P19" s="16">
        <v>0</v>
      </c>
      <c r="Q19" s="14">
        <v>0</v>
      </c>
      <c r="R19" s="16">
        <v>0</v>
      </c>
    </row>
    <row r="20" spans="1:18" x14ac:dyDescent="0.25">
      <c r="A20" s="11" t="s">
        <v>152</v>
      </c>
      <c r="B20" s="13">
        <v>3371</v>
      </c>
      <c r="C20" s="14">
        <f>(2823/B20*100)</f>
        <v>83.743696232571935</v>
      </c>
      <c r="D20" s="15">
        <v>548</v>
      </c>
      <c r="E20" s="14">
        <v>21.442146210000001</v>
      </c>
      <c r="F20" s="16">
        <v>2.00433284</v>
      </c>
      <c r="G20" s="14">
        <v>78.557853789999996</v>
      </c>
      <c r="H20" s="16">
        <v>2.00433284</v>
      </c>
      <c r="I20" s="14" t="s">
        <v>139</v>
      </c>
      <c r="J20" s="16" t="s">
        <v>139</v>
      </c>
      <c r="K20" s="14">
        <v>0</v>
      </c>
      <c r="L20" s="16">
        <v>0</v>
      </c>
      <c r="M20" s="14">
        <v>0</v>
      </c>
      <c r="N20" s="16">
        <v>0</v>
      </c>
      <c r="O20" s="14">
        <v>0</v>
      </c>
      <c r="P20" s="16">
        <v>0</v>
      </c>
      <c r="Q20" s="14">
        <v>0</v>
      </c>
      <c r="R20" s="16">
        <v>0</v>
      </c>
    </row>
    <row r="21" spans="1:18" x14ac:dyDescent="0.25">
      <c r="A21" s="11" t="s">
        <v>153</v>
      </c>
      <c r="B21" s="17" t="s">
        <v>154</v>
      </c>
      <c r="C21" s="17" t="s">
        <v>154</v>
      </c>
      <c r="D21" s="18" t="s">
        <v>154</v>
      </c>
      <c r="E21" s="17" t="s">
        <v>154</v>
      </c>
      <c r="F21" s="18" t="s">
        <v>154</v>
      </c>
      <c r="G21" s="17" t="s">
        <v>154</v>
      </c>
      <c r="H21" s="18" t="s">
        <v>154</v>
      </c>
      <c r="I21" s="17" t="s">
        <v>154</v>
      </c>
      <c r="J21" s="18" t="s">
        <v>154</v>
      </c>
      <c r="K21" s="17" t="s">
        <v>154</v>
      </c>
      <c r="L21" s="18" t="s">
        <v>154</v>
      </c>
      <c r="M21" s="17" t="s">
        <v>154</v>
      </c>
      <c r="N21" s="18" t="s">
        <v>154</v>
      </c>
      <c r="O21" s="17" t="s">
        <v>154</v>
      </c>
      <c r="P21" s="18" t="s">
        <v>154</v>
      </c>
      <c r="Q21" s="17" t="s">
        <v>154</v>
      </c>
      <c r="R21" s="18" t="s">
        <v>154</v>
      </c>
    </row>
    <row r="22" spans="1:18" x14ac:dyDescent="0.25">
      <c r="A22" s="11" t="s">
        <v>155</v>
      </c>
      <c r="B22" s="13">
        <v>6598</v>
      </c>
      <c r="C22" s="14">
        <f>(5586/B22*100)</f>
        <v>84.662018793573807</v>
      </c>
      <c r="D22" s="15">
        <v>1012</v>
      </c>
      <c r="E22" s="14">
        <v>33.221059160000003</v>
      </c>
      <c r="F22" s="16">
        <v>1.68983504</v>
      </c>
      <c r="G22" s="14">
        <v>66.778940840000004</v>
      </c>
      <c r="H22" s="16">
        <v>1.68983504</v>
      </c>
      <c r="I22" s="14" t="s">
        <v>139</v>
      </c>
      <c r="J22" s="16" t="s">
        <v>139</v>
      </c>
      <c r="K22" s="14">
        <v>0</v>
      </c>
      <c r="L22" s="16">
        <v>0</v>
      </c>
      <c r="M22" s="14">
        <v>0</v>
      </c>
      <c r="N22" s="16">
        <v>0</v>
      </c>
      <c r="O22" s="14">
        <v>0</v>
      </c>
      <c r="P22" s="16">
        <v>0</v>
      </c>
      <c r="Q22" s="14">
        <v>0</v>
      </c>
      <c r="R22" s="16">
        <v>0</v>
      </c>
    </row>
    <row r="23" spans="1:18" x14ac:dyDescent="0.25">
      <c r="A23" s="11" t="s">
        <v>156</v>
      </c>
      <c r="B23" s="13">
        <v>11583</v>
      </c>
      <c r="C23" s="14">
        <f>(9653/B23*100)</f>
        <v>83.337650004316671</v>
      </c>
      <c r="D23" s="15">
        <v>1930</v>
      </c>
      <c r="E23" s="14">
        <v>22.14505424</v>
      </c>
      <c r="F23" s="16">
        <v>1.2631435499999999</v>
      </c>
      <c r="G23" s="14">
        <v>77.854945760000007</v>
      </c>
      <c r="H23" s="16">
        <v>1.2631435499999999</v>
      </c>
      <c r="I23" s="14" t="s">
        <v>139</v>
      </c>
      <c r="J23" s="16" t="s">
        <v>139</v>
      </c>
      <c r="K23" s="14">
        <v>0</v>
      </c>
      <c r="L23" s="16">
        <v>0</v>
      </c>
      <c r="M23" s="14">
        <v>0</v>
      </c>
      <c r="N23" s="16">
        <v>0</v>
      </c>
      <c r="O23" s="14">
        <v>0</v>
      </c>
      <c r="P23" s="16">
        <v>0</v>
      </c>
      <c r="Q23" s="14">
        <v>0</v>
      </c>
      <c r="R23" s="16">
        <v>0</v>
      </c>
    </row>
    <row r="24" spans="1:18" x14ac:dyDescent="0.25">
      <c r="A24" s="11" t="s">
        <v>157</v>
      </c>
      <c r="B24" s="13">
        <v>6647</v>
      </c>
      <c r="C24" s="14">
        <f>(5482/B24*100)</f>
        <v>82.473296223860387</v>
      </c>
      <c r="D24" s="15">
        <v>1165</v>
      </c>
      <c r="E24" s="14">
        <v>32.839507949999998</v>
      </c>
      <c r="F24" s="16">
        <v>1.31368616</v>
      </c>
      <c r="G24" s="14">
        <v>67.160492050000002</v>
      </c>
      <c r="H24" s="16">
        <v>1.31368616</v>
      </c>
      <c r="I24" s="14" t="s">
        <v>139</v>
      </c>
      <c r="J24" s="16" t="s">
        <v>139</v>
      </c>
      <c r="K24" s="14">
        <v>0</v>
      </c>
      <c r="L24" s="16">
        <v>0</v>
      </c>
      <c r="M24" s="14">
        <v>0</v>
      </c>
      <c r="N24" s="16">
        <v>0</v>
      </c>
      <c r="O24" s="14">
        <v>0</v>
      </c>
      <c r="P24" s="16">
        <v>0</v>
      </c>
      <c r="Q24" s="14">
        <v>0</v>
      </c>
      <c r="R24" s="16">
        <v>0</v>
      </c>
    </row>
    <row r="25" spans="1:18" x14ac:dyDescent="0.25">
      <c r="A25" s="11" t="s">
        <v>158</v>
      </c>
      <c r="B25" s="13">
        <v>5581</v>
      </c>
      <c r="C25" s="14">
        <f>(4597/B25*100)</f>
        <v>82.368751119870993</v>
      </c>
      <c r="D25" s="15">
        <v>984</v>
      </c>
      <c r="E25" s="14">
        <v>40.938207720000001</v>
      </c>
      <c r="F25" s="16">
        <v>1.6085642899999999</v>
      </c>
      <c r="G25" s="14">
        <v>59.061792279999999</v>
      </c>
      <c r="H25" s="16">
        <v>1.6085642899999999</v>
      </c>
      <c r="I25" s="14" t="s">
        <v>139</v>
      </c>
      <c r="J25" s="16" t="s">
        <v>139</v>
      </c>
      <c r="K25" s="14">
        <v>0</v>
      </c>
      <c r="L25" s="16">
        <v>0</v>
      </c>
      <c r="M25" s="14">
        <v>0</v>
      </c>
      <c r="N25" s="16">
        <v>0</v>
      </c>
      <c r="O25" s="14">
        <v>0</v>
      </c>
      <c r="P25" s="16">
        <v>0</v>
      </c>
      <c r="Q25" s="14">
        <v>0</v>
      </c>
      <c r="R25" s="16">
        <v>0</v>
      </c>
    </row>
    <row r="26" spans="1:18" x14ac:dyDescent="0.25">
      <c r="A26" s="11" t="s">
        <v>159</v>
      </c>
      <c r="B26" s="13">
        <v>4869</v>
      </c>
      <c r="C26" s="14">
        <f>(4044/B26*100)</f>
        <v>83.056069008009857</v>
      </c>
      <c r="D26" s="15">
        <v>825</v>
      </c>
      <c r="E26" s="14">
        <v>27.590968320000002</v>
      </c>
      <c r="F26" s="16">
        <v>1.55059031</v>
      </c>
      <c r="G26" s="14">
        <v>72.409031679999998</v>
      </c>
      <c r="H26" s="16">
        <v>1.55059031</v>
      </c>
      <c r="I26" s="14" t="s">
        <v>139</v>
      </c>
      <c r="J26" s="16" t="s">
        <v>139</v>
      </c>
      <c r="K26" s="14">
        <v>0</v>
      </c>
      <c r="L26" s="16">
        <v>0</v>
      </c>
      <c r="M26" s="14">
        <v>0</v>
      </c>
      <c r="N26" s="16">
        <v>0</v>
      </c>
      <c r="O26" s="14">
        <v>0</v>
      </c>
      <c r="P26" s="16">
        <v>0</v>
      </c>
      <c r="Q26" s="14">
        <v>0</v>
      </c>
      <c r="R26" s="16">
        <v>0</v>
      </c>
    </row>
    <row r="27" spans="1:18" x14ac:dyDescent="0.25">
      <c r="A27" s="11" t="s">
        <v>160</v>
      </c>
      <c r="B27" s="13">
        <v>5299</v>
      </c>
      <c r="C27" s="14">
        <f>(4441/B27*100)</f>
        <v>83.808265710511421</v>
      </c>
      <c r="D27" s="15">
        <v>858</v>
      </c>
      <c r="E27" s="14">
        <v>28.734262319999999</v>
      </c>
      <c r="F27" s="16">
        <v>1.4728522100000001</v>
      </c>
      <c r="G27" s="14">
        <v>71.265737680000001</v>
      </c>
      <c r="H27" s="16">
        <v>1.4728522100000001</v>
      </c>
      <c r="I27" s="14" t="s">
        <v>139</v>
      </c>
      <c r="J27" s="16" t="s">
        <v>139</v>
      </c>
      <c r="K27" s="14">
        <v>0</v>
      </c>
      <c r="L27" s="16">
        <v>0</v>
      </c>
      <c r="M27" s="14">
        <v>0</v>
      </c>
      <c r="N27" s="16">
        <v>0</v>
      </c>
      <c r="O27" s="14">
        <v>0</v>
      </c>
      <c r="P27" s="16">
        <v>0</v>
      </c>
      <c r="Q27" s="14">
        <v>0</v>
      </c>
      <c r="R27" s="16">
        <v>0</v>
      </c>
    </row>
    <row r="28" spans="1:18" x14ac:dyDescent="0.25">
      <c r="A28" s="11" t="s">
        <v>161</v>
      </c>
      <c r="B28" s="13">
        <v>7568</v>
      </c>
      <c r="C28" s="14">
        <f>(6435/B28*100)</f>
        <v>85.029069767441854</v>
      </c>
      <c r="D28" s="15">
        <v>1133</v>
      </c>
      <c r="E28" s="14">
        <v>38.096537499999997</v>
      </c>
      <c r="F28" s="16">
        <v>1.8449699100000001</v>
      </c>
      <c r="G28" s="14">
        <v>61.903462500000003</v>
      </c>
      <c r="H28" s="16">
        <v>1.8449699100000001</v>
      </c>
      <c r="I28" s="14" t="s">
        <v>139</v>
      </c>
      <c r="J28" s="16" t="s">
        <v>139</v>
      </c>
      <c r="K28" s="14">
        <v>0</v>
      </c>
      <c r="L28" s="16">
        <v>0</v>
      </c>
      <c r="M28" s="14">
        <v>0</v>
      </c>
      <c r="N28" s="16">
        <v>0</v>
      </c>
      <c r="O28" s="14">
        <v>0</v>
      </c>
      <c r="P28" s="16">
        <v>0</v>
      </c>
      <c r="Q28" s="14">
        <v>0</v>
      </c>
      <c r="R28" s="16">
        <v>0</v>
      </c>
    </row>
    <row r="29" spans="1:18" x14ac:dyDescent="0.25">
      <c r="A29" s="11" t="s">
        <v>162</v>
      </c>
      <c r="B29" s="13">
        <v>5385</v>
      </c>
      <c r="C29" s="14">
        <f>(4468/B29*100)</f>
        <v>82.971216341689882</v>
      </c>
      <c r="D29" s="15">
        <v>917</v>
      </c>
      <c r="E29" s="14">
        <v>18.109954649999999</v>
      </c>
      <c r="F29" s="16">
        <v>1.1696251600000001</v>
      </c>
      <c r="G29" s="14">
        <v>81.890045349999994</v>
      </c>
      <c r="H29" s="16">
        <v>1.1696251600000001</v>
      </c>
      <c r="I29" s="14" t="s">
        <v>139</v>
      </c>
      <c r="J29" s="16" t="s">
        <v>139</v>
      </c>
      <c r="K29" s="14">
        <v>0</v>
      </c>
      <c r="L29" s="16">
        <v>0</v>
      </c>
      <c r="M29" s="14">
        <v>0</v>
      </c>
      <c r="N29" s="16">
        <v>0</v>
      </c>
      <c r="O29" s="14">
        <v>0</v>
      </c>
      <c r="P29" s="16">
        <v>0</v>
      </c>
      <c r="Q29" s="14">
        <v>0</v>
      </c>
      <c r="R29" s="16">
        <v>0</v>
      </c>
    </row>
    <row r="30" spans="1:18" x14ac:dyDescent="0.25">
      <c r="A30" s="11" t="s">
        <v>163</v>
      </c>
      <c r="B30" s="13">
        <v>4520</v>
      </c>
      <c r="C30" s="14">
        <f>(3789/B30*100)</f>
        <v>83.827433628318587</v>
      </c>
      <c r="D30" s="15">
        <v>731</v>
      </c>
      <c r="E30" s="14">
        <v>21.786544469999999</v>
      </c>
      <c r="F30" s="16">
        <v>1.482979</v>
      </c>
      <c r="G30" s="14">
        <v>78.213455530000005</v>
      </c>
      <c r="H30" s="16">
        <v>1.482979</v>
      </c>
      <c r="I30" s="14" t="s">
        <v>139</v>
      </c>
      <c r="J30" s="16" t="s">
        <v>139</v>
      </c>
      <c r="K30" s="14">
        <v>0</v>
      </c>
      <c r="L30" s="16">
        <v>0</v>
      </c>
      <c r="M30" s="14">
        <v>0</v>
      </c>
      <c r="N30" s="16">
        <v>0</v>
      </c>
      <c r="O30" s="14">
        <v>0</v>
      </c>
      <c r="P30" s="16">
        <v>0</v>
      </c>
      <c r="Q30" s="14">
        <v>0</v>
      </c>
      <c r="R30" s="16">
        <v>0</v>
      </c>
    </row>
    <row r="31" spans="1:18" x14ac:dyDescent="0.25">
      <c r="A31" s="11" t="s">
        <v>164</v>
      </c>
      <c r="B31" s="13">
        <v>5456</v>
      </c>
      <c r="C31" s="14">
        <f>(4512/B31*100)</f>
        <v>82.697947214076251</v>
      </c>
      <c r="D31" s="15">
        <v>944</v>
      </c>
      <c r="E31" s="14">
        <v>21.030944829999999</v>
      </c>
      <c r="F31" s="16">
        <v>1.38989377</v>
      </c>
      <c r="G31" s="14">
        <v>78.969055170000004</v>
      </c>
      <c r="H31" s="16">
        <v>1.38989377</v>
      </c>
      <c r="I31" s="14" t="s">
        <v>139</v>
      </c>
      <c r="J31" s="16" t="s">
        <v>139</v>
      </c>
      <c r="K31" s="14">
        <v>0</v>
      </c>
      <c r="L31" s="16">
        <v>0</v>
      </c>
      <c r="M31" s="14">
        <v>0</v>
      </c>
      <c r="N31" s="16">
        <v>0</v>
      </c>
      <c r="O31" s="14">
        <v>0</v>
      </c>
      <c r="P31" s="16">
        <v>0</v>
      </c>
      <c r="Q31" s="14">
        <v>0</v>
      </c>
      <c r="R31" s="16">
        <v>0</v>
      </c>
    </row>
    <row r="32" spans="1:18" x14ac:dyDescent="0.25">
      <c r="A32" s="11" t="s">
        <v>165</v>
      </c>
      <c r="B32" s="17" t="s">
        <v>154</v>
      </c>
      <c r="C32" s="17" t="s">
        <v>154</v>
      </c>
      <c r="D32" s="18" t="s">
        <v>154</v>
      </c>
      <c r="E32" s="17" t="s">
        <v>154</v>
      </c>
      <c r="F32" s="18" t="s">
        <v>154</v>
      </c>
      <c r="G32" s="17" t="s">
        <v>154</v>
      </c>
      <c r="H32" s="18" t="s">
        <v>154</v>
      </c>
      <c r="I32" s="17" t="s">
        <v>154</v>
      </c>
      <c r="J32" s="18" t="s">
        <v>154</v>
      </c>
      <c r="K32" s="17" t="s">
        <v>154</v>
      </c>
      <c r="L32" s="18" t="s">
        <v>154</v>
      </c>
      <c r="M32" s="17" t="s">
        <v>154</v>
      </c>
      <c r="N32" s="18" t="s">
        <v>154</v>
      </c>
      <c r="O32" s="17" t="s">
        <v>154</v>
      </c>
      <c r="P32" s="18" t="s">
        <v>154</v>
      </c>
      <c r="Q32" s="17" t="s">
        <v>154</v>
      </c>
      <c r="R32" s="18" t="s">
        <v>154</v>
      </c>
    </row>
    <row r="33" spans="1:18" x14ac:dyDescent="0.25">
      <c r="A33" s="11" t="s">
        <v>166</v>
      </c>
      <c r="B33" s="13">
        <v>7325</v>
      </c>
      <c r="C33" s="14">
        <f>(6115/B33*100)</f>
        <v>83.481228668941981</v>
      </c>
      <c r="D33" s="15">
        <v>1210</v>
      </c>
      <c r="E33" s="14">
        <v>20.523690429999998</v>
      </c>
      <c r="F33" s="16">
        <v>1.3224078399999999</v>
      </c>
      <c r="G33" s="14">
        <v>79.476309569999998</v>
      </c>
      <c r="H33" s="16">
        <v>1.3224078399999999</v>
      </c>
      <c r="I33" s="14" t="s">
        <v>139</v>
      </c>
      <c r="J33" s="16" t="s">
        <v>139</v>
      </c>
      <c r="K33" s="14">
        <v>0</v>
      </c>
      <c r="L33" s="16">
        <v>0</v>
      </c>
      <c r="M33" s="14">
        <v>0</v>
      </c>
      <c r="N33" s="16">
        <v>0</v>
      </c>
      <c r="O33" s="14">
        <v>0</v>
      </c>
      <c r="P33" s="16">
        <v>0</v>
      </c>
      <c r="Q33" s="14">
        <v>0</v>
      </c>
      <c r="R33" s="16">
        <v>0</v>
      </c>
    </row>
    <row r="34" spans="1:18" x14ac:dyDescent="0.25">
      <c r="A34" s="11" t="s">
        <v>167</v>
      </c>
      <c r="B34" s="13">
        <v>6350</v>
      </c>
      <c r="C34" s="14">
        <f>(5356/B34*100)</f>
        <v>84.346456692913392</v>
      </c>
      <c r="D34" s="15">
        <v>994</v>
      </c>
      <c r="E34" s="14">
        <v>27.078789149999999</v>
      </c>
      <c r="F34" s="16">
        <v>1.7130825599999999</v>
      </c>
      <c r="G34" s="14">
        <v>72.921210849999994</v>
      </c>
      <c r="H34" s="16">
        <v>1.7130825599999999</v>
      </c>
      <c r="I34" s="14" t="s">
        <v>139</v>
      </c>
      <c r="J34" s="16" t="s">
        <v>139</v>
      </c>
      <c r="K34" s="14">
        <v>0</v>
      </c>
      <c r="L34" s="16">
        <v>0</v>
      </c>
      <c r="M34" s="14">
        <v>0</v>
      </c>
      <c r="N34" s="16">
        <v>0</v>
      </c>
      <c r="O34" s="14">
        <v>0</v>
      </c>
      <c r="P34" s="16">
        <v>0</v>
      </c>
      <c r="Q34" s="14">
        <v>0</v>
      </c>
      <c r="R34" s="16">
        <v>0</v>
      </c>
    </row>
    <row r="35" spans="1:18" x14ac:dyDescent="0.25">
      <c r="A35" s="11" t="s">
        <v>168</v>
      </c>
      <c r="B35" s="13">
        <v>6406</v>
      </c>
      <c r="C35" s="14">
        <f>(5336/B35*100)</f>
        <v>83.296909147674057</v>
      </c>
      <c r="D35" s="15">
        <v>1070</v>
      </c>
      <c r="E35" s="14">
        <v>21.184658779999999</v>
      </c>
      <c r="F35" s="16">
        <v>1.54488476</v>
      </c>
      <c r="G35" s="14">
        <v>78.815341219999993</v>
      </c>
      <c r="H35" s="16">
        <v>1.54488476</v>
      </c>
      <c r="I35" s="14" t="s">
        <v>139</v>
      </c>
      <c r="J35" s="16" t="s">
        <v>139</v>
      </c>
      <c r="K35" s="14">
        <v>0</v>
      </c>
      <c r="L35" s="16">
        <v>0</v>
      </c>
      <c r="M35" s="14">
        <v>0</v>
      </c>
      <c r="N35" s="16">
        <v>0</v>
      </c>
      <c r="O35" s="14">
        <v>0</v>
      </c>
      <c r="P35" s="16">
        <v>0</v>
      </c>
      <c r="Q35" s="14">
        <v>0</v>
      </c>
      <c r="R35" s="16">
        <v>0</v>
      </c>
    </row>
    <row r="36" spans="1:18" x14ac:dyDescent="0.25">
      <c r="A36" s="11" t="s">
        <v>169</v>
      </c>
      <c r="B36" s="13">
        <v>6736</v>
      </c>
      <c r="C36" s="14">
        <f>(5649/B36*100)</f>
        <v>83.862826603325416</v>
      </c>
      <c r="D36" s="15">
        <v>1087</v>
      </c>
      <c r="E36" s="14">
        <v>24.204665160000001</v>
      </c>
      <c r="F36" s="16">
        <v>1.3621969199999999</v>
      </c>
      <c r="G36" s="14">
        <v>75.795334839999995</v>
      </c>
      <c r="H36" s="16">
        <v>1.3621969199999999</v>
      </c>
      <c r="I36" s="14" t="s">
        <v>139</v>
      </c>
      <c r="J36" s="16" t="s">
        <v>139</v>
      </c>
      <c r="K36" s="14">
        <v>0</v>
      </c>
      <c r="L36" s="16">
        <v>0</v>
      </c>
      <c r="M36" s="14">
        <v>0</v>
      </c>
      <c r="N36" s="16">
        <v>0</v>
      </c>
      <c r="O36" s="14">
        <v>0</v>
      </c>
      <c r="P36" s="16">
        <v>0</v>
      </c>
      <c r="Q36" s="14">
        <v>0</v>
      </c>
      <c r="R36" s="16">
        <v>0</v>
      </c>
    </row>
    <row r="37" spans="1:18" x14ac:dyDescent="0.25">
      <c r="A37" s="11" t="s">
        <v>170</v>
      </c>
      <c r="B37" s="13">
        <v>5458</v>
      </c>
      <c r="C37" s="14">
        <f>(4553/B37*100)</f>
        <v>83.418834737999276</v>
      </c>
      <c r="D37" s="15">
        <v>905</v>
      </c>
      <c r="E37" s="14">
        <v>19.66393807</v>
      </c>
      <c r="F37" s="16">
        <v>1.4065188900000001</v>
      </c>
      <c r="G37" s="14">
        <v>80.33606193</v>
      </c>
      <c r="H37" s="16">
        <v>1.4065188900000001</v>
      </c>
      <c r="I37" s="14" t="s">
        <v>139</v>
      </c>
      <c r="J37" s="16" t="s">
        <v>139</v>
      </c>
      <c r="K37" s="14">
        <v>0</v>
      </c>
      <c r="L37" s="16">
        <v>0</v>
      </c>
      <c r="M37" s="14">
        <v>0</v>
      </c>
      <c r="N37" s="16">
        <v>0</v>
      </c>
      <c r="O37" s="14">
        <v>0</v>
      </c>
      <c r="P37" s="16">
        <v>0</v>
      </c>
      <c r="Q37" s="14">
        <v>0</v>
      </c>
      <c r="R37" s="16">
        <v>0</v>
      </c>
    </row>
    <row r="38" spans="1:18" x14ac:dyDescent="0.25">
      <c r="A38" s="11" t="s">
        <v>171</v>
      </c>
      <c r="B38" s="17" t="s">
        <v>154</v>
      </c>
      <c r="C38" s="17" t="s">
        <v>154</v>
      </c>
      <c r="D38" s="18" t="s">
        <v>154</v>
      </c>
      <c r="E38" s="17" t="s">
        <v>154</v>
      </c>
      <c r="F38" s="18" t="s">
        <v>154</v>
      </c>
      <c r="G38" s="17" t="s">
        <v>154</v>
      </c>
      <c r="H38" s="18" t="s">
        <v>154</v>
      </c>
      <c r="I38" s="17" t="s">
        <v>154</v>
      </c>
      <c r="J38" s="18" t="s">
        <v>154</v>
      </c>
      <c r="K38" s="17" t="s">
        <v>154</v>
      </c>
      <c r="L38" s="18" t="s">
        <v>154</v>
      </c>
      <c r="M38" s="17" t="s">
        <v>154</v>
      </c>
      <c r="N38" s="18" t="s">
        <v>154</v>
      </c>
      <c r="O38" s="17" t="s">
        <v>154</v>
      </c>
      <c r="P38" s="18" t="s">
        <v>154</v>
      </c>
      <c r="Q38" s="17" t="s">
        <v>154</v>
      </c>
      <c r="R38" s="18" t="s">
        <v>154</v>
      </c>
    </row>
    <row r="39" spans="1:18" x14ac:dyDescent="0.25">
      <c r="A39" s="11" t="s">
        <v>172</v>
      </c>
      <c r="B39" s="13">
        <v>5895</v>
      </c>
      <c r="C39" s="14">
        <f>(4865/B39*100)</f>
        <v>82.527565733672603</v>
      </c>
      <c r="D39" s="15">
        <v>1030</v>
      </c>
      <c r="E39" s="14">
        <v>48.996012049999997</v>
      </c>
      <c r="F39" s="16">
        <v>1.7648362</v>
      </c>
      <c r="G39" s="14">
        <v>51.003987950000003</v>
      </c>
      <c r="H39" s="16">
        <v>1.7648362</v>
      </c>
      <c r="I39" s="14" t="s">
        <v>139</v>
      </c>
      <c r="J39" s="16" t="s">
        <v>139</v>
      </c>
      <c r="K39" s="14">
        <v>0</v>
      </c>
      <c r="L39" s="16">
        <v>0</v>
      </c>
      <c r="M39" s="14">
        <v>0</v>
      </c>
      <c r="N39" s="16">
        <v>0</v>
      </c>
      <c r="O39" s="14">
        <v>0</v>
      </c>
      <c r="P39" s="16">
        <v>0</v>
      </c>
      <c r="Q39" s="14">
        <v>0</v>
      </c>
      <c r="R39" s="16">
        <v>0</v>
      </c>
    </row>
    <row r="40" spans="1:18" x14ac:dyDescent="0.25">
      <c r="A40" s="11" t="s">
        <v>173</v>
      </c>
      <c r="B40" s="13">
        <v>14157</v>
      </c>
      <c r="C40" s="14">
        <f>(11700/B40*100)</f>
        <v>82.644628099173559</v>
      </c>
      <c r="D40" s="15">
        <v>2457</v>
      </c>
      <c r="E40" s="14">
        <v>24.881802159999999</v>
      </c>
      <c r="F40" s="16">
        <v>1.28732607</v>
      </c>
      <c r="G40" s="14">
        <v>75.118197839999993</v>
      </c>
      <c r="H40" s="16">
        <v>1.28732607</v>
      </c>
      <c r="I40" s="14" t="s">
        <v>139</v>
      </c>
      <c r="J40" s="16" t="s">
        <v>139</v>
      </c>
      <c r="K40" s="14">
        <v>0</v>
      </c>
      <c r="L40" s="16">
        <v>0</v>
      </c>
      <c r="M40" s="14">
        <v>0</v>
      </c>
      <c r="N40" s="16">
        <v>0</v>
      </c>
      <c r="O40" s="14">
        <v>0</v>
      </c>
      <c r="P40" s="16">
        <v>0</v>
      </c>
      <c r="Q40" s="14">
        <v>0</v>
      </c>
      <c r="R40" s="16">
        <v>0</v>
      </c>
    </row>
    <row r="41" spans="1:18" x14ac:dyDescent="0.25">
      <c r="A41" s="11" t="s">
        <v>174</v>
      </c>
      <c r="B41" s="13">
        <v>5712</v>
      </c>
      <c r="C41" s="14">
        <f>(4785/B41*100)</f>
        <v>83.77100840336135</v>
      </c>
      <c r="D41" s="15">
        <v>927</v>
      </c>
      <c r="E41" s="14">
        <v>22.45889657</v>
      </c>
      <c r="F41" s="16">
        <v>1.5785815000000001</v>
      </c>
      <c r="G41" s="14">
        <v>77.541103430000007</v>
      </c>
      <c r="H41" s="16">
        <v>1.5785815000000001</v>
      </c>
      <c r="I41" s="14" t="s">
        <v>139</v>
      </c>
      <c r="J41" s="16" t="s">
        <v>139</v>
      </c>
      <c r="K41" s="14">
        <v>0</v>
      </c>
      <c r="L41" s="16">
        <v>0</v>
      </c>
      <c r="M41" s="14">
        <v>0</v>
      </c>
      <c r="N41" s="16">
        <v>0</v>
      </c>
      <c r="O41" s="14">
        <v>0</v>
      </c>
      <c r="P41" s="16">
        <v>0</v>
      </c>
      <c r="Q41" s="14">
        <v>0</v>
      </c>
      <c r="R41" s="16">
        <v>0</v>
      </c>
    </row>
    <row r="42" spans="1:18" x14ac:dyDescent="0.25">
      <c r="A42" s="11" t="s">
        <v>175</v>
      </c>
      <c r="B42" s="13">
        <f>IF(COUNT(B7:B41) &gt; 0, AVERAGE(B7:B41), "\u2014")</f>
        <v>7266.90625</v>
      </c>
      <c r="C42" s="14">
        <f>IF(COUNT(C7:C41) &gt; 0, AVERAGE(C7:C41), "—")</f>
        <v>83.504972993809972</v>
      </c>
      <c r="D42" s="15">
        <f>IF(COUNT(D7:D41) &gt; 0, AVERAGE(D7:D41), "—")</f>
        <v>1199.28125</v>
      </c>
      <c r="E42" s="14">
        <f>IF(COUNT(E7:E41) &gt; 0, AVERAGE(E7:E41), "—")</f>
        <v>26.38781599093749</v>
      </c>
      <c r="F42" s="16">
        <f>IF(COUNT(F7:F41) &gt; 0, SQRT(SUMSQ(F7:F41)/(COUNT(F7:F41)*COUNT(F7:F41)) ), "—")</f>
        <v>0.25821622742070738</v>
      </c>
      <c r="G42" s="14">
        <f>IF(COUNT(G7:G41) &gt; 0, AVERAGE(G7:G41), "—")</f>
        <v>73.612184009062489</v>
      </c>
      <c r="H42" s="16">
        <f>IF(COUNT(H7:H41) &gt; 0, SQRT(SUMSQ(H7:H41)/(COUNT(H7:H41)*COUNT(H7:H41)) ), "—")</f>
        <v>0.25821622742070738</v>
      </c>
      <c r="I42" s="14" t="str">
        <f>IF(COUNT(I7:I41) &gt; 0, AVERAGE(I7:I41), "—")</f>
        <v>—</v>
      </c>
      <c r="J42" s="16" t="str">
        <f>IF(COUNT(J7:J41) &gt; 0, SQRT(SUMSQ(J7:J41)/(COUNT(J7:J41)*COUNT(J7:J41)) ), "—")</f>
        <v>—</v>
      </c>
      <c r="K42" s="14">
        <f>IF(COUNT(K7:K41) &gt; 0, AVERAGE(K7:K41), "—")</f>
        <v>0</v>
      </c>
      <c r="L42" s="16">
        <f>IF(COUNT(L7:L41) &gt; 0, SQRT(SUMSQ(L7:L41)/(COUNT(L7:L41)*COUNT(L7:L41)) ), "—")</f>
        <v>0</v>
      </c>
      <c r="M42" s="14">
        <f>IF(COUNT(M7:M41) &gt; 0, AVERAGE(M7:M41), "—")</f>
        <v>0</v>
      </c>
      <c r="N42" s="16">
        <f>IF(COUNT(N7:N41) &gt; 0, SQRT(SUMSQ(N7:N41)/(COUNT(N7:N41)*COUNT(N7:N41)) ), "—")</f>
        <v>0</v>
      </c>
      <c r="O42" s="14">
        <f>IF(COUNT(O7:O41) &gt; 0, AVERAGE(O7:O41), "—")</f>
        <v>0</v>
      </c>
      <c r="P42" s="16">
        <f>IF(COUNT(P7:P41) &gt; 0, SQRT(SUMSQ(P7:P41)/(COUNT(P7:P41)*COUNT(P7:P41)) ), "—")</f>
        <v>0</v>
      </c>
      <c r="Q42" s="14">
        <f>IF(COUNT(Q7:Q41) &gt; 0, AVERAGE(Q7:Q41), "—")</f>
        <v>0</v>
      </c>
      <c r="R42" s="16">
        <f>IF(COUNT(R7:R41) &gt; 0, SQRT(SUMSQ(R7:R41)/(COUNT(R7:R41)*COUNT(R7:R41)) ), "—")</f>
        <v>0</v>
      </c>
    </row>
    <row r="43" spans="1:18" x14ac:dyDescent="0.25">
      <c r="A43" s="9" t="s">
        <v>176</v>
      </c>
      <c r="B43" s="10"/>
      <c r="C43" s="10"/>
      <c r="D43" s="11"/>
      <c r="E43" s="10"/>
      <c r="F43" s="11"/>
      <c r="G43" s="10"/>
      <c r="H43" s="11"/>
      <c r="I43" s="10"/>
      <c r="J43" s="11"/>
      <c r="K43" s="10"/>
      <c r="L43" s="11"/>
      <c r="M43" s="10"/>
      <c r="N43" s="11"/>
      <c r="O43" s="10"/>
      <c r="P43" s="11"/>
      <c r="Q43" s="10"/>
      <c r="R43" s="12"/>
    </row>
    <row r="44" spans="1:18" x14ac:dyDescent="0.25">
      <c r="A44" s="11" t="s">
        <v>177</v>
      </c>
      <c r="B44" s="17" t="s">
        <v>154</v>
      </c>
      <c r="C44" s="17" t="s">
        <v>154</v>
      </c>
      <c r="D44" s="18" t="s">
        <v>154</v>
      </c>
      <c r="E44" s="17" t="s">
        <v>154</v>
      </c>
      <c r="F44" s="18" t="s">
        <v>154</v>
      </c>
      <c r="G44" s="17" t="s">
        <v>154</v>
      </c>
      <c r="H44" s="18" t="s">
        <v>154</v>
      </c>
      <c r="I44" s="17" t="s">
        <v>154</v>
      </c>
      <c r="J44" s="18" t="s">
        <v>154</v>
      </c>
      <c r="K44" s="17" t="s">
        <v>154</v>
      </c>
      <c r="L44" s="18" t="s">
        <v>154</v>
      </c>
      <c r="M44" s="17" t="s">
        <v>154</v>
      </c>
      <c r="N44" s="18" t="s">
        <v>154</v>
      </c>
      <c r="O44" s="17" t="s">
        <v>154</v>
      </c>
      <c r="P44" s="18" t="s">
        <v>154</v>
      </c>
      <c r="Q44" s="17" t="s">
        <v>154</v>
      </c>
      <c r="R44" s="18" t="s">
        <v>154</v>
      </c>
    </row>
    <row r="45" spans="1:18" x14ac:dyDescent="0.25">
      <c r="A45" s="11" t="s">
        <v>178</v>
      </c>
      <c r="B45" s="17" t="s">
        <v>154</v>
      </c>
      <c r="C45" s="17" t="s">
        <v>154</v>
      </c>
      <c r="D45" s="18" t="s">
        <v>154</v>
      </c>
      <c r="E45" s="17" t="s">
        <v>154</v>
      </c>
      <c r="F45" s="18" t="s">
        <v>154</v>
      </c>
      <c r="G45" s="17" t="s">
        <v>154</v>
      </c>
      <c r="H45" s="18" t="s">
        <v>154</v>
      </c>
      <c r="I45" s="17" t="s">
        <v>154</v>
      </c>
      <c r="J45" s="18" t="s">
        <v>154</v>
      </c>
      <c r="K45" s="17" t="s">
        <v>154</v>
      </c>
      <c r="L45" s="18" t="s">
        <v>154</v>
      </c>
      <c r="M45" s="17" t="s">
        <v>154</v>
      </c>
      <c r="N45" s="18" t="s">
        <v>154</v>
      </c>
      <c r="O45" s="17" t="s">
        <v>154</v>
      </c>
      <c r="P45" s="18" t="s">
        <v>154</v>
      </c>
      <c r="Q45" s="17" t="s">
        <v>154</v>
      </c>
      <c r="R45" s="18" t="s">
        <v>154</v>
      </c>
    </row>
    <row r="46" spans="1:18" x14ac:dyDescent="0.25">
      <c r="A46" s="11" t="s">
        <v>179</v>
      </c>
      <c r="B46" s="13">
        <v>23141</v>
      </c>
      <c r="C46" s="14">
        <f>(20323/B46*100)</f>
        <v>87.822479581694822</v>
      </c>
      <c r="D46" s="15">
        <v>2818</v>
      </c>
      <c r="E46" s="14">
        <v>42.935791850000001</v>
      </c>
      <c r="F46" s="16">
        <v>1.2576028699999999</v>
      </c>
      <c r="G46" s="14">
        <v>57.064208149999999</v>
      </c>
      <c r="H46" s="16">
        <v>1.2576028699999999</v>
      </c>
      <c r="I46" s="14" t="s">
        <v>139</v>
      </c>
      <c r="J46" s="16" t="s">
        <v>139</v>
      </c>
      <c r="K46" s="14">
        <v>0</v>
      </c>
      <c r="L46" s="16">
        <v>0</v>
      </c>
      <c r="M46" s="14">
        <v>0</v>
      </c>
      <c r="N46" s="16">
        <v>0</v>
      </c>
      <c r="O46" s="14">
        <v>0</v>
      </c>
      <c r="P46" s="16">
        <v>0</v>
      </c>
      <c r="Q46" s="14">
        <v>0</v>
      </c>
      <c r="R46" s="16">
        <v>0</v>
      </c>
    </row>
    <row r="47" spans="1:18" x14ac:dyDescent="0.25">
      <c r="A47" s="11" t="s">
        <v>180</v>
      </c>
      <c r="B47" s="13">
        <v>5928</v>
      </c>
      <c r="C47" s="14">
        <f>(4983/B47*100)</f>
        <v>84.058704453441294</v>
      </c>
      <c r="D47" s="15">
        <v>945</v>
      </c>
      <c r="E47" s="14">
        <v>35.563756140000002</v>
      </c>
      <c r="F47" s="16">
        <v>2.0819034599999999</v>
      </c>
      <c r="G47" s="14">
        <v>64.436243860000005</v>
      </c>
      <c r="H47" s="16">
        <v>2.0819034599999999</v>
      </c>
      <c r="I47" s="14" t="s">
        <v>139</v>
      </c>
      <c r="J47" s="16" t="s">
        <v>139</v>
      </c>
      <c r="K47" s="14">
        <v>0</v>
      </c>
      <c r="L47" s="16">
        <v>0</v>
      </c>
      <c r="M47" s="14">
        <v>0</v>
      </c>
      <c r="N47" s="16">
        <v>0</v>
      </c>
      <c r="O47" s="14">
        <v>0</v>
      </c>
      <c r="P47" s="16">
        <v>0</v>
      </c>
      <c r="Q47" s="14">
        <v>0</v>
      </c>
      <c r="R47" s="16">
        <v>0</v>
      </c>
    </row>
    <row r="48" spans="1:18" x14ac:dyDescent="0.25">
      <c r="A48" s="11" t="s">
        <v>181</v>
      </c>
      <c r="B48" s="13">
        <v>9841</v>
      </c>
      <c r="C48" s="14">
        <f>(8156/B48*100)</f>
        <v>82.877756325576669</v>
      </c>
      <c r="D48" s="15">
        <v>1685</v>
      </c>
      <c r="E48" s="14">
        <v>37.15202343</v>
      </c>
      <c r="F48" s="16">
        <v>1.6305982800000001</v>
      </c>
      <c r="G48" s="14">
        <v>62.84797657</v>
      </c>
      <c r="H48" s="16">
        <v>1.6305982800000001</v>
      </c>
      <c r="I48" s="14" t="s">
        <v>139</v>
      </c>
      <c r="J48" s="16" t="s">
        <v>139</v>
      </c>
      <c r="K48" s="14">
        <v>0</v>
      </c>
      <c r="L48" s="16">
        <v>0</v>
      </c>
      <c r="M48" s="14">
        <v>0</v>
      </c>
      <c r="N48" s="16">
        <v>0</v>
      </c>
      <c r="O48" s="14">
        <v>0</v>
      </c>
      <c r="P48" s="16">
        <v>0</v>
      </c>
      <c r="Q48" s="14">
        <v>0</v>
      </c>
      <c r="R48" s="16">
        <v>0</v>
      </c>
    </row>
    <row r="49" spans="1:18" x14ac:dyDescent="0.25">
      <c r="A49" s="11" t="s">
        <v>182</v>
      </c>
      <c r="B49" s="17" t="s">
        <v>154</v>
      </c>
      <c r="C49" s="17" t="s">
        <v>154</v>
      </c>
      <c r="D49" s="18" t="s">
        <v>154</v>
      </c>
      <c r="E49" s="17" t="s">
        <v>154</v>
      </c>
      <c r="F49" s="18" t="s">
        <v>154</v>
      </c>
      <c r="G49" s="17" t="s">
        <v>154</v>
      </c>
      <c r="H49" s="18" t="s">
        <v>154</v>
      </c>
      <c r="I49" s="17" t="s">
        <v>154</v>
      </c>
      <c r="J49" s="18" t="s">
        <v>154</v>
      </c>
      <c r="K49" s="17" t="s">
        <v>154</v>
      </c>
      <c r="L49" s="18" t="s">
        <v>154</v>
      </c>
      <c r="M49" s="17" t="s">
        <v>154</v>
      </c>
      <c r="N49" s="18" t="s">
        <v>154</v>
      </c>
      <c r="O49" s="17" t="s">
        <v>154</v>
      </c>
      <c r="P49" s="18" t="s">
        <v>154</v>
      </c>
      <c r="Q49" s="17" t="s">
        <v>154</v>
      </c>
      <c r="R49" s="18" t="s">
        <v>154</v>
      </c>
    </row>
    <row r="50" spans="1:18" x14ac:dyDescent="0.25">
      <c r="A50" s="11" t="s">
        <v>183</v>
      </c>
      <c r="B50" s="13">
        <v>11795</v>
      </c>
      <c r="C50" s="14">
        <f>(9958/B50*100)</f>
        <v>84.425604069520986</v>
      </c>
      <c r="D50" s="15">
        <v>1837</v>
      </c>
      <c r="E50" s="14">
        <v>42.13712408</v>
      </c>
      <c r="F50" s="16">
        <v>1.7423685900000001</v>
      </c>
      <c r="G50" s="14">
        <v>57.86287592</v>
      </c>
      <c r="H50" s="16">
        <v>1.7423685900000001</v>
      </c>
      <c r="I50" s="14" t="s">
        <v>139</v>
      </c>
      <c r="J50" s="16" t="s">
        <v>139</v>
      </c>
      <c r="K50" s="14">
        <v>0</v>
      </c>
      <c r="L50" s="16">
        <v>0</v>
      </c>
      <c r="M50" s="14">
        <v>0</v>
      </c>
      <c r="N50" s="16">
        <v>0</v>
      </c>
      <c r="O50" s="14">
        <v>0</v>
      </c>
      <c r="P50" s="16">
        <v>0</v>
      </c>
      <c r="Q50" s="14">
        <v>0</v>
      </c>
      <c r="R50" s="16">
        <v>0</v>
      </c>
    </row>
    <row r="51" spans="1:18" x14ac:dyDescent="0.25">
      <c r="A51" s="11" t="s">
        <v>184</v>
      </c>
      <c r="B51" s="13">
        <v>6866</v>
      </c>
      <c r="C51" s="14">
        <f>(5911/B51*100)</f>
        <v>86.090882609962122</v>
      </c>
      <c r="D51" s="15">
        <v>955</v>
      </c>
      <c r="E51" s="14">
        <v>37.118100099999999</v>
      </c>
      <c r="F51" s="16">
        <v>1.80650288</v>
      </c>
      <c r="G51" s="14">
        <v>62.881899900000001</v>
      </c>
      <c r="H51" s="16">
        <v>1.80650288</v>
      </c>
      <c r="I51" s="14" t="s">
        <v>139</v>
      </c>
      <c r="J51" s="16" t="s">
        <v>139</v>
      </c>
      <c r="K51" s="14">
        <v>0</v>
      </c>
      <c r="L51" s="16">
        <v>0</v>
      </c>
      <c r="M51" s="14">
        <v>0</v>
      </c>
      <c r="N51" s="16">
        <v>0</v>
      </c>
      <c r="O51" s="14">
        <v>0</v>
      </c>
      <c r="P51" s="16">
        <v>0</v>
      </c>
      <c r="Q51" s="14">
        <v>0</v>
      </c>
      <c r="R51" s="16">
        <v>0</v>
      </c>
    </row>
    <row r="52" spans="1:18" x14ac:dyDescent="0.25">
      <c r="A52" s="11" t="s">
        <v>185</v>
      </c>
      <c r="B52" s="13">
        <v>5809</v>
      </c>
      <c r="C52" s="14">
        <f>(4832/B52*100)</f>
        <v>83.181270442416945</v>
      </c>
      <c r="D52" s="15">
        <v>977</v>
      </c>
      <c r="E52" s="14">
        <v>20.055409869999998</v>
      </c>
      <c r="F52" s="16">
        <v>1.14707582</v>
      </c>
      <c r="G52" s="14">
        <v>79.944590129999995</v>
      </c>
      <c r="H52" s="16">
        <v>1.14707582</v>
      </c>
      <c r="I52" s="14" t="s">
        <v>139</v>
      </c>
      <c r="J52" s="16" t="s">
        <v>139</v>
      </c>
      <c r="K52" s="14">
        <v>0</v>
      </c>
      <c r="L52" s="16">
        <v>0</v>
      </c>
      <c r="M52" s="14">
        <v>0</v>
      </c>
      <c r="N52" s="16">
        <v>0</v>
      </c>
      <c r="O52" s="14">
        <v>0</v>
      </c>
      <c r="P52" s="16">
        <v>0</v>
      </c>
      <c r="Q52" s="14">
        <v>0</v>
      </c>
      <c r="R52" s="16">
        <v>0</v>
      </c>
    </row>
    <row r="53" spans="1:18" x14ac:dyDescent="0.25">
      <c r="A53" s="11" t="s">
        <v>186</v>
      </c>
      <c r="B53" s="13">
        <v>5571</v>
      </c>
      <c r="C53" s="14">
        <f>(4622/B53*100)</f>
        <v>82.965356309459708</v>
      </c>
      <c r="D53" s="15">
        <v>949</v>
      </c>
      <c r="E53" s="14">
        <v>39.253266709999998</v>
      </c>
      <c r="F53" s="16">
        <v>1.6938442899999999</v>
      </c>
      <c r="G53" s="14">
        <v>60.746733290000002</v>
      </c>
      <c r="H53" s="16">
        <v>1.6938442899999999</v>
      </c>
      <c r="I53" s="14" t="s">
        <v>139</v>
      </c>
      <c r="J53" s="16" t="s">
        <v>139</v>
      </c>
      <c r="K53" s="14">
        <v>0</v>
      </c>
      <c r="L53" s="16">
        <v>0</v>
      </c>
      <c r="M53" s="14">
        <v>0</v>
      </c>
      <c r="N53" s="16">
        <v>0</v>
      </c>
      <c r="O53" s="14">
        <v>0</v>
      </c>
      <c r="P53" s="16">
        <v>0</v>
      </c>
      <c r="Q53" s="14">
        <v>0</v>
      </c>
      <c r="R53" s="16">
        <v>0</v>
      </c>
    </row>
    <row r="54" spans="1:18" x14ac:dyDescent="0.25">
      <c r="A54" s="11" t="s">
        <v>187</v>
      </c>
      <c r="B54" s="17" t="s">
        <v>154</v>
      </c>
      <c r="C54" s="17" t="s">
        <v>154</v>
      </c>
      <c r="D54" s="18" t="s">
        <v>154</v>
      </c>
      <c r="E54" s="17" t="s">
        <v>154</v>
      </c>
      <c r="F54" s="18" t="s">
        <v>154</v>
      </c>
      <c r="G54" s="17" t="s">
        <v>154</v>
      </c>
      <c r="H54" s="18" t="s">
        <v>154</v>
      </c>
      <c r="I54" s="17" t="s">
        <v>154</v>
      </c>
      <c r="J54" s="18" t="s">
        <v>154</v>
      </c>
      <c r="K54" s="17" t="s">
        <v>154</v>
      </c>
      <c r="L54" s="18" t="s">
        <v>154</v>
      </c>
      <c r="M54" s="17" t="s">
        <v>154</v>
      </c>
      <c r="N54" s="18" t="s">
        <v>154</v>
      </c>
      <c r="O54" s="17" t="s">
        <v>154</v>
      </c>
      <c r="P54" s="18" t="s">
        <v>154</v>
      </c>
      <c r="Q54" s="17" t="s">
        <v>154</v>
      </c>
      <c r="R54" s="18" t="s">
        <v>154</v>
      </c>
    </row>
    <row r="55" spans="1:18" x14ac:dyDescent="0.25">
      <c r="A55" s="11" t="s">
        <v>188</v>
      </c>
      <c r="B55" s="17" t="s">
        <v>154</v>
      </c>
      <c r="C55" s="17" t="s">
        <v>154</v>
      </c>
      <c r="D55" s="18" t="s">
        <v>154</v>
      </c>
      <c r="E55" s="17" t="s">
        <v>154</v>
      </c>
      <c r="F55" s="18" t="s">
        <v>154</v>
      </c>
      <c r="G55" s="17" t="s">
        <v>154</v>
      </c>
      <c r="H55" s="18" t="s">
        <v>154</v>
      </c>
      <c r="I55" s="17" t="s">
        <v>154</v>
      </c>
      <c r="J55" s="18" t="s">
        <v>154</v>
      </c>
      <c r="K55" s="17" t="s">
        <v>154</v>
      </c>
      <c r="L55" s="18" t="s">
        <v>154</v>
      </c>
      <c r="M55" s="17" t="s">
        <v>154</v>
      </c>
      <c r="N55" s="18" t="s">
        <v>154</v>
      </c>
      <c r="O55" s="17" t="s">
        <v>154</v>
      </c>
      <c r="P55" s="18" t="s">
        <v>154</v>
      </c>
      <c r="Q55" s="17" t="s">
        <v>154</v>
      </c>
      <c r="R55" s="18" t="s">
        <v>154</v>
      </c>
    </row>
    <row r="56" spans="1:18" x14ac:dyDescent="0.25">
      <c r="A56" s="11" t="s">
        <v>189</v>
      </c>
      <c r="B56" s="13">
        <v>5359</v>
      </c>
      <c r="C56" s="14">
        <f>(4423/B56*100)</f>
        <v>82.534054860981527</v>
      </c>
      <c r="D56" s="15">
        <v>936</v>
      </c>
      <c r="E56" s="14">
        <v>20.162704489999999</v>
      </c>
      <c r="F56" s="16">
        <v>1.40920234</v>
      </c>
      <c r="G56" s="14">
        <v>79.837295510000004</v>
      </c>
      <c r="H56" s="16">
        <v>1.40920234</v>
      </c>
      <c r="I56" s="14" t="s">
        <v>139</v>
      </c>
      <c r="J56" s="16" t="s">
        <v>139</v>
      </c>
      <c r="K56" s="14">
        <v>0</v>
      </c>
      <c r="L56" s="16">
        <v>0</v>
      </c>
      <c r="M56" s="14">
        <v>0</v>
      </c>
      <c r="N56" s="16">
        <v>0</v>
      </c>
      <c r="O56" s="14">
        <v>0</v>
      </c>
      <c r="P56" s="16">
        <v>0</v>
      </c>
      <c r="Q56" s="14">
        <v>0</v>
      </c>
      <c r="R56" s="16">
        <v>0</v>
      </c>
    </row>
    <row r="57" spans="1:18" x14ac:dyDescent="0.25">
      <c r="A57" s="11" t="s">
        <v>190</v>
      </c>
      <c r="B57" s="17" t="s">
        <v>154</v>
      </c>
      <c r="C57" s="17" t="s">
        <v>154</v>
      </c>
      <c r="D57" s="18" t="s">
        <v>154</v>
      </c>
      <c r="E57" s="17" t="s">
        <v>154</v>
      </c>
      <c r="F57" s="18" t="s">
        <v>154</v>
      </c>
      <c r="G57" s="17" t="s">
        <v>154</v>
      </c>
      <c r="H57" s="18" t="s">
        <v>154</v>
      </c>
      <c r="I57" s="17" t="s">
        <v>154</v>
      </c>
      <c r="J57" s="18" t="s">
        <v>154</v>
      </c>
      <c r="K57" s="17" t="s">
        <v>154</v>
      </c>
      <c r="L57" s="18" t="s">
        <v>154</v>
      </c>
      <c r="M57" s="17" t="s">
        <v>154</v>
      </c>
      <c r="N57" s="18" t="s">
        <v>154</v>
      </c>
      <c r="O57" s="17" t="s">
        <v>154</v>
      </c>
      <c r="P57" s="18" t="s">
        <v>154</v>
      </c>
      <c r="Q57" s="17" t="s">
        <v>154</v>
      </c>
      <c r="R57" s="18" t="s">
        <v>154</v>
      </c>
    </row>
    <row r="58" spans="1:18" x14ac:dyDescent="0.25">
      <c r="A58" s="11" t="s">
        <v>191</v>
      </c>
      <c r="B58" s="17" t="s">
        <v>154</v>
      </c>
      <c r="C58" s="17" t="s">
        <v>154</v>
      </c>
      <c r="D58" s="18" t="s">
        <v>154</v>
      </c>
      <c r="E58" s="17" t="s">
        <v>154</v>
      </c>
      <c r="F58" s="18" t="s">
        <v>154</v>
      </c>
      <c r="G58" s="17" t="s">
        <v>154</v>
      </c>
      <c r="H58" s="18" t="s">
        <v>154</v>
      </c>
      <c r="I58" s="17" t="s">
        <v>154</v>
      </c>
      <c r="J58" s="18" t="s">
        <v>154</v>
      </c>
      <c r="K58" s="17" t="s">
        <v>154</v>
      </c>
      <c r="L58" s="18" t="s">
        <v>154</v>
      </c>
      <c r="M58" s="17" t="s">
        <v>154</v>
      </c>
      <c r="N58" s="18" t="s">
        <v>154</v>
      </c>
      <c r="O58" s="17" t="s">
        <v>154</v>
      </c>
      <c r="P58" s="18" t="s">
        <v>154</v>
      </c>
      <c r="Q58" s="17" t="s">
        <v>154</v>
      </c>
      <c r="R58" s="18" t="s">
        <v>154</v>
      </c>
    </row>
    <row r="59" spans="1:18" x14ac:dyDescent="0.25">
      <c r="A59" s="11" t="s">
        <v>192</v>
      </c>
      <c r="B59" s="17" t="s">
        <v>154</v>
      </c>
      <c r="C59" s="17" t="s">
        <v>154</v>
      </c>
      <c r="D59" s="18" t="s">
        <v>154</v>
      </c>
      <c r="E59" s="17" t="s">
        <v>154</v>
      </c>
      <c r="F59" s="18" t="s">
        <v>154</v>
      </c>
      <c r="G59" s="17" t="s">
        <v>154</v>
      </c>
      <c r="H59" s="18" t="s">
        <v>154</v>
      </c>
      <c r="I59" s="17" t="s">
        <v>154</v>
      </c>
      <c r="J59" s="18" t="s">
        <v>154</v>
      </c>
      <c r="K59" s="17" t="s">
        <v>154</v>
      </c>
      <c r="L59" s="18" t="s">
        <v>154</v>
      </c>
      <c r="M59" s="17" t="s">
        <v>154</v>
      </c>
      <c r="N59" s="18" t="s">
        <v>154</v>
      </c>
      <c r="O59" s="17" t="s">
        <v>154</v>
      </c>
      <c r="P59" s="18" t="s">
        <v>154</v>
      </c>
      <c r="Q59" s="17" t="s">
        <v>154</v>
      </c>
      <c r="R59" s="18" t="s">
        <v>154</v>
      </c>
    </row>
    <row r="60" spans="1:18" x14ac:dyDescent="0.25">
      <c r="A60" s="11" t="s">
        <v>193</v>
      </c>
      <c r="B60" s="17" t="s">
        <v>154</v>
      </c>
      <c r="C60" s="17" t="s">
        <v>154</v>
      </c>
      <c r="D60" s="18" t="s">
        <v>154</v>
      </c>
      <c r="E60" s="17" t="s">
        <v>154</v>
      </c>
      <c r="F60" s="18" t="s">
        <v>154</v>
      </c>
      <c r="G60" s="17" t="s">
        <v>154</v>
      </c>
      <c r="H60" s="18" t="s">
        <v>154</v>
      </c>
      <c r="I60" s="17" t="s">
        <v>154</v>
      </c>
      <c r="J60" s="18" t="s">
        <v>154</v>
      </c>
      <c r="K60" s="17" t="s">
        <v>154</v>
      </c>
      <c r="L60" s="18" t="s">
        <v>154</v>
      </c>
      <c r="M60" s="17" t="s">
        <v>154</v>
      </c>
      <c r="N60" s="18" t="s">
        <v>154</v>
      </c>
      <c r="O60" s="17" t="s">
        <v>154</v>
      </c>
      <c r="P60" s="18" t="s">
        <v>154</v>
      </c>
      <c r="Q60" s="17" t="s">
        <v>154</v>
      </c>
      <c r="R60" s="18" t="s">
        <v>154</v>
      </c>
    </row>
    <row r="61" spans="1:18" x14ac:dyDescent="0.25">
      <c r="A61" s="11" t="s">
        <v>194</v>
      </c>
      <c r="B61" s="13">
        <v>6525</v>
      </c>
      <c r="C61" s="14">
        <f>(5438/B61*100)</f>
        <v>83.340996168582365</v>
      </c>
      <c r="D61" s="15">
        <v>1087</v>
      </c>
      <c r="E61" s="14">
        <v>27.27867449</v>
      </c>
      <c r="F61" s="16">
        <v>1.40630476</v>
      </c>
      <c r="G61" s="14">
        <v>72.72132551</v>
      </c>
      <c r="H61" s="16">
        <v>1.40630476</v>
      </c>
      <c r="I61" s="14" t="s">
        <v>139</v>
      </c>
      <c r="J61" s="16" t="s">
        <v>139</v>
      </c>
      <c r="K61" s="14">
        <v>0</v>
      </c>
      <c r="L61" s="16">
        <v>0</v>
      </c>
      <c r="M61" s="14">
        <v>0</v>
      </c>
      <c r="N61" s="16">
        <v>0</v>
      </c>
      <c r="O61" s="14">
        <v>0</v>
      </c>
      <c r="P61" s="16">
        <v>0</v>
      </c>
      <c r="Q61" s="14">
        <v>0</v>
      </c>
      <c r="R61" s="16">
        <v>0</v>
      </c>
    </row>
    <row r="62" spans="1:18" x14ac:dyDescent="0.25">
      <c r="A62" s="11" t="s">
        <v>195</v>
      </c>
      <c r="B62" s="13">
        <v>4476</v>
      </c>
      <c r="C62" s="14">
        <f>(3742/B62*100)</f>
        <v>83.601429848078652</v>
      </c>
      <c r="D62" s="15">
        <v>734</v>
      </c>
      <c r="E62" s="14">
        <v>19.549605010000001</v>
      </c>
      <c r="F62" s="16">
        <v>1.4990430699999999</v>
      </c>
      <c r="G62" s="14">
        <v>80.450394990000007</v>
      </c>
      <c r="H62" s="16">
        <v>1.4990430699999999</v>
      </c>
      <c r="I62" s="14" t="s">
        <v>139</v>
      </c>
      <c r="J62" s="16" t="s">
        <v>139</v>
      </c>
      <c r="K62" s="14">
        <v>0</v>
      </c>
      <c r="L62" s="16">
        <v>0</v>
      </c>
      <c r="M62" s="14">
        <v>0</v>
      </c>
      <c r="N62" s="16">
        <v>0</v>
      </c>
      <c r="O62" s="14">
        <v>0</v>
      </c>
      <c r="P62" s="16">
        <v>0</v>
      </c>
      <c r="Q62" s="14">
        <v>0</v>
      </c>
      <c r="R62" s="16">
        <v>0</v>
      </c>
    </row>
    <row r="63" spans="1:18" x14ac:dyDescent="0.25">
      <c r="A63" s="11" t="s">
        <v>196</v>
      </c>
      <c r="B63" s="17" t="s">
        <v>154</v>
      </c>
      <c r="C63" s="17" t="s">
        <v>154</v>
      </c>
      <c r="D63" s="18" t="s">
        <v>154</v>
      </c>
      <c r="E63" s="17" t="s">
        <v>154</v>
      </c>
      <c r="F63" s="18" t="s">
        <v>154</v>
      </c>
      <c r="G63" s="17" t="s">
        <v>154</v>
      </c>
      <c r="H63" s="18" t="s">
        <v>154</v>
      </c>
      <c r="I63" s="17" t="s">
        <v>154</v>
      </c>
      <c r="J63" s="18" t="s">
        <v>154</v>
      </c>
      <c r="K63" s="17" t="s">
        <v>154</v>
      </c>
      <c r="L63" s="18" t="s">
        <v>154</v>
      </c>
      <c r="M63" s="17" t="s">
        <v>154</v>
      </c>
      <c r="N63" s="18" t="s">
        <v>154</v>
      </c>
      <c r="O63" s="17" t="s">
        <v>154</v>
      </c>
      <c r="P63" s="18" t="s">
        <v>154</v>
      </c>
      <c r="Q63" s="17" t="s">
        <v>154</v>
      </c>
      <c r="R63" s="18" t="s">
        <v>154</v>
      </c>
    </row>
    <row r="64" spans="1:18" x14ac:dyDescent="0.25">
      <c r="A64" s="11" t="s">
        <v>197</v>
      </c>
      <c r="B64" s="17" t="s">
        <v>154</v>
      </c>
      <c r="C64" s="17" t="s">
        <v>154</v>
      </c>
      <c r="D64" s="18" t="s">
        <v>154</v>
      </c>
      <c r="E64" s="17" t="s">
        <v>154</v>
      </c>
      <c r="F64" s="18" t="s">
        <v>154</v>
      </c>
      <c r="G64" s="17" t="s">
        <v>154</v>
      </c>
      <c r="H64" s="18" t="s">
        <v>154</v>
      </c>
      <c r="I64" s="17" t="s">
        <v>154</v>
      </c>
      <c r="J64" s="18" t="s">
        <v>154</v>
      </c>
      <c r="K64" s="17" t="s">
        <v>154</v>
      </c>
      <c r="L64" s="18" t="s">
        <v>154</v>
      </c>
      <c r="M64" s="17" t="s">
        <v>154</v>
      </c>
      <c r="N64" s="18" t="s">
        <v>154</v>
      </c>
      <c r="O64" s="17" t="s">
        <v>154</v>
      </c>
      <c r="P64" s="18" t="s">
        <v>154</v>
      </c>
      <c r="Q64" s="17" t="s">
        <v>154</v>
      </c>
      <c r="R64" s="18" t="s">
        <v>154</v>
      </c>
    </row>
    <row r="65" spans="1:18" x14ac:dyDescent="0.25">
      <c r="A65" s="11" t="s">
        <v>198</v>
      </c>
      <c r="B65" s="17" t="s">
        <v>154</v>
      </c>
      <c r="C65" s="17" t="s">
        <v>154</v>
      </c>
      <c r="D65" s="18" t="s">
        <v>154</v>
      </c>
      <c r="E65" s="17" t="s">
        <v>154</v>
      </c>
      <c r="F65" s="18" t="s">
        <v>154</v>
      </c>
      <c r="G65" s="17" t="s">
        <v>154</v>
      </c>
      <c r="H65" s="18" t="s">
        <v>154</v>
      </c>
      <c r="I65" s="17" t="s">
        <v>154</v>
      </c>
      <c r="J65" s="18" t="s">
        <v>154</v>
      </c>
      <c r="K65" s="17" t="s">
        <v>154</v>
      </c>
      <c r="L65" s="18" t="s">
        <v>154</v>
      </c>
      <c r="M65" s="17" t="s">
        <v>154</v>
      </c>
      <c r="N65" s="18" t="s">
        <v>154</v>
      </c>
      <c r="O65" s="17" t="s">
        <v>154</v>
      </c>
      <c r="P65" s="18" t="s">
        <v>154</v>
      </c>
      <c r="Q65" s="17" t="s">
        <v>154</v>
      </c>
      <c r="R65" s="18" t="s">
        <v>154</v>
      </c>
    </row>
    <row r="66" spans="1:18" x14ac:dyDescent="0.25">
      <c r="A66" s="11" t="s">
        <v>199</v>
      </c>
      <c r="B66" s="13">
        <v>5665</v>
      </c>
      <c r="C66" s="14">
        <f>(4754/B66*100)</f>
        <v>83.918799646954994</v>
      </c>
      <c r="D66" s="15">
        <v>911</v>
      </c>
      <c r="E66" s="14">
        <v>40.574248920000002</v>
      </c>
      <c r="F66" s="16">
        <v>1.5105538599999999</v>
      </c>
      <c r="G66" s="14">
        <v>59.425751079999998</v>
      </c>
      <c r="H66" s="16">
        <v>1.5105538599999999</v>
      </c>
      <c r="I66" s="14" t="s">
        <v>139</v>
      </c>
      <c r="J66" s="16" t="s">
        <v>139</v>
      </c>
      <c r="K66" s="14">
        <v>0</v>
      </c>
      <c r="L66" s="16">
        <v>0</v>
      </c>
      <c r="M66" s="14">
        <v>0</v>
      </c>
      <c r="N66" s="16">
        <v>0</v>
      </c>
      <c r="O66" s="14">
        <v>0</v>
      </c>
      <c r="P66" s="16">
        <v>0</v>
      </c>
      <c r="Q66" s="14">
        <v>0</v>
      </c>
      <c r="R66" s="16">
        <v>0</v>
      </c>
    </row>
    <row r="67" spans="1:18" x14ac:dyDescent="0.25">
      <c r="A67" s="11" t="s">
        <v>200</v>
      </c>
      <c r="B67" s="13">
        <v>6971</v>
      </c>
      <c r="C67" s="14">
        <f>(6010/B67*100)</f>
        <v>86.214316453880357</v>
      </c>
      <c r="D67" s="15">
        <v>961</v>
      </c>
      <c r="E67" s="14">
        <v>47.441618929999997</v>
      </c>
      <c r="F67" s="16">
        <v>1.8116852400000001</v>
      </c>
      <c r="G67" s="14">
        <v>52.558381070000003</v>
      </c>
      <c r="H67" s="16">
        <v>1.8116852400000001</v>
      </c>
      <c r="I67" s="14" t="s">
        <v>139</v>
      </c>
      <c r="J67" s="16" t="s">
        <v>139</v>
      </c>
      <c r="K67" s="14">
        <v>0</v>
      </c>
      <c r="L67" s="16">
        <v>0</v>
      </c>
      <c r="M67" s="14">
        <v>0</v>
      </c>
      <c r="N67" s="16">
        <v>0</v>
      </c>
      <c r="O67" s="14">
        <v>0</v>
      </c>
      <c r="P67" s="16">
        <v>0</v>
      </c>
      <c r="Q67" s="14">
        <v>0</v>
      </c>
      <c r="R67" s="16">
        <v>0</v>
      </c>
    </row>
    <row r="68" spans="1:18" x14ac:dyDescent="0.25">
      <c r="A68" s="11" t="s">
        <v>201</v>
      </c>
      <c r="B68" s="17" t="s">
        <v>154</v>
      </c>
      <c r="C68" s="17" t="s">
        <v>154</v>
      </c>
      <c r="D68" s="18" t="s">
        <v>154</v>
      </c>
      <c r="E68" s="17" t="s">
        <v>154</v>
      </c>
      <c r="F68" s="18" t="s">
        <v>154</v>
      </c>
      <c r="G68" s="17" t="s">
        <v>154</v>
      </c>
      <c r="H68" s="18" t="s">
        <v>154</v>
      </c>
      <c r="I68" s="17" t="s">
        <v>154</v>
      </c>
      <c r="J68" s="18" t="s">
        <v>154</v>
      </c>
      <c r="K68" s="17" t="s">
        <v>154</v>
      </c>
      <c r="L68" s="18" t="s">
        <v>154</v>
      </c>
      <c r="M68" s="17" t="s">
        <v>154</v>
      </c>
      <c r="N68" s="18" t="s">
        <v>154</v>
      </c>
      <c r="O68" s="17" t="s">
        <v>154</v>
      </c>
      <c r="P68" s="18" t="s">
        <v>154</v>
      </c>
      <c r="Q68" s="17" t="s">
        <v>154</v>
      </c>
      <c r="R68" s="18" t="s">
        <v>154</v>
      </c>
    </row>
    <row r="69" spans="1:18" x14ac:dyDescent="0.25">
      <c r="A69" s="11" t="s">
        <v>202</v>
      </c>
      <c r="B69" s="17" t="s">
        <v>154</v>
      </c>
      <c r="C69" s="17" t="s">
        <v>154</v>
      </c>
      <c r="D69" s="18" t="s">
        <v>154</v>
      </c>
      <c r="E69" s="17" t="s">
        <v>154</v>
      </c>
      <c r="F69" s="18" t="s">
        <v>154</v>
      </c>
      <c r="G69" s="17" t="s">
        <v>154</v>
      </c>
      <c r="H69" s="18" t="s">
        <v>154</v>
      </c>
      <c r="I69" s="17" t="s">
        <v>154</v>
      </c>
      <c r="J69" s="18" t="s">
        <v>154</v>
      </c>
      <c r="K69" s="17" t="s">
        <v>154</v>
      </c>
      <c r="L69" s="18" t="s">
        <v>154</v>
      </c>
      <c r="M69" s="17" t="s">
        <v>154</v>
      </c>
      <c r="N69" s="18" t="s">
        <v>154</v>
      </c>
      <c r="O69" s="17" t="s">
        <v>154</v>
      </c>
      <c r="P69" s="18" t="s">
        <v>154</v>
      </c>
      <c r="Q69" s="17" t="s">
        <v>154</v>
      </c>
      <c r="R69" s="18" t="s">
        <v>154</v>
      </c>
    </row>
    <row r="70" spans="1:18" x14ac:dyDescent="0.25">
      <c r="A70" s="11" t="s">
        <v>203</v>
      </c>
      <c r="B70" s="13">
        <v>6036</v>
      </c>
      <c r="C70" s="14">
        <f>(5043/B70*100)</f>
        <v>83.548707753479121</v>
      </c>
      <c r="D70" s="15">
        <v>993</v>
      </c>
      <c r="E70" s="14">
        <v>28.115461700000001</v>
      </c>
      <c r="F70" s="16">
        <v>1.51318687</v>
      </c>
      <c r="G70" s="14">
        <v>71.884538300000003</v>
      </c>
      <c r="H70" s="16">
        <v>1.51318687</v>
      </c>
      <c r="I70" s="14" t="s">
        <v>139</v>
      </c>
      <c r="J70" s="16" t="s">
        <v>139</v>
      </c>
      <c r="K70" s="14">
        <v>0</v>
      </c>
      <c r="L70" s="16">
        <v>0</v>
      </c>
      <c r="M70" s="14">
        <v>0</v>
      </c>
      <c r="N70" s="16">
        <v>0</v>
      </c>
      <c r="O70" s="14">
        <v>0</v>
      </c>
      <c r="P70" s="16">
        <v>0</v>
      </c>
      <c r="Q70" s="14">
        <v>0</v>
      </c>
      <c r="R70" s="16">
        <v>0</v>
      </c>
    </row>
    <row r="71" spans="1:18" x14ac:dyDescent="0.25">
      <c r="A71" s="11" t="s">
        <v>204</v>
      </c>
      <c r="B71" s="17" t="s">
        <v>154</v>
      </c>
      <c r="C71" s="17" t="s">
        <v>154</v>
      </c>
      <c r="D71" s="18" t="s">
        <v>154</v>
      </c>
      <c r="E71" s="17" t="s">
        <v>154</v>
      </c>
      <c r="F71" s="18" t="s">
        <v>154</v>
      </c>
      <c r="G71" s="17" t="s">
        <v>154</v>
      </c>
      <c r="H71" s="18" t="s">
        <v>154</v>
      </c>
      <c r="I71" s="17" t="s">
        <v>154</v>
      </c>
      <c r="J71" s="18" t="s">
        <v>154</v>
      </c>
      <c r="K71" s="17" t="s">
        <v>154</v>
      </c>
      <c r="L71" s="18" t="s">
        <v>154</v>
      </c>
      <c r="M71" s="17" t="s">
        <v>154</v>
      </c>
      <c r="N71" s="18" t="s">
        <v>154</v>
      </c>
      <c r="O71" s="17" t="s">
        <v>154</v>
      </c>
      <c r="P71" s="18" t="s">
        <v>154</v>
      </c>
      <c r="Q71" s="17" t="s">
        <v>154</v>
      </c>
      <c r="R71" s="18" t="s">
        <v>154</v>
      </c>
    </row>
    <row r="72" spans="1:18" x14ac:dyDescent="0.25">
      <c r="A72" s="11" t="s">
        <v>205</v>
      </c>
      <c r="B72" s="13">
        <v>7708</v>
      </c>
      <c r="C72" s="14">
        <f>(6395/B72*100)</f>
        <v>82.965749870264659</v>
      </c>
      <c r="D72" s="15">
        <v>1313</v>
      </c>
      <c r="E72" s="14">
        <v>33.094396000000003</v>
      </c>
      <c r="F72" s="16">
        <v>1.25616339</v>
      </c>
      <c r="G72" s="14">
        <v>66.905603999999997</v>
      </c>
      <c r="H72" s="16">
        <v>1.25616339</v>
      </c>
      <c r="I72" s="14" t="s">
        <v>139</v>
      </c>
      <c r="J72" s="16" t="s">
        <v>139</v>
      </c>
      <c r="K72" s="14">
        <v>0</v>
      </c>
      <c r="L72" s="16">
        <v>0</v>
      </c>
      <c r="M72" s="14">
        <v>0</v>
      </c>
      <c r="N72" s="16">
        <v>0</v>
      </c>
      <c r="O72" s="14">
        <v>0</v>
      </c>
      <c r="P72" s="16">
        <v>0</v>
      </c>
      <c r="Q72" s="14">
        <v>0</v>
      </c>
      <c r="R72" s="16">
        <v>0</v>
      </c>
    </row>
    <row r="73" spans="1:18" x14ac:dyDescent="0.25">
      <c r="A73" s="11" t="s">
        <v>206</v>
      </c>
      <c r="B73" s="13">
        <v>8249</v>
      </c>
      <c r="C73" s="14">
        <f>(6966/B73*100)</f>
        <v>84.446599587828828</v>
      </c>
      <c r="D73" s="15">
        <v>1283</v>
      </c>
      <c r="E73" s="14">
        <v>60.064483039999999</v>
      </c>
      <c r="F73" s="16">
        <v>2.0239418699999998</v>
      </c>
      <c r="G73" s="14">
        <v>39.935516960000001</v>
      </c>
      <c r="H73" s="16">
        <v>2.0239418699999998</v>
      </c>
      <c r="I73" s="14" t="s">
        <v>139</v>
      </c>
      <c r="J73" s="16" t="s">
        <v>139</v>
      </c>
      <c r="K73" s="14">
        <v>0</v>
      </c>
      <c r="L73" s="16">
        <v>0</v>
      </c>
      <c r="M73" s="14">
        <v>0</v>
      </c>
      <c r="N73" s="16">
        <v>0</v>
      </c>
      <c r="O73" s="14">
        <v>0</v>
      </c>
      <c r="P73" s="16">
        <v>0</v>
      </c>
      <c r="Q73" s="14">
        <v>0</v>
      </c>
      <c r="R73" s="16">
        <v>0</v>
      </c>
    </row>
    <row r="74" spans="1:18" x14ac:dyDescent="0.25">
      <c r="A74" s="11" t="s">
        <v>207</v>
      </c>
      <c r="B74" s="17" t="s">
        <v>154</v>
      </c>
      <c r="C74" s="17" t="s">
        <v>154</v>
      </c>
      <c r="D74" s="18" t="s">
        <v>154</v>
      </c>
      <c r="E74" s="17" t="s">
        <v>154</v>
      </c>
      <c r="F74" s="18" t="s">
        <v>154</v>
      </c>
      <c r="G74" s="17" t="s">
        <v>154</v>
      </c>
      <c r="H74" s="18" t="s">
        <v>154</v>
      </c>
      <c r="I74" s="17" t="s">
        <v>154</v>
      </c>
      <c r="J74" s="18" t="s">
        <v>154</v>
      </c>
      <c r="K74" s="17" t="s">
        <v>154</v>
      </c>
      <c r="L74" s="18" t="s">
        <v>154</v>
      </c>
      <c r="M74" s="17" t="s">
        <v>154</v>
      </c>
      <c r="N74" s="18" t="s">
        <v>154</v>
      </c>
      <c r="O74" s="17" t="s">
        <v>154</v>
      </c>
      <c r="P74" s="18" t="s">
        <v>154</v>
      </c>
      <c r="Q74" s="17" t="s">
        <v>154</v>
      </c>
      <c r="R74" s="18" t="s">
        <v>154</v>
      </c>
    </row>
    <row r="75" spans="1:18" x14ac:dyDescent="0.25">
      <c r="A75" s="11" t="s">
        <v>208</v>
      </c>
      <c r="B75" s="13">
        <v>5375</v>
      </c>
      <c r="C75" s="14">
        <f>(4595/B75*100)</f>
        <v>85.488372093023258</v>
      </c>
      <c r="D75" s="15">
        <v>780</v>
      </c>
      <c r="E75" s="14">
        <v>59.448677850000003</v>
      </c>
      <c r="F75" s="16">
        <v>1.8670419</v>
      </c>
      <c r="G75" s="14">
        <v>40.551322149999997</v>
      </c>
      <c r="H75" s="16">
        <v>1.8670419</v>
      </c>
      <c r="I75" s="14" t="s">
        <v>139</v>
      </c>
      <c r="J75" s="16" t="s">
        <v>139</v>
      </c>
      <c r="K75" s="14">
        <v>0</v>
      </c>
      <c r="L75" s="16">
        <v>0</v>
      </c>
      <c r="M75" s="14">
        <v>0</v>
      </c>
      <c r="N75" s="16">
        <v>0</v>
      </c>
      <c r="O75" s="14">
        <v>0</v>
      </c>
      <c r="P75" s="16">
        <v>0</v>
      </c>
      <c r="Q75" s="14">
        <v>0</v>
      </c>
      <c r="R75" s="16">
        <v>0</v>
      </c>
    </row>
    <row r="76" spans="1:18" x14ac:dyDescent="0.25">
      <c r="A76" s="11" t="s">
        <v>209</v>
      </c>
      <c r="B76" s="13">
        <v>14167</v>
      </c>
      <c r="C76" s="14">
        <f>(11740/B76*100)</f>
        <v>82.868638384979178</v>
      </c>
      <c r="D76" s="15">
        <v>2427</v>
      </c>
      <c r="E76" s="14">
        <v>41.926805860000002</v>
      </c>
      <c r="F76" s="16">
        <v>1.3719092799999999</v>
      </c>
      <c r="G76" s="14">
        <v>58.073194139999998</v>
      </c>
      <c r="H76" s="16">
        <v>1.3719092799999999</v>
      </c>
      <c r="I76" s="14" t="s">
        <v>139</v>
      </c>
      <c r="J76" s="16" t="s">
        <v>139</v>
      </c>
      <c r="K76" s="14">
        <v>0</v>
      </c>
      <c r="L76" s="16">
        <v>0</v>
      </c>
      <c r="M76" s="14">
        <v>0</v>
      </c>
      <c r="N76" s="16">
        <v>0</v>
      </c>
      <c r="O76" s="14">
        <v>0</v>
      </c>
      <c r="P76" s="16">
        <v>0</v>
      </c>
      <c r="Q76" s="14">
        <v>0</v>
      </c>
      <c r="R76" s="16">
        <v>0</v>
      </c>
    </row>
    <row r="77" spans="1:18" x14ac:dyDescent="0.25">
      <c r="A77" s="11" t="s">
        <v>210</v>
      </c>
      <c r="B77" s="13">
        <v>6062</v>
      </c>
      <c r="C77" s="14">
        <f>(5082/B77*100)</f>
        <v>83.833718244803691</v>
      </c>
      <c r="D77" s="15">
        <v>980</v>
      </c>
      <c r="E77" s="14">
        <v>36.971377320000002</v>
      </c>
      <c r="F77" s="16">
        <v>1.6451885500000001</v>
      </c>
      <c r="G77" s="14">
        <v>63.028622679999998</v>
      </c>
      <c r="H77" s="16">
        <v>1.6451885500000001</v>
      </c>
      <c r="I77" s="14" t="s">
        <v>139</v>
      </c>
      <c r="J77" s="16" t="s">
        <v>139</v>
      </c>
      <c r="K77" s="14">
        <v>0</v>
      </c>
      <c r="L77" s="16">
        <v>0</v>
      </c>
      <c r="M77" s="14">
        <v>0</v>
      </c>
      <c r="N77" s="16">
        <v>0</v>
      </c>
      <c r="O77" s="14">
        <v>0</v>
      </c>
      <c r="P77" s="16">
        <v>0</v>
      </c>
      <c r="Q77" s="14">
        <v>0</v>
      </c>
      <c r="R77" s="16">
        <v>0</v>
      </c>
    </row>
    <row r="78" spans="1:18" x14ac:dyDescent="0.25">
      <c r="A78" s="11" t="s">
        <v>211</v>
      </c>
      <c r="B78" s="17" t="s">
        <v>154</v>
      </c>
      <c r="C78" s="17" t="s">
        <v>154</v>
      </c>
      <c r="D78" s="18" t="s">
        <v>154</v>
      </c>
      <c r="E78" s="17" t="s">
        <v>154</v>
      </c>
      <c r="F78" s="18" t="s">
        <v>154</v>
      </c>
      <c r="G78" s="17" t="s">
        <v>154</v>
      </c>
      <c r="H78" s="18" t="s">
        <v>154</v>
      </c>
      <c r="I78" s="17" t="s">
        <v>154</v>
      </c>
      <c r="J78" s="18" t="s">
        <v>154</v>
      </c>
      <c r="K78" s="17" t="s">
        <v>154</v>
      </c>
      <c r="L78" s="18" t="s">
        <v>154</v>
      </c>
      <c r="M78" s="17" t="s">
        <v>154</v>
      </c>
      <c r="N78" s="18" t="s">
        <v>154</v>
      </c>
      <c r="O78" s="17" t="s">
        <v>154</v>
      </c>
      <c r="P78" s="18" t="s">
        <v>154</v>
      </c>
      <c r="Q78" s="17" t="s">
        <v>154</v>
      </c>
      <c r="R78" s="18" t="s">
        <v>154</v>
      </c>
    </row>
    <row r="79" spans="1:18" ht="24.95" customHeight="1" x14ac:dyDescent="0.25">
      <c r="A79" s="11" t="s">
        <v>212</v>
      </c>
      <c r="B79" s="17" t="s">
        <v>154</v>
      </c>
      <c r="C79" s="17" t="s">
        <v>154</v>
      </c>
      <c r="D79" s="18" t="s">
        <v>154</v>
      </c>
      <c r="E79" s="17" t="s">
        <v>154</v>
      </c>
      <c r="F79" s="18" t="s">
        <v>154</v>
      </c>
      <c r="G79" s="17" t="s">
        <v>154</v>
      </c>
      <c r="H79" s="18" t="s">
        <v>154</v>
      </c>
      <c r="I79" s="17" t="s">
        <v>154</v>
      </c>
      <c r="J79" s="18" t="s">
        <v>154</v>
      </c>
      <c r="K79" s="17" t="s">
        <v>154</v>
      </c>
      <c r="L79" s="18" t="s">
        <v>154</v>
      </c>
      <c r="M79" s="17" t="s">
        <v>154</v>
      </c>
      <c r="N79" s="18" t="s">
        <v>154</v>
      </c>
      <c r="O79" s="17" t="s">
        <v>154</v>
      </c>
      <c r="P79" s="18" t="s">
        <v>154</v>
      </c>
      <c r="Q79" s="17" t="s">
        <v>154</v>
      </c>
      <c r="R79" s="18" t="s">
        <v>154</v>
      </c>
    </row>
    <row r="80" spans="1:18" x14ac:dyDescent="0.25">
      <c r="A80" s="11" t="s">
        <v>213</v>
      </c>
      <c r="B80" s="17" t="s">
        <v>154</v>
      </c>
      <c r="C80" s="17" t="s">
        <v>154</v>
      </c>
      <c r="D80" s="18" t="s">
        <v>154</v>
      </c>
      <c r="E80" s="17" t="s">
        <v>154</v>
      </c>
      <c r="F80" s="18" t="s">
        <v>154</v>
      </c>
      <c r="G80" s="17" t="s">
        <v>154</v>
      </c>
      <c r="H80" s="18" t="s">
        <v>154</v>
      </c>
      <c r="I80" s="17" t="s">
        <v>154</v>
      </c>
      <c r="J80" s="18" t="s">
        <v>154</v>
      </c>
      <c r="K80" s="17" t="s">
        <v>154</v>
      </c>
      <c r="L80" s="18" t="s">
        <v>154</v>
      </c>
      <c r="M80" s="17" t="s">
        <v>154</v>
      </c>
      <c r="N80" s="18" t="s">
        <v>154</v>
      </c>
      <c r="O80" s="17" t="s">
        <v>154</v>
      </c>
      <c r="P80" s="18" t="s">
        <v>154</v>
      </c>
      <c r="Q80" s="17" t="s">
        <v>154</v>
      </c>
      <c r="R80" s="18" t="s">
        <v>154</v>
      </c>
    </row>
    <row r="81" spans="1:18" x14ac:dyDescent="0.25">
      <c r="A81" s="19" t="s">
        <v>214</v>
      </c>
      <c r="B81" s="13">
        <v>8861</v>
      </c>
      <c r="C81" s="14">
        <f>(7385/B81*100)</f>
        <v>83.342737839972912</v>
      </c>
      <c r="D81" s="15">
        <v>1476</v>
      </c>
      <c r="E81" s="14">
        <v>9.1894227500000003</v>
      </c>
      <c r="F81" s="16">
        <v>1.3339471000000001</v>
      </c>
      <c r="G81" s="14">
        <v>10.00476315</v>
      </c>
      <c r="H81" s="16">
        <v>1.2788626700000001</v>
      </c>
      <c r="I81" s="14" t="s">
        <v>139</v>
      </c>
      <c r="J81" s="16" t="s">
        <v>139</v>
      </c>
      <c r="K81" s="14">
        <v>0</v>
      </c>
      <c r="L81" s="16">
        <v>0</v>
      </c>
      <c r="M81" s="14">
        <v>80.80581411</v>
      </c>
      <c r="N81" s="16">
        <v>2.3351560199999999</v>
      </c>
      <c r="O81" s="14">
        <v>0</v>
      </c>
      <c r="P81" s="16">
        <v>0</v>
      </c>
      <c r="Q81" s="14">
        <v>0</v>
      </c>
      <c r="R81" s="16">
        <v>0</v>
      </c>
    </row>
    <row r="82" spans="1:18" x14ac:dyDescent="0.25">
      <c r="A82" s="20"/>
      <c r="B82" s="20" t="s">
        <v>215</v>
      </c>
      <c r="C82" s="20" t="s">
        <v>215</v>
      </c>
      <c r="D82" s="20" t="s">
        <v>215</v>
      </c>
      <c r="E82" s="20" t="s">
        <v>215</v>
      </c>
      <c r="F82" s="20" t="s">
        <v>215</v>
      </c>
      <c r="G82" s="20" t="s">
        <v>215</v>
      </c>
      <c r="H82" s="20" t="s">
        <v>215</v>
      </c>
      <c r="I82" s="20" t="s">
        <v>215</v>
      </c>
      <c r="J82" s="20" t="s">
        <v>215</v>
      </c>
      <c r="K82" s="20" t="s">
        <v>215</v>
      </c>
      <c r="L82" s="20" t="s">
        <v>215</v>
      </c>
      <c r="M82" s="20" t="s">
        <v>215</v>
      </c>
      <c r="N82" s="20" t="s">
        <v>215</v>
      </c>
      <c r="O82" s="20" t="s">
        <v>215</v>
      </c>
      <c r="P82" s="20" t="s">
        <v>215</v>
      </c>
      <c r="Q82" s="20" t="s">
        <v>215</v>
      </c>
      <c r="R82" s="20" t="s">
        <v>215</v>
      </c>
    </row>
    <row r="83" spans="1:18" x14ac:dyDescent="0.25">
      <c r="A83" s="3" t="s">
        <v>216</v>
      </c>
    </row>
    <row r="84" spans="1:18" x14ac:dyDescent="0.25">
      <c r="A84" s="22" t="s">
        <v>217</v>
      </c>
      <c r="B84" s="23"/>
      <c r="C84" s="23"/>
      <c r="D84" s="23"/>
      <c r="E84" s="23"/>
      <c r="F84" s="23"/>
      <c r="G84" s="23"/>
      <c r="H84" s="23"/>
      <c r="I84" s="23"/>
      <c r="J84" s="23"/>
      <c r="K84" s="23"/>
      <c r="L84" s="23"/>
      <c r="M84" s="23"/>
      <c r="N84" s="23"/>
      <c r="O84" s="23"/>
      <c r="P84" s="23"/>
      <c r="Q84" s="23"/>
      <c r="R84" s="23"/>
    </row>
    <row r="85" spans="1:18" x14ac:dyDescent="0.25">
      <c r="A85" s="22" t="s">
        <v>218</v>
      </c>
      <c r="B85" s="23"/>
      <c r="C85" s="23"/>
      <c r="D85" s="23"/>
      <c r="E85" s="23"/>
      <c r="F85" s="23"/>
      <c r="G85" s="23"/>
      <c r="H85" s="23"/>
      <c r="I85" s="23"/>
      <c r="J85" s="23"/>
      <c r="K85" s="23"/>
      <c r="L85" s="23"/>
      <c r="M85" s="23"/>
      <c r="N85" s="23"/>
      <c r="O85" s="23"/>
      <c r="P85" s="23"/>
      <c r="Q85" s="23"/>
      <c r="R85" s="23"/>
    </row>
    <row r="86" spans="1:18" ht="30" customHeight="1" x14ac:dyDescent="0.25">
      <c r="A86" s="22" t="s">
        <v>219</v>
      </c>
      <c r="B86" s="23"/>
      <c r="C86" s="23"/>
      <c r="D86" s="23"/>
      <c r="E86" s="23"/>
      <c r="F86" s="23"/>
      <c r="G86" s="23"/>
      <c r="H86" s="23"/>
      <c r="I86" s="23"/>
      <c r="J86" s="23"/>
      <c r="K86" s="23"/>
      <c r="L86" s="23"/>
      <c r="M86" s="23"/>
      <c r="N86" s="23"/>
      <c r="O86" s="23"/>
      <c r="P86" s="23"/>
      <c r="Q86" s="23"/>
      <c r="R86" s="23"/>
    </row>
    <row r="87" spans="1:18" ht="30" customHeight="1" x14ac:dyDescent="0.25">
      <c r="A87" s="22" t="s">
        <v>215</v>
      </c>
      <c r="B87" s="23"/>
      <c r="C87" s="23"/>
      <c r="D87" s="23"/>
      <c r="E87" s="23"/>
      <c r="F87" s="23"/>
      <c r="G87" s="23"/>
      <c r="H87" s="23"/>
      <c r="I87" s="23"/>
      <c r="J87" s="23"/>
      <c r="K87" s="23"/>
      <c r="L87" s="23"/>
      <c r="M87" s="23"/>
      <c r="N87" s="23"/>
      <c r="O87" s="23"/>
      <c r="P87" s="23"/>
      <c r="Q87" s="23"/>
      <c r="R87" s="23"/>
    </row>
    <row r="88" spans="1:18" ht="30" customHeight="1" x14ac:dyDescent="0.25">
      <c r="A88" s="22" t="s">
        <v>220</v>
      </c>
      <c r="B88" s="23"/>
      <c r="C88" s="23"/>
      <c r="D88" s="23"/>
      <c r="E88" s="23"/>
      <c r="F88" s="23"/>
      <c r="G88" s="23"/>
      <c r="H88" s="23"/>
      <c r="I88" s="23"/>
      <c r="J88" s="23"/>
      <c r="K88" s="23"/>
      <c r="L88" s="23"/>
      <c r="M88" s="23"/>
      <c r="N88" s="23"/>
      <c r="O88" s="23"/>
      <c r="P88" s="23"/>
      <c r="Q88" s="23"/>
      <c r="R88" s="23"/>
    </row>
    <row r="89" spans="1:18" ht="30" customHeight="1" x14ac:dyDescent="0.25">
      <c r="A89" s="22" t="s">
        <v>221</v>
      </c>
      <c r="B89" s="23"/>
      <c r="C89" s="23"/>
      <c r="D89" s="23"/>
      <c r="E89" s="23"/>
      <c r="F89" s="23"/>
      <c r="G89" s="23"/>
      <c r="H89" s="23"/>
      <c r="I89" s="23"/>
      <c r="J89" s="23"/>
      <c r="K89" s="23"/>
      <c r="L89" s="23"/>
      <c r="M89" s="23"/>
      <c r="N89" s="23"/>
      <c r="O89" s="23"/>
      <c r="P89" s="23"/>
      <c r="Q89" s="23"/>
      <c r="R89" s="23"/>
    </row>
    <row r="90" spans="1:18" ht="30" customHeight="1" x14ac:dyDescent="0.25">
      <c r="A90" s="22" t="s">
        <v>222</v>
      </c>
      <c r="B90" s="23"/>
      <c r="C90" s="23"/>
      <c r="D90" s="23"/>
      <c r="E90" s="23"/>
      <c r="F90" s="23"/>
      <c r="G90" s="23"/>
      <c r="H90" s="23"/>
      <c r="I90" s="23"/>
      <c r="J90" s="23"/>
      <c r="K90" s="23"/>
      <c r="L90" s="23"/>
      <c r="M90" s="23"/>
      <c r="N90" s="23"/>
      <c r="O90" s="23"/>
      <c r="P90" s="23"/>
      <c r="Q90" s="23"/>
      <c r="R90" s="23"/>
    </row>
    <row r="91" spans="1:18" ht="30" customHeight="1" x14ac:dyDescent="0.25">
      <c r="A91" s="22" t="s">
        <v>223</v>
      </c>
      <c r="B91" s="23"/>
      <c r="C91" s="23"/>
      <c r="D91" s="23"/>
      <c r="E91" s="23"/>
      <c r="F91" s="23"/>
      <c r="G91" s="23"/>
      <c r="H91" s="23"/>
      <c r="I91" s="23"/>
      <c r="J91" s="23"/>
      <c r="K91" s="23"/>
      <c r="L91" s="23"/>
      <c r="M91" s="23"/>
      <c r="N91" s="23"/>
      <c r="O91" s="23"/>
      <c r="P91" s="23"/>
      <c r="Q91" s="23"/>
      <c r="R91" s="23"/>
    </row>
    <row r="92" spans="1:18" ht="30" customHeight="1" x14ac:dyDescent="0.25">
      <c r="A92" s="22" t="s">
        <v>224</v>
      </c>
      <c r="B92" s="23"/>
      <c r="C92" s="23"/>
      <c r="D92" s="23"/>
      <c r="E92" s="23"/>
      <c r="F92" s="23"/>
      <c r="G92" s="23"/>
      <c r="H92" s="23"/>
      <c r="I92" s="23"/>
      <c r="J92" s="23"/>
      <c r="K92" s="23"/>
      <c r="L92" s="23"/>
      <c r="M92" s="23"/>
      <c r="N92" s="23"/>
      <c r="O92" s="23"/>
      <c r="P92" s="23"/>
      <c r="Q92" s="23"/>
      <c r="R92" s="23"/>
    </row>
    <row r="93" spans="1:18" ht="30" customHeight="1" x14ac:dyDescent="0.25">
      <c r="A93" s="22" t="s">
        <v>225</v>
      </c>
      <c r="B93" s="23"/>
      <c r="C93" s="23"/>
      <c r="D93" s="23"/>
      <c r="E93" s="23"/>
      <c r="F93" s="23"/>
      <c r="G93" s="23"/>
      <c r="H93" s="23"/>
      <c r="I93" s="23"/>
      <c r="J93" s="23"/>
      <c r="K93" s="23"/>
      <c r="L93" s="23"/>
      <c r="M93" s="23"/>
      <c r="N93" s="23"/>
      <c r="O93" s="23"/>
      <c r="P93" s="23"/>
      <c r="Q93" s="23"/>
      <c r="R93" s="23"/>
    </row>
    <row r="94" spans="1:18" ht="30" customHeight="1" x14ac:dyDescent="0.25">
      <c r="A94" s="22" t="s">
        <v>226</v>
      </c>
      <c r="B94" s="23"/>
      <c r="C94" s="23"/>
      <c r="D94" s="23"/>
      <c r="E94" s="23"/>
      <c r="F94" s="23"/>
      <c r="G94" s="23"/>
      <c r="H94" s="23"/>
      <c r="I94" s="23"/>
      <c r="J94" s="23"/>
      <c r="K94" s="23"/>
      <c r="L94" s="23"/>
      <c r="M94" s="23"/>
      <c r="N94" s="23"/>
      <c r="O94" s="23"/>
      <c r="P94" s="23"/>
      <c r="Q94" s="23"/>
      <c r="R94" s="23"/>
    </row>
    <row r="95" spans="1:18" ht="30" customHeight="1" x14ac:dyDescent="0.25">
      <c r="A95" s="22" t="s">
        <v>227</v>
      </c>
      <c r="B95" s="23"/>
      <c r="C95" s="23"/>
      <c r="D95" s="23"/>
      <c r="E95" s="23"/>
      <c r="F95" s="23"/>
      <c r="G95" s="23"/>
      <c r="H95" s="23"/>
      <c r="I95" s="23"/>
      <c r="J95" s="23"/>
      <c r="K95" s="23"/>
      <c r="L95" s="23"/>
      <c r="M95" s="23"/>
      <c r="N95" s="23"/>
      <c r="O95" s="23"/>
      <c r="P95" s="23"/>
      <c r="Q95" s="23"/>
      <c r="R95" s="23"/>
    </row>
    <row r="96" spans="1:18" ht="30" customHeight="1" x14ac:dyDescent="0.25">
      <c r="A96" s="22" t="s">
        <v>228</v>
      </c>
      <c r="B96" s="23"/>
      <c r="C96" s="23"/>
      <c r="D96" s="23"/>
      <c r="E96" s="23"/>
      <c r="F96" s="23"/>
      <c r="G96" s="23"/>
      <c r="H96" s="23"/>
      <c r="I96" s="23"/>
      <c r="J96" s="23"/>
      <c r="K96" s="23"/>
      <c r="L96" s="23"/>
      <c r="M96" s="23"/>
      <c r="N96" s="23"/>
      <c r="O96" s="23"/>
      <c r="P96" s="23"/>
      <c r="Q96" s="23"/>
      <c r="R96" s="23"/>
    </row>
  </sheetData>
  <mergeCells count="22">
    <mergeCell ref="O4:P4"/>
    <mergeCell ref="Q4:R4"/>
    <mergeCell ref="A1:R1"/>
    <mergeCell ref="A2:R2"/>
    <mergeCell ref="A84:R84"/>
    <mergeCell ref="E4:F4"/>
    <mergeCell ref="G4:H4"/>
    <mergeCell ref="I4:J4"/>
    <mergeCell ref="K4:L4"/>
    <mergeCell ref="M4:N4"/>
    <mergeCell ref="A85:R85"/>
    <mergeCell ref="A86:R86"/>
    <mergeCell ref="A87:R87"/>
    <mergeCell ref="A88:R88"/>
    <mergeCell ref="A89:R89"/>
    <mergeCell ref="A95:R95"/>
    <mergeCell ref="A96:R96"/>
    <mergeCell ref="A90:R90"/>
    <mergeCell ref="A91:R91"/>
    <mergeCell ref="A92:R92"/>
    <mergeCell ref="A93:R93"/>
    <mergeCell ref="A94:R94"/>
  </mergeCells>
  <pageMargins left="0.75" right="0.75" top="1" bottom="1" header="0.5" footer="0.5"/>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3"/>
  <dimension ref="A1:R96"/>
  <sheetViews>
    <sheetView zoomScale="80" workbookViewId="0">
      <pane xSplit="4" topLeftCell="E1" activePane="topRight" state="frozen"/>
      <selection sqref="A1:R1"/>
      <selection pane="topRight" sqref="A1:R1"/>
    </sheetView>
  </sheetViews>
  <sheetFormatPr defaultColWidth="11.42578125" defaultRowHeight="15" x14ac:dyDescent="0.25"/>
  <cols>
    <col min="1" max="1" width="50" customWidth="1"/>
  </cols>
  <sheetData>
    <row r="1" spans="1:18" x14ac:dyDescent="0.25">
      <c r="A1" s="26" t="s">
        <v>122</v>
      </c>
      <c r="B1" s="23"/>
      <c r="C1" s="23"/>
      <c r="D1" s="23"/>
      <c r="E1" s="23"/>
      <c r="F1" s="23"/>
      <c r="G1" s="23"/>
      <c r="H1" s="23"/>
      <c r="I1" s="23"/>
      <c r="J1" s="23"/>
      <c r="K1" s="23"/>
      <c r="L1" s="23"/>
      <c r="M1" s="23"/>
      <c r="N1" s="23"/>
      <c r="O1" s="23"/>
      <c r="P1" s="23"/>
      <c r="Q1" s="23"/>
      <c r="R1" s="23"/>
    </row>
    <row r="2" spans="1:18" x14ac:dyDescent="0.25">
      <c r="A2" s="27" t="s">
        <v>309</v>
      </c>
      <c r="B2" s="23"/>
      <c r="C2" s="23"/>
      <c r="D2" s="23"/>
      <c r="E2" s="23"/>
      <c r="F2" s="23"/>
      <c r="G2" s="23"/>
      <c r="H2" s="23"/>
      <c r="I2" s="23"/>
      <c r="J2" s="23"/>
      <c r="K2" s="23"/>
      <c r="L2" s="23"/>
      <c r="M2" s="23"/>
      <c r="N2" s="23"/>
      <c r="O2" s="23"/>
      <c r="P2" s="23"/>
      <c r="Q2" s="23"/>
      <c r="R2" s="23"/>
    </row>
    <row r="4" spans="1:18" ht="30" customHeight="1" x14ac:dyDescent="0.25">
      <c r="A4" s="4"/>
      <c r="B4" s="5" t="s">
        <v>123</v>
      </c>
      <c r="C4" s="5" t="s">
        <v>124</v>
      </c>
      <c r="D4" s="6" t="s">
        <v>123</v>
      </c>
      <c r="E4" s="24" t="s">
        <v>125</v>
      </c>
      <c r="F4" s="25"/>
      <c r="G4" s="24" t="s">
        <v>126</v>
      </c>
      <c r="H4" s="25"/>
      <c r="I4" s="24" t="s">
        <v>127</v>
      </c>
      <c r="J4" s="25"/>
      <c r="K4" s="24" t="s">
        <v>128</v>
      </c>
      <c r="L4" s="25"/>
      <c r="M4" s="24" t="s">
        <v>129</v>
      </c>
      <c r="N4" s="25"/>
      <c r="O4" s="24" t="s">
        <v>130</v>
      </c>
      <c r="P4" s="25"/>
      <c r="Q4" s="24" t="s">
        <v>131</v>
      </c>
      <c r="R4" s="25"/>
    </row>
    <row r="5" spans="1:18" x14ac:dyDescent="0.25">
      <c r="A5" s="7"/>
      <c r="B5" s="8" t="s">
        <v>132</v>
      </c>
      <c r="C5" s="8" t="s">
        <v>133</v>
      </c>
      <c r="D5" s="7" t="s">
        <v>134</v>
      </c>
      <c r="E5" s="8" t="s">
        <v>135</v>
      </c>
      <c r="F5" s="7" t="s">
        <v>136</v>
      </c>
      <c r="G5" s="8" t="s">
        <v>135</v>
      </c>
      <c r="H5" s="7" t="s">
        <v>136</v>
      </c>
      <c r="I5" s="8" t="s">
        <v>135</v>
      </c>
      <c r="J5" s="7" t="s">
        <v>136</v>
      </c>
      <c r="K5" s="8" t="s">
        <v>135</v>
      </c>
      <c r="L5" s="7" t="s">
        <v>136</v>
      </c>
      <c r="M5" s="8" t="s">
        <v>135</v>
      </c>
      <c r="N5" s="7" t="s">
        <v>136</v>
      </c>
      <c r="O5" s="8" t="s">
        <v>135</v>
      </c>
      <c r="P5" s="7" t="s">
        <v>136</v>
      </c>
      <c r="Q5" s="8" t="s">
        <v>135</v>
      </c>
      <c r="R5" s="7" t="s">
        <v>136</v>
      </c>
    </row>
    <row r="6" spans="1:18" x14ac:dyDescent="0.25">
      <c r="A6" s="9" t="s">
        <v>137</v>
      </c>
      <c r="B6" s="10"/>
      <c r="C6" s="10"/>
      <c r="D6" s="11"/>
      <c r="E6" s="10"/>
      <c r="F6" s="11"/>
      <c r="G6" s="10"/>
      <c r="H6" s="11"/>
      <c r="I6" s="10"/>
      <c r="J6" s="11"/>
      <c r="K6" s="10"/>
      <c r="L6" s="11"/>
      <c r="M6" s="10"/>
      <c r="N6" s="11"/>
      <c r="O6" s="10"/>
      <c r="P6" s="11"/>
      <c r="Q6" s="10"/>
      <c r="R6" s="12"/>
    </row>
    <row r="7" spans="1:18" x14ac:dyDescent="0.25">
      <c r="A7" s="11" t="s">
        <v>138</v>
      </c>
      <c r="B7" s="13">
        <v>14530</v>
      </c>
      <c r="C7" s="14">
        <f>(12273/B7*100)</f>
        <v>84.466620784583625</v>
      </c>
      <c r="D7" s="15">
        <v>2257</v>
      </c>
      <c r="E7" s="14">
        <v>26.93049899</v>
      </c>
      <c r="F7" s="16">
        <v>1.1806090499999999</v>
      </c>
      <c r="G7" s="14">
        <v>73.069501009999996</v>
      </c>
      <c r="H7" s="16">
        <v>1.1806090499999999</v>
      </c>
      <c r="I7" s="14" t="s">
        <v>139</v>
      </c>
      <c r="J7" s="16" t="s">
        <v>139</v>
      </c>
      <c r="K7" s="14">
        <v>0</v>
      </c>
      <c r="L7" s="16">
        <v>0</v>
      </c>
      <c r="M7" s="14">
        <v>0</v>
      </c>
      <c r="N7" s="16">
        <v>0</v>
      </c>
      <c r="O7" s="14">
        <v>0</v>
      </c>
      <c r="P7" s="16">
        <v>0</v>
      </c>
      <c r="Q7" s="14">
        <v>0</v>
      </c>
      <c r="R7" s="16">
        <v>0</v>
      </c>
    </row>
    <row r="8" spans="1:18" x14ac:dyDescent="0.25">
      <c r="A8" s="11" t="s">
        <v>140</v>
      </c>
      <c r="B8" s="13">
        <v>7007</v>
      </c>
      <c r="C8" s="14">
        <f>(5877/B8*100)</f>
        <v>83.873269587555299</v>
      </c>
      <c r="D8" s="15">
        <v>1130</v>
      </c>
      <c r="E8" s="14">
        <v>35.347525470000001</v>
      </c>
      <c r="F8" s="16">
        <v>1.59386972</v>
      </c>
      <c r="G8" s="14">
        <v>64.652474530000006</v>
      </c>
      <c r="H8" s="16">
        <v>1.59386972</v>
      </c>
      <c r="I8" s="14" t="s">
        <v>139</v>
      </c>
      <c r="J8" s="16" t="s">
        <v>139</v>
      </c>
      <c r="K8" s="14">
        <v>0</v>
      </c>
      <c r="L8" s="16">
        <v>0</v>
      </c>
      <c r="M8" s="14">
        <v>0</v>
      </c>
      <c r="N8" s="16">
        <v>0</v>
      </c>
      <c r="O8" s="14">
        <v>0</v>
      </c>
      <c r="P8" s="16">
        <v>0</v>
      </c>
      <c r="Q8" s="14">
        <v>0</v>
      </c>
      <c r="R8" s="16">
        <v>0</v>
      </c>
    </row>
    <row r="9" spans="1:18" x14ac:dyDescent="0.25">
      <c r="A9" s="11" t="s">
        <v>141</v>
      </c>
      <c r="B9" s="13">
        <v>9651</v>
      </c>
      <c r="C9" s="14">
        <f>(8191/B9*100)</f>
        <v>84.872033986115426</v>
      </c>
      <c r="D9" s="15">
        <v>1460</v>
      </c>
      <c r="E9" s="14">
        <v>37.504577879999999</v>
      </c>
      <c r="F9" s="16">
        <v>1.47938273</v>
      </c>
      <c r="G9" s="14">
        <v>62.495422120000001</v>
      </c>
      <c r="H9" s="16">
        <v>1.47938273</v>
      </c>
      <c r="I9" s="14" t="s">
        <v>139</v>
      </c>
      <c r="J9" s="16" t="s">
        <v>139</v>
      </c>
      <c r="K9" s="14">
        <v>0</v>
      </c>
      <c r="L9" s="16">
        <v>0</v>
      </c>
      <c r="M9" s="14">
        <v>0</v>
      </c>
      <c r="N9" s="16">
        <v>0</v>
      </c>
      <c r="O9" s="14">
        <v>0</v>
      </c>
      <c r="P9" s="16">
        <v>0</v>
      </c>
      <c r="Q9" s="14">
        <v>0</v>
      </c>
      <c r="R9" s="16">
        <v>0</v>
      </c>
    </row>
    <row r="10" spans="1:18" x14ac:dyDescent="0.25">
      <c r="A10" s="11" t="s">
        <v>142</v>
      </c>
      <c r="B10" s="13">
        <v>20058</v>
      </c>
      <c r="C10" s="14">
        <f>(16744/B10*100)</f>
        <v>83.477914049257151</v>
      </c>
      <c r="D10" s="15">
        <v>3314</v>
      </c>
      <c r="E10" s="14">
        <v>26.39155375</v>
      </c>
      <c r="F10" s="16">
        <v>0.96503618999999996</v>
      </c>
      <c r="G10" s="14">
        <v>73.60844625</v>
      </c>
      <c r="H10" s="16">
        <v>0.96503618999999996</v>
      </c>
      <c r="I10" s="14" t="s">
        <v>139</v>
      </c>
      <c r="J10" s="16" t="s">
        <v>139</v>
      </c>
      <c r="K10" s="14">
        <v>0</v>
      </c>
      <c r="L10" s="16">
        <v>0</v>
      </c>
      <c r="M10" s="14">
        <v>0</v>
      </c>
      <c r="N10" s="16">
        <v>0</v>
      </c>
      <c r="O10" s="14">
        <v>0</v>
      </c>
      <c r="P10" s="16">
        <v>0</v>
      </c>
      <c r="Q10" s="14">
        <v>0</v>
      </c>
      <c r="R10" s="16">
        <v>0</v>
      </c>
    </row>
    <row r="11" spans="1:18" x14ac:dyDescent="0.25">
      <c r="A11" s="11" t="s">
        <v>143</v>
      </c>
      <c r="B11" s="13">
        <v>7053</v>
      </c>
      <c r="C11" s="14">
        <f>(5950/B11*100)</f>
        <v>84.361264710052467</v>
      </c>
      <c r="D11" s="15">
        <v>1103</v>
      </c>
      <c r="E11" s="14">
        <v>48.143434259999999</v>
      </c>
      <c r="F11" s="16">
        <v>1.8857588000000001</v>
      </c>
      <c r="G11" s="14">
        <v>51.856565740000001</v>
      </c>
      <c r="H11" s="16">
        <v>1.8857588000000001</v>
      </c>
      <c r="I11" s="14" t="s">
        <v>139</v>
      </c>
      <c r="J11" s="16" t="s">
        <v>139</v>
      </c>
      <c r="K11" s="14">
        <v>0</v>
      </c>
      <c r="L11" s="16">
        <v>0</v>
      </c>
      <c r="M11" s="14">
        <v>0</v>
      </c>
      <c r="N11" s="16">
        <v>0</v>
      </c>
      <c r="O11" s="14">
        <v>0</v>
      </c>
      <c r="P11" s="16">
        <v>0</v>
      </c>
      <c r="Q11" s="14">
        <v>0</v>
      </c>
      <c r="R11" s="16">
        <v>0</v>
      </c>
    </row>
    <row r="12" spans="1:18" x14ac:dyDescent="0.25">
      <c r="A12" s="11" t="s">
        <v>144</v>
      </c>
      <c r="B12" s="13">
        <v>6894</v>
      </c>
      <c r="C12" s="14">
        <f>(5796/B12*100)</f>
        <v>84.073107049608353</v>
      </c>
      <c r="D12" s="15">
        <v>1098</v>
      </c>
      <c r="E12" s="14">
        <v>45.695756879999998</v>
      </c>
      <c r="F12" s="16">
        <v>1.84194521</v>
      </c>
      <c r="G12" s="14">
        <v>54.304243120000002</v>
      </c>
      <c r="H12" s="16">
        <v>1.84194521</v>
      </c>
      <c r="I12" s="14" t="s">
        <v>139</v>
      </c>
      <c r="J12" s="16" t="s">
        <v>139</v>
      </c>
      <c r="K12" s="14">
        <v>0</v>
      </c>
      <c r="L12" s="16">
        <v>0</v>
      </c>
      <c r="M12" s="14">
        <v>0</v>
      </c>
      <c r="N12" s="16">
        <v>0</v>
      </c>
      <c r="O12" s="14">
        <v>0</v>
      </c>
      <c r="P12" s="16">
        <v>0</v>
      </c>
      <c r="Q12" s="14">
        <v>0</v>
      </c>
      <c r="R12" s="16">
        <v>0</v>
      </c>
    </row>
    <row r="13" spans="1:18" x14ac:dyDescent="0.25">
      <c r="A13" s="11" t="s">
        <v>145</v>
      </c>
      <c r="B13" s="13">
        <v>7161</v>
      </c>
      <c r="C13" s="14">
        <f>(6096/B13*100)</f>
        <v>85.127775450356097</v>
      </c>
      <c r="D13" s="15">
        <v>1065</v>
      </c>
      <c r="E13" s="14">
        <v>35.124706809999999</v>
      </c>
      <c r="F13" s="16">
        <v>1.99051263</v>
      </c>
      <c r="G13" s="14">
        <v>64.875293189999994</v>
      </c>
      <c r="H13" s="16">
        <v>1.99051263</v>
      </c>
      <c r="I13" s="14" t="s">
        <v>139</v>
      </c>
      <c r="J13" s="16" t="s">
        <v>139</v>
      </c>
      <c r="K13" s="14">
        <v>0</v>
      </c>
      <c r="L13" s="16">
        <v>0</v>
      </c>
      <c r="M13" s="14">
        <v>0</v>
      </c>
      <c r="N13" s="16">
        <v>0</v>
      </c>
      <c r="O13" s="14">
        <v>0</v>
      </c>
      <c r="P13" s="16">
        <v>0</v>
      </c>
      <c r="Q13" s="14">
        <v>0</v>
      </c>
      <c r="R13" s="16">
        <v>0</v>
      </c>
    </row>
    <row r="14" spans="1:18" x14ac:dyDescent="0.25">
      <c r="A14" s="11" t="s">
        <v>146</v>
      </c>
      <c r="B14" s="13">
        <v>5587</v>
      </c>
      <c r="C14" s="14">
        <f>(4671/B14*100)</f>
        <v>83.604796849829967</v>
      </c>
      <c r="D14" s="15">
        <v>916</v>
      </c>
      <c r="E14" s="14">
        <v>30.715375349999999</v>
      </c>
      <c r="F14" s="16">
        <v>1.4805481300000001</v>
      </c>
      <c r="G14" s="14">
        <v>69.284624649999998</v>
      </c>
      <c r="H14" s="16">
        <v>1.4805481300000001</v>
      </c>
      <c r="I14" s="14" t="s">
        <v>139</v>
      </c>
      <c r="J14" s="16" t="s">
        <v>139</v>
      </c>
      <c r="K14" s="14">
        <v>0</v>
      </c>
      <c r="L14" s="16">
        <v>0</v>
      </c>
      <c r="M14" s="14">
        <v>0</v>
      </c>
      <c r="N14" s="16">
        <v>0</v>
      </c>
      <c r="O14" s="14">
        <v>0</v>
      </c>
      <c r="P14" s="16">
        <v>0</v>
      </c>
      <c r="Q14" s="14">
        <v>0</v>
      </c>
      <c r="R14" s="16">
        <v>0</v>
      </c>
    </row>
    <row r="15" spans="1:18" x14ac:dyDescent="0.25">
      <c r="A15" s="11" t="s">
        <v>147</v>
      </c>
      <c r="B15" s="13">
        <v>5882</v>
      </c>
      <c r="C15" s="14">
        <f>(4907/B15*100)</f>
        <v>83.424005440326425</v>
      </c>
      <c r="D15" s="15">
        <v>975</v>
      </c>
      <c r="E15" s="14">
        <v>21.597262000000001</v>
      </c>
      <c r="F15" s="16">
        <v>1.4422371300000001</v>
      </c>
      <c r="G15" s="14">
        <v>78.402737999999999</v>
      </c>
      <c r="H15" s="16">
        <v>1.4422371300000001</v>
      </c>
      <c r="I15" s="14" t="s">
        <v>139</v>
      </c>
      <c r="J15" s="16" t="s">
        <v>139</v>
      </c>
      <c r="K15" s="14">
        <v>0</v>
      </c>
      <c r="L15" s="16">
        <v>0</v>
      </c>
      <c r="M15" s="14">
        <v>0</v>
      </c>
      <c r="N15" s="16">
        <v>0</v>
      </c>
      <c r="O15" s="14">
        <v>0</v>
      </c>
      <c r="P15" s="16">
        <v>0</v>
      </c>
      <c r="Q15" s="14">
        <v>0</v>
      </c>
      <c r="R15" s="16">
        <v>0</v>
      </c>
    </row>
    <row r="16" spans="1:18" x14ac:dyDescent="0.25">
      <c r="A16" s="11" t="s">
        <v>148</v>
      </c>
      <c r="B16" s="13">
        <v>6108</v>
      </c>
      <c r="C16" s="14">
        <f>(5106/B16*100)</f>
        <v>83.59528487229862</v>
      </c>
      <c r="D16" s="15">
        <v>1002</v>
      </c>
      <c r="E16" s="14">
        <v>37.396474249999997</v>
      </c>
      <c r="F16" s="16">
        <v>1.6928079199999999</v>
      </c>
      <c r="G16" s="14">
        <v>62.603525750000003</v>
      </c>
      <c r="H16" s="16">
        <v>1.6928079199999999</v>
      </c>
      <c r="I16" s="14" t="s">
        <v>139</v>
      </c>
      <c r="J16" s="16" t="s">
        <v>139</v>
      </c>
      <c r="K16" s="14">
        <v>0</v>
      </c>
      <c r="L16" s="16">
        <v>0</v>
      </c>
      <c r="M16" s="14">
        <v>0</v>
      </c>
      <c r="N16" s="16">
        <v>0</v>
      </c>
      <c r="O16" s="14">
        <v>0</v>
      </c>
      <c r="P16" s="16">
        <v>0</v>
      </c>
      <c r="Q16" s="14">
        <v>0</v>
      </c>
      <c r="R16" s="16">
        <v>0</v>
      </c>
    </row>
    <row r="17" spans="1:18" x14ac:dyDescent="0.25">
      <c r="A17" s="11" t="s">
        <v>149</v>
      </c>
      <c r="B17" s="13">
        <v>6504</v>
      </c>
      <c r="C17" s="14">
        <f>(5484/B17*100)</f>
        <v>84.317343173431738</v>
      </c>
      <c r="D17" s="15">
        <v>1020</v>
      </c>
      <c r="E17" s="14">
        <v>33.237714369999999</v>
      </c>
      <c r="F17" s="16">
        <v>1.7662921199999999</v>
      </c>
      <c r="G17" s="14">
        <v>66.762285629999994</v>
      </c>
      <c r="H17" s="16">
        <v>1.7662921199999999</v>
      </c>
      <c r="I17" s="14" t="s">
        <v>139</v>
      </c>
      <c r="J17" s="16" t="s">
        <v>139</v>
      </c>
      <c r="K17" s="14">
        <v>0</v>
      </c>
      <c r="L17" s="16">
        <v>0</v>
      </c>
      <c r="M17" s="14">
        <v>0</v>
      </c>
      <c r="N17" s="16">
        <v>0</v>
      </c>
      <c r="O17" s="14">
        <v>0</v>
      </c>
      <c r="P17" s="16">
        <v>0</v>
      </c>
      <c r="Q17" s="14">
        <v>0</v>
      </c>
      <c r="R17" s="16">
        <v>0</v>
      </c>
    </row>
    <row r="18" spans="1:18" x14ac:dyDescent="0.25">
      <c r="A18" s="11" t="s">
        <v>150</v>
      </c>
      <c r="B18" s="13">
        <v>5532</v>
      </c>
      <c r="C18" s="14">
        <f>(4644/B18*100)</f>
        <v>83.947939262472886</v>
      </c>
      <c r="D18" s="15">
        <v>888</v>
      </c>
      <c r="E18" s="14">
        <v>58.688919230000003</v>
      </c>
      <c r="F18" s="16">
        <v>1.6297460100000001</v>
      </c>
      <c r="G18" s="14">
        <v>41.311080769999997</v>
      </c>
      <c r="H18" s="16">
        <v>1.6297460100000001</v>
      </c>
      <c r="I18" s="14" t="s">
        <v>139</v>
      </c>
      <c r="J18" s="16" t="s">
        <v>139</v>
      </c>
      <c r="K18" s="14">
        <v>0</v>
      </c>
      <c r="L18" s="16">
        <v>0</v>
      </c>
      <c r="M18" s="14">
        <v>0</v>
      </c>
      <c r="N18" s="16">
        <v>0</v>
      </c>
      <c r="O18" s="14">
        <v>0</v>
      </c>
      <c r="P18" s="16">
        <v>0</v>
      </c>
      <c r="Q18" s="14">
        <v>0</v>
      </c>
      <c r="R18" s="16">
        <v>0</v>
      </c>
    </row>
    <row r="19" spans="1:18" x14ac:dyDescent="0.25">
      <c r="A19" s="11" t="s">
        <v>151</v>
      </c>
      <c r="B19" s="13">
        <v>5658</v>
      </c>
      <c r="C19" s="14">
        <f>(4776/B19*100)</f>
        <v>84.411452810180279</v>
      </c>
      <c r="D19" s="15">
        <v>882</v>
      </c>
      <c r="E19" s="14">
        <v>47.578674980000002</v>
      </c>
      <c r="F19" s="16">
        <v>1.8963495399999999</v>
      </c>
      <c r="G19" s="14">
        <v>52.421325019999998</v>
      </c>
      <c r="H19" s="16">
        <v>1.8963495399999999</v>
      </c>
      <c r="I19" s="14" t="s">
        <v>139</v>
      </c>
      <c r="J19" s="16" t="s">
        <v>139</v>
      </c>
      <c r="K19" s="14">
        <v>0</v>
      </c>
      <c r="L19" s="16">
        <v>0</v>
      </c>
      <c r="M19" s="14">
        <v>0</v>
      </c>
      <c r="N19" s="16">
        <v>0</v>
      </c>
      <c r="O19" s="14">
        <v>0</v>
      </c>
      <c r="P19" s="16">
        <v>0</v>
      </c>
      <c r="Q19" s="14">
        <v>0</v>
      </c>
      <c r="R19" s="16">
        <v>0</v>
      </c>
    </row>
    <row r="20" spans="1:18" x14ac:dyDescent="0.25">
      <c r="A20" s="11" t="s">
        <v>152</v>
      </c>
      <c r="B20" s="13">
        <v>3371</v>
      </c>
      <c r="C20" s="14">
        <f>(2854/B20*100)</f>
        <v>84.663304657371697</v>
      </c>
      <c r="D20" s="15">
        <v>517</v>
      </c>
      <c r="E20" s="14">
        <v>32.318152990000002</v>
      </c>
      <c r="F20" s="16">
        <v>2.0943749299999999</v>
      </c>
      <c r="G20" s="14">
        <v>67.681847009999998</v>
      </c>
      <c r="H20" s="16">
        <v>2.0943749299999999</v>
      </c>
      <c r="I20" s="14" t="s">
        <v>139</v>
      </c>
      <c r="J20" s="16" t="s">
        <v>139</v>
      </c>
      <c r="K20" s="14">
        <v>0</v>
      </c>
      <c r="L20" s="16">
        <v>0</v>
      </c>
      <c r="M20" s="14">
        <v>0</v>
      </c>
      <c r="N20" s="16">
        <v>0</v>
      </c>
      <c r="O20" s="14">
        <v>0</v>
      </c>
      <c r="P20" s="16">
        <v>0</v>
      </c>
      <c r="Q20" s="14">
        <v>0</v>
      </c>
      <c r="R20" s="16">
        <v>0</v>
      </c>
    </row>
    <row r="21" spans="1:18" x14ac:dyDescent="0.25">
      <c r="A21" s="11" t="s">
        <v>153</v>
      </c>
      <c r="B21" s="17" t="s">
        <v>154</v>
      </c>
      <c r="C21" s="17" t="s">
        <v>154</v>
      </c>
      <c r="D21" s="18" t="s">
        <v>154</v>
      </c>
      <c r="E21" s="17" t="s">
        <v>154</v>
      </c>
      <c r="F21" s="18" t="s">
        <v>154</v>
      </c>
      <c r="G21" s="17" t="s">
        <v>154</v>
      </c>
      <c r="H21" s="18" t="s">
        <v>154</v>
      </c>
      <c r="I21" s="17" t="s">
        <v>154</v>
      </c>
      <c r="J21" s="18" t="s">
        <v>154</v>
      </c>
      <c r="K21" s="17" t="s">
        <v>154</v>
      </c>
      <c r="L21" s="18" t="s">
        <v>154</v>
      </c>
      <c r="M21" s="17" t="s">
        <v>154</v>
      </c>
      <c r="N21" s="18" t="s">
        <v>154</v>
      </c>
      <c r="O21" s="17" t="s">
        <v>154</v>
      </c>
      <c r="P21" s="18" t="s">
        <v>154</v>
      </c>
      <c r="Q21" s="17" t="s">
        <v>154</v>
      </c>
      <c r="R21" s="18" t="s">
        <v>154</v>
      </c>
    </row>
    <row r="22" spans="1:18" x14ac:dyDescent="0.25">
      <c r="A22" s="11" t="s">
        <v>155</v>
      </c>
      <c r="B22" s="13">
        <v>6598</v>
      </c>
      <c r="C22" s="14">
        <f>(5614/B22*100)</f>
        <v>85.086389815095487</v>
      </c>
      <c r="D22" s="15">
        <v>984</v>
      </c>
      <c r="E22" s="14">
        <v>54.11315664</v>
      </c>
      <c r="F22" s="16">
        <v>1.5965117099999999</v>
      </c>
      <c r="G22" s="14">
        <v>45.88684336</v>
      </c>
      <c r="H22" s="16">
        <v>1.5965117099999999</v>
      </c>
      <c r="I22" s="14" t="s">
        <v>139</v>
      </c>
      <c r="J22" s="16" t="s">
        <v>139</v>
      </c>
      <c r="K22" s="14">
        <v>0</v>
      </c>
      <c r="L22" s="16">
        <v>0</v>
      </c>
      <c r="M22" s="14">
        <v>0</v>
      </c>
      <c r="N22" s="16">
        <v>0</v>
      </c>
      <c r="O22" s="14">
        <v>0</v>
      </c>
      <c r="P22" s="16">
        <v>0</v>
      </c>
      <c r="Q22" s="14">
        <v>0</v>
      </c>
      <c r="R22" s="16">
        <v>0</v>
      </c>
    </row>
    <row r="23" spans="1:18" x14ac:dyDescent="0.25">
      <c r="A23" s="11" t="s">
        <v>156</v>
      </c>
      <c r="B23" s="13">
        <v>11583</v>
      </c>
      <c r="C23" s="14">
        <f>(9708/B23*100)</f>
        <v>83.812483812483819</v>
      </c>
      <c r="D23" s="15">
        <v>1875</v>
      </c>
      <c r="E23" s="14">
        <v>46.121371009999997</v>
      </c>
      <c r="F23" s="16">
        <v>1.7514423400000001</v>
      </c>
      <c r="G23" s="14">
        <v>53.878628990000003</v>
      </c>
      <c r="H23" s="16">
        <v>1.7514423400000001</v>
      </c>
      <c r="I23" s="14" t="s">
        <v>139</v>
      </c>
      <c r="J23" s="16" t="s">
        <v>139</v>
      </c>
      <c r="K23" s="14">
        <v>0</v>
      </c>
      <c r="L23" s="16">
        <v>0</v>
      </c>
      <c r="M23" s="14">
        <v>0</v>
      </c>
      <c r="N23" s="16">
        <v>0</v>
      </c>
      <c r="O23" s="14">
        <v>0</v>
      </c>
      <c r="P23" s="16">
        <v>0</v>
      </c>
      <c r="Q23" s="14">
        <v>0</v>
      </c>
      <c r="R23" s="16">
        <v>0</v>
      </c>
    </row>
    <row r="24" spans="1:18" x14ac:dyDescent="0.25">
      <c r="A24" s="11" t="s">
        <v>157</v>
      </c>
      <c r="B24" s="13">
        <v>6647</v>
      </c>
      <c r="C24" s="14">
        <f>(5510/B24*100)</f>
        <v>82.894538889724686</v>
      </c>
      <c r="D24" s="15">
        <v>1137</v>
      </c>
      <c r="E24" s="14">
        <v>17.535323129999998</v>
      </c>
      <c r="F24" s="16">
        <v>1.1706220000000001</v>
      </c>
      <c r="G24" s="14">
        <v>82.464676870000005</v>
      </c>
      <c r="H24" s="16">
        <v>1.1706220000000001</v>
      </c>
      <c r="I24" s="14" t="s">
        <v>139</v>
      </c>
      <c r="J24" s="16" t="s">
        <v>139</v>
      </c>
      <c r="K24" s="14">
        <v>0</v>
      </c>
      <c r="L24" s="16">
        <v>0</v>
      </c>
      <c r="M24" s="14">
        <v>0</v>
      </c>
      <c r="N24" s="16">
        <v>0</v>
      </c>
      <c r="O24" s="14">
        <v>0</v>
      </c>
      <c r="P24" s="16">
        <v>0</v>
      </c>
      <c r="Q24" s="14">
        <v>0</v>
      </c>
      <c r="R24" s="16">
        <v>0</v>
      </c>
    </row>
    <row r="25" spans="1:18" x14ac:dyDescent="0.25">
      <c r="A25" s="11" t="s">
        <v>158</v>
      </c>
      <c r="B25" s="13">
        <v>5581</v>
      </c>
      <c r="C25" s="14">
        <f>(4606/B25*100)</f>
        <v>82.530012542555099</v>
      </c>
      <c r="D25" s="15">
        <v>975</v>
      </c>
      <c r="E25" s="14">
        <v>29.11457042</v>
      </c>
      <c r="F25" s="16">
        <v>1.5168370799999999</v>
      </c>
      <c r="G25" s="14">
        <v>70.885429579999993</v>
      </c>
      <c r="H25" s="16">
        <v>1.5168370799999999</v>
      </c>
      <c r="I25" s="14" t="s">
        <v>139</v>
      </c>
      <c r="J25" s="16" t="s">
        <v>139</v>
      </c>
      <c r="K25" s="14">
        <v>0</v>
      </c>
      <c r="L25" s="16">
        <v>0</v>
      </c>
      <c r="M25" s="14">
        <v>0</v>
      </c>
      <c r="N25" s="16">
        <v>0</v>
      </c>
      <c r="O25" s="14">
        <v>0</v>
      </c>
      <c r="P25" s="16">
        <v>0</v>
      </c>
      <c r="Q25" s="14">
        <v>0</v>
      </c>
      <c r="R25" s="16">
        <v>0</v>
      </c>
    </row>
    <row r="26" spans="1:18" x14ac:dyDescent="0.25">
      <c r="A26" s="11" t="s">
        <v>159</v>
      </c>
      <c r="B26" s="13">
        <v>4869</v>
      </c>
      <c r="C26" s="14">
        <f>(4059/B26*100)</f>
        <v>83.364140480591502</v>
      </c>
      <c r="D26" s="15">
        <v>810</v>
      </c>
      <c r="E26" s="14">
        <v>48.229154200000004</v>
      </c>
      <c r="F26" s="16">
        <v>1.8821606099999999</v>
      </c>
      <c r="G26" s="14">
        <v>51.770845799999996</v>
      </c>
      <c r="H26" s="16">
        <v>1.8821606099999999</v>
      </c>
      <c r="I26" s="14" t="s">
        <v>139</v>
      </c>
      <c r="J26" s="16" t="s">
        <v>139</v>
      </c>
      <c r="K26" s="14">
        <v>0</v>
      </c>
      <c r="L26" s="16">
        <v>0</v>
      </c>
      <c r="M26" s="14">
        <v>0</v>
      </c>
      <c r="N26" s="16">
        <v>0</v>
      </c>
      <c r="O26" s="14">
        <v>0</v>
      </c>
      <c r="P26" s="16">
        <v>0</v>
      </c>
      <c r="Q26" s="14">
        <v>0</v>
      </c>
      <c r="R26" s="16">
        <v>0</v>
      </c>
    </row>
    <row r="27" spans="1:18" x14ac:dyDescent="0.25">
      <c r="A27" s="11" t="s">
        <v>160</v>
      </c>
      <c r="B27" s="13">
        <v>5299</v>
      </c>
      <c r="C27" s="14">
        <f>(4491/B27*100)</f>
        <v>84.751839969805616</v>
      </c>
      <c r="D27" s="15">
        <v>808</v>
      </c>
      <c r="E27" s="14">
        <v>41.566416420000003</v>
      </c>
      <c r="F27" s="16">
        <v>1.79158043</v>
      </c>
      <c r="G27" s="14">
        <v>58.433583579999997</v>
      </c>
      <c r="H27" s="16">
        <v>1.79158043</v>
      </c>
      <c r="I27" s="14" t="s">
        <v>139</v>
      </c>
      <c r="J27" s="16" t="s">
        <v>139</v>
      </c>
      <c r="K27" s="14">
        <v>0</v>
      </c>
      <c r="L27" s="16">
        <v>0</v>
      </c>
      <c r="M27" s="14">
        <v>0</v>
      </c>
      <c r="N27" s="16">
        <v>0</v>
      </c>
      <c r="O27" s="14">
        <v>0</v>
      </c>
      <c r="P27" s="16">
        <v>0</v>
      </c>
      <c r="Q27" s="14">
        <v>0</v>
      </c>
      <c r="R27" s="16">
        <v>0</v>
      </c>
    </row>
    <row r="28" spans="1:18" x14ac:dyDescent="0.25">
      <c r="A28" s="11" t="s">
        <v>161</v>
      </c>
      <c r="B28" s="13">
        <v>7568</v>
      </c>
      <c r="C28" s="14">
        <f>(6520/B28*100)</f>
        <v>86.152219873150102</v>
      </c>
      <c r="D28" s="15">
        <v>1048</v>
      </c>
      <c r="E28" s="14">
        <v>66.112415780000006</v>
      </c>
      <c r="F28" s="16">
        <v>1.6805646400000001</v>
      </c>
      <c r="G28" s="14">
        <v>33.887584220000001</v>
      </c>
      <c r="H28" s="16">
        <v>1.6805646400000001</v>
      </c>
      <c r="I28" s="14" t="s">
        <v>139</v>
      </c>
      <c r="J28" s="16" t="s">
        <v>139</v>
      </c>
      <c r="K28" s="14">
        <v>0</v>
      </c>
      <c r="L28" s="16">
        <v>0</v>
      </c>
      <c r="M28" s="14">
        <v>0</v>
      </c>
      <c r="N28" s="16">
        <v>0</v>
      </c>
      <c r="O28" s="14">
        <v>0</v>
      </c>
      <c r="P28" s="16">
        <v>0</v>
      </c>
      <c r="Q28" s="14">
        <v>0</v>
      </c>
      <c r="R28" s="16">
        <v>0</v>
      </c>
    </row>
    <row r="29" spans="1:18" x14ac:dyDescent="0.25">
      <c r="A29" s="11" t="s">
        <v>162</v>
      </c>
      <c r="B29" s="13">
        <v>5385</v>
      </c>
      <c r="C29" s="14">
        <f>(4468/B29*100)</f>
        <v>82.971216341689882</v>
      </c>
      <c r="D29" s="15">
        <v>917</v>
      </c>
      <c r="E29" s="14">
        <v>32.024574569999999</v>
      </c>
      <c r="F29" s="16">
        <v>1.7040276000000001</v>
      </c>
      <c r="G29" s="14">
        <v>67.975425430000001</v>
      </c>
      <c r="H29" s="16">
        <v>1.7040276000000001</v>
      </c>
      <c r="I29" s="14" t="s">
        <v>139</v>
      </c>
      <c r="J29" s="16" t="s">
        <v>139</v>
      </c>
      <c r="K29" s="14">
        <v>0</v>
      </c>
      <c r="L29" s="16">
        <v>0</v>
      </c>
      <c r="M29" s="14">
        <v>0</v>
      </c>
      <c r="N29" s="16">
        <v>0</v>
      </c>
      <c r="O29" s="14">
        <v>0</v>
      </c>
      <c r="P29" s="16">
        <v>0</v>
      </c>
      <c r="Q29" s="14">
        <v>0</v>
      </c>
      <c r="R29" s="16">
        <v>0</v>
      </c>
    </row>
    <row r="30" spans="1:18" x14ac:dyDescent="0.25">
      <c r="A30" s="11" t="s">
        <v>163</v>
      </c>
      <c r="B30" s="13">
        <v>4520</v>
      </c>
      <c r="C30" s="14">
        <f>(3818/B30*100)</f>
        <v>84.469026548672559</v>
      </c>
      <c r="D30" s="15">
        <v>702</v>
      </c>
      <c r="E30" s="14">
        <v>27.367889890000001</v>
      </c>
      <c r="F30" s="16">
        <v>1.7044904400000001</v>
      </c>
      <c r="G30" s="14">
        <v>72.632110109999999</v>
      </c>
      <c r="H30" s="16">
        <v>1.7044904400000001</v>
      </c>
      <c r="I30" s="14" t="s">
        <v>139</v>
      </c>
      <c r="J30" s="16" t="s">
        <v>139</v>
      </c>
      <c r="K30" s="14">
        <v>0</v>
      </c>
      <c r="L30" s="16">
        <v>0</v>
      </c>
      <c r="M30" s="14">
        <v>0</v>
      </c>
      <c r="N30" s="16">
        <v>0</v>
      </c>
      <c r="O30" s="14">
        <v>0</v>
      </c>
      <c r="P30" s="16">
        <v>0</v>
      </c>
      <c r="Q30" s="14">
        <v>0</v>
      </c>
      <c r="R30" s="16">
        <v>0</v>
      </c>
    </row>
    <row r="31" spans="1:18" x14ac:dyDescent="0.25">
      <c r="A31" s="11" t="s">
        <v>164</v>
      </c>
      <c r="B31" s="13">
        <v>5456</v>
      </c>
      <c r="C31" s="14">
        <f>(4537/B31*100)</f>
        <v>83.156158357771261</v>
      </c>
      <c r="D31" s="15">
        <v>919</v>
      </c>
      <c r="E31" s="14">
        <v>31.06643124</v>
      </c>
      <c r="F31" s="16">
        <v>1.81473569</v>
      </c>
      <c r="G31" s="14">
        <v>68.93356876</v>
      </c>
      <c r="H31" s="16">
        <v>1.81473569</v>
      </c>
      <c r="I31" s="14" t="s">
        <v>139</v>
      </c>
      <c r="J31" s="16" t="s">
        <v>139</v>
      </c>
      <c r="K31" s="14">
        <v>0</v>
      </c>
      <c r="L31" s="16">
        <v>0</v>
      </c>
      <c r="M31" s="14">
        <v>0</v>
      </c>
      <c r="N31" s="16">
        <v>0</v>
      </c>
      <c r="O31" s="14">
        <v>0</v>
      </c>
      <c r="P31" s="16">
        <v>0</v>
      </c>
      <c r="Q31" s="14">
        <v>0</v>
      </c>
      <c r="R31" s="16">
        <v>0</v>
      </c>
    </row>
    <row r="32" spans="1:18" x14ac:dyDescent="0.25">
      <c r="A32" s="11" t="s">
        <v>165</v>
      </c>
      <c r="B32" s="17" t="s">
        <v>154</v>
      </c>
      <c r="C32" s="17" t="s">
        <v>154</v>
      </c>
      <c r="D32" s="18" t="s">
        <v>154</v>
      </c>
      <c r="E32" s="17" t="s">
        <v>154</v>
      </c>
      <c r="F32" s="18" t="s">
        <v>154</v>
      </c>
      <c r="G32" s="17" t="s">
        <v>154</v>
      </c>
      <c r="H32" s="18" t="s">
        <v>154</v>
      </c>
      <c r="I32" s="17" t="s">
        <v>154</v>
      </c>
      <c r="J32" s="18" t="s">
        <v>154</v>
      </c>
      <c r="K32" s="17" t="s">
        <v>154</v>
      </c>
      <c r="L32" s="18" t="s">
        <v>154</v>
      </c>
      <c r="M32" s="17" t="s">
        <v>154</v>
      </c>
      <c r="N32" s="18" t="s">
        <v>154</v>
      </c>
      <c r="O32" s="17" t="s">
        <v>154</v>
      </c>
      <c r="P32" s="18" t="s">
        <v>154</v>
      </c>
      <c r="Q32" s="17" t="s">
        <v>154</v>
      </c>
      <c r="R32" s="18" t="s">
        <v>154</v>
      </c>
    </row>
    <row r="33" spans="1:18" x14ac:dyDescent="0.25">
      <c r="A33" s="11" t="s">
        <v>166</v>
      </c>
      <c r="B33" s="13">
        <v>7325</v>
      </c>
      <c r="C33" s="14">
        <f>(6183/B33*100)</f>
        <v>84.409556313993178</v>
      </c>
      <c r="D33" s="15">
        <v>1142</v>
      </c>
      <c r="E33" s="14">
        <v>37.593179110000001</v>
      </c>
      <c r="F33" s="16">
        <v>1.8369043300000001</v>
      </c>
      <c r="G33" s="14">
        <v>62.406820889999999</v>
      </c>
      <c r="H33" s="16">
        <v>1.8369043300000001</v>
      </c>
      <c r="I33" s="14" t="s">
        <v>139</v>
      </c>
      <c r="J33" s="16" t="s">
        <v>139</v>
      </c>
      <c r="K33" s="14">
        <v>0</v>
      </c>
      <c r="L33" s="16">
        <v>0</v>
      </c>
      <c r="M33" s="14">
        <v>0</v>
      </c>
      <c r="N33" s="16">
        <v>0</v>
      </c>
      <c r="O33" s="14">
        <v>0</v>
      </c>
      <c r="P33" s="16">
        <v>0</v>
      </c>
      <c r="Q33" s="14">
        <v>0</v>
      </c>
      <c r="R33" s="16">
        <v>0</v>
      </c>
    </row>
    <row r="34" spans="1:18" x14ac:dyDescent="0.25">
      <c r="A34" s="11" t="s">
        <v>167</v>
      </c>
      <c r="B34" s="13">
        <v>6350</v>
      </c>
      <c r="C34" s="14">
        <f>(5404/B34*100)</f>
        <v>85.102362204724415</v>
      </c>
      <c r="D34" s="15">
        <v>946</v>
      </c>
      <c r="E34" s="14">
        <v>57.307460749999997</v>
      </c>
      <c r="F34" s="16">
        <v>1.5222005700000001</v>
      </c>
      <c r="G34" s="14">
        <v>42.692539250000003</v>
      </c>
      <c r="H34" s="16">
        <v>1.5222005700000001</v>
      </c>
      <c r="I34" s="14" t="s">
        <v>139</v>
      </c>
      <c r="J34" s="16" t="s">
        <v>139</v>
      </c>
      <c r="K34" s="14">
        <v>0</v>
      </c>
      <c r="L34" s="16">
        <v>0</v>
      </c>
      <c r="M34" s="14">
        <v>0</v>
      </c>
      <c r="N34" s="16">
        <v>0</v>
      </c>
      <c r="O34" s="14">
        <v>0</v>
      </c>
      <c r="P34" s="16">
        <v>0</v>
      </c>
      <c r="Q34" s="14">
        <v>0</v>
      </c>
      <c r="R34" s="16">
        <v>0</v>
      </c>
    </row>
    <row r="35" spans="1:18" x14ac:dyDescent="0.25">
      <c r="A35" s="11" t="s">
        <v>168</v>
      </c>
      <c r="B35" s="13">
        <v>6406</v>
      </c>
      <c r="C35" s="14">
        <f>(5350/B35*100)</f>
        <v>83.515454261629714</v>
      </c>
      <c r="D35" s="15">
        <v>1056</v>
      </c>
      <c r="E35" s="14">
        <v>39.226033409999999</v>
      </c>
      <c r="F35" s="16">
        <v>1.7316461299999999</v>
      </c>
      <c r="G35" s="14">
        <v>60.773966590000001</v>
      </c>
      <c r="H35" s="16">
        <v>1.7316461299999999</v>
      </c>
      <c r="I35" s="14" t="s">
        <v>139</v>
      </c>
      <c r="J35" s="16" t="s">
        <v>139</v>
      </c>
      <c r="K35" s="14">
        <v>0</v>
      </c>
      <c r="L35" s="16">
        <v>0</v>
      </c>
      <c r="M35" s="14">
        <v>0</v>
      </c>
      <c r="N35" s="16">
        <v>0</v>
      </c>
      <c r="O35" s="14">
        <v>0</v>
      </c>
      <c r="P35" s="16">
        <v>0</v>
      </c>
      <c r="Q35" s="14">
        <v>0</v>
      </c>
      <c r="R35" s="16">
        <v>0</v>
      </c>
    </row>
    <row r="36" spans="1:18" x14ac:dyDescent="0.25">
      <c r="A36" s="11" t="s">
        <v>169</v>
      </c>
      <c r="B36" s="13">
        <v>6736</v>
      </c>
      <c r="C36" s="14">
        <f>(5705/B36*100)</f>
        <v>84.694180522565318</v>
      </c>
      <c r="D36" s="15">
        <v>1031</v>
      </c>
      <c r="E36" s="14">
        <v>39.88427892</v>
      </c>
      <c r="F36" s="16">
        <v>1.6029714799999999</v>
      </c>
      <c r="G36" s="14">
        <v>60.11572108</v>
      </c>
      <c r="H36" s="16">
        <v>1.6029714799999999</v>
      </c>
      <c r="I36" s="14" t="s">
        <v>139</v>
      </c>
      <c r="J36" s="16" t="s">
        <v>139</v>
      </c>
      <c r="K36" s="14">
        <v>0</v>
      </c>
      <c r="L36" s="16">
        <v>0</v>
      </c>
      <c r="M36" s="14">
        <v>0</v>
      </c>
      <c r="N36" s="16">
        <v>0</v>
      </c>
      <c r="O36" s="14">
        <v>0</v>
      </c>
      <c r="P36" s="16">
        <v>0</v>
      </c>
      <c r="Q36" s="14">
        <v>0</v>
      </c>
      <c r="R36" s="16">
        <v>0</v>
      </c>
    </row>
    <row r="37" spans="1:18" x14ac:dyDescent="0.25">
      <c r="A37" s="11" t="s">
        <v>170</v>
      </c>
      <c r="B37" s="13">
        <v>5458</v>
      </c>
      <c r="C37" s="14">
        <f>(4588/B37*100)</f>
        <v>84.060095272993777</v>
      </c>
      <c r="D37" s="15">
        <v>870</v>
      </c>
      <c r="E37" s="14">
        <v>38.572074720000003</v>
      </c>
      <c r="F37" s="16">
        <v>1.8027791900000001</v>
      </c>
      <c r="G37" s="14">
        <v>61.427925279999997</v>
      </c>
      <c r="H37" s="16">
        <v>1.8027791900000001</v>
      </c>
      <c r="I37" s="14" t="s">
        <v>139</v>
      </c>
      <c r="J37" s="16" t="s">
        <v>139</v>
      </c>
      <c r="K37" s="14">
        <v>0</v>
      </c>
      <c r="L37" s="16">
        <v>0</v>
      </c>
      <c r="M37" s="14">
        <v>0</v>
      </c>
      <c r="N37" s="16">
        <v>0</v>
      </c>
      <c r="O37" s="14">
        <v>0</v>
      </c>
      <c r="P37" s="16">
        <v>0</v>
      </c>
      <c r="Q37" s="14">
        <v>0</v>
      </c>
      <c r="R37" s="16">
        <v>0</v>
      </c>
    </row>
    <row r="38" spans="1:18" x14ac:dyDescent="0.25">
      <c r="A38" s="11" t="s">
        <v>171</v>
      </c>
      <c r="B38" s="17" t="s">
        <v>154</v>
      </c>
      <c r="C38" s="17" t="s">
        <v>154</v>
      </c>
      <c r="D38" s="18" t="s">
        <v>154</v>
      </c>
      <c r="E38" s="17" t="s">
        <v>154</v>
      </c>
      <c r="F38" s="18" t="s">
        <v>154</v>
      </c>
      <c r="G38" s="17" t="s">
        <v>154</v>
      </c>
      <c r="H38" s="18" t="s">
        <v>154</v>
      </c>
      <c r="I38" s="17" t="s">
        <v>154</v>
      </c>
      <c r="J38" s="18" t="s">
        <v>154</v>
      </c>
      <c r="K38" s="17" t="s">
        <v>154</v>
      </c>
      <c r="L38" s="18" t="s">
        <v>154</v>
      </c>
      <c r="M38" s="17" t="s">
        <v>154</v>
      </c>
      <c r="N38" s="18" t="s">
        <v>154</v>
      </c>
      <c r="O38" s="17" t="s">
        <v>154</v>
      </c>
      <c r="P38" s="18" t="s">
        <v>154</v>
      </c>
      <c r="Q38" s="17" t="s">
        <v>154</v>
      </c>
      <c r="R38" s="18" t="s">
        <v>154</v>
      </c>
    </row>
    <row r="39" spans="1:18" x14ac:dyDescent="0.25">
      <c r="A39" s="11" t="s">
        <v>172</v>
      </c>
      <c r="B39" s="13">
        <v>5895</v>
      </c>
      <c r="C39" s="14">
        <f>(4865/B39*100)</f>
        <v>82.527565733672603</v>
      </c>
      <c r="D39" s="15">
        <v>1030</v>
      </c>
      <c r="E39" s="14">
        <v>63.190534020000001</v>
      </c>
      <c r="F39" s="16">
        <v>1.9810989999999999</v>
      </c>
      <c r="G39" s="14">
        <v>36.809465979999999</v>
      </c>
      <c r="H39" s="16">
        <v>1.9810989999999999</v>
      </c>
      <c r="I39" s="14" t="s">
        <v>139</v>
      </c>
      <c r="J39" s="16" t="s">
        <v>139</v>
      </c>
      <c r="K39" s="14">
        <v>0</v>
      </c>
      <c r="L39" s="16">
        <v>0</v>
      </c>
      <c r="M39" s="14">
        <v>0</v>
      </c>
      <c r="N39" s="16">
        <v>0</v>
      </c>
      <c r="O39" s="14">
        <v>0</v>
      </c>
      <c r="P39" s="16">
        <v>0</v>
      </c>
      <c r="Q39" s="14">
        <v>0</v>
      </c>
      <c r="R39" s="16">
        <v>0</v>
      </c>
    </row>
    <row r="40" spans="1:18" x14ac:dyDescent="0.25">
      <c r="A40" s="11" t="s">
        <v>173</v>
      </c>
      <c r="B40" s="13">
        <v>14157</v>
      </c>
      <c r="C40" s="14">
        <f>(11730/B40*100)</f>
        <v>82.856537401991943</v>
      </c>
      <c r="D40" s="15">
        <v>2427</v>
      </c>
      <c r="E40" s="14">
        <v>29.978743189999999</v>
      </c>
      <c r="F40" s="16">
        <v>1.3535001</v>
      </c>
      <c r="G40" s="14">
        <v>70.021256809999997</v>
      </c>
      <c r="H40" s="16">
        <v>1.3535001</v>
      </c>
      <c r="I40" s="14" t="s">
        <v>139</v>
      </c>
      <c r="J40" s="16" t="s">
        <v>139</v>
      </c>
      <c r="K40" s="14">
        <v>0</v>
      </c>
      <c r="L40" s="16">
        <v>0</v>
      </c>
      <c r="M40" s="14">
        <v>0</v>
      </c>
      <c r="N40" s="16">
        <v>0</v>
      </c>
      <c r="O40" s="14">
        <v>0</v>
      </c>
      <c r="P40" s="16">
        <v>0</v>
      </c>
      <c r="Q40" s="14">
        <v>0</v>
      </c>
      <c r="R40" s="16">
        <v>0</v>
      </c>
    </row>
    <row r="41" spans="1:18" x14ac:dyDescent="0.25">
      <c r="A41" s="11" t="s">
        <v>174</v>
      </c>
      <c r="B41" s="13">
        <v>5712</v>
      </c>
      <c r="C41" s="14">
        <f>(4814/B41*100)</f>
        <v>84.278711484593842</v>
      </c>
      <c r="D41" s="15">
        <v>898</v>
      </c>
      <c r="E41" s="14">
        <v>31.60553007</v>
      </c>
      <c r="F41" s="16">
        <v>1.823156</v>
      </c>
      <c r="G41" s="14">
        <v>68.39446993</v>
      </c>
      <c r="H41" s="16">
        <v>1.823156</v>
      </c>
      <c r="I41" s="14" t="s">
        <v>139</v>
      </c>
      <c r="J41" s="16" t="s">
        <v>139</v>
      </c>
      <c r="K41" s="14">
        <v>0</v>
      </c>
      <c r="L41" s="16">
        <v>0</v>
      </c>
      <c r="M41" s="14">
        <v>0</v>
      </c>
      <c r="N41" s="16">
        <v>0</v>
      </c>
      <c r="O41" s="14">
        <v>0</v>
      </c>
      <c r="P41" s="16">
        <v>0</v>
      </c>
      <c r="Q41" s="14">
        <v>0</v>
      </c>
      <c r="R41" s="16">
        <v>0</v>
      </c>
    </row>
    <row r="42" spans="1:18" x14ac:dyDescent="0.25">
      <c r="A42" s="11" t="s">
        <v>175</v>
      </c>
      <c r="B42" s="13">
        <f>IF(COUNT(B7:B41) &gt; 0, AVERAGE(B7:B41), "\u2014")</f>
        <v>7266.90625</v>
      </c>
      <c r="C42" s="14">
        <f>IF(COUNT(C7:C41) &gt; 0, AVERAGE(C7:C41), "—")</f>
        <v>84.026518828473272</v>
      </c>
      <c r="D42" s="15">
        <f>IF(COUNT(D7:D41) &gt; 0, AVERAGE(D7:D41), "—")</f>
        <v>1162.5625</v>
      </c>
      <c r="E42" s="14">
        <f>IF(COUNT(E7:E41) &gt; 0, AVERAGE(E7:E41), "—")</f>
        <v>38.977492646875007</v>
      </c>
      <c r="F42" s="16">
        <f>IF(COUNT(F7:F41) &gt; 0, SQRT(SUMSQ(F7:F41)/(COUNT(F7:F41)*COUNT(F7:F41)) ), "—")</f>
        <v>0.29715060787310488</v>
      </c>
      <c r="G42" s="14">
        <f>IF(COUNT(G7:G41) &gt; 0, AVERAGE(G7:G41), "—")</f>
        <v>61.022507353125008</v>
      </c>
      <c r="H42" s="16">
        <f>IF(COUNT(H7:H41) &gt; 0, SQRT(SUMSQ(H7:H41)/(COUNT(H7:H41)*COUNT(H7:H41)) ), "—")</f>
        <v>0.29715060787310488</v>
      </c>
      <c r="I42" s="14" t="str">
        <f>IF(COUNT(I7:I41) &gt; 0, AVERAGE(I7:I41), "—")</f>
        <v>—</v>
      </c>
      <c r="J42" s="16" t="str">
        <f>IF(COUNT(J7:J41) &gt; 0, SQRT(SUMSQ(J7:J41)/(COUNT(J7:J41)*COUNT(J7:J41)) ), "—")</f>
        <v>—</v>
      </c>
      <c r="K42" s="14">
        <f>IF(COUNT(K7:K41) &gt; 0, AVERAGE(K7:K41), "—")</f>
        <v>0</v>
      </c>
      <c r="L42" s="16">
        <f>IF(COUNT(L7:L41) &gt; 0, SQRT(SUMSQ(L7:L41)/(COUNT(L7:L41)*COUNT(L7:L41)) ), "—")</f>
        <v>0</v>
      </c>
      <c r="M42" s="14">
        <f>IF(COUNT(M7:M41) &gt; 0, AVERAGE(M7:M41), "—")</f>
        <v>0</v>
      </c>
      <c r="N42" s="16">
        <f>IF(COUNT(N7:N41) &gt; 0, SQRT(SUMSQ(N7:N41)/(COUNT(N7:N41)*COUNT(N7:N41)) ), "—")</f>
        <v>0</v>
      </c>
      <c r="O42" s="14">
        <f>IF(COUNT(O7:O41) &gt; 0, AVERAGE(O7:O41), "—")</f>
        <v>0</v>
      </c>
      <c r="P42" s="16">
        <f>IF(COUNT(P7:P41) &gt; 0, SQRT(SUMSQ(P7:P41)/(COUNT(P7:P41)*COUNT(P7:P41)) ), "—")</f>
        <v>0</v>
      </c>
      <c r="Q42" s="14">
        <f>IF(COUNT(Q7:Q41) &gt; 0, AVERAGE(Q7:Q41), "—")</f>
        <v>0</v>
      </c>
      <c r="R42" s="16">
        <f>IF(COUNT(R7:R41) &gt; 0, SQRT(SUMSQ(R7:R41)/(COUNT(R7:R41)*COUNT(R7:R41)) ), "—")</f>
        <v>0</v>
      </c>
    </row>
    <row r="43" spans="1:18" x14ac:dyDescent="0.25">
      <c r="A43" s="9" t="s">
        <v>176</v>
      </c>
      <c r="B43" s="10"/>
      <c r="C43" s="10"/>
      <c r="D43" s="11"/>
      <c r="E43" s="10"/>
      <c r="F43" s="11"/>
      <c r="G43" s="10"/>
      <c r="H43" s="11"/>
      <c r="I43" s="10"/>
      <c r="J43" s="11"/>
      <c r="K43" s="10"/>
      <c r="L43" s="11"/>
      <c r="M43" s="10"/>
      <c r="N43" s="11"/>
      <c r="O43" s="10"/>
      <c r="P43" s="11"/>
      <c r="Q43" s="10"/>
      <c r="R43" s="12"/>
    </row>
    <row r="44" spans="1:18" x14ac:dyDescent="0.25">
      <c r="A44" s="11" t="s">
        <v>177</v>
      </c>
      <c r="B44" s="17" t="s">
        <v>154</v>
      </c>
      <c r="C44" s="17" t="s">
        <v>154</v>
      </c>
      <c r="D44" s="18" t="s">
        <v>154</v>
      </c>
      <c r="E44" s="17" t="s">
        <v>154</v>
      </c>
      <c r="F44" s="18" t="s">
        <v>154</v>
      </c>
      <c r="G44" s="17" t="s">
        <v>154</v>
      </c>
      <c r="H44" s="18" t="s">
        <v>154</v>
      </c>
      <c r="I44" s="17" t="s">
        <v>154</v>
      </c>
      <c r="J44" s="18" t="s">
        <v>154</v>
      </c>
      <c r="K44" s="17" t="s">
        <v>154</v>
      </c>
      <c r="L44" s="18" t="s">
        <v>154</v>
      </c>
      <c r="M44" s="17" t="s">
        <v>154</v>
      </c>
      <c r="N44" s="18" t="s">
        <v>154</v>
      </c>
      <c r="O44" s="17" t="s">
        <v>154</v>
      </c>
      <c r="P44" s="18" t="s">
        <v>154</v>
      </c>
      <c r="Q44" s="17" t="s">
        <v>154</v>
      </c>
      <c r="R44" s="18" t="s">
        <v>154</v>
      </c>
    </row>
    <row r="45" spans="1:18" x14ac:dyDescent="0.25">
      <c r="A45" s="11" t="s">
        <v>178</v>
      </c>
      <c r="B45" s="17" t="s">
        <v>154</v>
      </c>
      <c r="C45" s="17" t="s">
        <v>154</v>
      </c>
      <c r="D45" s="18" t="s">
        <v>154</v>
      </c>
      <c r="E45" s="17" t="s">
        <v>154</v>
      </c>
      <c r="F45" s="18" t="s">
        <v>154</v>
      </c>
      <c r="G45" s="17" t="s">
        <v>154</v>
      </c>
      <c r="H45" s="18" t="s">
        <v>154</v>
      </c>
      <c r="I45" s="17" t="s">
        <v>154</v>
      </c>
      <c r="J45" s="18" t="s">
        <v>154</v>
      </c>
      <c r="K45" s="17" t="s">
        <v>154</v>
      </c>
      <c r="L45" s="18" t="s">
        <v>154</v>
      </c>
      <c r="M45" s="17" t="s">
        <v>154</v>
      </c>
      <c r="N45" s="18" t="s">
        <v>154</v>
      </c>
      <c r="O45" s="17" t="s">
        <v>154</v>
      </c>
      <c r="P45" s="18" t="s">
        <v>154</v>
      </c>
      <c r="Q45" s="17" t="s">
        <v>154</v>
      </c>
      <c r="R45" s="18" t="s">
        <v>154</v>
      </c>
    </row>
    <row r="46" spans="1:18" x14ac:dyDescent="0.25">
      <c r="A46" s="11" t="s">
        <v>179</v>
      </c>
      <c r="B46" s="13">
        <v>23141</v>
      </c>
      <c r="C46" s="14">
        <f>(20644/B46*100)</f>
        <v>89.209627933105736</v>
      </c>
      <c r="D46" s="15">
        <v>2497</v>
      </c>
      <c r="E46" s="14">
        <v>57.975590750000002</v>
      </c>
      <c r="F46" s="16">
        <v>1.30594327</v>
      </c>
      <c r="G46" s="14">
        <v>42.024409249999998</v>
      </c>
      <c r="H46" s="16">
        <v>1.30594327</v>
      </c>
      <c r="I46" s="14" t="s">
        <v>139</v>
      </c>
      <c r="J46" s="16" t="s">
        <v>139</v>
      </c>
      <c r="K46" s="14">
        <v>0</v>
      </c>
      <c r="L46" s="16">
        <v>0</v>
      </c>
      <c r="M46" s="14">
        <v>0</v>
      </c>
      <c r="N46" s="16">
        <v>0</v>
      </c>
      <c r="O46" s="14">
        <v>0</v>
      </c>
      <c r="P46" s="16">
        <v>0</v>
      </c>
      <c r="Q46" s="14">
        <v>0</v>
      </c>
      <c r="R46" s="16">
        <v>0</v>
      </c>
    </row>
    <row r="47" spans="1:18" x14ac:dyDescent="0.25">
      <c r="A47" s="11" t="s">
        <v>180</v>
      </c>
      <c r="B47" s="13">
        <v>5928</v>
      </c>
      <c r="C47" s="14">
        <f>(5035/B47*100)</f>
        <v>84.935897435897431</v>
      </c>
      <c r="D47" s="15">
        <v>893</v>
      </c>
      <c r="E47" s="14">
        <v>55.772673580000003</v>
      </c>
      <c r="F47" s="16">
        <v>1.75429156</v>
      </c>
      <c r="G47" s="14">
        <v>44.227326419999997</v>
      </c>
      <c r="H47" s="16">
        <v>1.75429156</v>
      </c>
      <c r="I47" s="14" t="s">
        <v>139</v>
      </c>
      <c r="J47" s="16" t="s">
        <v>139</v>
      </c>
      <c r="K47" s="14">
        <v>0</v>
      </c>
      <c r="L47" s="16">
        <v>0</v>
      </c>
      <c r="M47" s="14">
        <v>0</v>
      </c>
      <c r="N47" s="16">
        <v>0</v>
      </c>
      <c r="O47" s="14">
        <v>0</v>
      </c>
      <c r="P47" s="16">
        <v>0</v>
      </c>
      <c r="Q47" s="14">
        <v>0</v>
      </c>
      <c r="R47" s="16">
        <v>0</v>
      </c>
    </row>
    <row r="48" spans="1:18" x14ac:dyDescent="0.25">
      <c r="A48" s="11" t="s">
        <v>181</v>
      </c>
      <c r="B48" s="13">
        <v>9841</v>
      </c>
      <c r="C48" s="14">
        <f>(8177/B48*100)</f>
        <v>83.091149273447812</v>
      </c>
      <c r="D48" s="15">
        <v>1664</v>
      </c>
      <c r="E48" s="14">
        <v>47.888932070000003</v>
      </c>
      <c r="F48" s="16">
        <v>1.71054174</v>
      </c>
      <c r="G48" s="14">
        <v>52.111067929999997</v>
      </c>
      <c r="H48" s="16">
        <v>1.71054174</v>
      </c>
      <c r="I48" s="14" t="s">
        <v>139</v>
      </c>
      <c r="J48" s="16" t="s">
        <v>139</v>
      </c>
      <c r="K48" s="14">
        <v>0</v>
      </c>
      <c r="L48" s="16">
        <v>0</v>
      </c>
      <c r="M48" s="14">
        <v>0</v>
      </c>
      <c r="N48" s="16">
        <v>0</v>
      </c>
      <c r="O48" s="14">
        <v>0</v>
      </c>
      <c r="P48" s="16">
        <v>0</v>
      </c>
      <c r="Q48" s="14">
        <v>0</v>
      </c>
      <c r="R48" s="16">
        <v>0</v>
      </c>
    </row>
    <row r="49" spans="1:18" x14ac:dyDescent="0.25">
      <c r="A49" s="11" t="s">
        <v>182</v>
      </c>
      <c r="B49" s="17" t="s">
        <v>154</v>
      </c>
      <c r="C49" s="17" t="s">
        <v>154</v>
      </c>
      <c r="D49" s="18" t="s">
        <v>154</v>
      </c>
      <c r="E49" s="17" t="s">
        <v>154</v>
      </c>
      <c r="F49" s="18" t="s">
        <v>154</v>
      </c>
      <c r="G49" s="17" t="s">
        <v>154</v>
      </c>
      <c r="H49" s="18" t="s">
        <v>154</v>
      </c>
      <c r="I49" s="17" t="s">
        <v>154</v>
      </c>
      <c r="J49" s="18" t="s">
        <v>154</v>
      </c>
      <c r="K49" s="17" t="s">
        <v>154</v>
      </c>
      <c r="L49" s="18" t="s">
        <v>154</v>
      </c>
      <c r="M49" s="17" t="s">
        <v>154</v>
      </c>
      <c r="N49" s="18" t="s">
        <v>154</v>
      </c>
      <c r="O49" s="17" t="s">
        <v>154</v>
      </c>
      <c r="P49" s="18" t="s">
        <v>154</v>
      </c>
      <c r="Q49" s="17" t="s">
        <v>154</v>
      </c>
      <c r="R49" s="18" t="s">
        <v>154</v>
      </c>
    </row>
    <row r="50" spans="1:18" x14ac:dyDescent="0.25">
      <c r="A50" s="11" t="s">
        <v>183</v>
      </c>
      <c r="B50" s="13">
        <v>11795</v>
      </c>
      <c r="C50" s="14">
        <f>(10030/B50*100)</f>
        <v>85.036032217041125</v>
      </c>
      <c r="D50" s="15">
        <v>1765</v>
      </c>
      <c r="E50" s="14">
        <v>64.924294939999996</v>
      </c>
      <c r="F50" s="16">
        <v>1.4579825500000001</v>
      </c>
      <c r="G50" s="14">
        <v>35.075705059999997</v>
      </c>
      <c r="H50" s="16">
        <v>1.4579825500000001</v>
      </c>
      <c r="I50" s="14" t="s">
        <v>139</v>
      </c>
      <c r="J50" s="16" t="s">
        <v>139</v>
      </c>
      <c r="K50" s="14">
        <v>0</v>
      </c>
      <c r="L50" s="16">
        <v>0</v>
      </c>
      <c r="M50" s="14">
        <v>0</v>
      </c>
      <c r="N50" s="16">
        <v>0</v>
      </c>
      <c r="O50" s="14">
        <v>0</v>
      </c>
      <c r="P50" s="16">
        <v>0</v>
      </c>
      <c r="Q50" s="14">
        <v>0</v>
      </c>
      <c r="R50" s="16">
        <v>0</v>
      </c>
    </row>
    <row r="51" spans="1:18" x14ac:dyDescent="0.25">
      <c r="A51" s="11" t="s">
        <v>184</v>
      </c>
      <c r="B51" s="13">
        <v>6866</v>
      </c>
      <c r="C51" s="14">
        <f>(5964/B51*100)</f>
        <v>86.862802213807171</v>
      </c>
      <c r="D51" s="15">
        <v>902</v>
      </c>
      <c r="E51" s="14">
        <v>56.650802409999997</v>
      </c>
      <c r="F51" s="16">
        <v>1.62326415</v>
      </c>
      <c r="G51" s="14">
        <v>43.349197590000003</v>
      </c>
      <c r="H51" s="16">
        <v>1.62326415</v>
      </c>
      <c r="I51" s="14" t="s">
        <v>139</v>
      </c>
      <c r="J51" s="16" t="s">
        <v>139</v>
      </c>
      <c r="K51" s="14">
        <v>0</v>
      </c>
      <c r="L51" s="16">
        <v>0</v>
      </c>
      <c r="M51" s="14">
        <v>0</v>
      </c>
      <c r="N51" s="16">
        <v>0</v>
      </c>
      <c r="O51" s="14">
        <v>0</v>
      </c>
      <c r="P51" s="16">
        <v>0</v>
      </c>
      <c r="Q51" s="14">
        <v>0</v>
      </c>
      <c r="R51" s="16">
        <v>0</v>
      </c>
    </row>
    <row r="52" spans="1:18" x14ac:dyDescent="0.25">
      <c r="A52" s="11" t="s">
        <v>185</v>
      </c>
      <c r="B52" s="13">
        <v>5809</v>
      </c>
      <c r="C52" s="14">
        <f>(4863/B52*100)</f>
        <v>83.714925116198998</v>
      </c>
      <c r="D52" s="15">
        <v>946</v>
      </c>
      <c r="E52" s="14">
        <v>42.572573830000003</v>
      </c>
      <c r="F52" s="16">
        <v>1.74316611</v>
      </c>
      <c r="G52" s="14">
        <v>57.427426169999997</v>
      </c>
      <c r="H52" s="16">
        <v>1.74316611</v>
      </c>
      <c r="I52" s="14" t="s">
        <v>139</v>
      </c>
      <c r="J52" s="16" t="s">
        <v>139</v>
      </c>
      <c r="K52" s="14">
        <v>0</v>
      </c>
      <c r="L52" s="16">
        <v>0</v>
      </c>
      <c r="M52" s="14">
        <v>0</v>
      </c>
      <c r="N52" s="16">
        <v>0</v>
      </c>
      <c r="O52" s="14">
        <v>0</v>
      </c>
      <c r="P52" s="16">
        <v>0</v>
      </c>
      <c r="Q52" s="14">
        <v>0</v>
      </c>
      <c r="R52" s="16">
        <v>0</v>
      </c>
    </row>
    <row r="53" spans="1:18" x14ac:dyDescent="0.25">
      <c r="A53" s="11" t="s">
        <v>186</v>
      </c>
      <c r="B53" s="13">
        <v>5571</v>
      </c>
      <c r="C53" s="14">
        <f>(4653/B53*100)</f>
        <v>83.521809369951541</v>
      </c>
      <c r="D53" s="15">
        <v>918</v>
      </c>
      <c r="E53" s="14">
        <v>55.701910310000002</v>
      </c>
      <c r="F53" s="16">
        <v>1.8003113799999999</v>
      </c>
      <c r="G53" s="14">
        <v>44.298089689999998</v>
      </c>
      <c r="H53" s="16">
        <v>1.8003113799999999</v>
      </c>
      <c r="I53" s="14" t="s">
        <v>139</v>
      </c>
      <c r="J53" s="16" t="s">
        <v>139</v>
      </c>
      <c r="K53" s="14">
        <v>0</v>
      </c>
      <c r="L53" s="16">
        <v>0</v>
      </c>
      <c r="M53" s="14">
        <v>0</v>
      </c>
      <c r="N53" s="16">
        <v>0</v>
      </c>
      <c r="O53" s="14">
        <v>0</v>
      </c>
      <c r="P53" s="16">
        <v>0</v>
      </c>
      <c r="Q53" s="14">
        <v>0</v>
      </c>
      <c r="R53" s="16">
        <v>0</v>
      </c>
    </row>
    <row r="54" spans="1:18" x14ac:dyDescent="0.25">
      <c r="A54" s="11" t="s">
        <v>187</v>
      </c>
      <c r="B54" s="17" t="s">
        <v>154</v>
      </c>
      <c r="C54" s="17" t="s">
        <v>154</v>
      </c>
      <c r="D54" s="18" t="s">
        <v>154</v>
      </c>
      <c r="E54" s="17" t="s">
        <v>154</v>
      </c>
      <c r="F54" s="18" t="s">
        <v>154</v>
      </c>
      <c r="G54" s="17" t="s">
        <v>154</v>
      </c>
      <c r="H54" s="18" t="s">
        <v>154</v>
      </c>
      <c r="I54" s="17" t="s">
        <v>154</v>
      </c>
      <c r="J54" s="18" t="s">
        <v>154</v>
      </c>
      <c r="K54" s="17" t="s">
        <v>154</v>
      </c>
      <c r="L54" s="18" t="s">
        <v>154</v>
      </c>
      <c r="M54" s="17" t="s">
        <v>154</v>
      </c>
      <c r="N54" s="18" t="s">
        <v>154</v>
      </c>
      <c r="O54" s="17" t="s">
        <v>154</v>
      </c>
      <c r="P54" s="18" t="s">
        <v>154</v>
      </c>
      <c r="Q54" s="17" t="s">
        <v>154</v>
      </c>
      <c r="R54" s="18" t="s">
        <v>154</v>
      </c>
    </row>
    <row r="55" spans="1:18" x14ac:dyDescent="0.25">
      <c r="A55" s="11" t="s">
        <v>188</v>
      </c>
      <c r="B55" s="17" t="s">
        <v>154</v>
      </c>
      <c r="C55" s="17" t="s">
        <v>154</v>
      </c>
      <c r="D55" s="18" t="s">
        <v>154</v>
      </c>
      <c r="E55" s="17" t="s">
        <v>154</v>
      </c>
      <c r="F55" s="18" t="s">
        <v>154</v>
      </c>
      <c r="G55" s="17" t="s">
        <v>154</v>
      </c>
      <c r="H55" s="18" t="s">
        <v>154</v>
      </c>
      <c r="I55" s="17" t="s">
        <v>154</v>
      </c>
      <c r="J55" s="18" t="s">
        <v>154</v>
      </c>
      <c r="K55" s="17" t="s">
        <v>154</v>
      </c>
      <c r="L55" s="18" t="s">
        <v>154</v>
      </c>
      <c r="M55" s="17" t="s">
        <v>154</v>
      </c>
      <c r="N55" s="18" t="s">
        <v>154</v>
      </c>
      <c r="O55" s="17" t="s">
        <v>154</v>
      </c>
      <c r="P55" s="18" t="s">
        <v>154</v>
      </c>
      <c r="Q55" s="17" t="s">
        <v>154</v>
      </c>
      <c r="R55" s="18" t="s">
        <v>154</v>
      </c>
    </row>
    <row r="56" spans="1:18" x14ac:dyDescent="0.25">
      <c r="A56" s="11" t="s">
        <v>189</v>
      </c>
      <c r="B56" s="13">
        <v>5359</v>
      </c>
      <c r="C56" s="14">
        <f>(4430/B56*100)</f>
        <v>82.664676245568202</v>
      </c>
      <c r="D56" s="15">
        <v>929</v>
      </c>
      <c r="E56" s="14">
        <v>35.853919040000001</v>
      </c>
      <c r="F56" s="16">
        <v>1.50947415</v>
      </c>
      <c r="G56" s="14">
        <v>64.146080960000006</v>
      </c>
      <c r="H56" s="16">
        <v>1.50947415</v>
      </c>
      <c r="I56" s="14" t="s">
        <v>139</v>
      </c>
      <c r="J56" s="16" t="s">
        <v>139</v>
      </c>
      <c r="K56" s="14">
        <v>0</v>
      </c>
      <c r="L56" s="16">
        <v>0</v>
      </c>
      <c r="M56" s="14">
        <v>0</v>
      </c>
      <c r="N56" s="16">
        <v>0</v>
      </c>
      <c r="O56" s="14">
        <v>0</v>
      </c>
      <c r="P56" s="16">
        <v>0</v>
      </c>
      <c r="Q56" s="14">
        <v>0</v>
      </c>
      <c r="R56" s="16">
        <v>0</v>
      </c>
    </row>
    <row r="57" spans="1:18" x14ac:dyDescent="0.25">
      <c r="A57" s="11" t="s">
        <v>190</v>
      </c>
      <c r="B57" s="17" t="s">
        <v>154</v>
      </c>
      <c r="C57" s="17" t="s">
        <v>154</v>
      </c>
      <c r="D57" s="18" t="s">
        <v>154</v>
      </c>
      <c r="E57" s="17" t="s">
        <v>154</v>
      </c>
      <c r="F57" s="18" t="s">
        <v>154</v>
      </c>
      <c r="G57" s="17" t="s">
        <v>154</v>
      </c>
      <c r="H57" s="18" t="s">
        <v>154</v>
      </c>
      <c r="I57" s="17" t="s">
        <v>154</v>
      </c>
      <c r="J57" s="18" t="s">
        <v>154</v>
      </c>
      <c r="K57" s="17" t="s">
        <v>154</v>
      </c>
      <c r="L57" s="18" t="s">
        <v>154</v>
      </c>
      <c r="M57" s="17" t="s">
        <v>154</v>
      </c>
      <c r="N57" s="18" t="s">
        <v>154</v>
      </c>
      <c r="O57" s="17" t="s">
        <v>154</v>
      </c>
      <c r="P57" s="18" t="s">
        <v>154</v>
      </c>
      <c r="Q57" s="17" t="s">
        <v>154</v>
      </c>
      <c r="R57" s="18" t="s">
        <v>154</v>
      </c>
    </row>
    <row r="58" spans="1:18" x14ac:dyDescent="0.25">
      <c r="A58" s="11" t="s">
        <v>191</v>
      </c>
      <c r="B58" s="17" t="s">
        <v>154</v>
      </c>
      <c r="C58" s="17" t="s">
        <v>154</v>
      </c>
      <c r="D58" s="18" t="s">
        <v>154</v>
      </c>
      <c r="E58" s="17" t="s">
        <v>154</v>
      </c>
      <c r="F58" s="18" t="s">
        <v>154</v>
      </c>
      <c r="G58" s="17" t="s">
        <v>154</v>
      </c>
      <c r="H58" s="18" t="s">
        <v>154</v>
      </c>
      <c r="I58" s="17" t="s">
        <v>154</v>
      </c>
      <c r="J58" s="18" t="s">
        <v>154</v>
      </c>
      <c r="K58" s="17" t="s">
        <v>154</v>
      </c>
      <c r="L58" s="18" t="s">
        <v>154</v>
      </c>
      <c r="M58" s="17" t="s">
        <v>154</v>
      </c>
      <c r="N58" s="18" t="s">
        <v>154</v>
      </c>
      <c r="O58" s="17" t="s">
        <v>154</v>
      </c>
      <c r="P58" s="18" t="s">
        <v>154</v>
      </c>
      <c r="Q58" s="17" t="s">
        <v>154</v>
      </c>
      <c r="R58" s="18" t="s">
        <v>154</v>
      </c>
    </row>
    <row r="59" spans="1:18" x14ac:dyDescent="0.25">
      <c r="A59" s="11" t="s">
        <v>192</v>
      </c>
      <c r="B59" s="17" t="s">
        <v>154</v>
      </c>
      <c r="C59" s="17" t="s">
        <v>154</v>
      </c>
      <c r="D59" s="18" t="s">
        <v>154</v>
      </c>
      <c r="E59" s="17" t="s">
        <v>154</v>
      </c>
      <c r="F59" s="18" t="s">
        <v>154</v>
      </c>
      <c r="G59" s="17" t="s">
        <v>154</v>
      </c>
      <c r="H59" s="18" t="s">
        <v>154</v>
      </c>
      <c r="I59" s="17" t="s">
        <v>154</v>
      </c>
      <c r="J59" s="18" t="s">
        <v>154</v>
      </c>
      <c r="K59" s="17" t="s">
        <v>154</v>
      </c>
      <c r="L59" s="18" t="s">
        <v>154</v>
      </c>
      <c r="M59" s="17" t="s">
        <v>154</v>
      </c>
      <c r="N59" s="18" t="s">
        <v>154</v>
      </c>
      <c r="O59" s="17" t="s">
        <v>154</v>
      </c>
      <c r="P59" s="18" t="s">
        <v>154</v>
      </c>
      <c r="Q59" s="17" t="s">
        <v>154</v>
      </c>
      <c r="R59" s="18" t="s">
        <v>154</v>
      </c>
    </row>
    <row r="60" spans="1:18" x14ac:dyDescent="0.25">
      <c r="A60" s="11" t="s">
        <v>193</v>
      </c>
      <c r="B60" s="17" t="s">
        <v>154</v>
      </c>
      <c r="C60" s="17" t="s">
        <v>154</v>
      </c>
      <c r="D60" s="18" t="s">
        <v>154</v>
      </c>
      <c r="E60" s="17" t="s">
        <v>154</v>
      </c>
      <c r="F60" s="18" t="s">
        <v>154</v>
      </c>
      <c r="G60" s="17" t="s">
        <v>154</v>
      </c>
      <c r="H60" s="18" t="s">
        <v>154</v>
      </c>
      <c r="I60" s="17" t="s">
        <v>154</v>
      </c>
      <c r="J60" s="18" t="s">
        <v>154</v>
      </c>
      <c r="K60" s="17" t="s">
        <v>154</v>
      </c>
      <c r="L60" s="18" t="s">
        <v>154</v>
      </c>
      <c r="M60" s="17" t="s">
        <v>154</v>
      </c>
      <c r="N60" s="18" t="s">
        <v>154</v>
      </c>
      <c r="O60" s="17" t="s">
        <v>154</v>
      </c>
      <c r="P60" s="18" t="s">
        <v>154</v>
      </c>
      <c r="Q60" s="17" t="s">
        <v>154</v>
      </c>
      <c r="R60" s="18" t="s">
        <v>154</v>
      </c>
    </row>
    <row r="61" spans="1:18" x14ac:dyDescent="0.25">
      <c r="A61" s="11" t="s">
        <v>194</v>
      </c>
      <c r="B61" s="13">
        <v>6525</v>
      </c>
      <c r="C61" s="14">
        <f>(5465/B61*100)</f>
        <v>83.754789272030649</v>
      </c>
      <c r="D61" s="15">
        <v>1060</v>
      </c>
      <c r="E61" s="14">
        <v>49.46921493</v>
      </c>
      <c r="F61" s="16">
        <v>1.7671665299999999</v>
      </c>
      <c r="G61" s="14">
        <v>50.53078507</v>
      </c>
      <c r="H61" s="16">
        <v>1.7671665299999999</v>
      </c>
      <c r="I61" s="14" t="s">
        <v>139</v>
      </c>
      <c r="J61" s="16" t="s">
        <v>139</v>
      </c>
      <c r="K61" s="14">
        <v>0</v>
      </c>
      <c r="L61" s="16">
        <v>0</v>
      </c>
      <c r="M61" s="14">
        <v>0</v>
      </c>
      <c r="N61" s="16">
        <v>0</v>
      </c>
      <c r="O61" s="14">
        <v>0</v>
      </c>
      <c r="P61" s="16">
        <v>0</v>
      </c>
      <c r="Q61" s="14">
        <v>0</v>
      </c>
      <c r="R61" s="16">
        <v>0</v>
      </c>
    </row>
    <row r="62" spans="1:18" x14ac:dyDescent="0.25">
      <c r="A62" s="11" t="s">
        <v>195</v>
      </c>
      <c r="B62" s="13">
        <v>4476</v>
      </c>
      <c r="C62" s="14">
        <f>(3763/B62*100)</f>
        <v>84.070598748882929</v>
      </c>
      <c r="D62" s="15">
        <v>713</v>
      </c>
      <c r="E62" s="14">
        <v>40.538773679999998</v>
      </c>
      <c r="F62" s="16">
        <v>2.01964933</v>
      </c>
      <c r="G62" s="14">
        <v>59.461226320000002</v>
      </c>
      <c r="H62" s="16">
        <v>2.01964933</v>
      </c>
      <c r="I62" s="14" t="s">
        <v>139</v>
      </c>
      <c r="J62" s="16" t="s">
        <v>139</v>
      </c>
      <c r="K62" s="14">
        <v>0</v>
      </c>
      <c r="L62" s="16">
        <v>0</v>
      </c>
      <c r="M62" s="14">
        <v>0</v>
      </c>
      <c r="N62" s="16">
        <v>0</v>
      </c>
      <c r="O62" s="14">
        <v>0</v>
      </c>
      <c r="P62" s="16">
        <v>0</v>
      </c>
      <c r="Q62" s="14">
        <v>0</v>
      </c>
      <c r="R62" s="16">
        <v>0</v>
      </c>
    </row>
    <row r="63" spans="1:18" x14ac:dyDescent="0.25">
      <c r="A63" s="11" t="s">
        <v>196</v>
      </c>
      <c r="B63" s="17" t="s">
        <v>154</v>
      </c>
      <c r="C63" s="17" t="s">
        <v>154</v>
      </c>
      <c r="D63" s="18" t="s">
        <v>154</v>
      </c>
      <c r="E63" s="17" t="s">
        <v>154</v>
      </c>
      <c r="F63" s="18" t="s">
        <v>154</v>
      </c>
      <c r="G63" s="17" t="s">
        <v>154</v>
      </c>
      <c r="H63" s="18" t="s">
        <v>154</v>
      </c>
      <c r="I63" s="17" t="s">
        <v>154</v>
      </c>
      <c r="J63" s="18" t="s">
        <v>154</v>
      </c>
      <c r="K63" s="17" t="s">
        <v>154</v>
      </c>
      <c r="L63" s="18" t="s">
        <v>154</v>
      </c>
      <c r="M63" s="17" t="s">
        <v>154</v>
      </c>
      <c r="N63" s="18" t="s">
        <v>154</v>
      </c>
      <c r="O63" s="17" t="s">
        <v>154</v>
      </c>
      <c r="P63" s="18" t="s">
        <v>154</v>
      </c>
      <c r="Q63" s="17" t="s">
        <v>154</v>
      </c>
      <c r="R63" s="18" t="s">
        <v>154</v>
      </c>
    </row>
    <row r="64" spans="1:18" x14ac:dyDescent="0.25">
      <c r="A64" s="11" t="s">
        <v>197</v>
      </c>
      <c r="B64" s="17" t="s">
        <v>154</v>
      </c>
      <c r="C64" s="17" t="s">
        <v>154</v>
      </c>
      <c r="D64" s="18" t="s">
        <v>154</v>
      </c>
      <c r="E64" s="17" t="s">
        <v>154</v>
      </c>
      <c r="F64" s="18" t="s">
        <v>154</v>
      </c>
      <c r="G64" s="17" t="s">
        <v>154</v>
      </c>
      <c r="H64" s="18" t="s">
        <v>154</v>
      </c>
      <c r="I64" s="17" t="s">
        <v>154</v>
      </c>
      <c r="J64" s="18" t="s">
        <v>154</v>
      </c>
      <c r="K64" s="17" t="s">
        <v>154</v>
      </c>
      <c r="L64" s="18" t="s">
        <v>154</v>
      </c>
      <c r="M64" s="17" t="s">
        <v>154</v>
      </c>
      <c r="N64" s="18" t="s">
        <v>154</v>
      </c>
      <c r="O64" s="17" t="s">
        <v>154</v>
      </c>
      <c r="P64" s="18" t="s">
        <v>154</v>
      </c>
      <c r="Q64" s="17" t="s">
        <v>154</v>
      </c>
      <c r="R64" s="18" t="s">
        <v>154</v>
      </c>
    </row>
    <row r="65" spans="1:18" x14ac:dyDescent="0.25">
      <c r="A65" s="11" t="s">
        <v>198</v>
      </c>
      <c r="B65" s="17" t="s">
        <v>154</v>
      </c>
      <c r="C65" s="17" t="s">
        <v>154</v>
      </c>
      <c r="D65" s="18" t="s">
        <v>154</v>
      </c>
      <c r="E65" s="17" t="s">
        <v>154</v>
      </c>
      <c r="F65" s="18" t="s">
        <v>154</v>
      </c>
      <c r="G65" s="17" t="s">
        <v>154</v>
      </c>
      <c r="H65" s="18" t="s">
        <v>154</v>
      </c>
      <c r="I65" s="17" t="s">
        <v>154</v>
      </c>
      <c r="J65" s="18" t="s">
        <v>154</v>
      </c>
      <c r="K65" s="17" t="s">
        <v>154</v>
      </c>
      <c r="L65" s="18" t="s">
        <v>154</v>
      </c>
      <c r="M65" s="17" t="s">
        <v>154</v>
      </c>
      <c r="N65" s="18" t="s">
        <v>154</v>
      </c>
      <c r="O65" s="17" t="s">
        <v>154</v>
      </c>
      <c r="P65" s="18" t="s">
        <v>154</v>
      </c>
      <c r="Q65" s="17" t="s">
        <v>154</v>
      </c>
      <c r="R65" s="18" t="s">
        <v>154</v>
      </c>
    </row>
    <row r="66" spans="1:18" x14ac:dyDescent="0.25">
      <c r="A66" s="11" t="s">
        <v>199</v>
      </c>
      <c r="B66" s="13">
        <v>5665</v>
      </c>
      <c r="C66" s="14">
        <f>(4776/B66*100)</f>
        <v>84.307149161518097</v>
      </c>
      <c r="D66" s="15">
        <v>889</v>
      </c>
      <c r="E66" s="14">
        <v>63.391499850000002</v>
      </c>
      <c r="F66" s="16">
        <v>1.6421912599999999</v>
      </c>
      <c r="G66" s="14">
        <v>36.608500149999998</v>
      </c>
      <c r="H66" s="16">
        <v>1.6421912599999999</v>
      </c>
      <c r="I66" s="14" t="s">
        <v>139</v>
      </c>
      <c r="J66" s="16" t="s">
        <v>139</v>
      </c>
      <c r="K66" s="14">
        <v>0</v>
      </c>
      <c r="L66" s="16">
        <v>0</v>
      </c>
      <c r="M66" s="14">
        <v>0</v>
      </c>
      <c r="N66" s="16">
        <v>0</v>
      </c>
      <c r="O66" s="14">
        <v>0</v>
      </c>
      <c r="P66" s="16">
        <v>0</v>
      </c>
      <c r="Q66" s="14">
        <v>0</v>
      </c>
      <c r="R66" s="16">
        <v>0</v>
      </c>
    </row>
    <row r="67" spans="1:18" x14ac:dyDescent="0.25">
      <c r="A67" s="11" t="s">
        <v>200</v>
      </c>
      <c r="B67" s="13">
        <v>6971</v>
      </c>
      <c r="C67" s="14">
        <f>(6110/B67*100)</f>
        <v>87.648830870750245</v>
      </c>
      <c r="D67" s="15">
        <v>861</v>
      </c>
      <c r="E67" s="14">
        <v>65.527987089999996</v>
      </c>
      <c r="F67" s="16">
        <v>1.76884156</v>
      </c>
      <c r="G67" s="14">
        <v>34.472012909999997</v>
      </c>
      <c r="H67" s="16">
        <v>1.76884156</v>
      </c>
      <c r="I67" s="14" t="s">
        <v>139</v>
      </c>
      <c r="J67" s="16" t="s">
        <v>139</v>
      </c>
      <c r="K67" s="14">
        <v>0</v>
      </c>
      <c r="L67" s="16">
        <v>0</v>
      </c>
      <c r="M67" s="14">
        <v>0</v>
      </c>
      <c r="N67" s="16">
        <v>0</v>
      </c>
      <c r="O67" s="14">
        <v>0</v>
      </c>
      <c r="P67" s="16">
        <v>0</v>
      </c>
      <c r="Q67" s="14">
        <v>0</v>
      </c>
      <c r="R67" s="16">
        <v>0</v>
      </c>
    </row>
    <row r="68" spans="1:18" x14ac:dyDescent="0.25">
      <c r="A68" s="11" t="s">
        <v>201</v>
      </c>
      <c r="B68" s="17" t="s">
        <v>154</v>
      </c>
      <c r="C68" s="17" t="s">
        <v>154</v>
      </c>
      <c r="D68" s="18" t="s">
        <v>154</v>
      </c>
      <c r="E68" s="17" t="s">
        <v>154</v>
      </c>
      <c r="F68" s="18" t="s">
        <v>154</v>
      </c>
      <c r="G68" s="17" t="s">
        <v>154</v>
      </c>
      <c r="H68" s="18" t="s">
        <v>154</v>
      </c>
      <c r="I68" s="17" t="s">
        <v>154</v>
      </c>
      <c r="J68" s="18" t="s">
        <v>154</v>
      </c>
      <c r="K68" s="17" t="s">
        <v>154</v>
      </c>
      <c r="L68" s="18" t="s">
        <v>154</v>
      </c>
      <c r="M68" s="17" t="s">
        <v>154</v>
      </c>
      <c r="N68" s="18" t="s">
        <v>154</v>
      </c>
      <c r="O68" s="17" t="s">
        <v>154</v>
      </c>
      <c r="P68" s="18" t="s">
        <v>154</v>
      </c>
      <c r="Q68" s="17" t="s">
        <v>154</v>
      </c>
      <c r="R68" s="18" t="s">
        <v>154</v>
      </c>
    </row>
    <row r="69" spans="1:18" x14ac:dyDescent="0.25">
      <c r="A69" s="11" t="s">
        <v>202</v>
      </c>
      <c r="B69" s="17" t="s">
        <v>154</v>
      </c>
      <c r="C69" s="17" t="s">
        <v>154</v>
      </c>
      <c r="D69" s="18" t="s">
        <v>154</v>
      </c>
      <c r="E69" s="17" t="s">
        <v>154</v>
      </c>
      <c r="F69" s="18" t="s">
        <v>154</v>
      </c>
      <c r="G69" s="17" t="s">
        <v>154</v>
      </c>
      <c r="H69" s="18" t="s">
        <v>154</v>
      </c>
      <c r="I69" s="17" t="s">
        <v>154</v>
      </c>
      <c r="J69" s="18" t="s">
        <v>154</v>
      </c>
      <c r="K69" s="17" t="s">
        <v>154</v>
      </c>
      <c r="L69" s="18" t="s">
        <v>154</v>
      </c>
      <c r="M69" s="17" t="s">
        <v>154</v>
      </c>
      <c r="N69" s="18" t="s">
        <v>154</v>
      </c>
      <c r="O69" s="17" t="s">
        <v>154</v>
      </c>
      <c r="P69" s="18" t="s">
        <v>154</v>
      </c>
      <c r="Q69" s="17" t="s">
        <v>154</v>
      </c>
      <c r="R69" s="18" t="s">
        <v>154</v>
      </c>
    </row>
    <row r="70" spans="1:18" x14ac:dyDescent="0.25">
      <c r="A70" s="11" t="s">
        <v>203</v>
      </c>
      <c r="B70" s="13">
        <v>6036</v>
      </c>
      <c r="C70" s="14">
        <f>(5082/B70*100)</f>
        <v>84.194831013916499</v>
      </c>
      <c r="D70" s="15">
        <v>954</v>
      </c>
      <c r="E70" s="14">
        <v>48.287900370000003</v>
      </c>
      <c r="F70" s="16">
        <v>1.985104</v>
      </c>
      <c r="G70" s="14">
        <v>51.712099629999997</v>
      </c>
      <c r="H70" s="16">
        <v>1.985104</v>
      </c>
      <c r="I70" s="14" t="s">
        <v>139</v>
      </c>
      <c r="J70" s="16" t="s">
        <v>139</v>
      </c>
      <c r="K70" s="14">
        <v>0</v>
      </c>
      <c r="L70" s="16">
        <v>0</v>
      </c>
      <c r="M70" s="14">
        <v>0</v>
      </c>
      <c r="N70" s="16">
        <v>0</v>
      </c>
      <c r="O70" s="14">
        <v>0</v>
      </c>
      <c r="P70" s="16">
        <v>0</v>
      </c>
      <c r="Q70" s="14">
        <v>0</v>
      </c>
      <c r="R70" s="16">
        <v>0</v>
      </c>
    </row>
    <row r="71" spans="1:18" x14ac:dyDescent="0.25">
      <c r="A71" s="11" t="s">
        <v>204</v>
      </c>
      <c r="B71" s="17" t="s">
        <v>154</v>
      </c>
      <c r="C71" s="17" t="s">
        <v>154</v>
      </c>
      <c r="D71" s="18" t="s">
        <v>154</v>
      </c>
      <c r="E71" s="17" t="s">
        <v>154</v>
      </c>
      <c r="F71" s="18" t="s">
        <v>154</v>
      </c>
      <c r="G71" s="17" t="s">
        <v>154</v>
      </c>
      <c r="H71" s="18" t="s">
        <v>154</v>
      </c>
      <c r="I71" s="17" t="s">
        <v>154</v>
      </c>
      <c r="J71" s="18" t="s">
        <v>154</v>
      </c>
      <c r="K71" s="17" t="s">
        <v>154</v>
      </c>
      <c r="L71" s="18" t="s">
        <v>154</v>
      </c>
      <c r="M71" s="17" t="s">
        <v>154</v>
      </c>
      <c r="N71" s="18" t="s">
        <v>154</v>
      </c>
      <c r="O71" s="17" t="s">
        <v>154</v>
      </c>
      <c r="P71" s="18" t="s">
        <v>154</v>
      </c>
      <c r="Q71" s="17" t="s">
        <v>154</v>
      </c>
      <c r="R71" s="18" t="s">
        <v>154</v>
      </c>
    </row>
    <row r="72" spans="1:18" x14ac:dyDescent="0.25">
      <c r="A72" s="11" t="s">
        <v>205</v>
      </c>
      <c r="B72" s="13">
        <v>7708</v>
      </c>
      <c r="C72" s="14">
        <f>(6398/B72*100)</f>
        <v>83.00467047223664</v>
      </c>
      <c r="D72" s="15">
        <v>1310</v>
      </c>
      <c r="E72" s="14">
        <v>26.019500799999999</v>
      </c>
      <c r="F72" s="16">
        <v>1.17792034</v>
      </c>
      <c r="G72" s="14">
        <v>73.980499199999997</v>
      </c>
      <c r="H72" s="16">
        <v>1.17792034</v>
      </c>
      <c r="I72" s="14" t="s">
        <v>139</v>
      </c>
      <c r="J72" s="16" t="s">
        <v>139</v>
      </c>
      <c r="K72" s="14">
        <v>0</v>
      </c>
      <c r="L72" s="16">
        <v>0</v>
      </c>
      <c r="M72" s="14">
        <v>0</v>
      </c>
      <c r="N72" s="16">
        <v>0</v>
      </c>
      <c r="O72" s="14">
        <v>0</v>
      </c>
      <c r="P72" s="16">
        <v>0</v>
      </c>
      <c r="Q72" s="14">
        <v>0</v>
      </c>
      <c r="R72" s="16">
        <v>0</v>
      </c>
    </row>
    <row r="73" spans="1:18" x14ac:dyDescent="0.25">
      <c r="A73" s="11" t="s">
        <v>206</v>
      </c>
      <c r="B73" s="13">
        <v>8249</v>
      </c>
      <c r="C73" s="14">
        <f>(7012/B73*100)</f>
        <v>85.004242938537999</v>
      </c>
      <c r="D73" s="15">
        <v>1237</v>
      </c>
      <c r="E73" s="14">
        <v>53.576819880000002</v>
      </c>
      <c r="F73" s="16">
        <v>2.02312044</v>
      </c>
      <c r="G73" s="14">
        <v>46.423180119999998</v>
      </c>
      <c r="H73" s="16">
        <v>2.02312044</v>
      </c>
      <c r="I73" s="14" t="s">
        <v>139</v>
      </c>
      <c r="J73" s="16" t="s">
        <v>139</v>
      </c>
      <c r="K73" s="14">
        <v>0</v>
      </c>
      <c r="L73" s="16">
        <v>0</v>
      </c>
      <c r="M73" s="14">
        <v>0</v>
      </c>
      <c r="N73" s="16">
        <v>0</v>
      </c>
      <c r="O73" s="14">
        <v>0</v>
      </c>
      <c r="P73" s="16">
        <v>0</v>
      </c>
      <c r="Q73" s="14">
        <v>0</v>
      </c>
      <c r="R73" s="16">
        <v>0</v>
      </c>
    </row>
    <row r="74" spans="1:18" x14ac:dyDescent="0.25">
      <c r="A74" s="11" t="s">
        <v>207</v>
      </c>
      <c r="B74" s="17" t="s">
        <v>154</v>
      </c>
      <c r="C74" s="17" t="s">
        <v>154</v>
      </c>
      <c r="D74" s="18" t="s">
        <v>154</v>
      </c>
      <c r="E74" s="17" t="s">
        <v>154</v>
      </c>
      <c r="F74" s="18" t="s">
        <v>154</v>
      </c>
      <c r="G74" s="17" t="s">
        <v>154</v>
      </c>
      <c r="H74" s="18" t="s">
        <v>154</v>
      </c>
      <c r="I74" s="17" t="s">
        <v>154</v>
      </c>
      <c r="J74" s="18" t="s">
        <v>154</v>
      </c>
      <c r="K74" s="17" t="s">
        <v>154</v>
      </c>
      <c r="L74" s="18" t="s">
        <v>154</v>
      </c>
      <c r="M74" s="17" t="s">
        <v>154</v>
      </c>
      <c r="N74" s="18" t="s">
        <v>154</v>
      </c>
      <c r="O74" s="17" t="s">
        <v>154</v>
      </c>
      <c r="P74" s="18" t="s">
        <v>154</v>
      </c>
      <c r="Q74" s="17" t="s">
        <v>154</v>
      </c>
      <c r="R74" s="18" t="s">
        <v>154</v>
      </c>
    </row>
    <row r="75" spans="1:18" x14ac:dyDescent="0.25">
      <c r="A75" s="11" t="s">
        <v>208</v>
      </c>
      <c r="B75" s="13">
        <v>5375</v>
      </c>
      <c r="C75" s="14">
        <f>(4627/B75*100)</f>
        <v>86.083720930232559</v>
      </c>
      <c r="D75" s="15">
        <v>748</v>
      </c>
      <c r="E75" s="14">
        <v>79.075029869999995</v>
      </c>
      <c r="F75" s="16">
        <v>1.52651308</v>
      </c>
      <c r="G75" s="14">
        <v>20.924970129999998</v>
      </c>
      <c r="H75" s="16">
        <v>1.52651308</v>
      </c>
      <c r="I75" s="14" t="s">
        <v>139</v>
      </c>
      <c r="J75" s="16" t="s">
        <v>139</v>
      </c>
      <c r="K75" s="14">
        <v>0</v>
      </c>
      <c r="L75" s="16">
        <v>0</v>
      </c>
      <c r="M75" s="14">
        <v>0</v>
      </c>
      <c r="N75" s="16">
        <v>0</v>
      </c>
      <c r="O75" s="14">
        <v>0</v>
      </c>
      <c r="P75" s="16">
        <v>0</v>
      </c>
      <c r="Q75" s="14">
        <v>0</v>
      </c>
      <c r="R75" s="16">
        <v>0</v>
      </c>
    </row>
    <row r="76" spans="1:18" x14ac:dyDescent="0.25">
      <c r="A76" s="11" t="s">
        <v>209</v>
      </c>
      <c r="B76" s="13">
        <v>14167</v>
      </c>
      <c r="C76" s="14">
        <f>(11765/B76*100)</f>
        <v>83.045104821063035</v>
      </c>
      <c r="D76" s="15">
        <v>2402</v>
      </c>
      <c r="E76" s="14">
        <v>59.023734930000003</v>
      </c>
      <c r="F76" s="16">
        <v>1.26068121</v>
      </c>
      <c r="G76" s="14">
        <v>40.976265069999997</v>
      </c>
      <c r="H76" s="16">
        <v>1.26068121</v>
      </c>
      <c r="I76" s="14" t="s">
        <v>139</v>
      </c>
      <c r="J76" s="16" t="s">
        <v>139</v>
      </c>
      <c r="K76" s="14">
        <v>0</v>
      </c>
      <c r="L76" s="16">
        <v>0</v>
      </c>
      <c r="M76" s="14">
        <v>0</v>
      </c>
      <c r="N76" s="16">
        <v>0</v>
      </c>
      <c r="O76" s="14">
        <v>0</v>
      </c>
      <c r="P76" s="16">
        <v>0</v>
      </c>
      <c r="Q76" s="14">
        <v>0</v>
      </c>
      <c r="R76" s="16">
        <v>0</v>
      </c>
    </row>
    <row r="77" spans="1:18" x14ac:dyDescent="0.25">
      <c r="A77" s="11" t="s">
        <v>210</v>
      </c>
      <c r="B77" s="13">
        <v>6062</v>
      </c>
      <c r="C77" s="14">
        <f>(5128/B77*100)</f>
        <v>84.592543714945563</v>
      </c>
      <c r="D77" s="15">
        <v>934</v>
      </c>
      <c r="E77" s="14">
        <v>58.881672340000001</v>
      </c>
      <c r="F77" s="16">
        <v>1.8649998800000001</v>
      </c>
      <c r="G77" s="14">
        <v>41.118327659999999</v>
      </c>
      <c r="H77" s="16">
        <v>1.8649998800000001</v>
      </c>
      <c r="I77" s="14" t="s">
        <v>139</v>
      </c>
      <c r="J77" s="16" t="s">
        <v>139</v>
      </c>
      <c r="K77" s="14">
        <v>0</v>
      </c>
      <c r="L77" s="16">
        <v>0</v>
      </c>
      <c r="M77" s="14">
        <v>0</v>
      </c>
      <c r="N77" s="16">
        <v>0</v>
      </c>
      <c r="O77" s="14">
        <v>0</v>
      </c>
      <c r="P77" s="16">
        <v>0</v>
      </c>
      <c r="Q77" s="14">
        <v>0</v>
      </c>
      <c r="R77" s="16">
        <v>0</v>
      </c>
    </row>
    <row r="78" spans="1:18" x14ac:dyDescent="0.25">
      <c r="A78" s="11" t="s">
        <v>211</v>
      </c>
      <c r="B78" s="17" t="s">
        <v>154</v>
      </c>
      <c r="C78" s="17" t="s">
        <v>154</v>
      </c>
      <c r="D78" s="18" t="s">
        <v>154</v>
      </c>
      <c r="E78" s="17" t="s">
        <v>154</v>
      </c>
      <c r="F78" s="18" t="s">
        <v>154</v>
      </c>
      <c r="G78" s="17" t="s">
        <v>154</v>
      </c>
      <c r="H78" s="18" t="s">
        <v>154</v>
      </c>
      <c r="I78" s="17" t="s">
        <v>154</v>
      </c>
      <c r="J78" s="18" t="s">
        <v>154</v>
      </c>
      <c r="K78" s="17" t="s">
        <v>154</v>
      </c>
      <c r="L78" s="18" t="s">
        <v>154</v>
      </c>
      <c r="M78" s="17" t="s">
        <v>154</v>
      </c>
      <c r="N78" s="18" t="s">
        <v>154</v>
      </c>
      <c r="O78" s="17" t="s">
        <v>154</v>
      </c>
      <c r="P78" s="18" t="s">
        <v>154</v>
      </c>
      <c r="Q78" s="17" t="s">
        <v>154</v>
      </c>
      <c r="R78" s="18" t="s">
        <v>154</v>
      </c>
    </row>
    <row r="79" spans="1:18" ht="24.95" customHeight="1" x14ac:dyDescent="0.25">
      <c r="A79" s="11" t="s">
        <v>212</v>
      </c>
      <c r="B79" s="17" t="s">
        <v>154</v>
      </c>
      <c r="C79" s="17" t="s">
        <v>154</v>
      </c>
      <c r="D79" s="18" t="s">
        <v>154</v>
      </c>
      <c r="E79" s="17" t="s">
        <v>154</v>
      </c>
      <c r="F79" s="18" t="s">
        <v>154</v>
      </c>
      <c r="G79" s="17" t="s">
        <v>154</v>
      </c>
      <c r="H79" s="18" t="s">
        <v>154</v>
      </c>
      <c r="I79" s="17" t="s">
        <v>154</v>
      </c>
      <c r="J79" s="18" t="s">
        <v>154</v>
      </c>
      <c r="K79" s="17" t="s">
        <v>154</v>
      </c>
      <c r="L79" s="18" t="s">
        <v>154</v>
      </c>
      <c r="M79" s="17" t="s">
        <v>154</v>
      </c>
      <c r="N79" s="18" t="s">
        <v>154</v>
      </c>
      <c r="O79" s="17" t="s">
        <v>154</v>
      </c>
      <c r="P79" s="18" t="s">
        <v>154</v>
      </c>
      <c r="Q79" s="17" t="s">
        <v>154</v>
      </c>
      <c r="R79" s="18" t="s">
        <v>154</v>
      </c>
    </row>
    <row r="80" spans="1:18" x14ac:dyDescent="0.25">
      <c r="A80" s="11" t="s">
        <v>213</v>
      </c>
      <c r="B80" s="17" t="s">
        <v>154</v>
      </c>
      <c r="C80" s="17" t="s">
        <v>154</v>
      </c>
      <c r="D80" s="18" t="s">
        <v>154</v>
      </c>
      <c r="E80" s="17" t="s">
        <v>154</v>
      </c>
      <c r="F80" s="18" t="s">
        <v>154</v>
      </c>
      <c r="G80" s="17" t="s">
        <v>154</v>
      </c>
      <c r="H80" s="18" t="s">
        <v>154</v>
      </c>
      <c r="I80" s="17" t="s">
        <v>154</v>
      </c>
      <c r="J80" s="18" t="s">
        <v>154</v>
      </c>
      <c r="K80" s="17" t="s">
        <v>154</v>
      </c>
      <c r="L80" s="18" t="s">
        <v>154</v>
      </c>
      <c r="M80" s="17" t="s">
        <v>154</v>
      </c>
      <c r="N80" s="18" t="s">
        <v>154</v>
      </c>
      <c r="O80" s="17" t="s">
        <v>154</v>
      </c>
      <c r="P80" s="18" t="s">
        <v>154</v>
      </c>
      <c r="Q80" s="17" t="s">
        <v>154</v>
      </c>
      <c r="R80" s="18" t="s">
        <v>154</v>
      </c>
    </row>
    <row r="81" spans="1:18" x14ac:dyDescent="0.25">
      <c r="A81" s="19" t="s">
        <v>214</v>
      </c>
      <c r="B81" s="13">
        <v>8861</v>
      </c>
      <c r="C81" s="14">
        <f>(7408/B81*100)</f>
        <v>83.602302223225365</v>
      </c>
      <c r="D81" s="15">
        <v>1453</v>
      </c>
      <c r="E81" s="14">
        <v>60.918096480000003</v>
      </c>
      <c r="F81" s="16">
        <v>1.58541165</v>
      </c>
      <c r="G81" s="14">
        <v>39.081903519999997</v>
      </c>
      <c r="H81" s="16">
        <v>1.58541165</v>
      </c>
      <c r="I81" s="14" t="s">
        <v>139</v>
      </c>
      <c r="J81" s="16" t="s">
        <v>139</v>
      </c>
      <c r="K81" s="14">
        <v>0</v>
      </c>
      <c r="L81" s="16">
        <v>0</v>
      </c>
      <c r="M81" s="14">
        <v>0</v>
      </c>
      <c r="N81" s="16">
        <v>0</v>
      </c>
      <c r="O81" s="14">
        <v>0</v>
      </c>
      <c r="P81" s="16">
        <v>0</v>
      </c>
      <c r="Q81" s="14">
        <v>0</v>
      </c>
      <c r="R81" s="16">
        <v>0</v>
      </c>
    </row>
    <row r="82" spans="1:18" x14ac:dyDescent="0.25">
      <c r="A82" s="20"/>
      <c r="B82" s="20" t="s">
        <v>215</v>
      </c>
      <c r="C82" s="20" t="s">
        <v>215</v>
      </c>
      <c r="D82" s="20" t="s">
        <v>215</v>
      </c>
      <c r="E82" s="20" t="s">
        <v>215</v>
      </c>
      <c r="F82" s="20" t="s">
        <v>215</v>
      </c>
      <c r="G82" s="20" t="s">
        <v>215</v>
      </c>
      <c r="H82" s="20" t="s">
        <v>215</v>
      </c>
      <c r="I82" s="20" t="s">
        <v>215</v>
      </c>
      <c r="J82" s="20" t="s">
        <v>215</v>
      </c>
      <c r="K82" s="20" t="s">
        <v>215</v>
      </c>
      <c r="L82" s="20" t="s">
        <v>215</v>
      </c>
      <c r="M82" s="20" t="s">
        <v>215</v>
      </c>
      <c r="N82" s="20" t="s">
        <v>215</v>
      </c>
      <c r="O82" s="20" t="s">
        <v>215</v>
      </c>
      <c r="P82" s="20" t="s">
        <v>215</v>
      </c>
      <c r="Q82" s="20" t="s">
        <v>215</v>
      </c>
      <c r="R82" s="20" t="s">
        <v>215</v>
      </c>
    </row>
    <row r="83" spans="1:18" x14ac:dyDescent="0.25">
      <c r="A83" s="3" t="s">
        <v>216</v>
      </c>
    </row>
    <row r="84" spans="1:18" x14ac:dyDescent="0.25">
      <c r="A84" s="22" t="s">
        <v>217</v>
      </c>
      <c r="B84" s="23"/>
      <c r="C84" s="23"/>
      <c r="D84" s="23"/>
      <c r="E84" s="23"/>
      <c r="F84" s="23"/>
      <c r="G84" s="23"/>
      <c r="H84" s="23"/>
      <c r="I84" s="23"/>
      <c r="J84" s="23"/>
      <c r="K84" s="23"/>
      <c r="L84" s="23"/>
      <c r="M84" s="23"/>
      <c r="N84" s="23"/>
      <c r="O84" s="23"/>
      <c r="P84" s="23"/>
      <c r="Q84" s="23"/>
      <c r="R84" s="23"/>
    </row>
    <row r="85" spans="1:18" x14ac:dyDescent="0.25">
      <c r="A85" s="22" t="s">
        <v>218</v>
      </c>
      <c r="B85" s="23"/>
      <c r="C85" s="23"/>
      <c r="D85" s="23"/>
      <c r="E85" s="23"/>
      <c r="F85" s="23"/>
      <c r="G85" s="23"/>
      <c r="H85" s="23"/>
      <c r="I85" s="23"/>
      <c r="J85" s="23"/>
      <c r="K85" s="23"/>
      <c r="L85" s="23"/>
      <c r="M85" s="23"/>
      <c r="N85" s="23"/>
      <c r="O85" s="23"/>
      <c r="P85" s="23"/>
      <c r="Q85" s="23"/>
      <c r="R85" s="23"/>
    </row>
    <row r="86" spans="1:18" ht="30" customHeight="1" x14ac:dyDescent="0.25">
      <c r="A86" s="22" t="s">
        <v>219</v>
      </c>
      <c r="B86" s="23"/>
      <c r="C86" s="23"/>
      <c r="D86" s="23"/>
      <c r="E86" s="23"/>
      <c r="F86" s="23"/>
      <c r="G86" s="23"/>
      <c r="H86" s="23"/>
      <c r="I86" s="23"/>
      <c r="J86" s="23"/>
      <c r="K86" s="23"/>
      <c r="L86" s="23"/>
      <c r="M86" s="23"/>
      <c r="N86" s="23"/>
      <c r="O86" s="23"/>
      <c r="P86" s="23"/>
      <c r="Q86" s="23"/>
      <c r="R86" s="23"/>
    </row>
    <row r="87" spans="1:18" ht="30" customHeight="1" x14ac:dyDescent="0.25">
      <c r="A87" s="22" t="s">
        <v>215</v>
      </c>
      <c r="B87" s="23"/>
      <c r="C87" s="23"/>
      <c r="D87" s="23"/>
      <c r="E87" s="23"/>
      <c r="F87" s="23"/>
      <c r="G87" s="23"/>
      <c r="H87" s="23"/>
      <c r="I87" s="23"/>
      <c r="J87" s="23"/>
      <c r="K87" s="23"/>
      <c r="L87" s="23"/>
      <c r="M87" s="23"/>
      <c r="N87" s="23"/>
      <c r="O87" s="23"/>
      <c r="P87" s="23"/>
      <c r="Q87" s="23"/>
      <c r="R87" s="23"/>
    </row>
    <row r="88" spans="1:18" ht="30" customHeight="1" x14ac:dyDescent="0.25">
      <c r="A88" s="22" t="s">
        <v>220</v>
      </c>
      <c r="B88" s="23"/>
      <c r="C88" s="23"/>
      <c r="D88" s="23"/>
      <c r="E88" s="23"/>
      <c r="F88" s="23"/>
      <c r="G88" s="23"/>
      <c r="H88" s="23"/>
      <c r="I88" s="23"/>
      <c r="J88" s="23"/>
      <c r="K88" s="23"/>
      <c r="L88" s="23"/>
      <c r="M88" s="23"/>
      <c r="N88" s="23"/>
      <c r="O88" s="23"/>
      <c r="P88" s="23"/>
      <c r="Q88" s="23"/>
      <c r="R88" s="23"/>
    </row>
    <row r="89" spans="1:18" ht="30" customHeight="1" x14ac:dyDescent="0.25">
      <c r="A89" s="22" t="s">
        <v>221</v>
      </c>
      <c r="B89" s="23"/>
      <c r="C89" s="23"/>
      <c r="D89" s="23"/>
      <c r="E89" s="23"/>
      <c r="F89" s="23"/>
      <c r="G89" s="23"/>
      <c r="H89" s="23"/>
      <c r="I89" s="23"/>
      <c r="J89" s="23"/>
      <c r="K89" s="23"/>
      <c r="L89" s="23"/>
      <c r="M89" s="23"/>
      <c r="N89" s="23"/>
      <c r="O89" s="23"/>
      <c r="P89" s="23"/>
      <c r="Q89" s="23"/>
      <c r="R89" s="23"/>
    </row>
    <row r="90" spans="1:18" ht="30" customHeight="1" x14ac:dyDescent="0.25">
      <c r="A90" s="22" t="s">
        <v>222</v>
      </c>
      <c r="B90" s="23"/>
      <c r="C90" s="23"/>
      <c r="D90" s="23"/>
      <c r="E90" s="23"/>
      <c r="F90" s="23"/>
      <c r="G90" s="23"/>
      <c r="H90" s="23"/>
      <c r="I90" s="23"/>
      <c r="J90" s="23"/>
      <c r="K90" s="23"/>
      <c r="L90" s="23"/>
      <c r="M90" s="23"/>
      <c r="N90" s="23"/>
      <c r="O90" s="23"/>
      <c r="P90" s="23"/>
      <c r="Q90" s="23"/>
      <c r="R90" s="23"/>
    </row>
    <row r="91" spans="1:18" ht="30" customHeight="1" x14ac:dyDescent="0.25">
      <c r="A91" s="22" t="s">
        <v>223</v>
      </c>
      <c r="B91" s="23"/>
      <c r="C91" s="23"/>
      <c r="D91" s="23"/>
      <c r="E91" s="23"/>
      <c r="F91" s="23"/>
      <c r="G91" s="23"/>
      <c r="H91" s="23"/>
      <c r="I91" s="23"/>
      <c r="J91" s="23"/>
      <c r="K91" s="23"/>
      <c r="L91" s="23"/>
      <c r="M91" s="23"/>
      <c r="N91" s="23"/>
      <c r="O91" s="23"/>
      <c r="P91" s="23"/>
      <c r="Q91" s="23"/>
      <c r="R91" s="23"/>
    </row>
    <row r="92" spans="1:18" ht="30" customHeight="1" x14ac:dyDescent="0.25">
      <c r="A92" s="22" t="s">
        <v>224</v>
      </c>
      <c r="B92" s="23"/>
      <c r="C92" s="23"/>
      <c r="D92" s="23"/>
      <c r="E92" s="23"/>
      <c r="F92" s="23"/>
      <c r="G92" s="23"/>
      <c r="H92" s="23"/>
      <c r="I92" s="23"/>
      <c r="J92" s="23"/>
      <c r="K92" s="23"/>
      <c r="L92" s="23"/>
      <c r="M92" s="23"/>
      <c r="N92" s="23"/>
      <c r="O92" s="23"/>
      <c r="P92" s="23"/>
      <c r="Q92" s="23"/>
      <c r="R92" s="23"/>
    </row>
    <row r="93" spans="1:18" ht="30" customHeight="1" x14ac:dyDescent="0.25">
      <c r="A93" s="22" t="s">
        <v>225</v>
      </c>
      <c r="B93" s="23"/>
      <c r="C93" s="23"/>
      <c r="D93" s="23"/>
      <c r="E93" s="23"/>
      <c r="F93" s="23"/>
      <c r="G93" s="23"/>
      <c r="H93" s="23"/>
      <c r="I93" s="23"/>
      <c r="J93" s="23"/>
      <c r="K93" s="23"/>
      <c r="L93" s="23"/>
      <c r="M93" s="23"/>
      <c r="N93" s="23"/>
      <c r="O93" s="23"/>
      <c r="P93" s="23"/>
      <c r="Q93" s="23"/>
      <c r="R93" s="23"/>
    </row>
    <row r="94" spans="1:18" ht="30" customHeight="1" x14ac:dyDescent="0.25">
      <c r="A94" s="22" t="s">
        <v>226</v>
      </c>
      <c r="B94" s="23"/>
      <c r="C94" s="23"/>
      <c r="D94" s="23"/>
      <c r="E94" s="23"/>
      <c r="F94" s="23"/>
      <c r="G94" s="23"/>
      <c r="H94" s="23"/>
      <c r="I94" s="23"/>
      <c r="J94" s="23"/>
      <c r="K94" s="23"/>
      <c r="L94" s="23"/>
      <c r="M94" s="23"/>
      <c r="N94" s="23"/>
      <c r="O94" s="23"/>
      <c r="P94" s="23"/>
      <c r="Q94" s="23"/>
      <c r="R94" s="23"/>
    </row>
    <row r="95" spans="1:18" ht="30" customHeight="1" x14ac:dyDescent="0.25">
      <c r="A95" s="22" t="s">
        <v>227</v>
      </c>
      <c r="B95" s="23"/>
      <c r="C95" s="23"/>
      <c r="D95" s="23"/>
      <c r="E95" s="23"/>
      <c r="F95" s="23"/>
      <c r="G95" s="23"/>
      <c r="H95" s="23"/>
      <c r="I95" s="23"/>
      <c r="J95" s="23"/>
      <c r="K95" s="23"/>
      <c r="L95" s="23"/>
      <c r="M95" s="23"/>
      <c r="N95" s="23"/>
      <c r="O95" s="23"/>
      <c r="P95" s="23"/>
      <c r="Q95" s="23"/>
      <c r="R95" s="23"/>
    </row>
    <row r="96" spans="1:18" ht="30" customHeight="1" x14ac:dyDescent="0.25">
      <c r="A96" s="22" t="s">
        <v>228</v>
      </c>
      <c r="B96" s="23"/>
      <c r="C96" s="23"/>
      <c r="D96" s="23"/>
      <c r="E96" s="23"/>
      <c r="F96" s="23"/>
      <c r="G96" s="23"/>
      <c r="H96" s="23"/>
      <c r="I96" s="23"/>
      <c r="J96" s="23"/>
      <c r="K96" s="23"/>
      <c r="L96" s="23"/>
      <c r="M96" s="23"/>
      <c r="N96" s="23"/>
      <c r="O96" s="23"/>
      <c r="P96" s="23"/>
      <c r="Q96" s="23"/>
      <c r="R96" s="23"/>
    </row>
  </sheetData>
  <mergeCells count="22">
    <mergeCell ref="O4:P4"/>
    <mergeCell ref="Q4:R4"/>
    <mergeCell ref="A1:R1"/>
    <mergeCell ref="A2:R2"/>
    <mergeCell ref="A84:R84"/>
    <mergeCell ref="E4:F4"/>
    <mergeCell ref="G4:H4"/>
    <mergeCell ref="I4:J4"/>
    <mergeCell ref="K4:L4"/>
    <mergeCell ref="M4:N4"/>
    <mergeCell ref="A85:R85"/>
    <mergeCell ref="A86:R86"/>
    <mergeCell ref="A87:R87"/>
    <mergeCell ref="A88:R88"/>
    <mergeCell ref="A89:R89"/>
    <mergeCell ref="A95:R95"/>
    <mergeCell ref="A96:R96"/>
    <mergeCell ref="A90:R90"/>
    <mergeCell ref="A91:R91"/>
    <mergeCell ref="A92:R92"/>
    <mergeCell ref="A93:R93"/>
    <mergeCell ref="A94:R94"/>
  </mergeCells>
  <pageMargins left="0.75" right="0.75" top="1" bottom="1" header="0.5" footer="0.5"/>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4"/>
  <dimension ref="A1:R96"/>
  <sheetViews>
    <sheetView zoomScale="80" workbookViewId="0">
      <pane xSplit="4" topLeftCell="E1" activePane="topRight" state="frozen"/>
      <selection sqref="A1:R1"/>
      <selection pane="topRight" sqref="A1:R1"/>
    </sheetView>
  </sheetViews>
  <sheetFormatPr defaultColWidth="11.42578125" defaultRowHeight="15" x14ac:dyDescent="0.25"/>
  <cols>
    <col min="1" max="1" width="50" customWidth="1"/>
  </cols>
  <sheetData>
    <row r="1" spans="1:18" x14ac:dyDescent="0.25">
      <c r="A1" s="26" t="s">
        <v>122</v>
      </c>
      <c r="B1" s="23"/>
      <c r="C1" s="23"/>
      <c r="D1" s="23"/>
      <c r="E1" s="23"/>
      <c r="F1" s="23"/>
      <c r="G1" s="23"/>
      <c r="H1" s="23"/>
      <c r="I1" s="23"/>
      <c r="J1" s="23"/>
      <c r="K1" s="23"/>
      <c r="L1" s="23"/>
      <c r="M1" s="23"/>
      <c r="N1" s="23"/>
      <c r="O1" s="23"/>
      <c r="P1" s="23"/>
      <c r="Q1" s="23"/>
      <c r="R1" s="23"/>
    </row>
    <row r="2" spans="1:18" x14ac:dyDescent="0.25">
      <c r="A2" s="27" t="s">
        <v>310</v>
      </c>
      <c r="B2" s="23"/>
      <c r="C2" s="23"/>
      <c r="D2" s="23"/>
      <c r="E2" s="23"/>
      <c r="F2" s="23"/>
      <c r="G2" s="23"/>
      <c r="H2" s="23"/>
      <c r="I2" s="23"/>
      <c r="J2" s="23"/>
      <c r="K2" s="23"/>
      <c r="L2" s="23"/>
      <c r="M2" s="23"/>
      <c r="N2" s="23"/>
      <c r="O2" s="23"/>
      <c r="P2" s="23"/>
      <c r="Q2" s="23"/>
      <c r="R2" s="23"/>
    </row>
    <row r="4" spans="1:18" ht="30" customHeight="1" x14ac:dyDescent="0.25">
      <c r="A4" s="4"/>
      <c r="B4" s="5" t="s">
        <v>123</v>
      </c>
      <c r="C4" s="5" t="s">
        <v>124</v>
      </c>
      <c r="D4" s="6" t="s">
        <v>123</v>
      </c>
      <c r="E4" s="24" t="s">
        <v>125</v>
      </c>
      <c r="F4" s="25"/>
      <c r="G4" s="24" t="s">
        <v>126</v>
      </c>
      <c r="H4" s="25"/>
      <c r="I4" s="24" t="s">
        <v>127</v>
      </c>
      <c r="J4" s="25"/>
      <c r="K4" s="24" t="s">
        <v>128</v>
      </c>
      <c r="L4" s="25"/>
      <c r="M4" s="24" t="s">
        <v>129</v>
      </c>
      <c r="N4" s="25"/>
      <c r="O4" s="24" t="s">
        <v>130</v>
      </c>
      <c r="P4" s="25"/>
      <c r="Q4" s="24" t="s">
        <v>131</v>
      </c>
      <c r="R4" s="25"/>
    </row>
    <row r="5" spans="1:18" x14ac:dyDescent="0.25">
      <c r="A5" s="7"/>
      <c r="B5" s="8" t="s">
        <v>132</v>
      </c>
      <c r="C5" s="8" t="s">
        <v>133</v>
      </c>
      <c r="D5" s="7" t="s">
        <v>134</v>
      </c>
      <c r="E5" s="8" t="s">
        <v>135</v>
      </c>
      <c r="F5" s="7" t="s">
        <v>136</v>
      </c>
      <c r="G5" s="8" t="s">
        <v>135</v>
      </c>
      <c r="H5" s="7" t="s">
        <v>136</v>
      </c>
      <c r="I5" s="8" t="s">
        <v>135</v>
      </c>
      <c r="J5" s="7" t="s">
        <v>136</v>
      </c>
      <c r="K5" s="8" t="s">
        <v>135</v>
      </c>
      <c r="L5" s="7" t="s">
        <v>136</v>
      </c>
      <c r="M5" s="8" t="s">
        <v>135</v>
      </c>
      <c r="N5" s="7" t="s">
        <v>136</v>
      </c>
      <c r="O5" s="8" t="s">
        <v>135</v>
      </c>
      <c r="P5" s="7" t="s">
        <v>136</v>
      </c>
      <c r="Q5" s="8" t="s">
        <v>135</v>
      </c>
      <c r="R5" s="7" t="s">
        <v>136</v>
      </c>
    </row>
    <row r="6" spans="1:18" x14ac:dyDescent="0.25">
      <c r="A6" s="9" t="s">
        <v>137</v>
      </c>
      <c r="B6" s="10"/>
      <c r="C6" s="10"/>
      <c r="D6" s="11"/>
      <c r="E6" s="10"/>
      <c r="F6" s="11"/>
      <c r="G6" s="10"/>
      <c r="H6" s="11"/>
      <c r="I6" s="10"/>
      <c r="J6" s="11"/>
      <c r="K6" s="10"/>
      <c r="L6" s="11"/>
      <c r="M6" s="10"/>
      <c r="N6" s="11"/>
      <c r="O6" s="10"/>
      <c r="P6" s="11"/>
      <c r="Q6" s="10"/>
      <c r="R6" s="12"/>
    </row>
    <row r="7" spans="1:18" x14ac:dyDescent="0.25">
      <c r="A7" s="11" t="s">
        <v>138</v>
      </c>
      <c r="B7" s="13">
        <v>14530</v>
      </c>
      <c r="C7" s="14">
        <f>(12273/B7*100)</f>
        <v>84.466620784583625</v>
      </c>
      <c r="D7" s="15">
        <v>2257</v>
      </c>
      <c r="E7" s="14">
        <v>49.174507689999999</v>
      </c>
      <c r="F7" s="16">
        <v>1.2520341800000001</v>
      </c>
      <c r="G7" s="14">
        <v>50.825492310000001</v>
      </c>
      <c r="H7" s="16">
        <v>1.2520341800000001</v>
      </c>
      <c r="I7" s="14" t="s">
        <v>139</v>
      </c>
      <c r="J7" s="16" t="s">
        <v>139</v>
      </c>
      <c r="K7" s="14">
        <v>0</v>
      </c>
      <c r="L7" s="16">
        <v>0</v>
      </c>
      <c r="M7" s="14">
        <v>0</v>
      </c>
      <c r="N7" s="16">
        <v>0</v>
      </c>
      <c r="O7" s="14">
        <v>0</v>
      </c>
      <c r="P7" s="16">
        <v>0</v>
      </c>
      <c r="Q7" s="14">
        <v>0</v>
      </c>
      <c r="R7" s="16">
        <v>0</v>
      </c>
    </row>
    <row r="8" spans="1:18" x14ac:dyDescent="0.25">
      <c r="A8" s="11" t="s">
        <v>140</v>
      </c>
      <c r="B8" s="13">
        <v>7007</v>
      </c>
      <c r="C8" s="14">
        <f>(5877/B8*100)</f>
        <v>83.873269587555299</v>
      </c>
      <c r="D8" s="15">
        <v>1130</v>
      </c>
      <c r="E8" s="14">
        <v>39.878737809999997</v>
      </c>
      <c r="F8" s="16">
        <v>1.71654949</v>
      </c>
      <c r="G8" s="14">
        <v>60.121262190000003</v>
      </c>
      <c r="H8" s="16">
        <v>1.71654949</v>
      </c>
      <c r="I8" s="14" t="s">
        <v>139</v>
      </c>
      <c r="J8" s="16" t="s">
        <v>139</v>
      </c>
      <c r="K8" s="14">
        <v>0</v>
      </c>
      <c r="L8" s="16">
        <v>0</v>
      </c>
      <c r="M8" s="14">
        <v>0</v>
      </c>
      <c r="N8" s="16">
        <v>0</v>
      </c>
      <c r="O8" s="14">
        <v>0</v>
      </c>
      <c r="P8" s="16">
        <v>0</v>
      </c>
      <c r="Q8" s="14">
        <v>0</v>
      </c>
      <c r="R8" s="16">
        <v>0</v>
      </c>
    </row>
    <row r="9" spans="1:18" x14ac:dyDescent="0.25">
      <c r="A9" s="11" t="s">
        <v>141</v>
      </c>
      <c r="B9" s="13">
        <v>9651</v>
      </c>
      <c r="C9" s="14">
        <f>(8191/B9*100)</f>
        <v>84.872033986115426</v>
      </c>
      <c r="D9" s="15">
        <v>1460</v>
      </c>
      <c r="E9" s="14">
        <v>40.847926000000001</v>
      </c>
      <c r="F9" s="16">
        <v>1.2073955000000001</v>
      </c>
      <c r="G9" s="14">
        <v>59.152073999999999</v>
      </c>
      <c r="H9" s="16">
        <v>1.2073955000000001</v>
      </c>
      <c r="I9" s="14" t="s">
        <v>139</v>
      </c>
      <c r="J9" s="16" t="s">
        <v>139</v>
      </c>
      <c r="K9" s="14">
        <v>0</v>
      </c>
      <c r="L9" s="16">
        <v>0</v>
      </c>
      <c r="M9" s="14">
        <v>0</v>
      </c>
      <c r="N9" s="16">
        <v>0</v>
      </c>
      <c r="O9" s="14">
        <v>0</v>
      </c>
      <c r="P9" s="16">
        <v>0</v>
      </c>
      <c r="Q9" s="14">
        <v>0</v>
      </c>
      <c r="R9" s="16">
        <v>0</v>
      </c>
    </row>
    <row r="10" spans="1:18" x14ac:dyDescent="0.25">
      <c r="A10" s="11" t="s">
        <v>142</v>
      </c>
      <c r="B10" s="13">
        <v>20058</v>
      </c>
      <c r="C10" s="14">
        <f>(16744/B10*100)</f>
        <v>83.477914049257151</v>
      </c>
      <c r="D10" s="15">
        <v>3314</v>
      </c>
      <c r="E10" s="14">
        <v>42.601995619999997</v>
      </c>
      <c r="F10" s="16">
        <v>1.24150464</v>
      </c>
      <c r="G10" s="14">
        <v>57.398004380000003</v>
      </c>
      <c r="H10" s="16">
        <v>1.24150464</v>
      </c>
      <c r="I10" s="14" t="s">
        <v>139</v>
      </c>
      <c r="J10" s="16" t="s">
        <v>139</v>
      </c>
      <c r="K10" s="14">
        <v>0</v>
      </c>
      <c r="L10" s="16">
        <v>0</v>
      </c>
      <c r="M10" s="14">
        <v>0</v>
      </c>
      <c r="N10" s="16">
        <v>0</v>
      </c>
      <c r="O10" s="14">
        <v>0</v>
      </c>
      <c r="P10" s="16">
        <v>0</v>
      </c>
      <c r="Q10" s="14">
        <v>0</v>
      </c>
      <c r="R10" s="16">
        <v>0</v>
      </c>
    </row>
    <row r="11" spans="1:18" x14ac:dyDescent="0.25">
      <c r="A11" s="11" t="s">
        <v>143</v>
      </c>
      <c r="B11" s="13">
        <v>7053</v>
      </c>
      <c r="C11" s="14">
        <f>(5950/B11*100)</f>
        <v>84.361264710052467</v>
      </c>
      <c r="D11" s="15">
        <v>1103</v>
      </c>
      <c r="E11" s="14">
        <v>44.883243960000001</v>
      </c>
      <c r="F11" s="16">
        <v>1.7662198200000001</v>
      </c>
      <c r="G11" s="14">
        <v>55.116756039999999</v>
      </c>
      <c r="H11" s="16">
        <v>1.7662198200000001</v>
      </c>
      <c r="I11" s="14" t="s">
        <v>139</v>
      </c>
      <c r="J11" s="16" t="s">
        <v>139</v>
      </c>
      <c r="K11" s="14">
        <v>0</v>
      </c>
      <c r="L11" s="16">
        <v>0</v>
      </c>
      <c r="M11" s="14">
        <v>0</v>
      </c>
      <c r="N11" s="16">
        <v>0</v>
      </c>
      <c r="O11" s="14">
        <v>0</v>
      </c>
      <c r="P11" s="16">
        <v>0</v>
      </c>
      <c r="Q11" s="14">
        <v>0</v>
      </c>
      <c r="R11" s="16">
        <v>0</v>
      </c>
    </row>
    <row r="12" spans="1:18" x14ac:dyDescent="0.25">
      <c r="A12" s="11" t="s">
        <v>144</v>
      </c>
      <c r="B12" s="13">
        <v>6894</v>
      </c>
      <c r="C12" s="14">
        <f>(5796/B12*100)</f>
        <v>84.073107049608353</v>
      </c>
      <c r="D12" s="15">
        <v>1098</v>
      </c>
      <c r="E12" s="14">
        <v>44.329420550000002</v>
      </c>
      <c r="F12" s="16">
        <v>1.7527708900000001</v>
      </c>
      <c r="G12" s="14">
        <v>55.670579449999998</v>
      </c>
      <c r="H12" s="16">
        <v>1.7527708900000001</v>
      </c>
      <c r="I12" s="14" t="s">
        <v>139</v>
      </c>
      <c r="J12" s="16" t="s">
        <v>139</v>
      </c>
      <c r="K12" s="14">
        <v>0</v>
      </c>
      <c r="L12" s="16">
        <v>0</v>
      </c>
      <c r="M12" s="14">
        <v>0</v>
      </c>
      <c r="N12" s="16">
        <v>0</v>
      </c>
      <c r="O12" s="14">
        <v>0</v>
      </c>
      <c r="P12" s="16">
        <v>0</v>
      </c>
      <c r="Q12" s="14">
        <v>0</v>
      </c>
      <c r="R12" s="16">
        <v>0</v>
      </c>
    </row>
    <row r="13" spans="1:18" x14ac:dyDescent="0.25">
      <c r="A13" s="11" t="s">
        <v>145</v>
      </c>
      <c r="B13" s="13">
        <v>7161</v>
      </c>
      <c r="C13" s="14">
        <f>(6096/B13*100)</f>
        <v>85.127775450356097</v>
      </c>
      <c r="D13" s="15">
        <v>1065</v>
      </c>
      <c r="E13" s="14">
        <v>55.917330730000003</v>
      </c>
      <c r="F13" s="16">
        <v>1.77514456</v>
      </c>
      <c r="G13" s="14">
        <v>44.082669269999997</v>
      </c>
      <c r="H13" s="16">
        <v>1.77514456</v>
      </c>
      <c r="I13" s="14" t="s">
        <v>139</v>
      </c>
      <c r="J13" s="16" t="s">
        <v>139</v>
      </c>
      <c r="K13" s="14">
        <v>0</v>
      </c>
      <c r="L13" s="16">
        <v>0</v>
      </c>
      <c r="M13" s="14">
        <v>0</v>
      </c>
      <c r="N13" s="16">
        <v>0</v>
      </c>
      <c r="O13" s="14">
        <v>0</v>
      </c>
      <c r="P13" s="16">
        <v>0</v>
      </c>
      <c r="Q13" s="14">
        <v>0</v>
      </c>
      <c r="R13" s="16">
        <v>0</v>
      </c>
    </row>
    <row r="14" spans="1:18" x14ac:dyDescent="0.25">
      <c r="A14" s="11" t="s">
        <v>146</v>
      </c>
      <c r="B14" s="13">
        <v>5587</v>
      </c>
      <c r="C14" s="14">
        <f>(4671/B14*100)</f>
        <v>83.604796849829967</v>
      </c>
      <c r="D14" s="15">
        <v>916</v>
      </c>
      <c r="E14" s="14">
        <v>39.407332140000001</v>
      </c>
      <c r="F14" s="16">
        <v>1.78632718</v>
      </c>
      <c r="G14" s="14">
        <v>60.592667859999999</v>
      </c>
      <c r="H14" s="16">
        <v>1.78632718</v>
      </c>
      <c r="I14" s="14" t="s">
        <v>139</v>
      </c>
      <c r="J14" s="16" t="s">
        <v>139</v>
      </c>
      <c r="K14" s="14">
        <v>0</v>
      </c>
      <c r="L14" s="16">
        <v>0</v>
      </c>
      <c r="M14" s="14">
        <v>0</v>
      </c>
      <c r="N14" s="16">
        <v>0</v>
      </c>
      <c r="O14" s="14">
        <v>0</v>
      </c>
      <c r="P14" s="16">
        <v>0</v>
      </c>
      <c r="Q14" s="14">
        <v>0</v>
      </c>
      <c r="R14" s="16">
        <v>0</v>
      </c>
    </row>
    <row r="15" spans="1:18" x14ac:dyDescent="0.25">
      <c r="A15" s="11" t="s">
        <v>147</v>
      </c>
      <c r="B15" s="13">
        <v>5882</v>
      </c>
      <c r="C15" s="14">
        <f>(4907/B15*100)</f>
        <v>83.424005440326425</v>
      </c>
      <c r="D15" s="15">
        <v>975</v>
      </c>
      <c r="E15" s="14">
        <v>32.711728209999997</v>
      </c>
      <c r="F15" s="16">
        <v>1.6841973699999999</v>
      </c>
      <c r="G15" s="14">
        <v>67.288271789999996</v>
      </c>
      <c r="H15" s="16">
        <v>1.6841973699999999</v>
      </c>
      <c r="I15" s="14" t="s">
        <v>139</v>
      </c>
      <c r="J15" s="16" t="s">
        <v>139</v>
      </c>
      <c r="K15" s="14">
        <v>0</v>
      </c>
      <c r="L15" s="16">
        <v>0</v>
      </c>
      <c r="M15" s="14">
        <v>0</v>
      </c>
      <c r="N15" s="16">
        <v>0</v>
      </c>
      <c r="O15" s="14">
        <v>0</v>
      </c>
      <c r="P15" s="16">
        <v>0</v>
      </c>
      <c r="Q15" s="14">
        <v>0</v>
      </c>
      <c r="R15" s="16">
        <v>0</v>
      </c>
    </row>
    <row r="16" spans="1:18" x14ac:dyDescent="0.25">
      <c r="A16" s="11" t="s">
        <v>148</v>
      </c>
      <c r="B16" s="13">
        <v>6108</v>
      </c>
      <c r="C16" s="14">
        <f>(5106/B16*100)</f>
        <v>83.59528487229862</v>
      </c>
      <c r="D16" s="15">
        <v>1002</v>
      </c>
      <c r="E16" s="14">
        <v>45.877958030000002</v>
      </c>
      <c r="F16" s="16">
        <v>1.6242851599999999</v>
      </c>
      <c r="G16" s="14">
        <v>54.122041969999998</v>
      </c>
      <c r="H16" s="16">
        <v>1.6242851599999999</v>
      </c>
      <c r="I16" s="14" t="s">
        <v>139</v>
      </c>
      <c r="J16" s="16" t="s">
        <v>139</v>
      </c>
      <c r="K16" s="14">
        <v>0</v>
      </c>
      <c r="L16" s="16">
        <v>0</v>
      </c>
      <c r="M16" s="14">
        <v>0</v>
      </c>
      <c r="N16" s="16">
        <v>0</v>
      </c>
      <c r="O16" s="14">
        <v>0</v>
      </c>
      <c r="P16" s="16">
        <v>0</v>
      </c>
      <c r="Q16" s="14">
        <v>0</v>
      </c>
      <c r="R16" s="16">
        <v>0</v>
      </c>
    </row>
    <row r="17" spans="1:18" x14ac:dyDescent="0.25">
      <c r="A17" s="11" t="s">
        <v>149</v>
      </c>
      <c r="B17" s="13">
        <v>6504</v>
      </c>
      <c r="C17" s="14">
        <f>(5484/B17*100)</f>
        <v>84.317343173431738</v>
      </c>
      <c r="D17" s="15">
        <v>1020</v>
      </c>
      <c r="E17" s="14">
        <v>49.862263419999998</v>
      </c>
      <c r="F17" s="16">
        <v>1.42128359</v>
      </c>
      <c r="G17" s="14">
        <v>50.137736580000002</v>
      </c>
      <c r="H17" s="16">
        <v>1.42128359</v>
      </c>
      <c r="I17" s="14" t="s">
        <v>139</v>
      </c>
      <c r="J17" s="16" t="s">
        <v>139</v>
      </c>
      <c r="K17" s="14">
        <v>0</v>
      </c>
      <c r="L17" s="16">
        <v>0</v>
      </c>
      <c r="M17" s="14">
        <v>0</v>
      </c>
      <c r="N17" s="16">
        <v>0</v>
      </c>
      <c r="O17" s="14">
        <v>0</v>
      </c>
      <c r="P17" s="16">
        <v>0</v>
      </c>
      <c r="Q17" s="14">
        <v>0</v>
      </c>
      <c r="R17" s="16">
        <v>0</v>
      </c>
    </row>
    <row r="18" spans="1:18" x14ac:dyDescent="0.25">
      <c r="A18" s="11" t="s">
        <v>150</v>
      </c>
      <c r="B18" s="13">
        <v>5532</v>
      </c>
      <c r="C18" s="14">
        <f>(4644/B18*100)</f>
        <v>83.947939262472886</v>
      </c>
      <c r="D18" s="15">
        <v>888</v>
      </c>
      <c r="E18" s="14">
        <v>47.52075894</v>
      </c>
      <c r="F18" s="16">
        <v>1.84137214</v>
      </c>
      <c r="G18" s="14">
        <v>52.47924106</v>
      </c>
      <c r="H18" s="16">
        <v>1.84137214</v>
      </c>
      <c r="I18" s="14" t="s">
        <v>139</v>
      </c>
      <c r="J18" s="16" t="s">
        <v>139</v>
      </c>
      <c r="K18" s="14">
        <v>0</v>
      </c>
      <c r="L18" s="16">
        <v>0</v>
      </c>
      <c r="M18" s="14">
        <v>0</v>
      </c>
      <c r="N18" s="16">
        <v>0</v>
      </c>
      <c r="O18" s="14">
        <v>0</v>
      </c>
      <c r="P18" s="16">
        <v>0</v>
      </c>
      <c r="Q18" s="14">
        <v>0</v>
      </c>
      <c r="R18" s="16">
        <v>0</v>
      </c>
    </row>
    <row r="19" spans="1:18" x14ac:dyDescent="0.25">
      <c r="A19" s="11" t="s">
        <v>151</v>
      </c>
      <c r="B19" s="13">
        <v>5658</v>
      </c>
      <c r="C19" s="14">
        <f>(4776/B19*100)</f>
        <v>84.411452810180279</v>
      </c>
      <c r="D19" s="15">
        <v>882</v>
      </c>
      <c r="E19" s="14">
        <v>42.183092420000001</v>
      </c>
      <c r="F19" s="16">
        <v>2.0942401799999999</v>
      </c>
      <c r="G19" s="14">
        <v>57.816907579999999</v>
      </c>
      <c r="H19" s="16">
        <v>2.0942401799999999</v>
      </c>
      <c r="I19" s="14" t="s">
        <v>139</v>
      </c>
      <c r="J19" s="16" t="s">
        <v>139</v>
      </c>
      <c r="K19" s="14">
        <v>0</v>
      </c>
      <c r="L19" s="16">
        <v>0</v>
      </c>
      <c r="M19" s="14">
        <v>0</v>
      </c>
      <c r="N19" s="16">
        <v>0</v>
      </c>
      <c r="O19" s="14">
        <v>0</v>
      </c>
      <c r="P19" s="16">
        <v>0</v>
      </c>
      <c r="Q19" s="14">
        <v>0</v>
      </c>
      <c r="R19" s="16">
        <v>0</v>
      </c>
    </row>
    <row r="20" spans="1:18" x14ac:dyDescent="0.25">
      <c r="A20" s="11" t="s">
        <v>152</v>
      </c>
      <c r="B20" s="13">
        <v>3371</v>
      </c>
      <c r="C20" s="14">
        <f>(2854/B20*100)</f>
        <v>84.663304657371697</v>
      </c>
      <c r="D20" s="15">
        <v>517</v>
      </c>
      <c r="E20" s="14">
        <v>37.575379390000002</v>
      </c>
      <c r="F20" s="16">
        <v>2.14009939</v>
      </c>
      <c r="G20" s="14">
        <v>62.424620609999998</v>
      </c>
      <c r="H20" s="16">
        <v>2.14009939</v>
      </c>
      <c r="I20" s="14" t="s">
        <v>139</v>
      </c>
      <c r="J20" s="16" t="s">
        <v>139</v>
      </c>
      <c r="K20" s="14">
        <v>0</v>
      </c>
      <c r="L20" s="16">
        <v>0</v>
      </c>
      <c r="M20" s="14">
        <v>0</v>
      </c>
      <c r="N20" s="16">
        <v>0</v>
      </c>
      <c r="O20" s="14">
        <v>0</v>
      </c>
      <c r="P20" s="16">
        <v>0</v>
      </c>
      <c r="Q20" s="14">
        <v>0</v>
      </c>
      <c r="R20" s="16">
        <v>0</v>
      </c>
    </row>
    <row r="21" spans="1:18" x14ac:dyDescent="0.25">
      <c r="A21" s="11" t="s">
        <v>153</v>
      </c>
      <c r="B21" s="17" t="s">
        <v>154</v>
      </c>
      <c r="C21" s="17" t="s">
        <v>154</v>
      </c>
      <c r="D21" s="18" t="s">
        <v>154</v>
      </c>
      <c r="E21" s="17" t="s">
        <v>154</v>
      </c>
      <c r="F21" s="18" t="s">
        <v>154</v>
      </c>
      <c r="G21" s="17" t="s">
        <v>154</v>
      </c>
      <c r="H21" s="18" t="s">
        <v>154</v>
      </c>
      <c r="I21" s="17" t="s">
        <v>154</v>
      </c>
      <c r="J21" s="18" t="s">
        <v>154</v>
      </c>
      <c r="K21" s="17" t="s">
        <v>154</v>
      </c>
      <c r="L21" s="18" t="s">
        <v>154</v>
      </c>
      <c r="M21" s="17" t="s">
        <v>154</v>
      </c>
      <c r="N21" s="18" t="s">
        <v>154</v>
      </c>
      <c r="O21" s="17" t="s">
        <v>154</v>
      </c>
      <c r="P21" s="18" t="s">
        <v>154</v>
      </c>
      <c r="Q21" s="17" t="s">
        <v>154</v>
      </c>
      <c r="R21" s="18" t="s">
        <v>154</v>
      </c>
    </row>
    <row r="22" spans="1:18" x14ac:dyDescent="0.25">
      <c r="A22" s="11" t="s">
        <v>155</v>
      </c>
      <c r="B22" s="13">
        <v>6598</v>
      </c>
      <c r="C22" s="14">
        <f>(5614/B22*100)</f>
        <v>85.086389815095487</v>
      </c>
      <c r="D22" s="15">
        <v>984</v>
      </c>
      <c r="E22" s="14">
        <v>56.037328430000002</v>
      </c>
      <c r="F22" s="16">
        <v>1.63929857</v>
      </c>
      <c r="G22" s="14">
        <v>43.962671569999998</v>
      </c>
      <c r="H22" s="16">
        <v>1.63929857</v>
      </c>
      <c r="I22" s="14" t="s">
        <v>139</v>
      </c>
      <c r="J22" s="16" t="s">
        <v>139</v>
      </c>
      <c r="K22" s="14">
        <v>0</v>
      </c>
      <c r="L22" s="16">
        <v>0</v>
      </c>
      <c r="M22" s="14">
        <v>0</v>
      </c>
      <c r="N22" s="16">
        <v>0</v>
      </c>
      <c r="O22" s="14">
        <v>0</v>
      </c>
      <c r="P22" s="16">
        <v>0</v>
      </c>
      <c r="Q22" s="14">
        <v>0</v>
      </c>
      <c r="R22" s="16">
        <v>0</v>
      </c>
    </row>
    <row r="23" spans="1:18" x14ac:dyDescent="0.25">
      <c r="A23" s="11" t="s">
        <v>156</v>
      </c>
      <c r="B23" s="13">
        <v>11583</v>
      </c>
      <c r="C23" s="14">
        <f>(9708/B23*100)</f>
        <v>83.812483812483819</v>
      </c>
      <c r="D23" s="15">
        <v>1875</v>
      </c>
      <c r="E23" s="14">
        <v>54.720319279999998</v>
      </c>
      <c r="F23" s="16">
        <v>1.72844832</v>
      </c>
      <c r="G23" s="14">
        <v>45.279680720000002</v>
      </c>
      <c r="H23" s="16">
        <v>1.72844832</v>
      </c>
      <c r="I23" s="14" t="s">
        <v>139</v>
      </c>
      <c r="J23" s="16" t="s">
        <v>139</v>
      </c>
      <c r="K23" s="14">
        <v>0</v>
      </c>
      <c r="L23" s="16">
        <v>0</v>
      </c>
      <c r="M23" s="14">
        <v>0</v>
      </c>
      <c r="N23" s="16">
        <v>0</v>
      </c>
      <c r="O23" s="14">
        <v>0</v>
      </c>
      <c r="P23" s="16">
        <v>0</v>
      </c>
      <c r="Q23" s="14">
        <v>0</v>
      </c>
      <c r="R23" s="16">
        <v>0</v>
      </c>
    </row>
    <row r="24" spans="1:18" x14ac:dyDescent="0.25">
      <c r="A24" s="11" t="s">
        <v>157</v>
      </c>
      <c r="B24" s="13">
        <v>6647</v>
      </c>
      <c r="C24" s="14">
        <f>(5510/B24*100)</f>
        <v>82.894538889724686</v>
      </c>
      <c r="D24" s="15">
        <v>1137</v>
      </c>
      <c r="E24" s="14">
        <v>22.9223882</v>
      </c>
      <c r="F24" s="16">
        <v>1.23662731</v>
      </c>
      <c r="G24" s="14">
        <v>77.0776118</v>
      </c>
      <c r="H24" s="16">
        <v>1.23662731</v>
      </c>
      <c r="I24" s="14" t="s">
        <v>139</v>
      </c>
      <c r="J24" s="16" t="s">
        <v>139</v>
      </c>
      <c r="K24" s="14">
        <v>0</v>
      </c>
      <c r="L24" s="16">
        <v>0</v>
      </c>
      <c r="M24" s="14">
        <v>0</v>
      </c>
      <c r="N24" s="16">
        <v>0</v>
      </c>
      <c r="O24" s="14">
        <v>0</v>
      </c>
      <c r="P24" s="16">
        <v>0</v>
      </c>
      <c r="Q24" s="14">
        <v>0</v>
      </c>
      <c r="R24" s="16">
        <v>0</v>
      </c>
    </row>
    <row r="25" spans="1:18" x14ac:dyDescent="0.25">
      <c r="A25" s="11" t="s">
        <v>158</v>
      </c>
      <c r="B25" s="13">
        <v>5581</v>
      </c>
      <c r="C25" s="14">
        <f>(4606/B25*100)</f>
        <v>82.530012542555099</v>
      </c>
      <c r="D25" s="15">
        <v>975</v>
      </c>
      <c r="E25" s="14">
        <v>18.679661379999999</v>
      </c>
      <c r="F25" s="16">
        <v>1.26278136</v>
      </c>
      <c r="G25" s="14">
        <v>81.320338620000001</v>
      </c>
      <c r="H25" s="16">
        <v>1.26278136</v>
      </c>
      <c r="I25" s="14" t="s">
        <v>139</v>
      </c>
      <c r="J25" s="16" t="s">
        <v>139</v>
      </c>
      <c r="K25" s="14">
        <v>0</v>
      </c>
      <c r="L25" s="16">
        <v>0</v>
      </c>
      <c r="M25" s="14">
        <v>0</v>
      </c>
      <c r="N25" s="16">
        <v>0</v>
      </c>
      <c r="O25" s="14">
        <v>0</v>
      </c>
      <c r="P25" s="16">
        <v>0</v>
      </c>
      <c r="Q25" s="14">
        <v>0</v>
      </c>
      <c r="R25" s="16">
        <v>0</v>
      </c>
    </row>
    <row r="26" spans="1:18" x14ac:dyDescent="0.25">
      <c r="A26" s="11" t="s">
        <v>159</v>
      </c>
      <c r="B26" s="13">
        <v>4869</v>
      </c>
      <c r="C26" s="14">
        <f>(4059/B26*100)</f>
        <v>83.364140480591502</v>
      </c>
      <c r="D26" s="15">
        <v>810</v>
      </c>
      <c r="E26" s="14">
        <v>49.474102899999998</v>
      </c>
      <c r="F26" s="16">
        <v>2.07784258</v>
      </c>
      <c r="G26" s="14">
        <v>50.525897100000002</v>
      </c>
      <c r="H26" s="16">
        <v>2.07784258</v>
      </c>
      <c r="I26" s="14" t="s">
        <v>139</v>
      </c>
      <c r="J26" s="16" t="s">
        <v>139</v>
      </c>
      <c r="K26" s="14">
        <v>0</v>
      </c>
      <c r="L26" s="16">
        <v>0</v>
      </c>
      <c r="M26" s="14">
        <v>0</v>
      </c>
      <c r="N26" s="16">
        <v>0</v>
      </c>
      <c r="O26" s="14">
        <v>0</v>
      </c>
      <c r="P26" s="16">
        <v>0</v>
      </c>
      <c r="Q26" s="14">
        <v>0</v>
      </c>
      <c r="R26" s="16">
        <v>0</v>
      </c>
    </row>
    <row r="27" spans="1:18" x14ac:dyDescent="0.25">
      <c r="A27" s="11" t="s">
        <v>160</v>
      </c>
      <c r="B27" s="13">
        <v>5299</v>
      </c>
      <c r="C27" s="14">
        <f>(4491/B27*100)</f>
        <v>84.751839969805616</v>
      </c>
      <c r="D27" s="15">
        <v>808</v>
      </c>
      <c r="E27" s="14">
        <v>46.752908959999999</v>
      </c>
      <c r="F27" s="16">
        <v>1.98365185</v>
      </c>
      <c r="G27" s="14">
        <v>53.247091040000001</v>
      </c>
      <c r="H27" s="16">
        <v>1.98365185</v>
      </c>
      <c r="I27" s="14" t="s">
        <v>139</v>
      </c>
      <c r="J27" s="16" t="s">
        <v>139</v>
      </c>
      <c r="K27" s="14">
        <v>0</v>
      </c>
      <c r="L27" s="16">
        <v>0</v>
      </c>
      <c r="M27" s="14">
        <v>0</v>
      </c>
      <c r="N27" s="16">
        <v>0</v>
      </c>
      <c r="O27" s="14">
        <v>0</v>
      </c>
      <c r="P27" s="16">
        <v>0</v>
      </c>
      <c r="Q27" s="14">
        <v>0</v>
      </c>
      <c r="R27" s="16">
        <v>0</v>
      </c>
    </row>
    <row r="28" spans="1:18" x14ac:dyDescent="0.25">
      <c r="A28" s="11" t="s">
        <v>161</v>
      </c>
      <c r="B28" s="13">
        <v>7568</v>
      </c>
      <c r="C28" s="14">
        <f>(6520/B28*100)</f>
        <v>86.152219873150102</v>
      </c>
      <c r="D28" s="15">
        <v>1048</v>
      </c>
      <c r="E28" s="14">
        <v>48.883859340000001</v>
      </c>
      <c r="F28" s="16">
        <v>1.75759573</v>
      </c>
      <c r="G28" s="14">
        <v>51.116140659999999</v>
      </c>
      <c r="H28" s="16">
        <v>1.75759573</v>
      </c>
      <c r="I28" s="14" t="s">
        <v>139</v>
      </c>
      <c r="J28" s="16" t="s">
        <v>139</v>
      </c>
      <c r="K28" s="14">
        <v>0</v>
      </c>
      <c r="L28" s="16">
        <v>0</v>
      </c>
      <c r="M28" s="14">
        <v>0</v>
      </c>
      <c r="N28" s="16">
        <v>0</v>
      </c>
      <c r="O28" s="14">
        <v>0</v>
      </c>
      <c r="P28" s="16">
        <v>0</v>
      </c>
      <c r="Q28" s="14">
        <v>0</v>
      </c>
      <c r="R28" s="16">
        <v>0</v>
      </c>
    </row>
    <row r="29" spans="1:18" x14ac:dyDescent="0.25">
      <c r="A29" s="11" t="s">
        <v>162</v>
      </c>
      <c r="B29" s="13">
        <v>5385</v>
      </c>
      <c r="C29" s="14">
        <f>(4468/B29*100)</f>
        <v>82.971216341689882</v>
      </c>
      <c r="D29" s="15">
        <v>917</v>
      </c>
      <c r="E29" s="14">
        <v>36.704178769999999</v>
      </c>
      <c r="F29" s="16">
        <v>1.5710871099999999</v>
      </c>
      <c r="G29" s="14">
        <v>63.295821230000001</v>
      </c>
      <c r="H29" s="16">
        <v>1.5710871099999999</v>
      </c>
      <c r="I29" s="14" t="s">
        <v>139</v>
      </c>
      <c r="J29" s="16" t="s">
        <v>139</v>
      </c>
      <c r="K29" s="14">
        <v>0</v>
      </c>
      <c r="L29" s="16">
        <v>0</v>
      </c>
      <c r="M29" s="14">
        <v>0</v>
      </c>
      <c r="N29" s="16">
        <v>0</v>
      </c>
      <c r="O29" s="14">
        <v>0</v>
      </c>
      <c r="P29" s="16">
        <v>0</v>
      </c>
      <c r="Q29" s="14">
        <v>0</v>
      </c>
      <c r="R29" s="16">
        <v>0</v>
      </c>
    </row>
    <row r="30" spans="1:18" x14ac:dyDescent="0.25">
      <c r="A30" s="11" t="s">
        <v>163</v>
      </c>
      <c r="B30" s="13">
        <v>4520</v>
      </c>
      <c r="C30" s="14">
        <f>(3818/B30*100)</f>
        <v>84.469026548672559</v>
      </c>
      <c r="D30" s="15">
        <v>702</v>
      </c>
      <c r="E30" s="14">
        <v>52.697875099999997</v>
      </c>
      <c r="F30" s="16">
        <v>2.5209319699999999</v>
      </c>
      <c r="G30" s="14">
        <v>47.302124900000003</v>
      </c>
      <c r="H30" s="16">
        <v>2.5209319699999999</v>
      </c>
      <c r="I30" s="14" t="s">
        <v>139</v>
      </c>
      <c r="J30" s="16" t="s">
        <v>139</v>
      </c>
      <c r="K30" s="14">
        <v>0</v>
      </c>
      <c r="L30" s="16">
        <v>0</v>
      </c>
      <c r="M30" s="14">
        <v>0</v>
      </c>
      <c r="N30" s="16">
        <v>0</v>
      </c>
      <c r="O30" s="14">
        <v>0</v>
      </c>
      <c r="P30" s="16">
        <v>0</v>
      </c>
      <c r="Q30" s="14">
        <v>0</v>
      </c>
      <c r="R30" s="16">
        <v>0</v>
      </c>
    </row>
    <row r="31" spans="1:18" x14ac:dyDescent="0.25">
      <c r="A31" s="11" t="s">
        <v>164</v>
      </c>
      <c r="B31" s="13">
        <v>5456</v>
      </c>
      <c r="C31" s="14">
        <f>(4537/B31*100)</f>
        <v>83.156158357771261</v>
      </c>
      <c r="D31" s="15">
        <v>919</v>
      </c>
      <c r="E31" s="14">
        <v>41.590442539999998</v>
      </c>
      <c r="F31" s="16">
        <v>1.62779378</v>
      </c>
      <c r="G31" s="14">
        <v>58.409557460000002</v>
      </c>
      <c r="H31" s="16">
        <v>1.62779378</v>
      </c>
      <c r="I31" s="14" t="s">
        <v>139</v>
      </c>
      <c r="J31" s="16" t="s">
        <v>139</v>
      </c>
      <c r="K31" s="14">
        <v>0</v>
      </c>
      <c r="L31" s="16">
        <v>0</v>
      </c>
      <c r="M31" s="14">
        <v>0</v>
      </c>
      <c r="N31" s="16">
        <v>0</v>
      </c>
      <c r="O31" s="14">
        <v>0</v>
      </c>
      <c r="P31" s="16">
        <v>0</v>
      </c>
      <c r="Q31" s="14">
        <v>0</v>
      </c>
      <c r="R31" s="16">
        <v>0</v>
      </c>
    </row>
    <row r="32" spans="1:18" x14ac:dyDescent="0.25">
      <c r="A32" s="11" t="s">
        <v>165</v>
      </c>
      <c r="B32" s="17" t="s">
        <v>154</v>
      </c>
      <c r="C32" s="17" t="s">
        <v>154</v>
      </c>
      <c r="D32" s="18" t="s">
        <v>154</v>
      </c>
      <c r="E32" s="17" t="s">
        <v>154</v>
      </c>
      <c r="F32" s="18" t="s">
        <v>154</v>
      </c>
      <c r="G32" s="17" t="s">
        <v>154</v>
      </c>
      <c r="H32" s="18" t="s">
        <v>154</v>
      </c>
      <c r="I32" s="17" t="s">
        <v>154</v>
      </c>
      <c r="J32" s="18" t="s">
        <v>154</v>
      </c>
      <c r="K32" s="17" t="s">
        <v>154</v>
      </c>
      <c r="L32" s="18" t="s">
        <v>154</v>
      </c>
      <c r="M32" s="17" t="s">
        <v>154</v>
      </c>
      <c r="N32" s="18" t="s">
        <v>154</v>
      </c>
      <c r="O32" s="17" t="s">
        <v>154</v>
      </c>
      <c r="P32" s="18" t="s">
        <v>154</v>
      </c>
      <c r="Q32" s="17" t="s">
        <v>154</v>
      </c>
      <c r="R32" s="18" t="s">
        <v>154</v>
      </c>
    </row>
    <row r="33" spans="1:18" x14ac:dyDescent="0.25">
      <c r="A33" s="11" t="s">
        <v>166</v>
      </c>
      <c r="B33" s="13">
        <v>7325</v>
      </c>
      <c r="C33" s="14">
        <f>(6183/B33*100)</f>
        <v>84.409556313993178</v>
      </c>
      <c r="D33" s="15">
        <v>1142</v>
      </c>
      <c r="E33" s="14">
        <v>55.562123960000001</v>
      </c>
      <c r="F33" s="16">
        <v>1.66825344</v>
      </c>
      <c r="G33" s="14">
        <v>44.437876039999999</v>
      </c>
      <c r="H33" s="16">
        <v>1.66825344</v>
      </c>
      <c r="I33" s="14" t="s">
        <v>139</v>
      </c>
      <c r="J33" s="16" t="s">
        <v>139</v>
      </c>
      <c r="K33" s="14">
        <v>0</v>
      </c>
      <c r="L33" s="16">
        <v>0</v>
      </c>
      <c r="M33" s="14">
        <v>0</v>
      </c>
      <c r="N33" s="16">
        <v>0</v>
      </c>
      <c r="O33" s="14">
        <v>0</v>
      </c>
      <c r="P33" s="16">
        <v>0</v>
      </c>
      <c r="Q33" s="14">
        <v>0</v>
      </c>
      <c r="R33" s="16">
        <v>0</v>
      </c>
    </row>
    <row r="34" spans="1:18" x14ac:dyDescent="0.25">
      <c r="A34" s="11" t="s">
        <v>167</v>
      </c>
      <c r="B34" s="13">
        <v>6350</v>
      </c>
      <c r="C34" s="14">
        <f>(5404/B34*100)</f>
        <v>85.102362204724415</v>
      </c>
      <c r="D34" s="15">
        <v>946</v>
      </c>
      <c r="E34" s="14">
        <v>47.392915879999997</v>
      </c>
      <c r="F34" s="16">
        <v>1.68074225</v>
      </c>
      <c r="G34" s="14">
        <v>52.607084120000003</v>
      </c>
      <c r="H34" s="16">
        <v>1.68074225</v>
      </c>
      <c r="I34" s="14" t="s">
        <v>139</v>
      </c>
      <c r="J34" s="16" t="s">
        <v>139</v>
      </c>
      <c r="K34" s="14">
        <v>0</v>
      </c>
      <c r="L34" s="16">
        <v>0</v>
      </c>
      <c r="M34" s="14">
        <v>0</v>
      </c>
      <c r="N34" s="16">
        <v>0</v>
      </c>
      <c r="O34" s="14">
        <v>0</v>
      </c>
      <c r="P34" s="16">
        <v>0</v>
      </c>
      <c r="Q34" s="14">
        <v>0</v>
      </c>
      <c r="R34" s="16">
        <v>0</v>
      </c>
    </row>
    <row r="35" spans="1:18" x14ac:dyDescent="0.25">
      <c r="A35" s="11" t="s">
        <v>168</v>
      </c>
      <c r="B35" s="13">
        <v>6406</v>
      </c>
      <c r="C35" s="14">
        <f>(5350/B35*100)</f>
        <v>83.515454261629714</v>
      </c>
      <c r="D35" s="15">
        <v>1056</v>
      </c>
      <c r="E35" s="14">
        <v>37.789694830000002</v>
      </c>
      <c r="F35" s="16">
        <v>1.6700031900000001</v>
      </c>
      <c r="G35" s="14">
        <v>62.210305169999998</v>
      </c>
      <c r="H35" s="16">
        <v>1.6700031900000001</v>
      </c>
      <c r="I35" s="14" t="s">
        <v>139</v>
      </c>
      <c r="J35" s="16" t="s">
        <v>139</v>
      </c>
      <c r="K35" s="14">
        <v>0</v>
      </c>
      <c r="L35" s="16">
        <v>0</v>
      </c>
      <c r="M35" s="14">
        <v>0</v>
      </c>
      <c r="N35" s="16">
        <v>0</v>
      </c>
      <c r="O35" s="14">
        <v>0</v>
      </c>
      <c r="P35" s="16">
        <v>0</v>
      </c>
      <c r="Q35" s="14">
        <v>0</v>
      </c>
      <c r="R35" s="16">
        <v>0</v>
      </c>
    </row>
    <row r="36" spans="1:18" x14ac:dyDescent="0.25">
      <c r="A36" s="11" t="s">
        <v>169</v>
      </c>
      <c r="B36" s="13">
        <v>6736</v>
      </c>
      <c r="C36" s="14">
        <f>(5705/B36*100)</f>
        <v>84.694180522565318</v>
      </c>
      <c r="D36" s="15">
        <v>1031</v>
      </c>
      <c r="E36" s="14">
        <v>42.106564429999999</v>
      </c>
      <c r="F36" s="16">
        <v>1.52213238</v>
      </c>
      <c r="G36" s="14">
        <v>57.893435570000001</v>
      </c>
      <c r="H36" s="16">
        <v>1.52213238</v>
      </c>
      <c r="I36" s="14" t="s">
        <v>139</v>
      </c>
      <c r="J36" s="16" t="s">
        <v>139</v>
      </c>
      <c r="K36" s="14">
        <v>0</v>
      </c>
      <c r="L36" s="16">
        <v>0</v>
      </c>
      <c r="M36" s="14">
        <v>0</v>
      </c>
      <c r="N36" s="16">
        <v>0</v>
      </c>
      <c r="O36" s="14">
        <v>0</v>
      </c>
      <c r="P36" s="16">
        <v>0</v>
      </c>
      <c r="Q36" s="14">
        <v>0</v>
      </c>
      <c r="R36" s="16">
        <v>0</v>
      </c>
    </row>
    <row r="37" spans="1:18" x14ac:dyDescent="0.25">
      <c r="A37" s="11" t="s">
        <v>170</v>
      </c>
      <c r="B37" s="13">
        <v>5458</v>
      </c>
      <c r="C37" s="14">
        <f>(4588/B37*100)</f>
        <v>84.060095272993777</v>
      </c>
      <c r="D37" s="15">
        <v>870</v>
      </c>
      <c r="E37" s="14">
        <v>46.280110370000003</v>
      </c>
      <c r="F37" s="16">
        <v>1.79439956</v>
      </c>
      <c r="G37" s="14">
        <v>53.719889629999997</v>
      </c>
      <c r="H37" s="16">
        <v>1.79439956</v>
      </c>
      <c r="I37" s="14" t="s">
        <v>139</v>
      </c>
      <c r="J37" s="16" t="s">
        <v>139</v>
      </c>
      <c r="K37" s="14">
        <v>0</v>
      </c>
      <c r="L37" s="16">
        <v>0</v>
      </c>
      <c r="M37" s="14">
        <v>0</v>
      </c>
      <c r="N37" s="16">
        <v>0</v>
      </c>
      <c r="O37" s="14">
        <v>0</v>
      </c>
      <c r="P37" s="16">
        <v>0</v>
      </c>
      <c r="Q37" s="14">
        <v>0</v>
      </c>
      <c r="R37" s="16">
        <v>0</v>
      </c>
    </row>
    <row r="38" spans="1:18" x14ac:dyDescent="0.25">
      <c r="A38" s="11" t="s">
        <v>171</v>
      </c>
      <c r="B38" s="17" t="s">
        <v>154</v>
      </c>
      <c r="C38" s="17" t="s">
        <v>154</v>
      </c>
      <c r="D38" s="18" t="s">
        <v>154</v>
      </c>
      <c r="E38" s="17" t="s">
        <v>154</v>
      </c>
      <c r="F38" s="18" t="s">
        <v>154</v>
      </c>
      <c r="G38" s="17" t="s">
        <v>154</v>
      </c>
      <c r="H38" s="18" t="s">
        <v>154</v>
      </c>
      <c r="I38" s="17" t="s">
        <v>154</v>
      </c>
      <c r="J38" s="18" t="s">
        <v>154</v>
      </c>
      <c r="K38" s="17" t="s">
        <v>154</v>
      </c>
      <c r="L38" s="18" t="s">
        <v>154</v>
      </c>
      <c r="M38" s="17" t="s">
        <v>154</v>
      </c>
      <c r="N38" s="18" t="s">
        <v>154</v>
      </c>
      <c r="O38" s="17" t="s">
        <v>154</v>
      </c>
      <c r="P38" s="18" t="s">
        <v>154</v>
      </c>
      <c r="Q38" s="17" t="s">
        <v>154</v>
      </c>
      <c r="R38" s="18" t="s">
        <v>154</v>
      </c>
    </row>
    <row r="39" spans="1:18" x14ac:dyDescent="0.25">
      <c r="A39" s="11" t="s">
        <v>172</v>
      </c>
      <c r="B39" s="13">
        <v>5895</v>
      </c>
      <c r="C39" s="14">
        <f>(4865/B39*100)</f>
        <v>82.527565733672603</v>
      </c>
      <c r="D39" s="15">
        <v>1030</v>
      </c>
      <c r="E39" s="14">
        <v>34.844724980000002</v>
      </c>
      <c r="F39" s="16">
        <v>1.52541021</v>
      </c>
      <c r="G39" s="14">
        <v>65.155275020000005</v>
      </c>
      <c r="H39" s="16">
        <v>1.52541021</v>
      </c>
      <c r="I39" s="14" t="s">
        <v>139</v>
      </c>
      <c r="J39" s="16" t="s">
        <v>139</v>
      </c>
      <c r="K39" s="14">
        <v>0</v>
      </c>
      <c r="L39" s="16">
        <v>0</v>
      </c>
      <c r="M39" s="14">
        <v>0</v>
      </c>
      <c r="N39" s="16">
        <v>0</v>
      </c>
      <c r="O39" s="14">
        <v>0</v>
      </c>
      <c r="P39" s="16">
        <v>0</v>
      </c>
      <c r="Q39" s="14">
        <v>0</v>
      </c>
      <c r="R39" s="16">
        <v>0</v>
      </c>
    </row>
    <row r="40" spans="1:18" x14ac:dyDescent="0.25">
      <c r="A40" s="11" t="s">
        <v>173</v>
      </c>
      <c r="B40" s="13">
        <v>14157</v>
      </c>
      <c r="C40" s="14">
        <f>(11730/B40*100)</f>
        <v>82.856537401991943</v>
      </c>
      <c r="D40" s="15">
        <v>2427</v>
      </c>
      <c r="E40" s="14">
        <v>59.11742297</v>
      </c>
      <c r="F40" s="16">
        <v>1.63831756</v>
      </c>
      <c r="G40" s="14">
        <v>40.88257703</v>
      </c>
      <c r="H40" s="16">
        <v>1.63831756</v>
      </c>
      <c r="I40" s="14" t="s">
        <v>139</v>
      </c>
      <c r="J40" s="16" t="s">
        <v>139</v>
      </c>
      <c r="K40" s="14">
        <v>0</v>
      </c>
      <c r="L40" s="16">
        <v>0</v>
      </c>
      <c r="M40" s="14">
        <v>0</v>
      </c>
      <c r="N40" s="16">
        <v>0</v>
      </c>
      <c r="O40" s="14">
        <v>0</v>
      </c>
      <c r="P40" s="16">
        <v>0</v>
      </c>
      <c r="Q40" s="14">
        <v>0</v>
      </c>
      <c r="R40" s="16">
        <v>0</v>
      </c>
    </row>
    <row r="41" spans="1:18" x14ac:dyDescent="0.25">
      <c r="A41" s="11" t="s">
        <v>174</v>
      </c>
      <c r="B41" s="13">
        <v>5712</v>
      </c>
      <c r="C41" s="14">
        <f>(4814/B41*100)</f>
        <v>84.278711484593842</v>
      </c>
      <c r="D41" s="15">
        <v>898</v>
      </c>
      <c r="E41" s="14">
        <v>45.62360202</v>
      </c>
      <c r="F41" s="16">
        <v>1.63075021</v>
      </c>
      <c r="G41" s="14">
        <v>54.37639798</v>
      </c>
      <c r="H41" s="16">
        <v>1.63075021</v>
      </c>
      <c r="I41" s="14" t="s">
        <v>139</v>
      </c>
      <c r="J41" s="16" t="s">
        <v>139</v>
      </c>
      <c r="K41" s="14">
        <v>0</v>
      </c>
      <c r="L41" s="16">
        <v>0</v>
      </c>
      <c r="M41" s="14">
        <v>0</v>
      </c>
      <c r="N41" s="16">
        <v>0</v>
      </c>
      <c r="O41" s="14">
        <v>0</v>
      </c>
      <c r="P41" s="16">
        <v>0</v>
      </c>
      <c r="Q41" s="14">
        <v>0</v>
      </c>
      <c r="R41" s="16">
        <v>0</v>
      </c>
    </row>
    <row r="42" spans="1:18" x14ac:dyDescent="0.25">
      <c r="A42" s="11" t="s">
        <v>175</v>
      </c>
      <c r="B42" s="13">
        <f>IF(COUNT(B7:B41) &gt; 0, AVERAGE(B7:B41), "\u2014")</f>
        <v>7266.90625</v>
      </c>
      <c r="C42" s="14">
        <f>IF(COUNT(C7:C41) &gt; 0, AVERAGE(C7:C41), "—")</f>
        <v>84.026518828473272</v>
      </c>
      <c r="D42" s="15">
        <f>IF(COUNT(D7:D41) &gt; 0, AVERAGE(D7:D41), "—")</f>
        <v>1162.5625</v>
      </c>
      <c r="E42" s="14">
        <f>IF(COUNT(E7:E41) &gt; 0, AVERAGE(E7:E41), "—")</f>
        <v>44.060996851562486</v>
      </c>
      <c r="F42" s="16">
        <f>IF(COUNT(F7:F41) &gt; 0, SQRT(SUMSQ(F7:F41)/(COUNT(F7:F41)*COUNT(F7:F41)) ), "—")</f>
        <v>0.30155150183363794</v>
      </c>
      <c r="G42" s="14">
        <f>IF(COUNT(G7:G41) &gt; 0, AVERAGE(G7:G41), "—")</f>
        <v>55.939003148437514</v>
      </c>
      <c r="H42" s="16">
        <f>IF(COUNT(H7:H41) &gt; 0, SQRT(SUMSQ(H7:H41)/(COUNT(H7:H41)*COUNT(H7:H41)) ), "—")</f>
        <v>0.30155150183363794</v>
      </c>
      <c r="I42" s="14" t="str">
        <f>IF(COUNT(I7:I41) &gt; 0, AVERAGE(I7:I41), "—")</f>
        <v>—</v>
      </c>
      <c r="J42" s="16" t="str">
        <f>IF(COUNT(J7:J41) &gt; 0, SQRT(SUMSQ(J7:J41)/(COUNT(J7:J41)*COUNT(J7:J41)) ), "—")</f>
        <v>—</v>
      </c>
      <c r="K42" s="14">
        <f>IF(COUNT(K7:K41) &gt; 0, AVERAGE(K7:K41), "—")</f>
        <v>0</v>
      </c>
      <c r="L42" s="16">
        <f>IF(COUNT(L7:L41) &gt; 0, SQRT(SUMSQ(L7:L41)/(COUNT(L7:L41)*COUNT(L7:L41)) ), "—")</f>
        <v>0</v>
      </c>
      <c r="M42" s="14">
        <f>IF(COUNT(M7:M41) &gt; 0, AVERAGE(M7:M41), "—")</f>
        <v>0</v>
      </c>
      <c r="N42" s="16">
        <f>IF(COUNT(N7:N41) &gt; 0, SQRT(SUMSQ(N7:N41)/(COUNT(N7:N41)*COUNT(N7:N41)) ), "—")</f>
        <v>0</v>
      </c>
      <c r="O42" s="14">
        <f>IF(COUNT(O7:O41) &gt; 0, AVERAGE(O7:O41), "—")</f>
        <v>0</v>
      </c>
      <c r="P42" s="16">
        <f>IF(COUNT(P7:P41) &gt; 0, SQRT(SUMSQ(P7:P41)/(COUNT(P7:P41)*COUNT(P7:P41)) ), "—")</f>
        <v>0</v>
      </c>
      <c r="Q42" s="14">
        <f>IF(COUNT(Q7:Q41) &gt; 0, AVERAGE(Q7:Q41), "—")</f>
        <v>0</v>
      </c>
      <c r="R42" s="16">
        <f>IF(COUNT(R7:R41) &gt; 0, SQRT(SUMSQ(R7:R41)/(COUNT(R7:R41)*COUNT(R7:R41)) ), "—")</f>
        <v>0</v>
      </c>
    </row>
    <row r="43" spans="1:18" x14ac:dyDescent="0.25">
      <c r="A43" s="9" t="s">
        <v>176</v>
      </c>
      <c r="B43" s="10"/>
      <c r="C43" s="10"/>
      <c r="D43" s="11"/>
      <c r="E43" s="10"/>
      <c r="F43" s="11"/>
      <c r="G43" s="10"/>
      <c r="H43" s="11"/>
      <c r="I43" s="10"/>
      <c r="J43" s="11"/>
      <c r="K43" s="10"/>
      <c r="L43" s="11"/>
      <c r="M43" s="10"/>
      <c r="N43" s="11"/>
      <c r="O43" s="10"/>
      <c r="P43" s="11"/>
      <c r="Q43" s="10"/>
      <c r="R43" s="12"/>
    </row>
    <row r="44" spans="1:18" x14ac:dyDescent="0.25">
      <c r="A44" s="11" t="s">
        <v>177</v>
      </c>
      <c r="B44" s="17" t="s">
        <v>154</v>
      </c>
      <c r="C44" s="17" t="s">
        <v>154</v>
      </c>
      <c r="D44" s="18" t="s">
        <v>154</v>
      </c>
      <c r="E44" s="17" t="s">
        <v>154</v>
      </c>
      <c r="F44" s="18" t="s">
        <v>154</v>
      </c>
      <c r="G44" s="17" t="s">
        <v>154</v>
      </c>
      <c r="H44" s="18" t="s">
        <v>154</v>
      </c>
      <c r="I44" s="17" t="s">
        <v>154</v>
      </c>
      <c r="J44" s="18" t="s">
        <v>154</v>
      </c>
      <c r="K44" s="17" t="s">
        <v>154</v>
      </c>
      <c r="L44" s="18" t="s">
        <v>154</v>
      </c>
      <c r="M44" s="17" t="s">
        <v>154</v>
      </c>
      <c r="N44" s="18" t="s">
        <v>154</v>
      </c>
      <c r="O44" s="17" t="s">
        <v>154</v>
      </c>
      <c r="P44" s="18" t="s">
        <v>154</v>
      </c>
      <c r="Q44" s="17" t="s">
        <v>154</v>
      </c>
      <c r="R44" s="18" t="s">
        <v>154</v>
      </c>
    </row>
    <row r="45" spans="1:18" x14ac:dyDescent="0.25">
      <c r="A45" s="11" t="s">
        <v>178</v>
      </c>
      <c r="B45" s="17" t="s">
        <v>154</v>
      </c>
      <c r="C45" s="17" t="s">
        <v>154</v>
      </c>
      <c r="D45" s="18" t="s">
        <v>154</v>
      </c>
      <c r="E45" s="17" t="s">
        <v>154</v>
      </c>
      <c r="F45" s="18" t="s">
        <v>154</v>
      </c>
      <c r="G45" s="17" t="s">
        <v>154</v>
      </c>
      <c r="H45" s="18" t="s">
        <v>154</v>
      </c>
      <c r="I45" s="17" t="s">
        <v>154</v>
      </c>
      <c r="J45" s="18" t="s">
        <v>154</v>
      </c>
      <c r="K45" s="17" t="s">
        <v>154</v>
      </c>
      <c r="L45" s="18" t="s">
        <v>154</v>
      </c>
      <c r="M45" s="17" t="s">
        <v>154</v>
      </c>
      <c r="N45" s="18" t="s">
        <v>154</v>
      </c>
      <c r="O45" s="17" t="s">
        <v>154</v>
      </c>
      <c r="P45" s="18" t="s">
        <v>154</v>
      </c>
      <c r="Q45" s="17" t="s">
        <v>154</v>
      </c>
      <c r="R45" s="18" t="s">
        <v>154</v>
      </c>
    </row>
    <row r="46" spans="1:18" x14ac:dyDescent="0.25">
      <c r="A46" s="11" t="s">
        <v>179</v>
      </c>
      <c r="B46" s="13">
        <v>23141</v>
      </c>
      <c r="C46" s="14">
        <f>(20644/B46*100)</f>
        <v>89.209627933105736</v>
      </c>
      <c r="D46" s="15">
        <v>2497</v>
      </c>
      <c r="E46" s="14">
        <v>52.224731220000002</v>
      </c>
      <c r="F46" s="16">
        <v>1.2875504</v>
      </c>
      <c r="G46" s="14">
        <v>47.775268779999998</v>
      </c>
      <c r="H46" s="16">
        <v>1.2875504</v>
      </c>
      <c r="I46" s="14" t="s">
        <v>139</v>
      </c>
      <c r="J46" s="16" t="s">
        <v>139</v>
      </c>
      <c r="K46" s="14">
        <v>0</v>
      </c>
      <c r="L46" s="16">
        <v>0</v>
      </c>
      <c r="M46" s="14">
        <v>0</v>
      </c>
      <c r="N46" s="16">
        <v>0</v>
      </c>
      <c r="O46" s="14">
        <v>0</v>
      </c>
      <c r="P46" s="16">
        <v>0</v>
      </c>
      <c r="Q46" s="14">
        <v>0</v>
      </c>
      <c r="R46" s="16">
        <v>0</v>
      </c>
    </row>
    <row r="47" spans="1:18" x14ac:dyDescent="0.25">
      <c r="A47" s="11" t="s">
        <v>180</v>
      </c>
      <c r="B47" s="13">
        <v>5928</v>
      </c>
      <c r="C47" s="14">
        <f>(5035/B47*100)</f>
        <v>84.935897435897431</v>
      </c>
      <c r="D47" s="15">
        <v>893</v>
      </c>
      <c r="E47" s="14">
        <v>48.171454869999998</v>
      </c>
      <c r="F47" s="16">
        <v>1.50165427</v>
      </c>
      <c r="G47" s="14">
        <v>51.828545130000002</v>
      </c>
      <c r="H47" s="16">
        <v>1.50165427</v>
      </c>
      <c r="I47" s="14" t="s">
        <v>139</v>
      </c>
      <c r="J47" s="16" t="s">
        <v>139</v>
      </c>
      <c r="K47" s="14">
        <v>0</v>
      </c>
      <c r="L47" s="16">
        <v>0</v>
      </c>
      <c r="M47" s="14">
        <v>0</v>
      </c>
      <c r="N47" s="16">
        <v>0</v>
      </c>
      <c r="O47" s="14">
        <v>0</v>
      </c>
      <c r="P47" s="16">
        <v>0</v>
      </c>
      <c r="Q47" s="14">
        <v>0</v>
      </c>
      <c r="R47" s="16">
        <v>0</v>
      </c>
    </row>
    <row r="48" spans="1:18" x14ac:dyDescent="0.25">
      <c r="A48" s="11" t="s">
        <v>181</v>
      </c>
      <c r="B48" s="13">
        <v>9841</v>
      </c>
      <c r="C48" s="14">
        <f>(8177/B48*100)</f>
        <v>83.091149273447812</v>
      </c>
      <c r="D48" s="15">
        <v>1664</v>
      </c>
      <c r="E48" s="14">
        <v>40.905372880000002</v>
      </c>
      <c r="F48" s="16">
        <v>1.7918925000000001</v>
      </c>
      <c r="G48" s="14">
        <v>59.094627119999998</v>
      </c>
      <c r="H48" s="16">
        <v>1.7918925000000001</v>
      </c>
      <c r="I48" s="14" t="s">
        <v>139</v>
      </c>
      <c r="J48" s="16" t="s">
        <v>139</v>
      </c>
      <c r="K48" s="14">
        <v>0</v>
      </c>
      <c r="L48" s="16">
        <v>0</v>
      </c>
      <c r="M48" s="14">
        <v>0</v>
      </c>
      <c r="N48" s="16">
        <v>0</v>
      </c>
      <c r="O48" s="14">
        <v>0</v>
      </c>
      <c r="P48" s="16">
        <v>0</v>
      </c>
      <c r="Q48" s="14">
        <v>0</v>
      </c>
      <c r="R48" s="16">
        <v>0</v>
      </c>
    </row>
    <row r="49" spans="1:18" x14ac:dyDescent="0.25">
      <c r="A49" s="11" t="s">
        <v>182</v>
      </c>
      <c r="B49" s="17" t="s">
        <v>154</v>
      </c>
      <c r="C49" s="17" t="s">
        <v>154</v>
      </c>
      <c r="D49" s="18" t="s">
        <v>154</v>
      </c>
      <c r="E49" s="17" t="s">
        <v>154</v>
      </c>
      <c r="F49" s="18" t="s">
        <v>154</v>
      </c>
      <c r="G49" s="17" t="s">
        <v>154</v>
      </c>
      <c r="H49" s="18" t="s">
        <v>154</v>
      </c>
      <c r="I49" s="17" t="s">
        <v>154</v>
      </c>
      <c r="J49" s="18" t="s">
        <v>154</v>
      </c>
      <c r="K49" s="17" t="s">
        <v>154</v>
      </c>
      <c r="L49" s="18" t="s">
        <v>154</v>
      </c>
      <c r="M49" s="17" t="s">
        <v>154</v>
      </c>
      <c r="N49" s="18" t="s">
        <v>154</v>
      </c>
      <c r="O49" s="17" t="s">
        <v>154</v>
      </c>
      <c r="P49" s="18" t="s">
        <v>154</v>
      </c>
      <c r="Q49" s="17" t="s">
        <v>154</v>
      </c>
      <c r="R49" s="18" t="s">
        <v>154</v>
      </c>
    </row>
    <row r="50" spans="1:18" x14ac:dyDescent="0.25">
      <c r="A50" s="11" t="s">
        <v>183</v>
      </c>
      <c r="B50" s="13">
        <v>11795</v>
      </c>
      <c r="C50" s="14">
        <f>(10030/B50*100)</f>
        <v>85.036032217041125</v>
      </c>
      <c r="D50" s="15">
        <v>1765</v>
      </c>
      <c r="E50" s="14">
        <v>53.776203580000001</v>
      </c>
      <c r="F50" s="16">
        <v>1.3459137699999999</v>
      </c>
      <c r="G50" s="14">
        <v>46.223796419999999</v>
      </c>
      <c r="H50" s="16">
        <v>1.3459137699999999</v>
      </c>
      <c r="I50" s="14" t="s">
        <v>139</v>
      </c>
      <c r="J50" s="16" t="s">
        <v>139</v>
      </c>
      <c r="K50" s="14">
        <v>0</v>
      </c>
      <c r="L50" s="16">
        <v>0</v>
      </c>
      <c r="M50" s="14">
        <v>0</v>
      </c>
      <c r="N50" s="16">
        <v>0</v>
      </c>
      <c r="O50" s="14">
        <v>0</v>
      </c>
      <c r="P50" s="16">
        <v>0</v>
      </c>
      <c r="Q50" s="14">
        <v>0</v>
      </c>
      <c r="R50" s="16">
        <v>0</v>
      </c>
    </row>
    <row r="51" spans="1:18" x14ac:dyDescent="0.25">
      <c r="A51" s="11" t="s">
        <v>184</v>
      </c>
      <c r="B51" s="13">
        <v>6866</v>
      </c>
      <c r="C51" s="14">
        <f>(5964/B51*100)</f>
        <v>86.862802213807171</v>
      </c>
      <c r="D51" s="15">
        <v>902</v>
      </c>
      <c r="E51" s="14">
        <v>42.163103</v>
      </c>
      <c r="F51" s="16">
        <v>1.5927759699999999</v>
      </c>
      <c r="G51" s="14">
        <v>57.836897</v>
      </c>
      <c r="H51" s="16">
        <v>1.5927759699999999</v>
      </c>
      <c r="I51" s="14" t="s">
        <v>139</v>
      </c>
      <c r="J51" s="16" t="s">
        <v>139</v>
      </c>
      <c r="K51" s="14">
        <v>0</v>
      </c>
      <c r="L51" s="16">
        <v>0</v>
      </c>
      <c r="M51" s="14">
        <v>0</v>
      </c>
      <c r="N51" s="16">
        <v>0</v>
      </c>
      <c r="O51" s="14">
        <v>0</v>
      </c>
      <c r="P51" s="16">
        <v>0</v>
      </c>
      <c r="Q51" s="14">
        <v>0</v>
      </c>
      <c r="R51" s="16">
        <v>0</v>
      </c>
    </row>
    <row r="52" spans="1:18" x14ac:dyDescent="0.25">
      <c r="A52" s="11" t="s">
        <v>185</v>
      </c>
      <c r="B52" s="13">
        <v>5809</v>
      </c>
      <c r="C52" s="14">
        <f>(4863/B52*100)</f>
        <v>83.714925116198998</v>
      </c>
      <c r="D52" s="15">
        <v>946</v>
      </c>
      <c r="E52" s="14">
        <v>36.974505669999999</v>
      </c>
      <c r="F52" s="16">
        <v>1.7282010999999999</v>
      </c>
      <c r="G52" s="14">
        <v>63.025494330000001</v>
      </c>
      <c r="H52" s="16">
        <v>1.7282010999999999</v>
      </c>
      <c r="I52" s="14" t="s">
        <v>139</v>
      </c>
      <c r="J52" s="16" t="s">
        <v>139</v>
      </c>
      <c r="K52" s="14">
        <v>0</v>
      </c>
      <c r="L52" s="16">
        <v>0</v>
      </c>
      <c r="M52" s="14">
        <v>0</v>
      </c>
      <c r="N52" s="16">
        <v>0</v>
      </c>
      <c r="O52" s="14">
        <v>0</v>
      </c>
      <c r="P52" s="16">
        <v>0</v>
      </c>
      <c r="Q52" s="14">
        <v>0</v>
      </c>
      <c r="R52" s="16">
        <v>0</v>
      </c>
    </row>
    <row r="53" spans="1:18" x14ac:dyDescent="0.25">
      <c r="A53" s="11" t="s">
        <v>186</v>
      </c>
      <c r="B53" s="13">
        <v>5571</v>
      </c>
      <c r="C53" s="14">
        <f>(4653/B53*100)</f>
        <v>83.521809369951541</v>
      </c>
      <c r="D53" s="15">
        <v>918</v>
      </c>
      <c r="E53" s="14">
        <v>52.502926960000003</v>
      </c>
      <c r="F53" s="16">
        <v>1.7617388599999999</v>
      </c>
      <c r="G53" s="14">
        <v>47.497073039999997</v>
      </c>
      <c r="H53" s="16">
        <v>1.7617388599999999</v>
      </c>
      <c r="I53" s="14" t="s">
        <v>139</v>
      </c>
      <c r="J53" s="16" t="s">
        <v>139</v>
      </c>
      <c r="K53" s="14">
        <v>0</v>
      </c>
      <c r="L53" s="16">
        <v>0</v>
      </c>
      <c r="M53" s="14">
        <v>0</v>
      </c>
      <c r="N53" s="16">
        <v>0</v>
      </c>
      <c r="O53" s="14">
        <v>0</v>
      </c>
      <c r="P53" s="16">
        <v>0</v>
      </c>
      <c r="Q53" s="14">
        <v>0</v>
      </c>
      <c r="R53" s="16">
        <v>0</v>
      </c>
    </row>
    <row r="54" spans="1:18" x14ac:dyDescent="0.25">
      <c r="A54" s="11" t="s">
        <v>187</v>
      </c>
      <c r="B54" s="17" t="s">
        <v>154</v>
      </c>
      <c r="C54" s="17" t="s">
        <v>154</v>
      </c>
      <c r="D54" s="18" t="s">
        <v>154</v>
      </c>
      <c r="E54" s="17" t="s">
        <v>154</v>
      </c>
      <c r="F54" s="18" t="s">
        <v>154</v>
      </c>
      <c r="G54" s="17" t="s">
        <v>154</v>
      </c>
      <c r="H54" s="18" t="s">
        <v>154</v>
      </c>
      <c r="I54" s="17" t="s">
        <v>154</v>
      </c>
      <c r="J54" s="18" t="s">
        <v>154</v>
      </c>
      <c r="K54" s="17" t="s">
        <v>154</v>
      </c>
      <c r="L54" s="18" t="s">
        <v>154</v>
      </c>
      <c r="M54" s="17" t="s">
        <v>154</v>
      </c>
      <c r="N54" s="18" t="s">
        <v>154</v>
      </c>
      <c r="O54" s="17" t="s">
        <v>154</v>
      </c>
      <c r="P54" s="18" t="s">
        <v>154</v>
      </c>
      <c r="Q54" s="17" t="s">
        <v>154</v>
      </c>
      <c r="R54" s="18" t="s">
        <v>154</v>
      </c>
    </row>
    <row r="55" spans="1:18" x14ac:dyDescent="0.25">
      <c r="A55" s="11" t="s">
        <v>188</v>
      </c>
      <c r="B55" s="17" t="s">
        <v>154</v>
      </c>
      <c r="C55" s="17" t="s">
        <v>154</v>
      </c>
      <c r="D55" s="18" t="s">
        <v>154</v>
      </c>
      <c r="E55" s="17" t="s">
        <v>154</v>
      </c>
      <c r="F55" s="18" t="s">
        <v>154</v>
      </c>
      <c r="G55" s="17" t="s">
        <v>154</v>
      </c>
      <c r="H55" s="18" t="s">
        <v>154</v>
      </c>
      <c r="I55" s="17" t="s">
        <v>154</v>
      </c>
      <c r="J55" s="18" t="s">
        <v>154</v>
      </c>
      <c r="K55" s="17" t="s">
        <v>154</v>
      </c>
      <c r="L55" s="18" t="s">
        <v>154</v>
      </c>
      <c r="M55" s="17" t="s">
        <v>154</v>
      </c>
      <c r="N55" s="18" t="s">
        <v>154</v>
      </c>
      <c r="O55" s="17" t="s">
        <v>154</v>
      </c>
      <c r="P55" s="18" t="s">
        <v>154</v>
      </c>
      <c r="Q55" s="17" t="s">
        <v>154</v>
      </c>
      <c r="R55" s="18" t="s">
        <v>154</v>
      </c>
    </row>
    <row r="56" spans="1:18" x14ac:dyDescent="0.25">
      <c r="A56" s="11" t="s">
        <v>189</v>
      </c>
      <c r="B56" s="13">
        <v>5359</v>
      </c>
      <c r="C56" s="14">
        <f>(4430/B56*100)</f>
        <v>82.664676245568202</v>
      </c>
      <c r="D56" s="15">
        <v>929</v>
      </c>
      <c r="E56" s="14">
        <v>31.931117069999999</v>
      </c>
      <c r="F56" s="16">
        <v>1.54903445</v>
      </c>
      <c r="G56" s="14">
        <v>68.068882930000001</v>
      </c>
      <c r="H56" s="16">
        <v>1.54903445</v>
      </c>
      <c r="I56" s="14" t="s">
        <v>139</v>
      </c>
      <c r="J56" s="16" t="s">
        <v>139</v>
      </c>
      <c r="K56" s="14">
        <v>0</v>
      </c>
      <c r="L56" s="16">
        <v>0</v>
      </c>
      <c r="M56" s="14">
        <v>0</v>
      </c>
      <c r="N56" s="16">
        <v>0</v>
      </c>
      <c r="O56" s="14">
        <v>0</v>
      </c>
      <c r="P56" s="16">
        <v>0</v>
      </c>
      <c r="Q56" s="14">
        <v>0</v>
      </c>
      <c r="R56" s="16">
        <v>0</v>
      </c>
    </row>
    <row r="57" spans="1:18" x14ac:dyDescent="0.25">
      <c r="A57" s="11" t="s">
        <v>190</v>
      </c>
      <c r="B57" s="17" t="s">
        <v>154</v>
      </c>
      <c r="C57" s="17" t="s">
        <v>154</v>
      </c>
      <c r="D57" s="18" t="s">
        <v>154</v>
      </c>
      <c r="E57" s="17" t="s">
        <v>154</v>
      </c>
      <c r="F57" s="18" t="s">
        <v>154</v>
      </c>
      <c r="G57" s="17" t="s">
        <v>154</v>
      </c>
      <c r="H57" s="18" t="s">
        <v>154</v>
      </c>
      <c r="I57" s="17" t="s">
        <v>154</v>
      </c>
      <c r="J57" s="18" t="s">
        <v>154</v>
      </c>
      <c r="K57" s="17" t="s">
        <v>154</v>
      </c>
      <c r="L57" s="18" t="s">
        <v>154</v>
      </c>
      <c r="M57" s="17" t="s">
        <v>154</v>
      </c>
      <c r="N57" s="18" t="s">
        <v>154</v>
      </c>
      <c r="O57" s="17" t="s">
        <v>154</v>
      </c>
      <c r="P57" s="18" t="s">
        <v>154</v>
      </c>
      <c r="Q57" s="17" t="s">
        <v>154</v>
      </c>
      <c r="R57" s="18" t="s">
        <v>154</v>
      </c>
    </row>
    <row r="58" spans="1:18" x14ac:dyDescent="0.25">
      <c r="A58" s="11" t="s">
        <v>191</v>
      </c>
      <c r="B58" s="17" t="s">
        <v>154</v>
      </c>
      <c r="C58" s="17" t="s">
        <v>154</v>
      </c>
      <c r="D58" s="18" t="s">
        <v>154</v>
      </c>
      <c r="E58" s="17" t="s">
        <v>154</v>
      </c>
      <c r="F58" s="18" t="s">
        <v>154</v>
      </c>
      <c r="G58" s="17" t="s">
        <v>154</v>
      </c>
      <c r="H58" s="18" t="s">
        <v>154</v>
      </c>
      <c r="I58" s="17" t="s">
        <v>154</v>
      </c>
      <c r="J58" s="18" t="s">
        <v>154</v>
      </c>
      <c r="K58" s="17" t="s">
        <v>154</v>
      </c>
      <c r="L58" s="18" t="s">
        <v>154</v>
      </c>
      <c r="M58" s="17" t="s">
        <v>154</v>
      </c>
      <c r="N58" s="18" t="s">
        <v>154</v>
      </c>
      <c r="O58" s="17" t="s">
        <v>154</v>
      </c>
      <c r="P58" s="18" t="s">
        <v>154</v>
      </c>
      <c r="Q58" s="17" t="s">
        <v>154</v>
      </c>
      <c r="R58" s="18" t="s">
        <v>154</v>
      </c>
    </row>
    <row r="59" spans="1:18" x14ac:dyDescent="0.25">
      <c r="A59" s="11" t="s">
        <v>192</v>
      </c>
      <c r="B59" s="17" t="s">
        <v>154</v>
      </c>
      <c r="C59" s="17" t="s">
        <v>154</v>
      </c>
      <c r="D59" s="18" t="s">
        <v>154</v>
      </c>
      <c r="E59" s="17" t="s">
        <v>154</v>
      </c>
      <c r="F59" s="18" t="s">
        <v>154</v>
      </c>
      <c r="G59" s="17" t="s">
        <v>154</v>
      </c>
      <c r="H59" s="18" t="s">
        <v>154</v>
      </c>
      <c r="I59" s="17" t="s">
        <v>154</v>
      </c>
      <c r="J59" s="18" t="s">
        <v>154</v>
      </c>
      <c r="K59" s="17" t="s">
        <v>154</v>
      </c>
      <c r="L59" s="18" t="s">
        <v>154</v>
      </c>
      <c r="M59" s="17" t="s">
        <v>154</v>
      </c>
      <c r="N59" s="18" t="s">
        <v>154</v>
      </c>
      <c r="O59" s="17" t="s">
        <v>154</v>
      </c>
      <c r="P59" s="18" t="s">
        <v>154</v>
      </c>
      <c r="Q59" s="17" t="s">
        <v>154</v>
      </c>
      <c r="R59" s="18" t="s">
        <v>154</v>
      </c>
    </row>
    <row r="60" spans="1:18" x14ac:dyDescent="0.25">
      <c r="A60" s="11" t="s">
        <v>193</v>
      </c>
      <c r="B60" s="17" t="s">
        <v>154</v>
      </c>
      <c r="C60" s="17" t="s">
        <v>154</v>
      </c>
      <c r="D60" s="18" t="s">
        <v>154</v>
      </c>
      <c r="E60" s="17" t="s">
        <v>154</v>
      </c>
      <c r="F60" s="18" t="s">
        <v>154</v>
      </c>
      <c r="G60" s="17" t="s">
        <v>154</v>
      </c>
      <c r="H60" s="18" t="s">
        <v>154</v>
      </c>
      <c r="I60" s="17" t="s">
        <v>154</v>
      </c>
      <c r="J60" s="18" t="s">
        <v>154</v>
      </c>
      <c r="K60" s="17" t="s">
        <v>154</v>
      </c>
      <c r="L60" s="18" t="s">
        <v>154</v>
      </c>
      <c r="M60" s="17" t="s">
        <v>154</v>
      </c>
      <c r="N60" s="18" t="s">
        <v>154</v>
      </c>
      <c r="O60" s="17" t="s">
        <v>154</v>
      </c>
      <c r="P60" s="18" t="s">
        <v>154</v>
      </c>
      <c r="Q60" s="17" t="s">
        <v>154</v>
      </c>
      <c r="R60" s="18" t="s">
        <v>154</v>
      </c>
    </row>
    <row r="61" spans="1:18" x14ac:dyDescent="0.25">
      <c r="A61" s="11" t="s">
        <v>194</v>
      </c>
      <c r="B61" s="13">
        <v>6525</v>
      </c>
      <c r="C61" s="14">
        <f>(5465/B61*100)</f>
        <v>83.754789272030649</v>
      </c>
      <c r="D61" s="15">
        <v>1060</v>
      </c>
      <c r="E61" s="14">
        <v>42.663949559999999</v>
      </c>
      <c r="F61" s="16">
        <v>1.8065785599999999</v>
      </c>
      <c r="G61" s="14">
        <v>57.336050440000001</v>
      </c>
      <c r="H61" s="16">
        <v>1.8065785599999999</v>
      </c>
      <c r="I61" s="14" t="s">
        <v>139</v>
      </c>
      <c r="J61" s="16" t="s">
        <v>139</v>
      </c>
      <c r="K61" s="14">
        <v>0</v>
      </c>
      <c r="L61" s="16">
        <v>0</v>
      </c>
      <c r="M61" s="14">
        <v>0</v>
      </c>
      <c r="N61" s="16">
        <v>0</v>
      </c>
      <c r="O61" s="14">
        <v>0</v>
      </c>
      <c r="P61" s="16">
        <v>0</v>
      </c>
      <c r="Q61" s="14">
        <v>0</v>
      </c>
      <c r="R61" s="16">
        <v>0</v>
      </c>
    </row>
    <row r="62" spans="1:18" x14ac:dyDescent="0.25">
      <c r="A62" s="11" t="s">
        <v>195</v>
      </c>
      <c r="B62" s="13">
        <v>4476</v>
      </c>
      <c r="C62" s="14">
        <f>(3763/B62*100)</f>
        <v>84.070598748882929</v>
      </c>
      <c r="D62" s="15">
        <v>713</v>
      </c>
      <c r="E62" s="14">
        <v>38.693644470000002</v>
      </c>
      <c r="F62" s="16">
        <v>1.73837642</v>
      </c>
      <c r="G62" s="14">
        <v>61.306355529999998</v>
      </c>
      <c r="H62" s="16">
        <v>1.73837642</v>
      </c>
      <c r="I62" s="14" t="s">
        <v>139</v>
      </c>
      <c r="J62" s="16" t="s">
        <v>139</v>
      </c>
      <c r="K62" s="14">
        <v>0</v>
      </c>
      <c r="L62" s="16">
        <v>0</v>
      </c>
      <c r="M62" s="14">
        <v>0</v>
      </c>
      <c r="N62" s="16">
        <v>0</v>
      </c>
      <c r="O62" s="14">
        <v>0</v>
      </c>
      <c r="P62" s="16">
        <v>0</v>
      </c>
      <c r="Q62" s="14">
        <v>0</v>
      </c>
      <c r="R62" s="16">
        <v>0</v>
      </c>
    </row>
    <row r="63" spans="1:18" x14ac:dyDescent="0.25">
      <c r="A63" s="11" t="s">
        <v>196</v>
      </c>
      <c r="B63" s="17" t="s">
        <v>154</v>
      </c>
      <c r="C63" s="17" t="s">
        <v>154</v>
      </c>
      <c r="D63" s="18" t="s">
        <v>154</v>
      </c>
      <c r="E63" s="17" t="s">
        <v>154</v>
      </c>
      <c r="F63" s="18" t="s">
        <v>154</v>
      </c>
      <c r="G63" s="17" t="s">
        <v>154</v>
      </c>
      <c r="H63" s="18" t="s">
        <v>154</v>
      </c>
      <c r="I63" s="17" t="s">
        <v>154</v>
      </c>
      <c r="J63" s="18" t="s">
        <v>154</v>
      </c>
      <c r="K63" s="17" t="s">
        <v>154</v>
      </c>
      <c r="L63" s="18" t="s">
        <v>154</v>
      </c>
      <c r="M63" s="17" t="s">
        <v>154</v>
      </c>
      <c r="N63" s="18" t="s">
        <v>154</v>
      </c>
      <c r="O63" s="17" t="s">
        <v>154</v>
      </c>
      <c r="P63" s="18" t="s">
        <v>154</v>
      </c>
      <c r="Q63" s="17" t="s">
        <v>154</v>
      </c>
      <c r="R63" s="18" t="s">
        <v>154</v>
      </c>
    </row>
    <row r="64" spans="1:18" x14ac:dyDescent="0.25">
      <c r="A64" s="11" t="s">
        <v>197</v>
      </c>
      <c r="B64" s="17" t="s">
        <v>154</v>
      </c>
      <c r="C64" s="17" t="s">
        <v>154</v>
      </c>
      <c r="D64" s="18" t="s">
        <v>154</v>
      </c>
      <c r="E64" s="17" t="s">
        <v>154</v>
      </c>
      <c r="F64" s="18" t="s">
        <v>154</v>
      </c>
      <c r="G64" s="17" t="s">
        <v>154</v>
      </c>
      <c r="H64" s="18" t="s">
        <v>154</v>
      </c>
      <c r="I64" s="17" t="s">
        <v>154</v>
      </c>
      <c r="J64" s="18" t="s">
        <v>154</v>
      </c>
      <c r="K64" s="17" t="s">
        <v>154</v>
      </c>
      <c r="L64" s="18" t="s">
        <v>154</v>
      </c>
      <c r="M64" s="17" t="s">
        <v>154</v>
      </c>
      <c r="N64" s="18" t="s">
        <v>154</v>
      </c>
      <c r="O64" s="17" t="s">
        <v>154</v>
      </c>
      <c r="P64" s="18" t="s">
        <v>154</v>
      </c>
      <c r="Q64" s="17" t="s">
        <v>154</v>
      </c>
      <c r="R64" s="18" t="s">
        <v>154</v>
      </c>
    </row>
    <row r="65" spans="1:18" x14ac:dyDescent="0.25">
      <c r="A65" s="11" t="s">
        <v>198</v>
      </c>
      <c r="B65" s="17" t="s">
        <v>154</v>
      </c>
      <c r="C65" s="17" t="s">
        <v>154</v>
      </c>
      <c r="D65" s="18" t="s">
        <v>154</v>
      </c>
      <c r="E65" s="17" t="s">
        <v>154</v>
      </c>
      <c r="F65" s="18" t="s">
        <v>154</v>
      </c>
      <c r="G65" s="17" t="s">
        <v>154</v>
      </c>
      <c r="H65" s="18" t="s">
        <v>154</v>
      </c>
      <c r="I65" s="17" t="s">
        <v>154</v>
      </c>
      <c r="J65" s="18" t="s">
        <v>154</v>
      </c>
      <c r="K65" s="17" t="s">
        <v>154</v>
      </c>
      <c r="L65" s="18" t="s">
        <v>154</v>
      </c>
      <c r="M65" s="17" t="s">
        <v>154</v>
      </c>
      <c r="N65" s="18" t="s">
        <v>154</v>
      </c>
      <c r="O65" s="17" t="s">
        <v>154</v>
      </c>
      <c r="P65" s="18" t="s">
        <v>154</v>
      </c>
      <c r="Q65" s="17" t="s">
        <v>154</v>
      </c>
      <c r="R65" s="18" t="s">
        <v>154</v>
      </c>
    </row>
    <row r="66" spans="1:18" x14ac:dyDescent="0.25">
      <c r="A66" s="11" t="s">
        <v>199</v>
      </c>
      <c r="B66" s="13">
        <v>5665</v>
      </c>
      <c r="C66" s="14">
        <f>(4776/B66*100)</f>
        <v>84.307149161518097</v>
      </c>
      <c r="D66" s="15">
        <v>889</v>
      </c>
      <c r="E66" s="14">
        <v>42.213715200000003</v>
      </c>
      <c r="F66" s="16">
        <v>1.6126237699999999</v>
      </c>
      <c r="G66" s="14">
        <v>57.786284799999997</v>
      </c>
      <c r="H66" s="16">
        <v>1.6126237699999999</v>
      </c>
      <c r="I66" s="14" t="s">
        <v>139</v>
      </c>
      <c r="J66" s="16" t="s">
        <v>139</v>
      </c>
      <c r="K66" s="14">
        <v>0</v>
      </c>
      <c r="L66" s="16">
        <v>0</v>
      </c>
      <c r="M66" s="14">
        <v>0</v>
      </c>
      <c r="N66" s="16">
        <v>0</v>
      </c>
      <c r="O66" s="14">
        <v>0</v>
      </c>
      <c r="P66" s="16">
        <v>0</v>
      </c>
      <c r="Q66" s="14">
        <v>0</v>
      </c>
      <c r="R66" s="16">
        <v>0</v>
      </c>
    </row>
    <row r="67" spans="1:18" x14ac:dyDescent="0.25">
      <c r="A67" s="11" t="s">
        <v>200</v>
      </c>
      <c r="B67" s="13">
        <v>6971</v>
      </c>
      <c r="C67" s="14">
        <f>(6110/B67*100)</f>
        <v>87.648830870750245</v>
      </c>
      <c r="D67" s="15">
        <v>861</v>
      </c>
      <c r="E67" s="14">
        <v>57.30700908</v>
      </c>
      <c r="F67" s="16">
        <v>1.63470168</v>
      </c>
      <c r="G67" s="14">
        <v>42.69299092</v>
      </c>
      <c r="H67" s="16">
        <v>1.63470168</v>
      </c>
      <c r="I67" s="14" t="s">
        <v>139</v>
      </c>
      <c r="J67" s="16" t="s">
        <v>139</v>
      </c>
      <c r="K67" s="14">
        <v>0</v>
      </c>
      <c r="L67" s="16">
        <v>0</v>
      </c>
      <c r="M67" s="14">
        <v>0</v>
      </c>
      <c r="N67" s="16">
        <v>0</v>
      </c>
      <c r="O67" s="14">
        <v>0</v>
      </c>
      <c r="P67" s="16">
        <v>0</v>
      </c>
      <c r="Q67" s="14">
        <v>0</v>
      </c>
      <c r="R67" s="16">
        <v>0</v>
      </c>
    </row>
    <row r="68" spans="1:18" x14ac:dyDescent="0.25">
      <c r="A68" s="11" t="s">
        <v>201</v>
      </c>
      <c r="B68" s="17" t="s">
        <v>154</v>
      </c>
      <c r="C68" s="17" t="s">
        <v>154</v>
      </c>
      <c r="D68" s="18" t="s">
        <v>154</v>
      </c>
      <c r="E68" s="17" t="s">
        <v>154</v>
      </c>
      <c r="F68" s="18" t="s">
        <v>154</v>
      </c>
      <c r="G68" s="17" t="s">
        <v>154</v>
      </c>
      <c r="H68" s="18" t="s">
        <v>154</v>
      </c>
      <c r="I68" s="17" t="s">
        <v>154</v>
      </c>
      <c r="J68" s="18" t="s">
        <v>154</v>
      </c>
      <c r="K68" s="17" t="s">
        <v>154</v>
      </c>
      <c r="L68" s="18" t="s">
        <v>154</v>
      </c>
      <c r="M68" s="17" t="s">
        <v>154</v>
      </c>
      <c r="N68" s="18" t="s">
        <v>154</v>
      </c>
      <c r="O68" s="17" t="s">
        <v>154</v>
      </c>
      <c r="P68" s="18" t="s">
        <v>154</v>
      </c>
      <c r="Q68" s="17" t="s">
        <v>154</v>
      </c>
      <c r="R68" s="18" t="s">
        <v>154</v>
      </c>
    </row>
    <row r="69" spans="1:18" x14ac:dyDescent="0.25">
      <c r="A69" s="11" t="s">
        <v>202</v>
      </c>
      <c r="B69" s="17" t="s">
        <v>154</v>
      </c>
      <c r="C69" s="17" t="s">
        <v>154</v>
      </c>
      <c r="D69" s="18" t="s">
        <v>154</v>
      </c>
      <c r="E69" s="17" t="s">
        <v>154</v>
      </c>
      <c r="F69" s="18" t="s">
        <v>154</v>
      </c>
      <c r="G69" s="17" t="s">
        <v>154</v>
      </c>
      <c r="H69" s="18" t="s">
        <v>154</v>
      </c>
      <c r="I69" s="17" t="s">
        <v>154</v>
      </c>
      <c r="J69" s="18" t="s">
        <v>154</v>
      </c>
      <c r="K69" s="17" t="s">
        <v>154</v>
      </c>
      <c r="L69" s="18" t="s">
        <v>154</v>
      </c>
      <c r="M69" s="17" t="s">
        <v>154</v>
      </c>
      <c r="N69" s="18" t="s">
        <v>154</v>
      </c>
      <c r="O69" s="17" t="s">
        <v>154</v>
      </c>
      <c r="P69" s="18" t="s">
        <v>154</v>
      </c>
      <c r="Q69" s="17" t="s">
        <v>154</v>
      </c>
      <c r="R69" s="18" t="s">
        <v>154</v>
      </c>
    </row>
    <row r="70" spans="1:18" x14ac:dyDescent="0.25">
      <c r="A70" s="11" t="s">
        <v>203</v>
      </c>
      <c r="B70" s="13">
        <v>6036</v>
      </c>
      <c r="C70" s="14">
        <f>(5082/B70*100)</f>
        <v>84.194831013916499</v>
      </c>
      <c r="D70" s="15">
        <v>954</v>
      </c>
      <c r="E70" s="14">
        <v>43.555976889999997</v>
      </c>
      <c r="F70" s="16">
        <v>1.69380471</v>
      </c>
      <c r="G70" s="14">
        <v>56.444023110000003</v>
      </c>
      <c r="H70" s="16">
        <v>1.69380471</v>
      </c>
      <c r="I70" s="14" t="s">
        <v>139</v>
      </c>
      <c r="J70" s="16" t="s">
        <v>139</v>
      </c>
      <c r="K70" s="14">
        <v>0</v>
      </c>
      <c r="L70" s="16">
        <v>0</v>
      </c>
      <c r="M70" s="14">
        <v>0</v>
      </c>
      <c r="N70" s="16">
        <v>0</v>
      </c>
      <c r="O70" s="14">
        <v>0</v>
      </c>
      <c r="P70" s="16">
        <v>0</v>
      </c>
      <c r="Q70" s="14">
        <v>0</v>
      </c>
      <c r="R70" s="16">
        <v>0</v>
      </c>
    </row>
    <row r="71" spans="1:18" x14ac:dyDescent="0.25">
      <c r="A71" s="11" t="s">
        <v>204</v>
      </c>
      <c r="B71" s="17" t="s">
        <v>154</v>
      </c>
      <c r="C71" s="17" t="s">
        <v>154</v>
      </c>
      <c r="D71" s="18" t="s">
        <v>154</v>
      </c>
      <c r="E71" s="17" t="s">
        <v>154</v>
      </c>
      <c r="F71" s="18" t="s">
        <v>154</v>
      </c>
      <c r="G71" s="17" t="s">
        <v>154</v>
      </c>
      <c r="H71" s="18" t="s">
        <v>154</v>
      </c>
      <c r="I71" s="17" t="s">
        <v>154</v>
      </c>
      <c r="J71" s="18" t="s">
        <v>154</v>
      </c>
      <c r="K71" s="17" t="s">
        <v>154</v>
      </c>
      <c r="L71" s="18" t="s">
        <v>154</v>
      </c>
      <c r="M71" s="17" t="s">
        <v>154</v>
      </c>
      <c r="N71" s="18" t="s">
        <v>154</v>
      </c>
      <c r="O71" s="17" t="s">
        <v>154</v>
      </c>
      <c r="P71" s="18" t="s">
        <v>154</v>
      </c>
      <c r="Q71" s="17" t="s">
        <v>154</v>
      </c>
      <c r="R71" s="18" t="s">
        <v>154</v>
      </c>
    </row>
    <row r="72" spans="1:18" x14ac:dyDescent="0.25">
      <c r="A72" s="11" t="s">
        <v>205</v>
      </c>
      <c r="B72" s="13">
        <v>7708</v>
      </c>
      <c r="C72" s="14">
        <f>(6398/B72*100)</f>
        <v>83.00467047223664</v>
      </c>
      <c r="D72" s="15">
        <v>1310</v>
      </c>
      <c r="E72" s="14">
        <v>27.0880948</v>
      </c>
      <c r="F72" s="16">
        <v>1.2751889700000001</v>
      </c>
      <c r="G72" s="14">
        <v>72.911905200000007</v>
      </c>
      <c r="H72" s="16">
        <v>1.2751889700000001</v>
      </c>
      <c r="I72" s="14" t="s">
        <v>139</v>
      </c>
      <c r="J72" s="16" t="s">
        <v>139</v>
      </c>
      <c r="K72" s="14">
        <v>0</v>
      </c>
      <c r="L72" s="16">
        <v>0</v>
      </c>
      <c r="M72" s="14">
        <v>0</v>
      </c>
      <c r="N72" s="16">
        <v>0</v>
      </c>
      <c r="O72" s="14">
        <v>0</v>
      </c>
      <c r="P72" s="16">
        <v>0</v>
      </c>
      <c r="Q72" s="14">
        <v>0</v>
      </c>
      <c r="R72" s="16">
        <v>0</v>
      </c>
    </row>
    <row r="73" spans="1:18" x14ac:dyDescent="0.25">
      <c r="A73" s="11" t="s">
        <v>206</v>
      </c>
      <c r="B73" s="13">
        <v>8249</v>
      </c>
      <c r="C73" s="14">
        <f>(7012/B73*100)</f>
        <v>85.004242938537999</v>
      </c>
      <c r="D73" s="15">
        <v>1237</v>
      </c>
      <c r="E73" s="14">
        <v>49.676179009999998</v>
      </c>
      <c r="F73" s="16">
        <v>1.9472355400000001</v>
      </c>
      <c r="G73" s="14">
        <v>50.323820990000002</v>
      </c>
      <c r="H73" s="16">
        <v>1.9472355400000001</v>
      </c>
      <c r="I73" s="14" t="s">
        <v>139</v>
      </c>
      <c r="J73" s="16" t="s">
        <v>139</v>
      </c>
      <c r="K73" s="14">
        <v>0</v>
      </c>
      <c r="L73" s="16">
        <v>0</v>
      </c>
      <c r="M73" s="14">
        <v>0</v>
      </c>
      <c r="N73" s="16">
        <v>0</v>
      </c>
      <c r="O73" s="14">
        <v>0</v>
      </c>
      <c r="P73" s="16">
        <v>0</v>
      </c>
      <c r="Q73" s="14">
        <v>0</v>
      </c>
      <c r="R73" s="16">
        <v>0</v>
      </c>
    </row>
    <row r="74" spans="1:18" x14ac:dyDescent="0.25">
      <c r="A74" s="11" t="s">
        <v>207</v>
      </c>
      <c r="B74" s="17" t="s">
        <v>154</v>
      </c>
      <c r="C74" s="17" t="s">
        <v>154</v>
      </c>
      <c r="D74" s="18" t="s">
        <v>154</v>
      </c>
      <c r="E74" s="17" t="s">
        <v>154</v>
      </c>
      <c r="F74" s="18" t="s">
        <v>154</v>
      </c>
      <c r="G74" s="17" t="s">
        <v>154</v>
      </c>
      <c r="H74" s="18" t="s">
        <v>154</v>
      </c>
      <c r="I74" s="17" t="s">
        <v>154</v>
      </c>
      <c r="J74" s="18" t="s">
        <v>154</v>
      </c>
      <c r="K74" s="17" t="s">
        <v>154</v>
      </c>
      <c r="L74" s="18" t="s">
        <v>154</v>
      </c>
      <c r="M74" s="17" t="s">
        <v>154</v>
      </c>
      <c r="N74" s="18" t="s">
        <v>154</v>
      </c>
      <c r="O74" s="17" t="s">
        <v>154</v>
      </c>
      <c r="P74" s="18" t="s">
        <v>154</v>
      </c>
      <c r="Q74" s="17" t="s">
        <v>154</v>
      </c>
      <c r="R74" s="18" t="s">
        <v>154</v>
      </c>
    </row>
    <row r="75" spans="1:18" x14ac:dyDescent="0.25">
      <c r="A75" s="11" t="s">
        <v>208</v>
      </c>
      <c r="B75" s="13">
        <v>5375</v>
      </c>
      <c r="C75" s="14">
        <f>(4627/B75*100)</f>
        <v>86.083720930232559</v>
      </c>
      <c r="D75" s="15">
        <v>748</v>
      </c>
      <c r="E75" s="14">
        <v>56.383487799999997</v>
      </c>
      <c r="F75" s="16">
        <v>1.7579390399999999</v>
      </c>
      <c r="G75" s="14">
        <v>43.616512200000003</v>
      </c>
      <c r="H75" s="16">
        <v>1.7579390399999999</v>
      </c>
      <c r="I75" s="14" t="s">
        <v>139</v>
      </c>
      <c r="J75" s="16" t="s">
        <v>139</v>
      </c>
      <c r="K75" s="14">
        <v>0</v>
      </c>
      <c r="L75" s="16">
        <v>0</v>
      </c>
      <c r="M75" s="14">
        <v>0</v>
      </c>
      <c r="N75" s="16">
        <v>0</v>
      </c>
      <c r="O75" s="14">
        <v>0</v>
      </c>
      <c r="P75" s="16">
        <v>0</v>
      </c>
      <c r="Q75" s="14">
        <v>0</v>
      </c>
      <c r="R75" s="16">
        <v>0</v>
      </c>
    </row>
    <row r="76" spans="1:18" x14ac:dyDescent="0.25">
      <c r="A76" s="11" t="s">
        <v>209</v>
      </c>
      <c r="B76" s="13">
        <v>14167</v>
      </c>
      <c r="C76" s="14">
        <f>(11765/B76*100)</f>
        <v>83.045104821063035</v>
      </c>
      <c r="D76" s="15">
        <v>2402</v>
      </c>
      <c r="E76" s="14">
        <v>47.068032870000003</v>
      </c>
      <c r="F76" s="16">
        <v>1.36672587</v>
      </c>
      <c r="G76" s="14">
        <v>52.931967129999997</v>
      </c>
      <c r="H76" s="16">
        <v>1.36672587</v>
      </c>
      <c r="I76" s="14" t="s">
        <v>139</v>
      </c>
      <c r="J76" s="16" t="s">
        <v>139</v>
      </c>
      <c r="K76" s="14">
        <v>0</v>
      </c>
      <c r="L76" s="16">
        <v>0</v>
      </c>
      <c r="M76" s="14">
        <v>0</v>
      </c>
      <c r="N76" s="16">
        <v>0</v>
      </c>
      <c r="O76" s="14">
        <v>0</v>
      </c>
      <c r="P76" s="16">
        <v>0</v>
      </c>
      <c r="Q76" s="14">
        <v>0</v>
      </c>
      <c r="R76" s="16">
        <v>0</v>
      </c>
    </row>
    <row r="77" spans="1:18" x14ac:dyDescent="0.25">
      <c r="A77" s="11" t="s">
        <v>210</v>
      </c>
      <c r="B77" s="13">
        <v>6062</v>
      </c>
      <c r="C77" s="14">
        <f>(5128/B77*100)</f>
        <v>84.592543714945563</v>
      </c>
      <c r="D77" s="15">
        <v>934</v>
      </c>
      <c r="E77" s="14">
        <v>54.152939089999997</v>
      </c>
      <c r="F77" s="16">
        <v>1.59455042</v>
      </c>
      <c r="G77" s="14">
        <v>45.847060910000003</v>
      </c>
      <c r="H77" s="16">
        <v>1.59455042</v>
      </c>
      <c r="I77" s="14" t="s">
        <v>139</v>
      </c>
      <c r="J77" s="16" t="s">
        <v>139</v>
      </c>
      <c r="K77" s="14">
        <v>0</v>
      </c>
      <c r="L77" s="16">
        <v>0</v>
      </c>
      <c r="M77" s="14">
        <v>0</v>
      </c>
      <c r="N77" s="16">
        <v>0</v>
      </c>
      <c r="O77" s="14">
        <v>0</v>
      </c>
      <c r="P77" s="16">
        <v>0</v>
      </c>
      <c r="Q77" s="14">
        <v>0</v>
      </c>
      <c r="R77" s="16">
        <v>0</v>
      </c>
    </row>
    <row r="78" spans="1:18" x14ac:dyDescent="0.25">
      <c r="A78" s="11" t="s">
        <v>211</v>
      </c>
      <c r="B78" s="17" t="s">
        <v>154</v>
      </c>
      <c r="C78" s="17" t="s">
        <v>154</v>
      </c>
      <c r="D78" s="18" t="s">
        <v>154</v>
      </c>
      <c r="E78" s="17" t="s">
        <v>154</v>
      </c>
      <c r="F78" s="18" t="s">
        <v>154</v>
      </c>
      <c r="G78" s="17" t="s">
        <v>154</v>
      </c>
      <c r="H78" s="18" t="s">
        <v>154</v>
      </c>
      <c r="I78" s="17" t="s">
        <v>154</v>
      </c>
      <c r="J78" s="18" t="s">
        <v>154</v>
      </c>
      <c r="K78" s="17" t="s">
        <v>154</v>
      </c>
      <c r="L78" s="18" t="s">
        <v>154</v>
      </c>
      <c r="M78" s="17" t="s">
        <v>154</v>
      </c>
      <c r="N78" s="18" t="s">
        <v>154</v>
      </c>
      <c r="O78" s="17" t="s">
        <v>154</v>
      </c>
      <c r="P78" s="18" t="s">
        <v>154</v>
      </c>
      <c r="Q78" s="17" t="s">
        <v>154</v>
      </c>
      <c r="R78" s="18" t="s">
        <v>154</v>
      </c>
    </row>
    <row r="79" spans="1:18" ht="24.95" customHeight="1" x14ac:dyDescent="0.25">
      <c r="A79" s="11" t="s">
        <v>212</v>
      </c>
      <c r="B79" s="17" t="s">
        <v>154</v>
      </c>
      <c r="C79" s="17" t="s">
        <v>154</v>
      </c>
      <c r="D79" s="18" t="s">
        <v>154</v>
      </c>
      <c r="E79" s="17" t="s">
        <v>154</v>
      </c>
      <c r="F79" s="18" t="s">
        <v>154</v>
      </c>
      <c r="G79" s="17" t="s">
        <v>154</v>
      </c>
      <c r="H79" s="18" t="s">
        <v>154</v>
      </c>
      <c r="I79" s="17" t="s">
        <v>154</v>
      </c>
      <c r="J79" s="18" t="s">
        <v>154</v>
      </c>
      <c r="K79" s="17" t="s">
        <v>154</v>
      </c>
      <c r="L79" s="18" t="s">
        <v>154</v>
      </c>
      <c r="M79" s="17" t="s">
        <v>154</v>
      </c>
      <c r="N79" s="18" t="s">
        <v>154</v>
      </c>
      <c r="O79" s="17" t="s">
        <v>154</v>
      </c>
      <c r="P79" s="18" t="s">
        <v>154</v>
      </c>
      <c r="Q79" s="17" t="s">
        <v>154</v>
      </c>
      <c r="R79" s="18" t="s">
        <v>154</v>
      </c>
    </row>
    <row r="80" spans="1:18" x14ac:dyDescent="0.25">
      <c r="A80" s="11" t="s">
        <v>213</v>
      </c>
      <c r="B80" s="17" t="s">
        <v>154</v>
      </c>
      <c r="C80" s="17" t="s">
        <v>154</v>
      </c>
      <c r="D80" s="18" t="s">
        <v>154</v>
      </c>
      <c r="E80" s="17" t="s">
        <v>154</v>
      </c>
      <c r="F80" s="18" t="s">
        <v>154</v>
      </c>
      <c r="G80" s="17" t="s">
        <v>154</v>
      </c>
      <c r="H80" s="18" t="s">
        <v>154</v>
      </c>
      <c r="I80" s="17" t="s">
        <v>154</v>
      </c>
      <c r="J80" s="18" t="s">
        <v>154</v>
      </c>
      <c r="K80" s="17" t="s">
        <v>154</v>
      </c>
      <c r="L80" s="18" t="s">
        <v>154</v>
      </c>
      <c r="M80" s="17" t="s">
        <v>154</v>
      </c>
      <c r="N80" s="18" t="s">
        <v>154</v>
      </c>
      <c r="O80" s="17" t="s">
        <v>154</v>
      </c>
      <c r="P80" s="18" t="s">
        <v>154</v>
      </c>
      <c r="Q80" s="17" t="s">
        <v>154</v>
      </c>
      <c r="R80" s="18" t="s">
        <v>154</v>
      </c>
    </row>
    <row r="81" spans="1:18" x14ac:dyDescent="0.25">
      <c r="A81" s="19" t="s">
        <v>214</v>
      </c>
      <c r="B81" s="13">
        <v>8861</v>
      </c>
      <c r="C81" s="14">
        <f>(7408/B81*100)</f>
        <v>83.602302223225365</v>
      </c>
      <c r="D81" s="15">
        <v>1453</v>
      </c>
      <c r="E81" s="14">
        <v>39.12354508</v>
      </c>
      <c r="F81" s="16">
        <v>1.7683128299999999</v>
      </c>
      <c r="G81" s="14">
        <v>60.87645492</v>
      </c>
      <c r="H81" s="16">
        <v>1.7683128299999999</v>
      </c>
      <c r="I81" s="14" t="s">
        <v>139</v>
      </c>
      <c r="J81" s="16" t="s">
        <v>139</v>
      </c>
      <c r="K81" s="14">
        <v>0</v>
      </c>
      <c r="L81" s="16">
        <v>0</v>
      </c>
      <c r="M81" s="14">
        <v>0</v>
      </c>
      <c r="N81" s="16">
        <v>0</v>
      </c>
      <c r="O81" s="14">
        <v>0</v>
      </c>
      <c r="P81" s="16">
        <v>0</v>
      </c>
      <c r="Q81" s="14">
        <v>0</v>
      </c>
      <c r="R81" s="16">
        <v>0</v>
      </c>
    </row>
    <row r="82" spans="1:18" x14ac:dyDescent="0.25">
      <c r="A82" s="20"/>
      <c r="B82" s="20" t="s">
        <v>215</v>
      </c>
      <c r="C82" s="20" t="s">
        <v>215</v>
      </c>
      <c r="D82" s="20" t="s">
        <v>215</v>
      </c>
      <c r="E82" s="20" t="s">
        <v>215</v>
      </c>
      <c r="F82" s="20" t="s">
        <v>215</v>
      </c>
      <c r="G82" s="20" t="s">
        <v>215</v>
      </c>
      <c r="H82" s="20" t="s">
        <v>215</v>
      </c>
      <c r="I82" s="20" t="s">
        <v>215</v>
      </c>
      <c r="J82" s="20" t="s">
        <v>215</v>
      </c>
      <c r="K82" s="20" t="s">
        <v>215</v>
      </c>
      <c r="L82" s="20" t="s">
        <v>215</v>
      </c>
      <c r="M82" s="20" t="s">
        <v>215</v>
      </c>
      <c r="N82" s="20" t="s">
        <v>215</v>
      </c>
      <c r="O82" s="20" t="s">
        <v>215</v>
      </c>
      <c r="P82" s="20" t="s">
        <v>215</v>
      </c>
      <c r="Q82" s="20" t="s">
        <v>215</v>
      </c>
      <c r="R82" s="20" t="s">
        <v>215</v>
      </c>
    </row>
    <row r="83" spans="1:18" x14ac:dyDescent="0.25">
      <c r="A83" s="3" t="s">
        <v>216</v>
      </c>
    </row>
    <row r="84" spans="1:18" x14ac:dyDescent="0.25">
      <c r="A84" s="22" t="s">
        <v>217</v>
      </c>
      <c r="B84" s="23"/>
      <c r="C84" s="23"/>
      <c r="D84" s="23"/>
      <c r="E84" s="23"/>
      <c r="F84" s="23"/>
      <c r="G84" s="23"/>
      <c r="H84" s="23"/>
      <c r="I84" s="23"/>
      <c r="J84" s="23"/>
      <c r="K84" s="23"/>
      <c r="L84" s="23"/>
      <c r="M84" s="23"/>
      <c r="N84" s="23"/>
      <c r="O84" s="23"/>
      <c r="P84" s="23"/>
      <c r="Q84" s="23"/>
      <c r="R84" s="23"/>
    </row>
    <row r="85" spans="1:18" x14ac:dyDescent="0.25">
      <c r="A85" s="22" t="s">
        <v>218</v>
      </c>
      <c r="B85" s="23"/>
      <c r="C85" s="23"/>
      <c r="D85" s="23"/>
      <c r="E85" s="23"/>
      <c r="F85" s="23"/>
      <c r="G85" s="23"/>
      <c r="H85" s="23"/>
      <c r="I85" s="23"/>
      <c r="J85" s="23"/>
      <c r="K85" s="23"/>
      <c r="L85" s="23"/>
      <c r="M85" s="23"/>
      <c r="N85" s="23"/>
      <c r="O85" s="23"/>
      <c r="P85" s="23"/>
      <c r="Q85" s="23"/>
      <c r="R85" s="23"/>
    </row>
    <row r="86" spans="1:18" ht="30" customHeight="1" x14ac:dyDescent="0.25">
      <c r="A86" s="22" t="s">
        <v>219</v>
      </c>
      <c r="B86" s="23"/>
      <c r="C86" s="23"/>
      <c r="D86" s="23"/>
      <c r="E86" s="23"/>
      <c r="F86" s="23"/>
      <c r="G86" s="23"/>
      <c r="H86" s="23"/>
      <c r="I86" s="23"/>
      <c r="J86" s="23"/>
      <c r="K86" s="23"/>
      <c r="L86" s="23"/>
      <c r="M86" s="23"/>
      <c r="N86" s="23"/>
      <c r="O86" s="23"/>
      <c r="P86" s="23"/>
      <c r="Q86" s="23"/>
      <c r="R86" s="23"/>
    </row>
    <row r="87" spans="1:18" ht="30" customHeight="1" x14ac:dyDescent="0.25">
      <c r="A87" s="22" t="s">
        <v>215</v>
      </c>
      <c r="B87" s="23"/>
      <c r="C87" s="23"/>
      <c r="D87" s="23"/>
      <c r="E87" s="23"/>
      <c r="F87" s="23"/>
      <c r="G87" s="23"/>
      <c r="H87" s="23"/>
      <c r="I87" s="23"/>
      <c r="J87" s="23"/>
      <c r="K87" s="23"/>
      <c r="L87" s="23"/>
      <c r="M87" s="23"/>
      <c r="N87" s="23"/>
      <c r="O87" s="23"/>
      <c r="P87" s="23"/>
      <c r="Q87" s="23"/>
      <c r="R87" s="23"/>
    </row>
    <row r="88" spans="1:18" ht="30" customHeight="1" x14ac:dyDescent="0.25">
      <c r="A88" s="22" t="s">
        <v>220</v>
      </c>
      <c r="B88" s="23"/>
      <c r="C88" s="23"/>
      <c r="D88" s="23"/>
      <c r="E88" s="23"/>
      <c r="F88" s="23"/>
      <c r="G88" s="23"/>
      <c r="H88" s="23"/>
      <c r="I88" s="23"/>
      <c r="J88" s="23"/>
      <c r="K88" s="23"/>
      <c r="L88" s="23"/>
      <c r="M88" s="23"/>
      <c r="N88" s="23"/>
      <c r="O88" s="23"/>
      <c r="P88" s="23"/>
      <c r="Q88" s="23"/>
      <c r="R88" s="23"/>
    </row>
    <row r="89" spans="1:18" ht="30" customHeight="1" x14ac:dyDescent="0.25">
      <c r="A89" s="22" t="s">
        <v>221</v>
      </c>
      <c r="B89" s="23"/>
      <c r="C89" s="23"/>
      <c r="D89" s="23"/>
      <c r="E89" s="23"/>
      <c r="F89" s="23"/>
      <c r="G89" s="23"/>
      <c r="H89" s="23"/>
      <c r="I89" s="23"/>
      <c r="J89" s="23"/>
      <c r="K89" s="23"/>
      <c r="L89" s="23"/>
      <c r="M89" s="23"/>
      <c r="N89" s="23"/>
      <c r="O89" s="23"/>
      <c r="P89" s="23"/>
      <c r="Q89" s="23"/>
      <c r="R89" s="23"/>
    </row>
    <row r="90" spans="1:18" ht="30" customHeight="1" x14ac:dyDescent="0.25">
      <c r="A90" s="22" t="s">
        <v>222</v>
      </c>
      <c r="B90" s="23"/>
      <c r="C90" s="23"/>
      <c r="D90" s="23"/>
      <c r="E90" s="23"/>
      <c r="F90" s="23"/>
      <c r="G90" s="23"/>
      <c r="H90" s="23"/>
      <c r="I90" s="23"/>
      <c r="J90" s="23"/>
      <c r="K90" s="23"/>
      <c r="L90" s="23"/>
      <c r="M90" s="23"/>
      <c r="N90" s="23"/>
      <c r="O90" s="23"/>
      <c r="P90" s="23"/>
      <c r="Q90" s="23"/>
      <c r="R90" s="23"/>
    </row>
    <row r="91" spans="1:18" ht="30" customHeight="1" x14ac:dyDescent="0.25">
      <c r="A91" s="22" t="s">
        <v>223</v>
      </c>
      <c r="B91" s="23"/>
      <c r="C91" s="23"/>
      <c r="D91" s="23"/>
      <c r="E91" s="23"/>
      <c r="F91" s="23"/>
      <c r="G91" s="23"/>
      <c r="H91" s="23"/>
      <c r="I91" s="23"/>
      <c r="J91" s="23"/>
      <c r="K91" s="23"/>
      <c r="L91" s="23"/>
      <c r="M91" s="23"/>
      <c r="N91" s="23"/>
      <c r="O91" s="23"/>
      <c r="P91" s="23"/>
      <c r="Q91" s="23"/>
      <c r="R91" s="23"/>
    </row>
    <row r="92" spans="1:18" ht="30" customHeight="1" x14ac:dyDescent="0.25">
      <c r="A92" s="22" t="s">
        <v>224</v>
      </c>
      <c r="B92" s="23"/>
      <c r="C92" s="23"/>
      <c r="D92" s="23"/>
      <c r="E92" s="23"/>
      <c r="F92" s="23"/>
      <c r="G92" s="23"/>
      <c r="H92" s="23"/>
      <c r="I92" s="23"/>
      <c r="J92" s="23"/>
      <c r="K92" s="23"/>
      <c r="L92" s="23"/>
      <c r="M92" s="23"/>
      <c r="N92" s="23"/>
      <c r="O92" s="23"/>
      <c r="P92" s="23"/>
      <c r="Q92" s="23"/>
      <c r="R92" s="23"/>
    </row>
    <row r="93" spans="1:18" ht="30" customHeight="1" x14ac:dyDescent="0.25">
      <c r="A93" s="22" t="s">
        <v>225</v>
      </c>
      <c r="B93" s="23"/>
      <c r="C93" s="23"/>
      <c r="D93" s="23"/>
      <c r="E93" s="23"/>
      <c r="F93" s="23"/>
      <c r="G93" s="23"/>
      <c r="H93" s="23"/>
      <c r="I93" s="23"/>
      <c r="J93" s="23"/>
      <c r="K93" s="23"/>
      <c r="L93" s="23"/>
      <c r="M93" s="23"/>
      <c r="N93" s="23"/>
      <c r="O93" s="23"/>
      <c r="P93" s="23"/>
      <c r="Q93" s="23"/>
      <c r="R93" s="23"/>
    </row>
    <row r="94" spans="1:18" ht="30" customHeight="1" x14ac:dyDescent="0.25">
      <c r="A94" s="22" t="s">
        <v>226</v>
      </c>
      <c r="B94" s="23"/>
      <c r="C94" s="23"/>
      <c r="D94" s="23"/>
      <c r="E94" s="23"/>
      <c r="F94" s="23"/>
      <c r="G94" s="23"/>
      <c r="H94" s="23"/>
      <c r="I94" s="23"/>
      <c r="J94" s="23"/>
      <c r="K94" s="23"/>
      <c r="L94" s="23"/>
      <c r="M94" s="23"/>
      <c r="N94" s="23"/>
      <c r="O94" s="23"/>
      <c r="P94" s="23"/>
      <c r="Q94" s="23"/>
      <c r="R94" s="23"/>
    </row>
    <row r="95" spans="1:18" ht="30" customHeight="1" x14ac:dyDescent="0.25">
      <c r="A95" s="22" t="s">
        <v>227</v>
      </c>
      <c r="B95" s="23"/>
      <c r="C95" s="23"/>
      <c r="D95" s="23"/>
      <c r="E95" s="23"/>
      <c r="F95" s="23"/>
      <c r="G95" s="23"/>
      <c r="H95" s="23"/>
      <c r="I95" s="23"/>
      <c r="J95" s="23"/>
      <c r="K95" s="23"/>
      <c r="L95" s="23"/>
      <c r="M95" s="23"/>
      <c r="N95" s="23"/>
      <c r="O95" s="23"/>
      <c r="P95" s="23"/>
      <c r="Q95" s="23"/>
      <c r="R95" s="23"/>
    </row>
    <row r="96" spans="1:18" ht="30" customHeight="1" x14ac:dyDescent="0.25">
      <c r="A96" s="22" t="s">
        <v>228</v>
      </c>
      <c r="B96" s="23"/>
      <c r="C96" s="23"/>
      <c r="D96" s="23"/>
      <c r="E96" s="23"/>
      <c r="F96" s="23"/>
      <c r="G96" s="23"/>
      <c r="H96" s="23"/>
      <c r="I96" s="23"/>
      <c r="J96" s="23"/>
      <c r="K96" s="23"/>
      <c r="L96" s="23"/>
      <c r="M96" s="23"/>
      <c r="N96" s="23"/>
      <c r="O96" s="23"/>
      <c r="P96" s="23"/>
      <c r="Q96" s="23"/>
      <c r="R96" s="23"/>
    </row>
  </sheetData>
  <mergeCells count="22">
    <mergeCell ref="O4:P4"/>
    <mergeCell ref="Q4:R4"/>
    <mergeCell ref="A1:R1"/>
    <mergeCell ref="A2:R2"/>
    <mergeCell ref="A84:R84"/>
    <mergeCell ref="E4:F4"/>
    <mergeCell ref="G4:H4"/>
    <mergeCell ref="I4:J4"/>
    <mergeCell ref="K4:L4"/>
    <mergeCell ref="M4:N4"/>
    <mergeCell ref="A85:R85"/>
    <mergeCell ref="A86:R86"/>
    <mergeCell ref="A87:R87"/>
    <mergeCell ref="A88:R88"/>
    <mergeCell ref="A89:R89"/>
    <mergeCell ref="A95:R95"/>
    <mergeCell ref="A96:R96"/>
    <mergeCell ref="A90:R90"/>
    <mergeCell ref="A91:R91"/>
    <mergeCell ref="A92:R92"/>
    <mergeCell ref="A93:R93"/>
    <mergeCell ref="A94:R94"/>
  </mergeCells>
  <pageMargins left="0.75" right="0.75" top="1" bottom="1" header="0.5" footer="0.5"/>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5"/>
  <dimension ref="A1:R96"/>
  <sheetViews>
    <sheetView zoomScale="80" workbookViewId="0">
      <pane xSplit="4" topLeftCell="E1" activePane="topRight" state="frozen"/>
      <selection sqref="A1:R1"/>
      <selection pane="topRight" sqref="A1:R1"/>
    </sheetView>
  </sheetViews>
  <sheetFormatPr defaultColWidth="11.42578125" defaultRowHeight="15" x14ac:dyDescent="0.25"/>
  <cols>
    <col min="1" max="1" width="50" customWidth="1"/>
  </cols>
  <sheetData>
    <row r="1" spans="1:18" x14ac:dyDescent="0.25">
      <c r="A1" s="26" t="s">
        <v>122</v>
      </c>
      <c r="B1" s="23"/>
      <c r="C1" s="23"/>
      <c r="D1" s="23"/>
      <c r="E1" s="23"/>
      <c r="F1" s="23"/>
      <c r="G1" s="23"/>
      <c r="H1" s="23"/>
      <c r="I1" s="23"/>
      <c r="J1" s="23"/>
      <c r="K1" s="23"/>
      <c r="L1" s="23"/>
      <c r="M1" s="23"/>
      <c r="N1" s="23"/>
      <c r="O1" s="23"/>
      <c r="P1" s="23"/>
      <c r="Q1" s="23"/>
      <c r="R1" s="23"/>
    </row>
    <row r="2" spans="1:18" x14ac:dyDescent="0.25">
      <c r="A2" s="27" t="s">
        <v>311</v>
      </c>
      <c r="B2" s="23"/>
      <c r="C2" s="23"/>
      <c r="D2" s="23"/>
      <c r="E2" s="23"/>
      <c r="F2" s="23"/>
      <c r="G2" s="23"/>
      <c r="H2" s="23"/>
      <c r="I2" s="23"/>
      <c r="J2" s="23"/>
      <c r="K2" s="23"/>
      <c r="L2" s="23"/>
      <c r="M2" s="23"/>
      <c r="N2" s="23"/>
      <c r="O2" s="23"/>
      <c r="P2" s="23"/>
      <c r="Q2" s="23"/>
      <c r="R2" s="23"/>
    </row>
    <row r="4" spans="1:18" ht="30" customHeight="1" x14ac:dyDescent="0.25">
      <c r="A4" s="4"/>
      <c r="B4" s="5" t="s">
        <v>123</v>
      </c>
      <c r="C4" s="5" t="s">
        <v>124</v>
      </c>
      <c r="D4" s="6" t="s">
        <v>123</v>
      </c>
      <c r="E4" s="24" t="s">
        <v>125</v>
      </c>
      <c r="F4" s="25"/>
      <c r="G4" s="24" t="s">
        <v>126</v>
      </c>
      <c r="H4" s="25"/>
      <c r="I4" s="24" t="s">
        <v>127</v>
      </c>
      <c r="J4" s="25"/>
      <c r="K4" s="24" t="s">
        <v>128</v>
      </c>
      <c r="L4" s="25"/>
      <c r="M4" s="24" t="s">
        <v>129</v>
      </c>
      <c r="N4" s="25"/>
      <c r="O4" s="24" t="s">
        <v>130</v>
      </c>
      <c r="P4" s="25"/>
      <c r="Q4" s="24" t="s">
        <v>131</v>
      </c>
      <c r="R4" s="25"/>
    </row>
    <row r="5" spans="1:18" x14ac:dyDescent="0.25">
      <c r="A5" s="7"/>
      <c r="B5" s="8" t="s">
        <v>132</v>
      </c>
      <c r="C5" s="8" t="s">
        <v>133</v>
      </c>
      <c r="D5" s="7" t="s">
        <v>134</v>
      </c>
      <c r="E5" s="8" t="s">
        <v>135</v>
      </c>
      <c r="F5" s="7" t="s">
        <v>136</v>
      </c>
      <c r="G5" s="8" t="s">
        <v>135</v>
      </c>
      <c r="H5" s="7" t="s">
        <v>136</v>
      </c>
      <c r="I5" s="8" t="s">
        <v>135</v>
      </c>
      <c r="J5" s="7" t="s">
        <v>136</v>
      </c>
      <c r="K5" s="8" t="s">
        <v>135</v>
      </c>
      <c r="L5" s="7" t="s">
        <v>136</v>
      </c>
      <c r="M5" s="8" t="s">
        <v>135</v>
      </c>
      <c r="N5" s="7" t="s">
        <v>136</v>
      </c>
      <c r="O5" s="8" t="s">
        <v>135</v>
      </c>
      <c r="P5" s="7" t="s">
        <v>136</v>
      </c>
      <c r="Q5" s="8" t="s">
        <v>135</v>
      </c>
      <c r="R5" s="7" t="s">
        <v>136</v>
      </c>
    </row>
    <row r="6" spans="1:18" x14ac:dyDescent="0.25">
      <c r="A6" s="9" t="s">
        <v>137</v>
      </c>
      <c r="B6" s="10"/>
      <c r="C6" s="10"/>
      <c r="D6" s="11"/>
      <c r="E6" s="10"/>
      <c r="F6" s="11"/>
      <c r="G6" s="10"/>
      <c r="H6" s="11"/>
      <c r="I6" s="10"/>
      <c r="J6" s="11"/>
      <c r="K6" s="10"/>
      <c r="L6" s="11"/>
      <c r="M6" s="10"/>
      <c r="N6" s="11"/>
      <c r="O6" s="10"/>
      <c r="P6" s="11"/>
      <c r="Q6" s="10"/>
      <c r="R6" s="12"/>
    </row>
    <row r="7" spans="1:18" x14ac:dyDescent="0.25">
      <c r="A7" s="11" t="s">
        <v>138</v>
      </c>
      <c r="B7" s="13">
        <v>14530</v>
      </c>
      <c r="C7" s="14">
        <f>(12273/B7*100)</f>
        <v>84.466620784583625</v>
      </c>
      <c r="D7" s="15">
        <v>2257</v>
      </c>
      <c r="E7" s="14">
        <v>46.130193810000002</v>
      </c>
      <c r="F7" s="16">
        <v>1.26922085</v>
      </c>
      <c r="G7" s="14">
        <v>53.869806189999998</v>
      </c>
      <c r="H7" s="16">
        <v>1.26922085</v>
      </c>
      <c r="I7" s="14" t="s">
        <v>139</v>
      </c>
      <c r="J7" s="16" t="s">
        <v>139</v>
      </c>
      <c r="K7" s="14">
        <v>0</v>
      </c>
      <c r="L7" s="16">
        <v>0</v>
      </c>
      <c r="M7" s="14">
        <v>0</v>
      </c>
      <c r="N7" s="16">
        <v>0</v>
      </c>
      <c r="O7" s="14">
        <v>0</v>
      </c>
      <c r="P7" s="16">
        <v>0</v>
      </c>
      <c r="Q7" s="14">
        <v>0</v>
      </c>
      <c r="R7" s="16">
        <v>0</v>
      </c>
    </row>
    <row r="8" spans="1:18" x14ac:dyDescent="0.25">
      <c r="A8" s="11" t="s">
        <v>140</v>
      </c>
      <c r="B8" s="13">
        <v>7007</v>
      </c>
      <c r="C8" s="14">
        <f>(5877/B8*100)</f>
        <v>83.873269587555299</v>
      </c>
      <c r="D8" s="15">
        <v>1130</v>
      </c>
      <c r="E8" s="14">
        <v>44.71645427</v>
      </c>
      <c r="F8" s="16">
        <v>1.46683293</v>
      </c>
      <c r="G8" s="14">
        <v>55.28354573</v>
      </c>
      <c r="H8" s="16">
        <v>1.46683293</v>
      </c>
      <c r="I8" s="14" t="s">
        <v>139</v>
      </c>
      <c r="J8" s="16" t="s">
        <v>139</v>
      </c>
      <c r="K8" s="14">
        <v>0</v>
      </c>
      <c r="L8" s="16">
        <v>0</v>
      </c>
      <c r="M8" s="14">
        <v>0</v>
      </c>
      <c r="N8" s="16">
        <v>0</v>
      </c>
      <c r="O8" s="14">
        <v>0</v>
      </c>
      <c r="P8" s="16">
        <v>0</v>
      </c>
      <c r="Q8" s="14">
        <v>0</v>
      </c>
      <c r="R8" s="16">
        <v>0</v>
      </c>
    </row>
    <row r="9" spans="1:18" x14ac:dyDescent="0.25">
      <c r="A9" s="11" t="s">
        <v>141</v>
      </c>
      <c r="B9" s="13">
        <v>9651</v>
      </c>
      <c r="C9" s="14">
        <f>(8191/B9*100)</f>
        <v>84.872033986115426</v>
      </c>
      <c r="D9" s="15">
        <v>1460</v>
      </c>
      <c r="E9" s="14">
        <v>45.918337710000003</v>
      </c>
      <c r="F9" s="16">
        <v>1.5180044100000001</v>
      </c>
      <c r="G9" s="14">
        <v>54.081662289999997</v>
      </c>
      <c r="H9" s="16">
        <v>1.5180044100000001</v>
      </c>
      <c r="I9" s="14" t="s">
        <v>139</v>
      </c>
      <c r="J9" s="16" t="s">
        <v>139</v>
      </c>
      <c r="K9" s="14">
        <v>0</v>
      </c>
      <c r="L9" s="16">
        <v>0</v>
      </c>
      <c r="M9" s="14">
        <v>0</v>
      </c>
      <c r="N9" s="16">
        <v>0</v>
      </c>
      <c r="O9" s="14">
        <v>0</v>
      </c>
      <c r="P9" s="16">
        <v>0</v>
      </c>
      <c r="Q9" s="14">
        <v>0</v>
      </c>
      <c r="R9" s="16">
        <v>0</v>
      </c>
    </row>
    <row r="10" spans="1:18" x14ac:dyDescent="0.25">
      <c r="A10" s="11" t="s">
        <v>142</v>
      </c>
      <c r="B10" s="13">
        <v>20058</v>
      </c>
      <c r="C10" s="14">
        <f>(16744/B10*100)</f>
        <v>83.477914049257151</v>
      </c>
      <c r="D10" s="15">
        <v>3314</v>
      </c>
      <c r="E10" s="14">
        <v>40.44046367</v>
      </c>
      <c r="F10" s="16">
        <v>1.0233490700000001</v>
      </c>
      <c r="G10" s="14">
        <v>59.55953633</v>
      </c>
      <c r="H10" s="16">
        <v>1.0233490700000001</v>
      </c>
      <c r="I10" s="14" t="s">
        <v>139</v>
      </c>
      <c r="J10" s="16" t="s">
        <v>139</v>
      </c>
      <c r="K10" s="14">
        <v>0</v>
      </c>
      <c r="L10" s="16">
        <v>0</v>
      </c>
      <c r="M10" s="14">
        <v>0</v>
      </c>
      <c r="N10" s="16">
        <v>0</v>
      </c>
      <c r="O10" s="14">
        <v>0</v>
      </c>
      <c r="P10" s="16">
        <v>0</v>
      </c>
      <c r="Q10" s="14">
        <v>0</v>
      </c>
      <c r="R10" s="16">
        <v>0</v>
      </c>
    </row>
    <row r="11" spans="1:18" x14ac:dyDescent="0.25">
      <c r="A11" s="11" t="s">
        <v>143</v>
      </c>
      <c r="B11" s="13">
        <v>7053</v>
      </c>
      <c r="C11" s="14">
        <f>(5950/B11*100)</f>
        <v>84.361264710052467</v>
      </c>
      <c r="D11" s="15">
        <v>1103</v>
      </c>
      <c r="E11" s="14">
        <v>52.284577949999999</v>
      </c>
      <c r="F11" s="16">
        <v>2.0222739399999998</v>
      </c>
      <c r="G11" s="14">
        <v>47.715422050000001</v>
      </c>
      <c r="H11" s="16">
        <v>2.0222739399999998</v>
      </c>
      <c r="I11" s="14" t="s">
        <v>139</v>
      </c>
      <c r="J11" s="16" t="s">
        <v>139</v>
      </c>
      <c r="K11" s="14">
        <v>0</v>
      </c>
      <c r="L11" s="16">
        <v>0</v>
      </c>
      <c r="M11" s="14">
        <v>0</v>
      </c>
      <c r="N11" s="16">
        <v>0</v>
      </c>
      <c r="O11" s="14">
        <v>0</v>
      </c>
      <c r="P11" s="16">
        <v>0</v>
      </c>
      <c r="Q11" s="14">
        <v>0</v>
      </c>
      <c r="R11" s="16">
        <v>0</v>
      </c>
    </row>
    <row r="12" spans="1:18" x14ac:dyDescent="0.25">
      <c r="A12" s="11" t="s">
        <v>144</v>
      </c>
      <c r="B12" s="13">
        <v>6894</v>
      </c>
      <c r="C12" s="14">
        <f>(5796/B12*100)</f>
        <v>84.073107049608353</v>
      </c>
      <c r="D12" s="15">
        <v>1098</v>
      </c>
      <c r="E12" s="14">
        <v>57.881428739999997</v>
      </c>
      <c r="F12" s="16">
        <v>1.6748775499999999</v>
      </c>
      <c r="G12" s="14">
        <v>42.118571260000003</v>
      </c>
      <c r="H12" s="16">
        <v>1.6748775499999999</v>
      </c>
      <c r="I12" s="14" t="s">
        <v>139</v>
      </c>
      <c r="J12" s="16" t="s">
        <v>139</v>
      </c>
      <c r="K12" s="14">
        <v>0</v>
      </c>
      <c r="L12" s="16">
        <v>0</v>
      </c>
      <c r="M12" s="14">
        <v>0</v>
      </c>
      <c r="N12" s="16">
        <v>0</v>
      </c>
      <c r="O12" s="14">
        <v>0</v>
      </c>
      <c r="P12" s="16">
        <v>0</v>
      </c>
      <c r="Q12" s="14">
        <v>0</v>
      </c>
      <c r="R12" s="16">
        <v>0</v>
      </c>
    </row>
    <row r="13" spans="1:18" x14ac:dyDescent="0.25">
      <c r="A13" s="11" t="s">
        <v>145</v>
      </c>
      <c r="B13" s="13">
        <v>7161</v>
      </c>
      <c r="C13" s="14">
        <f>(6096/B13*100)</f>
        <v>85.127775450356097</v>
      </c>
      <c r="D13" s="15">
        <v>1065</v>
      </c>
      <c r="E13" s="14">
        <v>40.913712519999997</v>
      </c>
      <c r="F13" s="16">
        <v>1.97733666</v>
      </c>
      <c r="G13" s="14">
        <v>59.086287480000003</v>
      </c>
      <c r="H13" s="16">
        <v>1.97733666</v>
      </c>
      <c r="I13" s="14" t="s">
        <v>139</v>
      </c>
      <c r="J13" s="16" t="s">
        <v>139</v>
      </c>
      <c r="K13" s="14">
        <v>0</v>
      </c>
      <c r="L13" s="16">
        <v>0</v>
      </c>
      <c r="M13" s="14">
        <v>0</v>
      </c>
      <c r="N13" s="16">
        <v>0</v>
      </c>
      <c r="O13" s="14">
        <v>0</v>
      </c>
      <c r="P13" s="16">
        <v>0</v>
      </c>
      <c r="Q13" s="14">
        <v>0</v>
      </c>
      <c r="R13" s="16">
        <v>0</v>
      </c>
    </row>
    <row r="14" spans="1:18" x14ac:dyDescent="0.25">
      <c r="A14" s="11" t="s">
        <v>146</v>
      </c>
      <c r="B14" s="13">
        <v>5587</v>
      </c>
      <c r="C14" s="14">
        <f>(4671/B14*100)</f>
        <v>83.604796849829967</v>
      </c>
      <c r="D14" s="15">
        <v>916</v>
      </c>
      <c r="E14" s="14">
        <v>45.285650160000003</v>
      </c>
      <c r="F14" s="16">
        <v>2.1003943500000002</v>
      </c>
      <c r="G14" s="14">
        <v>54.714349839999997</v>
      </c>
      <c r="H14" s="16">
        <v>2.1003943500000002</v>
      </c>
      <c r="I14" s="14" t="s">
        <v>139</v>
      </c>
      <c r="J14" s="16" t="s">
        <v>139</v>
      </c>
      <c r="K14" s="14">
        <v>0</v>
      </c>
      <c r="L14" s="16">
        <v>0</v>
      </c>
      <c r="M14" s="14">
        <v>0</v>
      </c>
      <c r="N14" s="16">
        <v>0</v>
      </c>
      <c r="O14" s="14">
        <v>0</v>
      </c>
      <c r="P14" s="16">
        <v>0</v>
      </c>
      <c r="Q14" s="14">
        <v>0</v>
      </c>
      <c r="R14" s="16">
        <v>0</v>
      </c>
    </row>
    <row r="15" spans="1:18" x14ac:dyDescent="0.25">
      <c r="A15" s="11" t="s">
        <v>147</v>
      </c>
      <c r="B15" s="13">
        <v>5882</v>
      </c>
      <c r="C15" s="14">
        <f>(4907/B15*100)</f>
        <v>83.424005440326425</v>
      </c>
      <c r="D15" s="15">
        <v>975</v>
      </c>
      <c r="E15" s="14">
        <v>39.438380780000003</v>
      </c>
      <c r="F15" s="16">
        <v>1.5043403799999999</v>
      </c>
      <c r="G15" s="14">
        <v>60.561619219999997</v>
      </c>
      <c r="H15" s="16">
        <v>1.5043403799999999</v>
      </c>
      <c r="I15" s="14" t="s">
        <v>139</v>
      </c>
      <c r="J15" s="16" t="s">
        <v>139</v>
      </c>
      <c r="K15" s="14">
        <v>0</v>
      </c>
      <c r="L15" s="16">
        <v>0</v>
      </c>
      <c r="M15" s="14">
        <v>0</v>
      </c>
      <c r="N15" s="16">
        <v>0</v>
      </c>
      <c r="O15" s="14">
        <v>0</v>
      </c>
      <c r="P15" s="16">
        <v>0</v>
      </c>
      <c r="Q15" s="14">
        <v>0</v>
      </c>
      <c r="R15" s="16">
        <v>0</v>
      </c>
    </row>
    <row r="16" spans="1:18" x14ac:dyDescent="0.25">
      <c r="A16" s="11" t="s">
        <v>148</v>
      </c>
      <c r="B16" s="13">
        <v>6108</v>
      </c>
      <c r="C16" s="14">
        <f>(5106/B16*100)</f>
        <v>83.59528487229862</v>
      </c>
      <c r="D16" s="15">
        <v>1002</v>
      </c>
      <c r="E16" s="14">
        <v>47.0635288</v>
      </c>
      <c r="F16" s="16">
        <v>1.9525419100000001</v>
      </c>
      <c r="G16" s="14">
        <v>52.9364712</v>
      </c>
      <c r="H16" s="16">
        <v>1.9525419100000001</v>
      </c>
      <c r="I16" s="14" t="s">
        <v>139</v>
      </c>
      <c r="J16" s="16" t="s">
        <v>139</v>
      </c>
      <c r="K16" s="14">
        <v>0</v>
      </c>
      <c r="L16" s="16">
        <v>0</v>
      </c>
      <c r="M16" s="14">
        <v>0</v>
      </c>
      <c r="N16" s="16">
        <v>0</v>
      </c>
      <c r="O16" s="14">
        <v>0</v>
      </c>
      <c r="P16" s="16">
        <v>0</v>
      </c>
      <c r="Q16" s="14">
        <v>0</v>
      </c>
      <c r="R16" s="16">
        <v>0</v>
      </c>
    </row>
    <row r="17" spans="1:18" x14ac:dyDescent="0.25">
      <c r="A17" s="11" t="s">
        <v>149</v>
      </c>
      <c r="B17" s="13">
        <v>6504</v>
      </c>
      <c r="C17" s="14">
        <f>(5484/B17*100)</f>
        <v>84.317343173431738</v>
      </c>
      <c r="D17" s="15">
        <v>1020</v>
      </c>
      <c r="E17" s="14">
        <v>42.565597539999999</v>
      </c>
      <c r="F17" s="16">
        <v>1.8378553799999999</v>
      </c>
      <c r="G17" s="14">
        <v>57.434402460000001</v>
      </c>
      <c r="H17" s="16">
        <v>1.8378553799999999</v>
      </c>
      <c r="I17" s="14" t="s">
        <v>139</v>
      </c>
      <c r="J17" s="16" t="s">
        <v>139</v>
      </c>
      <c r="K17" s="14">
        <v>0</v>
      </c>
      <c r="L17" s="16">
        <v>0</v>
      </c>
      <c r="M17" s="14">
        <v>0</v>
      </c>
      <c r="N17" s="16">
        <v>0</v>
      </c>
      <c r="O17" s="14">
        <v>0</v>
      </c>
      <c r="P17" s="16">
        <v>0</v>
      </c>
      <c r="Q17" s="14">
        <v>0</v>
      </c>
      <c r="R17" s="16">
        <v>0</v>
      </c>
    </row>
    <row r="18" spans="1:18" x14ac:dyDescent="0.25">
      <c r="A18" s="11" t="s">
        <v>150</v>
      </c>
      <c r="B18" s="13">
        <v>5532</v>
      </c>
      <c r="C18" s="14">
        <f>(4644/B18*100)</f>
        <v>83.947939262472886</v>
      </c>
      <c r="D18" s="15">
        <v>888</v>
      </c>
      <c r="E18" s="14">
        <v>54.061178329999997</v>
      </c>
      <c r="F18" s="16">
        <v>1.9816636599999999</v>
      </c>
      <c r="G18" s="14">
        <v>45.938821670000003</v>
      </c>
      <c r="H18" s="16">
        <v>1.9816636599999999</v>
      </c>
      <c r="I18" s="14" t="s">
        <v>139</v>
      </c>
      <c r="J18" s="16" t="s">
        <v>139</v>
      </c>
      <c r="K18" s="14">
        <v>0</v>
      </c>
      <c r="L18" s="16">
        <v>0</v>
      </c>
      <c r="M18" s="14">
        <v>0</v>
      </c>
      <c r="N18" s="16">
        <v>0</v>
      </c>
      <c r="O18" s="14">
        <v>0</v>
      </c>
      <c r="P18" s="16">
        <v>0</v>
      </c>
      <c r="Q18" s="14">
        <v>0</v>
      </c>
      <c r="R18" s="16">
        <v>0</v>
      </c>
    </row>
    <row r="19" spans="1:18" x14ac:dyDescent="0.25">
      <c r="A19" s="11" t="s">
        <v>151</v>
      </c>
      <c r="B19" s="13">
        <v>5658</v>
      </c>
      <c r="C19" s="14">
        <f>(4776/B19*100)</f>
        <v>84.411452810180279</v>
      </c>
      <c r="D19" s="15">
        <v>882</v>
      </c>
      <c r="E19" s="14">
        <v>59.175021809999997</v>
      </c>
      <c r="F19" s="16">
        <v>1.6452272299999999</v>
      </c>
      <c r="G19" s="14">
        <v>40.824978190000003</v>
      </c>
      <c r="H19" s="16">
        <v>1.6452272299999999</v>
      </c>
      <c r="I19" s="14" t="s">
        <v>139</v>
      </c>
      <c r="J19" s="16" t="s">
        <v>139</v>
      </c>
      <c r="K19" s="14">
        <v>0</v>
      </c>
      <c r="L19" s="16">
        <v>0</v>
      </c>
      <c r="M19" s="14">
        <v>0</v>
      </c>
      <c r="N19" s="16">
        <v>0</v>
      </c>
      <c r="O19" s="14">
        <v>0</v>
      </c>
      <c r="P19" s="16">
        <v>0</v>
      </c>
      <c r="Q19" s="14">
        <v>0</v>
      </c>
      <c r="R19" s="16">
        <v>0</v>
      </c>
    </row>
    <row r="20" spans="1:18" x14ac:dyDescent="0.25">
      <c r="A20" s="11" t="s">
        <v>152</v>
      </c>
      <c r="B20" s="13">
        <v>3371</v>
      </c>
      <c r="C20" s="14">
        <f>(2854/B20*100)</f>
        <v>84.663304657371697</v>
      </c>
      <c r="D20" s="15">
        <v>517</v>
      </c>
      <c r="E20" s="14">
        <v>57.488545440000003</v>
      </c>
      <c r="F20" s="16">
        <v>2.1017080199999998</v>
      </c>
      <c r="G20" s="14">
        <v>42.511454559999997</v>
      </c>
      <c r="H20" s="16">
        <v>2.1017080199999998</v>
      </c>
      <c r="I20" s="14" t="s">
        <v>139</v>
      </c>
      <c r="J20" s="16" t="s">
        <v>139</v>
      </c>
      <c r="K20" s="14">
        <v>0</v>
      </c>
      <c r="L20" s="16">
        <v>0</v>
      </c>
      <c r="M20" s="14">
        <v>0</v>
      </c>
      <c r="N20" s="16">
        <v>0</v>
      </c>
      <c r="O20" s="14">
        <v>0</v>
      </c>
      <c r="P20" s="16">
        <v>0</v>
      </c>
      <c r="Q20" s="14">
        <v>0</v>
      </c>
      <c r="R20" s="16">
        <v>0</v>
      </c>
    </row>
    <row r="21" spans="1:18" x14ac:dyDescent="0.25">
      <c r="A21" s="11" t="s">
        <v>153</v>
      </c>
      <c r="B21" s="17" t="s">
        <v>154</v>
      </c>
      <c r="C21" s="17" t="s">
        <v>154</v>
      </c>
      <c r="D21" s="18" t="s">
        <v>154</v>
      </c>
      <c r="E21" s="17" t="s">
        <v>154</v>
      </c>
      <c r="F21" s="18" t="s">
        <v>154</v>
      </c>
      <c r="G21" s="17" t="s">
        <v>154</v>
      </c>
      <c r="H21" s="18" t="s">
        <v>154</v>
      </c>
      <c r="I21" s="17" t="s">
        <v>154</v>
      </c>
      <c r="J21" s="18" t="s">
        <v>154</v>
      </c>
      <c r="K21" s="17" t="s">
        <v>154</v>
      </c>
      <c r="L21" s="18" t="s">
        <v>154</v>
      </c>
      <c r="M21" s="17" t="s">
        <v>154</v>
      </c>
      <c r="N21" s="18" t="s">
        <v>154</v>
      </c>
      <c r="O21" s="17" t="s">
        <v>154</v>
      </c>
      <c r="P21" s="18" t="s">
        <v>154</v>
      </c>
      <c r="Q21" s="17" t="s">
        <v>154</v>
      </c>
      <c r="R21" s="18" t="s">
        <v>154</v>
      </c>
    </row>
    <row r="22" spans="1:18" x14ac:dyDescent="0.25">
      <c r="A22" s="11" t="s">
        <v>155</v>
      </c>
      <c r="B22" s="13">
        <v>6598</v>
      </c>
      <c r="C22" s="14">
        <f>(5614/B22*100)</f>
        <v>85.086389815095487</v>
      </c>
      <c r="D22" s="15">
        <v>984</v>
      </c>
      <c r="E22" s="14">
        <v>49.106539329999997</v>
      </c>
      <c r="F22" s="16">
        <v>1.59920537</v>
      </c>
      <c r="G22" s="14">
        <v>50.893460670000003</v>
      </c>
      <c r="H22" s="16">
        <v>1.59920537</v>
      </c>
      <c r="I22" s="14" t="s">
        <v>139</v>
      </c>
      <c r="J22" s="16" t="s">
        <v>139</v>
      </c>
      <c r="K22" s="14">
        <v>0</v>
      </c>
      <c r="L22" s="16">
        <v>0</v>
      </c>
      <c r="M22" s="14">
        <v>0</v>
      </c>
      <c r="N22" s="16">
        <v>0</v>
      </c>
      <c r="O22" s="14">
        <v>0</v>
      </c>
      <c r="P22" s="16">
        <v>0</v>
      </c>
      <c r="Q22" s="14">
        <v>0</v>
      </c>
      <c r="R22" s="16">
        <v>0</v>
      </c>
    </row>
    <row r="23" spans="1:18" x14ac:dyDescent="0.25">
      <c r="A23" s="11" t="s">
        <v>156</v>
      </c>
      <c r="B23" s="13">
        <v>11583</v>
      </c>
      <c r="C23" s="14">
        <f>(9708/B23*100)</f>
        <v>83.812483812483819</v>
      </c>
      <c r="D23" s="15">
        <v>1875</v>
      </c>
      <c r="E23" s="14">
        <v>44.946296359999998</v>
      </c>
      <c r="F23" s="16">
        <v>1.7421659899999999</v>
      </c>
      <c r="G23" s="14">
        <v>55.053703640000002</v>
      </c>
      <c r="H23" s="16">
        <v>1.7421659899999999</v>
      </c>
      <c r="I23" s="14" t="s">
        <v>139</v>
      </c>
      <c r="J23" s="16" t="s">
        <v>139</v>
      </c>
      <c r="K23" s="14">
        <v>0</v>
      </c>
      <c r="L23" s="16">
        <v>0</v>
      </c>
      <c r="M23" s="14">
        <v>0</v>
      </c>
      <c r="N23" s="16">
        <v>0</v>
      </c>
      <c r="O23" s="14">
        <v>0</v>
      </c>
      <c r="P23" s="16">
        <v>0</v>
      </c>
      <c r="Q23" s="14">
        <v>0</v>
      </c>
      <c r="R23" s="16">
        <v>0</v>
      </c>
    </row>
    <row r="24" spans="1:18" x14ac:dyDescent="0.25">
      <c r="A24" s="11" t="s">
        <v>157</v>
      </c>
      <c r="B24" s="13">
        <v>6647</v>
      </c>
      <c r="C24" s="14">
        <f>(5510/B24*100)</f>
        <v>82.894538889724686</v>
      </c>
      <c r="D24" s="15">
        <v>1137</v>
      </c>
      <c r="E24" s="14">
        <v>23.523339669999999</v>
      </c>
      <c r="F24" s="16">
        <v>1.30604476</v>
      </c>
      <c r="G24" s="14">
        <v>76.476660330000001</v>
      </c>
      <c r="H24" s="16">
        <v>1.30604476</v>
      </c>
      <c r="I24" s="14" t="s">
        <v>139</v>
      </c>
      <c r="J24" s="16" t="s">
        <v>139</v>
      </c>
      <c r="K24" s="14">
        <v>0</v>
      </c>
      <c r="L24" s="16">
        <v>0</v>
      </c>
      <c r="M24" s="14">
        <v>0</v>
      </c>
      <c r="N24" s="16">
        <v>0</v>
      </c>
      <c r="O24" s="14">
        <v>0</v>
      </c>
      <c r="P24" s="16">
        <v>0</v>
      </c>
      <c r="Q24" s="14">
        <v>0</v>
      </c>
      <c r="R24" s="16">
        <v>0</v>
      </c>
    </row>
    <row r="25" spans="1:18" x14ac:dyDescent="0.25">
      <c r="A25" s="11" t="s">
        <v>158</v>
      </c>
      <c r="B25" s="13">
        <v>5581</v>
      </c>
      <c r="C25" s="14">
        <f>(4606/B25*100)</f>
        <v>82.530012542555099</v>
      </c>
      <c r="D25" s="15">
        <v>975</v>
      </c>
      <c r="E25" s="14">
        <v>38.221276199999998</v>
      </c>
      <c r="F25" s="16">
        <v>1.6064531900000001</v>
      </c>
      <c r="G25" s="14">
        <v>61.778723800000002</v>
      </c>
      <c r="H25" s="16">
        <v>1.6064531900000001</v>
      </c>
      <c r="I25" s="14" t="s">
        <v>139</v>
      </c>
      <c r="J25" s="16" t="s">
        <v>139</v>
      </c>
      <c r="K25" s="14">
        <v>0</v>
      </c>
      <c r="L25" s="16">
        <v>0</v>
      </c>
      <c r="M25" s="14">
        <v>0</v>
      </c>
      <c r="N25" s="16">
        <v>0</v>
      </c>
      <c r="O25" s="14">
        <v>0</v>
      </c>
      <c r="P25" s="16">
        <v>0</v>
      </c>
      <c r="Q25" s="14">
        <v>0</v>
      </c>
      <c r="R25" s="16">
        <v>0</v>
      </c>
    </row>
    <row r="26" spans="1:18" x14ac:dyDescent="0.25">
      <c r="A26" s="11" t="s">
        <v>159</v>
      </c>
      <c r="B26" s="13">
        <v>4869</v>
      </c>
      <c r="C26" s="14">
        <f>(4059/B26*100)</f>
        <v>83.364140480591502</v>
      </c>
      <c r="D26" s="15">
        <v>810</v>
      </c>
      <c r="E26" s="14">
        <v>47.52521823</v>
      </c>
      <c r="F26" s="16">
        <v>1.85414301</v>
      </c>
      <c r="G26" s="14">
        <v>52.47478177</v>
      </c>
      <c r="H26" s="16">
        <v>1.85414301</v>
      </c>
      <c r="I26" s="14" t="s">
        <v>139</v>
      </c>
      <c r="J26" s="16" t="s">
        <v>139</v>
      </c>
      <c r="K26" s="14">
        <v>0</v>
      </c>
      <c r="L26" s="16">
        <v>0</v>
      </c>
      <c r="M26" s="14">
        <v>0</v>
      </c>
      <c r="N26" s="16">
        <v>0</v>
      </c>
      <c r="O26" s="14">
        <v>0</v>
      </c>
      <c r="P26" s="16">
        <v>0</v>
      </c>
      <c r="Q26" s="14">
        <v>0</v>
      </c>
      <c r="R26" s="16">
        <v>0</v>
      </c>
    </row>
    <row r="27" spans="1:18" x14ac:dyDescent="0.25">
      <c r="A27" s="11" t="s">
        <v>160</v>
      </c>
      <c r="B27" s="13">
        <v>5299</v>
      </c>
      <c r="C27" s="14">
        <f>(4491/B27*100)</f>
        <v>84.751839969805616</v>
      </c>
      <c r="D27" s="15">
        <v>808</v>
      </c>
      <c r="E27" s="14">
        <v>46.364537550000001</v>
      </c>
      <c r="F27" s="16">
        <v>1.63904629</v>
      </c>
      <c r="G27" s="14">
        <v>53.635462449999999</v>
      </c>
      <c r="H27" s="16">
        <v>1.63904629</v>
      </c>
      <c r="I27" s="14" t="s">
        <v>139</v>
      </c>
      <c r="J27" s="16" t="s">
        <v>139</v>
      </c>
      <c r="K27" s="14">
        <v>0</v>
      </c>
      <c r="L27" s="16">
        <v>0</v>
      </c>
      <c r="M27" s="14">
        <v>0</v>
      </c>
      <c r="N27" s="16">
        <v>0</v>
      </c>
      <c r="O27" s="14">
        <v>0</v>
      </c>
      <c r="P27" s="16">
        <v>0</v>
      </c>
      <c r="Q27" s="14">
        <v>0</v>
      </c>
      <c r="R27" s="16">
        <v>0</v>
      </c>
    </row>
    <row r="28" spans="1:18" x14ac:dyDescent="0.25">
      <c r="A28" s="11" t="s">
        <v>161</v>
      </c>
      <c r="B28" s="13">
        <v>7568</v>
      </c>
      <c r="C28" s="14">
        <f>(6520/B28*100)</f>
        <v>86.152219873150102</v>
      </c>
      <c r="D28" s="15">
        <v>1048</v>
      </c>
      <c r="E28" s="14">
        <v>85.636442979999998</v>
      </c>
      <c r="F28" s="16">
        <v>1.2239201</v>
      </c>
      <c r="G28" s="14">
        <v>14.36355702</v>
      </c>
      <c r="H28" s="16">
        <v>1.2239201</v>
      </c>
      <c r="I28" s="14" t="s">
        <v>139</v>
      </c>
      <c r="J28" s="16" t="s">
        <v>139</v>
      </c>
      <c r="K28" s="14">
        <v>0</v>
      </c>
      <c r="L28" s="16">
        <v>0</v>
      </c>
      <c r="M28" s="14">
        <v>0</v>
      </c>
      <c r="N28" s="16">
        <v>0</v>
      </c>
      <c r="O28" s="14">
        <v>0</v>
      </c>
      <c r="P28" s="16">
        <v>0</v>
      </c>
      <c r="Q28" s="14">
        <v>0</v>
      </c>
      <c r="R28" s="16">
        <v>0</v>
      </c>
    </row>
    <row r="29" spans="1:18" x14ac:dyDescent="0.25">
      <c r="A29" s="11" t="s">
        <v>162</v>
      </c>
      <c r="B29" s="13">
        <v>5385</v>
      </c>
      <c r="C29" s="14">
        <f>(4468/B29*100)</f>
        <v>82.971216341689882</v>
      </c>
      <c r="D29" s="15">
        <v>917</v>
      </c>
      <c r="E29" s="14">
        <v>39.970267319999998</v>
      </c>
      <c r="F29" s="16">
        <v>1.7894739500000001</v>
      </c>
      <c r="G29" s="14">
        <v>60.029732680000002</v>
      </c>
      <c r="H29" s="16">
        <v>1.7894739500000001</v>
      </c>
      <c r="I29" s="14" t="s">
        <v>139</v>
      </c>
      <c r="J29" s="16" t="s">
        <v>139</v>
      </c>
      <c r="K29" s="14">
        <v>0</v>
      </c>
      <c r="L29" s="16">
        <v>0</v>
      </c>
      <c r="M29" s="14">
        <v>0</v>
      </c>
      <c r="N29" s="16">
        <v>0</v>
      </c>
      <c r="O29" s="14">
        <v>0</v>
      </c>
      <c r="P29" s="16">
        <v>0</v>
      </c>
      <c r="Q29" s="14">
        <v>0</v>
      </c>
      <c r="R29" s="16">
        <v>0</v>
      </c>
    </row>
    <row r="30" spans="1:18" x14ac:dyDescent="0.25">
      <c r="A30" s="11" t="s">
        <v>163</v>
      </c>
      <c r="B30" s="13">
        <v>4520</v>
      </c>
      <c r="C30" s="14">
        <f>(3818/B30*100)</f>
        <v>84.469026548672559</v>
      </c>
      <c r="D30" s="15">
        <v>702</v>
      </c>
      <c r="E30" s="14">
        <v>42.664117789999999</v>
      </c>
      <c r="F30" s="16">
        <v>1.9141243100000001</v>
      </c>
      <c r="G30" s="14">
        <v>57.335882210000001</v>
      </c>
      <c r="H30" s="16">
        <v>1.9141243100000001</v>
      </c>
      <c r="I30" s="14" t="s">
        <v>139</v>
      </c>
      <c r="J30" s="16" t="s">
        <v>139</v>
      </c>
      <c r="K30" s="14">
        <v>0</v>
      </c>
      <c r="L30" s="16">
        <v>0</v>
      </c>
      <c r="M30" s="14">
        <v>0</v>
      </c>
      <c r="N30" s="16">
        <v>0</v>
      </c>
      <c r="O30" s="14">
        <v>0</v>
      </c>
      <c r="P30" s="16">
        <v>0</v>
      </c>
      <c r="Q30" s="14">
        <v>0</v>
      </c>
      <c r="R30" s="16">
        <v>0</v>
      </c>
    </row>
    <row r="31" spans="1:18" x14ac:dyDescent="0.25">
      <c r="A31" s="11" t="s">
        <v>164</v>
      </c>
      <c r="B31" s="13">
        <v>5456</v>
      </c>
      <c r="C31" s="14">
        <f>(4537/B31*100)</f>
        <v>83.156158357771261</v>
      </c>
      <c r="D31" s="15">
        <v>919</v>
      </c>
      <c r="E31" s="14">
        <v>48.529371869999999</v>
      </c>
      <c r="F31" s="16">
        <v>1.77324316</v>
      </c>
      <c r="G31" s="14">
        <v>51.470628130000001</v>
      </c>
      <c r="H31" s="16">
        <v>1.77324316</v>
      </c>
      <c r="I31" s="14" t="s">
        <v>139</v>
      </c>
      <c r="J31" s="16" t="s">
        <v>139</v>
      </c>
      <c r="K31" s="14">
        <v>0</v>
      </c>
      <c r="L31" s="16">
        <v>0</v>
      </c>
      <c r="M31" s="14">
        <v>0</v>
      </c>
      <c r="N31" s="16">
        <v>0</v>
      </c>
      <c r="O31" s="14">
        <v>0</v>
      </c>
      <c r="P31" s="16">
        <v>0</v>
      </c>
      <c r="Q31" s="14">
        <v>0</v>
      </c>
      <c r="R31" s="16">
        <v>0</v>
      </c>
    </row>
    <row r="32" spans="1:18" x14ac:dyDescent="0.25">
      <c r="A32" s="11" t="s">
        <v>165</v>
      </c>
      <c r="B32" s="17" t="s">
        <v>154</v>
      </c>
      <c r="C32" s="17" t="s">
        <v>154</v>
      </c>
      <c r="D32" s="18" t="s">
        <v>154</v>
      </c>
      <c r="E32" s="17" t="s">
        <v>154</v>
      </c>
      <c r="F32" s="18" t="s">
        <v>154</v>
      </c>
      <c r="G32" s="17" t="s">
        <v>154</v>
      </c>
      <c r="H32" s="18" t="s">
        <v>154</v>
      </c>
      <c r="I32" s="17" t="s">
        <v>154</v>
      </c>
      <c r="J32" s="18" t="s">
        <v>154</v>
      </c>
      <c r="K32" s="17" t="s">
        <v>154</v>
      </c>
      <c r="L32" s="18" t="s">
        <v>154</v>
      </c>
      <c r="M32" s="17" t="s">
        <v>154</v>
      </c>
      <c r="N32" s="18" t="s">
        <v>154</v>
      </c>
      <c r="O32" s="17" t="s">
        <v>154</v>
      </c>
      <c r="P32" s="18" t="s">
        <v>154</v>
      </c>
      <c r="Q32" s="17" t="s">
        <v>154</v>
      </c>
      <c r="R32" s="18" t="s">
        <v>154</v>
      </c>
    </row>
    <row r="33" spans="1:18" x14ac:dyDescent="0.25">
      <c r="A33" s="11" t="s">
        <v>166</v>
      </c>
      <c r="B33" s="13">
        <v>7325</v>
      </c>
      <c r="C33" s="14">
        <f>(6183/B33*100)</f>
        <v>84.409556313993178</v>
      </c>
      <c r="D33" s="15">
        <v>1142</v>
      </c>
      <c r="E33" s="14">
        <v>47.814376760000002</v>
      </c>
      <c r="F33" s="16">
        <v>1.6948632299999999</v>
      </c>
      <c r="G33" s="14">
        <v>52.185623239999998</v>
      </c>
      <c r="H33" s="16">
        <v>1.6948632299999999</v>
      </c>
      <c r="I33" s="14" t="s">
        <v>139</v>
      </c>
      <c r="J33" s="16" t="s">
        <v>139</v>
      </c>
      <c r="K33" s="14">
        <v>0</v>
      </c>
      <c r="L33" s="16">
        <v>0</v>
      </c>
      <c r="M33" s="14">
        <v>0</v>
      </c>
      <c r="N33" s="16">
        <v>0</v>
      </c>
      <c r="O33" s="14">
        <v>0</v>
      </c>
      <c r="P33" s="16">
        <v>0</v>
      </c>
      <c r="Q33" s="14">
        <v>0</v>
      </c>
      <c r="R33" s="16">
        <v>0</v>
      </c>
    </row>
    <row r="34" spans="1:18" x14ac:dyDescent="0.25">
      <c r="A34" s="11" t="s">
        <v>167</v>
      </c>
      <c r="B34" s="13">
        <v>6350</v>
      </c>
      <c r="C34" s="14">
        <f>(5404/B34*100)</f>
        <v>85.102362204724415</v>
      </c>
      <c r="D34" s="15">
        <v>946</v>
      </c>
      <c r="E34" s="14">
        <v>61.748195340000002</v>
      </c>
      <c r="F34" s="16">
        <v>1.4394922699999999</v>
      </c>
      <c r="G34" s="14">
        <v>38.251804659999998</v>
      </c>
      <c r="H34" s="16">
        <v>1.4394922699999999</v>
      </c>
      <c r="I34" s="14" t="s">
        <v>139</v>
      </c>
      <c r="J34" s="16" t="s">
        <v>139</v>
      </c>
      <c r="K34" s="14">
        <v>0</v>
      </c>
      <c r="L34" s="16">
        <v>0</v>
      </c>
      <c r="M34" s="14">
        <v>0</v>
      </c>
      <c r="N34" s="16">
        <v>0</v>
      </c>
      <c r="O34" s="14">
        <v>0</v>
      </c>
      <c r="P34" s="16">
        <v>0</v>
      </c>
      <c r="Q34" s="14">
        <v>0</v>
      </c>
      <c r="R34" s="16">
        <v>0</v>
      </c>
    </row>
    <row r="35" spans="1:18" x14ac:dyDescent="0.25">
      <c r="A35" s="11" t="s">
        <v>168</v>
      </c>
      <c r="B35" s="13">
        <v>6406</v>
      </c>
      <c r="C35" s="14">
        <f>(5350/B35*100)</f>
        <v>83.515454261629714</v>
      </c>
      <c r="D35" s="15">
        <v>1056</v>
      </c>
      <c r="E35" s="14">
        <v>54.603317599999997</v>
      </c>
      <c r="F35" s="16">
        <v>1.9297407099999999</v>
      </c>
      <c r="G35" s="14">
        <v>45.396682400000003</v>
      </c>
      <c r="H35" s="16">
        <v>1.9297407099999999</v>
      </c>
      <c r="I35" s="14" t="s">
        <v>139</v>
      </c>
      <c r="J35" s="16" t="s">
        <v>139</v>
      </c>
      <c r="K35" s="14">
        <v>0</v>
      </c>
      <c r="L35" s="16">
        <v>0</v>
      </c>
      <c r="M35" s="14">
        <v>0</v>
      </c>
      <c r="N35" s="16">
        <v>0</v>
      </c>
      <c r="O35" s="14">
        <v>0</v>
      </c>
      <c r="P35" s="16">
        <v>0</v>
      </c>
      <c r="Q35" s="14">
        <v>0</v>
      </c>
      <c r="R35" s="16">
        <v>0</v>
      </c>
    </row>
    <row r="36" spans="1:18" x14ac:dyDescent="0.25">
      <c r="A36" s="11" t="s">
        <v>169</v>
      </c>
      <c r="B36" s="13">
        <v>6736</v>
      </c>
      <c r="C36" s="14">
        <f>(5705/B36*100)</f>
        <v>84.694180522565318</v>
      </c>
      <c r="D36" s="15">
        <v>1031</v>
      </c>
      <c r="E36" s="14">
        <v>36.316696520000001</v>
      </c>
      <c r="F36" s="16">
        <v>1.58956769</v>
      </c>
      <c r="G36" s="14">
        <v>63.683303479999999</v>
      </c>
      <c r="H36" s="16">
        <v>1.58956769</v>
      </c>
      <c r="I36" s="14" t="s">
        <v>139</v>
      </c>
      <c r="J36" s="16" t="s">
        <v>139</v>
      </c>
      <c r="K36" s="14">
        <v>0</v>
      </c>
      <c r="L36" s="16">
        <v>0</v>
      </c>
      <c r="M36" s="14">
        <v>0</v>
      </c>
      <c r="N36" s="16">
        <v>0</v>
      </c>
      <c r="O36" s="14">
        <v>0</v>
      </c>
      <c r="P36" s="16">
        <v>0</v>
      </c>
      <c r="Q36" s="14">
        <v>0</v>
      </c>
      <c r="R36" s="16">
        <v>0</v>
      </c>
    </row>
    <row r="37" spans="1:18" x14ac:dyDescent="0.25">
      <c r="A37" s="11" t="s">
        <v>170</v>
      </c>
      <c r="B37" s="13">
        <v>5458</v>
      </c>
      <c r="C37" s="14">
        <f>(4588/B37*100)</f>
        <v>84.060095272993777</v>
      </c>
      <c r="D37" s="15">
        <v>870</v>
      </c>
      <c r="E37" s="14">
        <v>38.60303279</v>
      </c>
      <c r="F37" s="16">
        <v>1.8922206399999999</v>
      </c>
      <c r="G37" s="14">
        <v>61.39696721</v>
      </c>
      <c r="H37" s="16">
        <v>1.8922206399999999</v>
      </c>
      <c r="I37" s="14" t="s">
        <v>139</v>
      </c>
      <c r="J37" s="16" t="s">
        <v>139</v>
      </c>
      <c r="K37" s="14">
        <v>0</v>
      </c>
      <c r="L37" s="16">
        <v>0</v>
      </c>
      <c r="M37" s="14">
        <v>0</v>
      </c>
      <c r="N37" s="16">
        <v>0</v>
      </c>
      <c r="O37" s="14">
        <v>0</v>
      </c>
      <c r="P37" s="16">
        <v>0</v>
      </c>
      <c r="Q37" s="14">
        <v>0</v>
      </c>
      <c r="R37" s="16">
        <v>0</v>
      </c>
    </row>
    <row r="38" spans="1:18" x14ac:dyDescent="0.25">
      <c r="A38" s="11" t="s">
        <v>171</v>
      </c>
      <c r="B38" s="17" t="s">
        <v>154</v>
      </c>
      <c r="C38" s="17" t="s">
        <v>154</v>
      </c>
      <c r="D38" s="18" t="s">
        <v>154</v>
      </c>
      <c r="E38" s="17" t="s">
        <v>154</v>
      </c>
      <c r="F38" s="18" t="s">
        <v>154</v>
      </c>
      <c r="G38" s="17" t="s">
        <v>154</v>
      </c>
      <c r="H38" s="18" t="s">
        <v>154</v>
      </c>
      <c r="I38" s="17" t="s">
        <v>154</v>
      </c>
      <c r="J38" s="18" t="s">
        <v>154</v>
      </c>
      <c r="K38" s="17" t="s">
        <v>154</v>
      </c>
      <c r="L38" s="18" t="s">
        <v>154</v>
      </c>
      <c r="M38" s="17" t="s">
        <v>154</v>
      </c>
      <c r="N38" s="18" t="s">
        <v>154</v>
      </c>
      <c r="O38" s="17" t="s">
        <v>154</v>
      </c>
      <c r="P38" s="18" t="s">
        <v>154</v>
      </c>
      <c r="Q38" s="17" t="s">
        <v>154</v>
      </c>
      <c r="R38" s="18" t="s">
        <v>154</v>
      </c>
    </row>
    <row r="39" spans="1:18" x14ac:dyDescent="0.25">
      <c r="A39" s="11" t="s">
        <v>172</v>
      </c>
      <c r="B39" s="13">
        <v>5895</v>
      </c>
      <c r="C39" s="14">
        <f>(4865/B39*100)</f>
        <v>82.527565733672603</v>
      </c>
      <c r="D39" s="15">
        <v>1030</v>
      </c>
      <c r="E39" s="14">
        <v>67.675375669999994</v>
      </c>
      <c r="F39" s="16">
        <v>1.8241898700000001</v>
      </c>
      <c r="G39" s="14">
        <v>32.324624329999999</v>
      </c>
      <c r="H39" s="16">
        <v>1.8241898700000001</v>
      </c>
      <c r="I39" s="14" t="s">
        <v>139</v>
      </c>
      <c r="J39" s="16" t="s">
        <v>139</v>
      </c>
      <c r="K39" s="14">
        <v>0</v>
      </c>
      <c r="L39" s="16">
        <v>0</v>
      </c>
      <c r="M39" s="14">
        <v>0</v>
      </c>
      <c r="N39" s="16">
        <v>0</v>
      </c>
      <c r="O39" s="14">
        <v>0</v>
      </c>
      <c r="P39" s="16">
        <v>0</v>
      </c>
      <c r="Q39" s="14">
        <v>0</v>
      </c>
      <c r="R39" s="16">
        <v>0</v>
      </c>
    </row>
    <row r="40" spans="1:18" x14ac:dyDescent="0.25">
      <c r="A40" s="11" t="s">
        <v>173</v>
      </c>
      <c r="B40" s="13">
        <v>14157</v>
      </c>
      <c r="C40" s="14">
        <f>(11730/B40*100)</f>
        <v>82.856537401991943</v>
      </c>
      <c r="D40" s="15">
        <v>2427</v>
      </c>
      <c r="E40" s="14">
        <v>43.275766060000002</v>
      </c>
      <c r="F40" s="16">
        <v>1.2708607999999999</v>
      </c>
      <c r="G40" s="14">
        <v>56.724233939999998</v>
      </c>
      <c r="H40" s="16">
        <v>1.2708607999999999</v>
      </c>
      <c r="I40" s="14" t="s">
        <v>139</v>
      </c>
      <c r="J40" s="16" t="s">
        <v>139</v>
      </c>
      <c r="K40" s="14">
        <v>0</v>
      </c>
      <c r="L40" s="16">
        <v>0</v>
      </c>
      <c r="M40" s="14">
        <v>0</v>
      </c>
      <c r="N40" s="16">
        <v>0</v>
      </c>
      <c r="O40" s="14">
        <v>0</v>
      </c>
      <c r="P40" s="16">
        <v>0</v>
      </c>
      <c r="Q40" s="14">
        <v>0</v>
      </c>
      <c r="R40" s="16">
        <v>0</v>
      </c>
    </row>
    <row r="41" spans="1:18" x14ac:dyDescent="0.25">
      <c r="A41" s="11" t="s">
        <v>174</v>
      </c>
      <c r="B41" s="13">
        <v>5712</v>
      </c>
      <c r="C41" s="14">
        <f>(4814/B41*100)</f>
        <v>84.278711484593842</v>
      </c>
      <c r="D41" s="15">
        <v>898</v>
      </c>
      <c r="E41" s="14">
        <v>41.071870879999999</v>
      </c>
      <c r="F41" s="16">
        <v>1.9440142199999999</v>
      </c>
      <c r="G41" s="14">
        <v>58.928129120000001</v>
      </c>
      <c r="H41" s="16">
        <v>1.9440142199999999</v>
      </c>
      <c r="I41" s="14" t="s">
        <v>139</v>
      </c>
      <c r="J41" s="16" t="s">
        <v>139</v>
      </c>
      <c r="K41" s="14">
        <v>0</v>
      </c>
      <c r="L41" s="16">
        <v>0</v>
      </c>
      <c r="M41" s="14">
        <v>0</v>
      </c>
      <c r="N41" s="16">
        <v>0</v>
      </c>
      <c r="O41" s="14">
        <v>0</v>
      </c>
      <c r="P41" s="16">
        <v>0</v>
      </c>
      <c r="Q41" s="14">
        <v>0</v>
      </c>
      <c r="R41" s="16">
        <v>0</v>
      </c>
    </row>
    <row r="42" spans="1:18" x14ac:dyDescent="0.25">
      <c r="A42" s="11" t="s">
        <v>175</v>
      </c>
      <c r="B42" s="13">
        <f>IF(COUNT(B7:B41) &gt; 0, AVERAGE(B7:B41), "\u2014")</f>
        <v>7266.90625</v>
      </c>
      <c r="C42" s="14">
        <f>IF(COUNT(C7:C41) &gt; 0, AVERAGE(C7:C41), "—")</f>
        <v>84.026518828473272</v>
      </c>
      <c r="D42" s="15">
        <f>IF(COUNT(D7:D41) &gt; 0, AVERAGE(D7:D41), "—")</f>
        <v>1162.5625</v>
      </c>
      <c r="E42" s="14">
        <f>IF(COUNT(E7:E41) &gt; 0, AVERAGE(E7:E41), "—")</f>
        <v>47.842472201562508</v>
      </c>
      <c r="F42" s="16">
        <f>IF(COUNT(F7:F41) &gt; 0, SQRT(SUMSQ(F7:F41)/(COUNT(F7:F41)*COUNT(F7:F41)) ), "—")</f>
        <v>0.30272868997750368</v>
      </c>
      <c r="G42" s="14">
        <f>IF(COUNT(G7:G41) &gt; 0, AVERAGE(G7:G41), "—")</f>
        <v>52.157527798437492</v>
      </c>
      <c r="H42" s="16">
        <f>IF(COUNT(H7:H41) &gt; 0, SQRT(SUMSQ(H7:H41)/(COUNT(H7:H41)*COUNT(H7:H41)) ), "—")</f>
        <v>0.30272868997750368</v>
      </c>
      <c r="I42" s="14" t="str">
        <f>IF(COUNT(I7:I41) &gt; 0, AVERAGE(I7:I41), "—")</f>
        <v>—</v>
      </c>
      <c r="J42" s="16" t="str">
        <f>IF(COUNT(J7:J41) &gt; 0, SQRT(SUMSQ(J7:J41)/(COUNT(J7:J41)*COUNT(J7:J41)) ), "—")</f>
        <v>—</v>
      </c>
      <c r="K42" s="14">
        <f>IF(COUNT(K7:K41) &gt; 0, AVERAGE(K7:K41), "—")</f>
        <v>0</v>
      </c>
      <c r="L42" s="16">
        <f>IF(COUNT(L7:L41) &gt; 0, SQRT(SUMSQ(L7:L41)/(COUNT(L7:L41)*COUNT(L7:L41)) ), "—")</f>
        <v>0</v>
      </c>
      <c r="M42" s="14">
        <f>IF(COUNT(M7:M41) &gt; 0, AVERAGE(M7:M41), "—")</f>
        <v>0</v>
      </c>
      <c r="N42" s="16">
        <f>IF(COUNT(N7:N41) &gt; 0, SQRT(SUMSQ(N7:N41)/(COUNT(N7:N41)*COUNT(N7:N41)) ), "—")</f>
        <v>0</v>
      </c>
      <c r="O42" s="14">
        <f>IF(COUNT(O7:O41) &gt; 0, AVERAGE(O7:O41), "—")</f>
        <v>0</v>
      </c>
      <c r="P42" s="16">
        <f>IF(COUNT(P7:P41) &gt; 0, SQRT(SUMSQ(P7:P41)/(COUNT(P7:P41)*COUNT(P7:P41)) ), "—")</f>
        <v>0</v>
      </c>
      <c r="Q42" s="14">
        <f>IF(COUNT(Q7:Q41) &gt; 0, AVERAGE(Q7:Q41), "—")</f>
        <v>0</v>
      </c>
      <c r="R42" s="16">
        <f>IF(COUNT(R7:R41) &gt; 0, SQRT(SUMSQ(R7:R41)/(COUNT(R7:R41)*COUNT(R7:R41)) ), "—")</f>
        <v>0</v>
      </c>
    </row>
    <row r="43" spans="1:18" x14ac:dyDescent="0.25">
      <c r="A43" s="9" t="s">
        <v>176</v>
      </c>
      <c r="B43" s="10"/>
      <c r="C43" s="10"/>
      <c r="D43" s="11"/>
      <c r="E43" s="10"/>
      <c r="F43" s="11"/>
      <c r="G43" s="10"/>
      <c r="H43" s="11"/>
      <c r="I43" s="10"/>
      <c r="J43" s="11"/>
      <c r="K43" s="10"/>
      <c r="L43" s="11"/>
      <c r="M43" s="10"/>
      <c r="N43" s="11"/>
      <c r="O43" s="10"/>
      <c r="P43" s="11"/>
      <c r="Q43" s="10"/>
      <c r="R43" s="12"/>
    </row>
    <row r="44" spans="1:18" x14ac:dyDescent="0.25">
      <c r="A44" s="11" t="s">
        <v>177</v>
      </c>
      <c r="B44" s="17" t="s">
        <v>154</v>
      </c>
      <c r="C44" s="17" t="s">
        <v>154</v>
      </c>
      <c r="D44" s="18" t="s">
        <v>154</v>
      </c>
      <c r="E44" s="17" t="s">
        <v>154</v>
      </c>
      <c r="F44" s="18" t="s">
        <v>154</v>
      </c>
      <c r="G44" s="17" t="s">
        <v>154</v>
      </c>
      <c r="H44" s="18" t="s">
        <v>154</v>
      </c>
      <c r="I44" s="17" t="s">
        <v>154</v>
      </c>
      <c r="J44" s="18" t="s">
        <v>154</v>
      </c>
      <c r="K44" s="17" t="s">
        <v>154</v>
      </c>
      <c r="L44" s="18" t="s">
        <v>154</v>
      </c>
      <c r="M44" s="17" t="s">
        <v>154</v>
      </c>
      <c r="N44" s="18" t="s">
        <v>154</v>
      </c>
      <c r="O44" s="17" t="s">
        <v>154</v>
      </c>
      <c r="P44" s="18" t="s">
        <v>154</v>
      </c>
      <c r="Q44" s="17" t="s">
        <v>154</v>
      </c>
      <c r="R44" s="18" t="s">
        <v>154</v>
      </c>
    </row>
    <row r="45" spans="1:18" x14ac:dyDescent="0.25">
      <c r="A45" s="11" t="s">
        <v>178</v>
      </c>
      <c r="B45" s="17" t="s">
        <v>154</v>
      </c>
      <c r="C45" s="17" t="s">
        <v>154</v>
      </c>
      <c r="D45" s="18" t="s">
        <v>154</v>
      </c>
      <c r="E45" s="17" t="s">
        <v>154</v>
      </c>
      <c r="F45" s="18" t="s">
        <v>154</v>
      </c>
      <c r="G45" s="17" t="s">
        <v>154</v>
      </c>
      <c r="H45" s="18" t="s">
        <v>154</v>
      </c>
      <c r="I45" s="17" t="s">
        <v>154</v>
      </c>
      <c r="J45" s="18" t="s">
        <v>154</v>
      </c>
      <c r="K45" s="17" t="s">
        <v>154</v>
      </c>
      <c r="L45" s="18" t="s">
        <v>154</v>
      </c>
      <c r="M45" s="17" t="s">
        <v>154</v>
      </c>
      <c r="N45" s="18" t="s">
        <v>154</v>
      </c>
      <c r="O45" s="17" t="s">
        <v>154</v>
      </c>
      <c r="P45" s="18" t="s">
        <v>154</v>
      </c>
      <c r="Q45" s="17" t="s">
        <v>154</v>
      </c>
      <c r="R45" s="18" t="s">
        <v>154</v>
      </c>
    </row>
    <row r="46" spans="1:18" x14ac:dyDescent="0.25">
      <c r="A46" s="11" t="s">
        <v>179</v>
      </c>
      <c r="B46" s="13">
        <v>23141</v>
      </c>
      <c r="C46" s="14">
        <f>(20644/B46*100)</f>
        <v>89.209627933105736</v>
      </c>
      <c r="D46" s="15">
        <v>2497</v>
      </c>
      <c r="E46" s="14">
        <v>65.227458999999996</v>
      </c>
      <c r="F46" s="16">
        <v>1.2867853499999999</v>
      </c>
      <c r="G46" s="14">
        <v>34.772540999999997</v>
      </c>
      <c r="H46" s="16">
        <v>1.2867853499999999</v>
      </c>
      <c r="I46" s="14" t="s">
        <v>139</v>
      </c>
      <c r="J46" s="16" t="s">
        <v>139</v>
      </c>
      <c r="K46" s="14">
        <v>0</v>
      </c>
      <c r="L46" s="16">
        <v>0</v>
      </c>
      <c r="M46" s="14">
        <v>0</v>
      </c>
      <c r="N46" s="16">
        <v>0</v>
      </c>
      <c r="O46" s="14">
        <v>0</v>
      </c>
      <c r="P46" s="16">
        <v>0</v>
      </c>
      <c r="Q46" s="14">
        <v>0</v>
      </c>
      <c r="R46" s="16">
        <v>0</v>
      </c>
    </row>
    <row r="47" spans="1:18" x14ac:dyDescent="0.25">
      <c r="A47" s="11" t="s">
        <v>180</v>
      </c>
      <c r="B47" s="13">
        <v>5928</v>
      </c>
      <c r="C47" s="14">
        <f>(5035/B47*100)</f>
        <v>84.935897435897431</v>
      </c>
      <c r="D47" s="15">
        <v>893</v>
      </c>
      <c r="E47" s="14">
        <v>60.249070490000001</v>
      </c>
      <c r="F47" s="16">
        <v>1.86901509</v>
      </c>
      <c r="G47" s="14">
        <v>39.750929509999999</v>
      </c>
      <c r="H47" s="16">
        <v>1.86901509</v>
      </c>
      <c r="I47" s="14" t="s">
        <v>139</v>
      </c>
      <c r="J47" s="16" t="s">
        <v>139</v>
      </c>
      <c r="K47" s="14">
        <v>0</v>
      </c>
      <c r="L47" s="16">
        <v>0</v>
      </c>
      <c r="M47" s="14">
        <v>0</v>
      </c>
      <c r="N47" s="16">
        <v>0</v>
      </c>
      <c r="O47" s="14">
        <v>0</v>
      </c>
      <c r="P47" s="16">
        <v>0</v>
      </c>
      <c r="Q47" s="14">
        <v>0</v>
      </c>
      <c r="R47" s="16">
        <v>0</v>
      </c>
    </row>
    <row r="48" spans="1:18" x14ac:dyDescent="0.25">
      <c r="A48" s="11" t="s">
        <v>181</v>
      </c>
      <c r="B48" s="13">
        <v>9841</v>
      </c>
      <c r="C48" s="14">
        <f>(8177/B48*100)</f>
        <v>83.091149273447812</v>
      </c>
      <c r="D48" s="15">
        <v>1664</v>
      </c>
      <c r="E48" s="14">
        <v>60.784382409999999</v>
      </c>
      <c r="F48" s="16">
        <v>1.7606063700000001</v>
      </c>
      <c r="G48" s="14">
        <v>39.215617590000001</v>
      </c>
      <c r="H48" s="16">
        <v>1.7606063700000001</v>
      </c>
      <c r="I48" s="14" t="s">
        <v>139</v>
      </c>
      <c r="J48" s="16" t="s">
        <v>139</v>
      </c>
      <c r="K48" s="14">
        <v>0</v>
      </c>
      <c r="L48" s="16">
        <v>0</v>
      </c>
      <c r="M48" s="14">
        <v>0</v>
      </c>
      <c r="N48" s="16">
        <v>0</v>
      </c>
      <c r="O48" s="14">
        <v>0</v>
      </c>
      <c r="P48" s="16">
        <v>0</v>
      </c>
      <c r="Q48" s="14">
        <v>0</v>
      </c>
      <c r="R48" s="16">
        <v>0</v>
      </c>
    </row>
    <row r="49" spans="1:18" x14ac:dyDescent="0.25">
      <c r="A49" s="11" t="s">
        <v>182</v>
      </c>
      <c r="B49" s="17" t="s">
        <v>154</v>
      </c>
      <c r="C49" s="17" t="s">
        <v>154</v>
      </c>
      <c r="D49" s="18" t="s">
        <v>154</v>
      </c>
      <c r="E49" s="17" t="s">
        <v>154</v>
      </c>
      <c r="F49" s="18" t="s">
        <v>154</v>
      </c>
      <c r="G49" s="17" t="s">
        <v>154</v>
      </c>
      <c r="H49" s="18" t="s">
        <v>154</v>
      </c>
      <c r="I49" s="17" t="s">
        <v>154</v>
      </c>
      <c r="J49" s="18" t="s">
        <v>154</v>
      </c>
      <c r="K49" s="17" t="s">
        <v>154</v>
      </c>
      <c r="L49" s="18" t="s">
        <v>154</v>
      </c>
      <c r="M49" s="17" t="s">
        <v>154</v>
      </c>
      <c r="N49" s="18" t="s">
        <v>154</v>
      </c>
      <c r="O49" s="17" t="s">
        <v>154</v>
      </c>
      <c r="P49" s="18" t="s">
        <v>154</v>
      </c>
      <c r="Q49" s="17" t="s">
        <v>154</v>
      </c>
      <c r="R49" s="18" t="s">
        <v>154</v>
      </c>
    </row>
    <row r="50" spans="1:18" x14ac:dyDescent="0.25">
      <c r="A50" s="11" t="s">
        <v>183</v>
      </c>
      <c r="B50" s="13">
        <v>11795</v>
      </c>
      <c r="C50" s="14">
        <f>(10030/B50*100)</f>
        <v>85.036032217041125</v>
      </c>
      <c r="D50" s="15">
        <v>1765</v>
      </c>
      <c r="E50" s="14">
        <v>64.009318339999993</v>
      </c>
      <c r="F50" s="16">
        <v>1.4322354500000001</v>
      </c>
      <c r="G50" s="14">
        <v>35.99068166</v>
      </c>
      <c r="H50" s="16">
        <v>1.4322354500000001</v>
      </c>
      <c r="I50" s="14" t="s">
        <v>139</v>
      </c>
      <c r="J50" s="16" t="s">
        <v>139</v>
      </c>
      <c r="K50" s="14">
        <v>0</v>
      </c>
      <c r="L50" s="16">
        <v>0</v>
      </c>
      <c r="M50" s="14">
        <v>0</v>
      </c>
      <c r="N50" s="16">
        <v>0</v>
      </c>
      <c r="O50" s="14">
        <v>0</v>
      </c>
      <c r="P50" s="16">
        <v>0</v>
      </c>
      <c r="Q50" s="14">
        <v>0</v>
      </c>
      <c r="R50" s="16">
        <v>0</v>
      </c>
    </row>
    <row r="51" spans="1:18" x14ac:dyDescent="0.25">
      <c r="A51" s="11" t="s">
        <v>184</v>
      </c>
      <c r="B51" s="13">
        <v>6866</v>
      </c>
      <c r="C51" s="14">
        <f>(5964/B51*100)</f>
        <v>86.862802213807171</v>
      </c>
      <c r="D51" s="15">
        <v>902</v>
      </c>
      <c r="E51" s="14">
        <v>62.667452179999998</v>
      </c>
      <c r="F51" s="16">
        <v>1.4720158400000001</v>
      </c>
      <c r="G51" s="14">
        <v>37.332547820000002</v>
      </c>
      <c r="H51" s="16">
        <v>1.4720158400000001</v>
      </c>
      <c r="I51" s="14" t="s">
        <v>139</v>
      </c>
      <c r="J51" s="16" t="s">
        <v>139</v>
      </c>
      <c r="K51" s="14">
        <v>0</v>
      </c>
      <c r="L51" s="16">
        <v>0</v>
      </c>
      <c r="M51" s="14">
        <v>0</v>
      </c>
      <c r="N51" s="16">
        <v>0</v>
      </c>
      <c r="O51" s="14">
        <v>0</v>
      </c>
      <c r="P51" s="16">
        <v>0</v>
      </c>
      <c r="Q51" s="14">
        <v>0</v>
      </c>
      <c r="R51" s="16">
        <v>0</v>
      </c>
    </row>
    <row r="52" spans="1:18" x14ac:dyDescent="0.25">
      <c r="A52" s="11" t="s">
        <v>185</v>
      </c>
      <c r="B52" s="13">
        <v>5809</v>
      </c>
      <c r="C52" s="14">
        <f>(4863/B52*100)</f>
        <v>83.714925116198998</v>
      </c>
      <c r="D52" s="15">
        <v>946</v>
      </c>
      <c r="E52" s="14">
        <v>71.007855840000005</v>
      </c>
      <c r="F52" s="16">
        <v>1.5076776700000001</v>
      </c>
      <c r="G52" s="14">
        <v>28.992144159999999</v>
      </c>
      <c r="H52" s="16">
        <v>1.5076776700000001</v>
      </c>
      <c r="I52" s="14" t="s">
        <v>139</v>
      </c>
      <c r="J52" s="16" t="s">
        <v>139</v>
      </c>
      <c r="K52" s="14">
        <v>0</v>
      </c>
      <c r="L52" s="16">
        <v>0</v>
      </c>
      <c r="M52" s="14">
        <v>0</v>
      </c>
      <c r="N52" s="16">
        <v>0</v>
      </c>
      <c r="O52" s="14">
        <v>0</v>
      </c>
      <c r="P52" s="16">
        <v>0</v>
      </c>
      <c r="Q52" s="14">
        <v>0</v>
      </c>
      <c r="R52" s="16">
        <v>0</v>
      </c>
    </row>
    <row r="53" spans="1:18" x14ac:dyDescent="0.25">
      <c r="A53" s="11" t="s">
        <v>186</v>
      </c>
      <c r="B53" s="13">
        <v>5571</v>
      </c>
      <c r="C53" s="14">
        <f>(4653/B53*100)</f>
        <v>83.521809369951541</v>
      </c>
      <c r="D53" s="15">
        <v>918</v>
      </c>
      <c r="E53" s="14">
        <v>57.68795755</v>
      </c>
      <c r="F53" s="16">
        <v>1.7525565700000001</v>
      </c>
      <c r="G53" s="14">
        <v>42.31204245</v>
      </c>
      <c r="H53" s="16">
        <v>1.7525565700000001</v>
      </c>
      <c r="I53" s="14" t="s">
        <v>139</v>
      </c>
      <c r="J53" s="16" t="s">
        <v>139</v>
      </c>
      <c r="K53" s="14">
        <v>0</v>
      </c>
      <c r="L53" s="16">
        <v>0</v>
      </c>
      <c r="M53" s="14">
        <v>0</v>
      </c>
      <c r="N53" s="16">
        <v>0</v>
      </c>
      <c r="O53" s="14">
        <v>0</v>
      </c>
      <c r="P53" s="16">
        <v>0</v>
      </c>
      <c r="Q53" s="14">
        <v>0</v>
      </c>
      <c r="R53" s="16">
        <v>0</v>
      </c>
    </row>
    <row r="54" spans="1:18" x14ac:dyDescent="0.25">
      <c r="A54" s="11" t="s">
        <v>187</v>
      </c>
      <c r="B54" s="17" t="s">
        <v>154</v>
      </c>
      <c r="C54" s="17" t="s">
        <v>154</v>
      </c>
      <c r="D54" s="18" t="s">
        <v>154</v>
      </c>
      <c r="E54" s="17" t="s">
        <v>154</v>
      </c>
      <c r="F54" s="18" t="s">
        <v>154</v>
      </c>
      <c r="G54" s="17" t="s">
        <v>154</v>
      </c>
      <c r="H54" s="18" t="s">
        <v>154</v>
      </c>
      <c r="I54" s="17" t="s">
        <v>154</v>
      </c>
      <c r="J54" s="18" t="s">
        <v>154</v>
      </c>
      <c r="K54" s="17" t="s">
        <v>154</v>
      </c>
      <c r="L54" s="18" t="s">
        <v>154</v>
      </c>
      <c r="M54" s="17" t="s">
        <v>154</v>
      </c>
      <c r="N54" s="18" t="s">
        <v>154</v>
      </c>
      <c r="O54" s="17" t="s">
        <v>154</v>
      </c>
      <c r="P54" s="18" t="s">
        <v>154</v>
      </c>
      <c r="Q54" s="17" t="s">
        <v>154</v>
      </c>
      <c r="R54" s="18" t="s">
        <v>154</v>
      </c>
    </row>
    <row r="55" spans="1:18" x14ac:dyDescent="0.25">
      <c r="A55" s="11" t="s">
        <v>188</v>
      </c>
      <c r="B55" s="17" t="s">
        <v>154</v>
      </c>
      <c r="C55" s="17" t="s">
        <v>154</v>
      </c>
      <c r="D55" s="18" t="s">
        <v>154</v>
      </c>
      <c r="E55" s="17" t="s">
        <v>154</v>
      </c>
      <c r="F55" s="18" t="s">
        <v>154</v>
      </c>
      <c r="G55" s="17" t="s">
        <v>154</v>
      </c>
      <c r="H55" s="18" t="s">
        <v>154</v>
      </c>
      <c r="I55" s="17" t="s">
        <v>154</v>
      </c>
      <c r="J55" s="18" t="s">
        <v>154</v>
      </c>
      <c r="K55" s="17" t="s">
        <v>154</v>
      </c>
      <c r="L55" s="18" t="s">
        <v>154</v>
      </c>
      <c r="M55" s="17" t="s">
        <v>154</v>
      </c>
      <c r="N55" s="18" t="s">
        <v>154</v>
      </c>
      <c r="O55" s="17" t="s">
        <v>154</v>
      </c>
      <c r="P55" s="18" t="s">
        <v>154</v>
      </c>
      <c r="Q55" s="17" t="s">
        <v>154</v>
      </c>
      <c r="R55" s="18" t="s">
        <v>154</v>
      </c>
    </row>
    <row r="56" spans="1:18" x14ac:dyDescent="0.25">
      <c r="A56" s="11" t="s">
        <v>189</v>
      </c>
      <c r="B56" s="13">
        <v>5359</v>
      </c>
      <c r="C56" s="14">
        <f>(4430/B56*100)</f>
        <v>82.664676245568202</v>
      </c>
      <c r="D56" s="15">
        <v>929</v>
      </c>
      <c r="E56" s="14">
        <v>53.855033880000001</v>
      </c>
      <c r="F56" s="16">
        <v>1.7451465900000001</v>
      </c>
      <c r="G56" s="14">
        <v>46.144966119999999</v>
      </c>
      <c r="H56" s="16">
        <v>1.7451465900000001</v>
      </c>
      <c r="I56" s="14" t="s">
        <v>139</v>
      </c>
      <c r="J56" s="16" t="s">
        <v>139</v>
      </c>
      <c r="K56" s="14">
        <v>0</v>
      </c>
      <c r="L56" s="16">
        <v>0</v>
      </c>
      <c r="M56" s="14">
        <v>0</v>
      </c>
      <c r="N56" s="16">
        <v>0</v>
      </c>
      <c r="O56" s="14">
        <v>0</v>
      </c>
      <c r="P56" s="16">
        <v>0</v>
      </c>
      <c r="Q56" s="14">
        <v>0</v>
      </c>
      <c r="R56" s="16">
        <v>0</v>
      </c>
    </row>
    <row r="57" spans="1:18" x14ac:dyDescent="0.25">
      <c r="A57" s="11" t="s">
        <v>190</v>
      </c>
      <c r="B57" s="17" t="s">
        <v>154</v>
      </c>
      <c r="C57" s="17" t="s">
        <v>154</v>
      </c>
      <c r="D57" s="18" t="s">
        <v>154</v>
      </c>
      <c r="E57" s="17" t="s">
        <v>154</v>
      </c>
      <c r="F57" s="18" t="s">
        <v>154</v>
      </c>
      <c r="G57" s="17" t="s">
        <v>154</v>
      </c>
      <c r="H57" s="18" t="s">
        <v>154</v>
      </c>
      <c r="I57" s="17" t="s">
        <v>154</v>
      </c>
      <c r="J57" s="18" t="s">
        <v>154</v>
      </c>
      <c r="K57" s="17" t="s">
        <v>154</v>
      </c>
      <c r="L57" s="18" t="s">
        <v>154</v>
      </c>
      <c r="M57" s="17" t="s">
        <v>154</v>
      </c>
      <c r="N57" s="18" t="s">
        <v>154</v>
      </c>
      <c r="O57" s="17" t="s">
        <v>154</v>
      </c>
      <c r="P57" s="18" t="s">
        <v>154</v>
      </c>
      <c r="Q57" s="17" t="s">
        <v>154</v>
      </c>
      <c r="R57" s="18" t="s">
        <v>154</v>
      </c>
    </row>
    <row r="58" spans="1:18" x14ac:dyDescent="0.25">
      <c r="A58" s="11" t="s">
        <v>191</v>
      </c>
      <c r="B58" s="17" t="s">
        <v>154</v>
      </c>
      <c r="C58" s="17" t="s">
        <v>154</v>
      </c>
      <c r="D58" s="18" t="s">
        <v>154</v>
      </c>
      <c r="E58" s="17" t="s">
        <v>154</v>
      </c>
      <c r="F58" s="18" t="s">
        <v>154</v>
      </c>
      <c r="G58" s="17" t="s">
        <v>154</v>
      </c>
      <c r="H58" s="18" t="s">
        <v>154</v>
      </c>
      <c r="I58" s="17" t="s">
        <v>154</v>
      </c>
      <c r="J58" s="18" t="s">
        <v>154</v>
      </c>
      <c r="K58" s="17" t="s">
        <v>154</v>
      </c>
      <c r="L58" s="18" t="s">
        <v>154</v>
      </c>
      <c r="M58" s="17" t="s">
        <v>154</v>
      </c>
      <c r="N58" s="18" t="s">
        <v>154</v>
      </c>
      <c r="O58" s="17" t="s">
        <v>154</v>
      </c>
      <c r="P58" s="18" t="s">
        <v>154</v>
      </c>
      <c r="Q58" s="17" t="s">
        <v>154</v>
      </c>
      <c r="R58" s="18" t="s">
        <v>154</v>
      </c>
    </row>
    <row r="59" spans="1:18" x14ac:dyDescent="0.25">
      <c r="A59" s="11" t="s">
        <v>192</v>
      </c>
      <c r="B59" s="17" t="s">
        <v>154</v>
      </c>
      <c r="C59" s="17" t="s">
        <v>154</v>
      </c>
      <c r="D59" s="18" t="s">
        <v>154</v>
      </c>
      <c r="E59" s="17" t="s">
        <v>154</v>
      </c>
      <c r="F59" s="18" t="s">
        <v>154</v>
      </c>
      <c r="G59" s="17" t="s">
        <v>154</v>
      </c>
      <c r="H59" s="18" t="s">
        <v>154</v>
      </c>
      <c r="I59" s="17" t="s">
        <v>154</v>
      </c>
      <c r="J59" s="18" t="s">
        <v>154</v>
      </c>
      <c r="K59" s="17" t="s">
        <v>154</v>
      </c>
      <c r="L59" s="18" t="s">
        <v>154</v>
      </c>
      <c r="M59" s="17" t="s">
        <v>154</v>
      </c>
      <c r="N59" s="18" t="s">
        <v>154</v>
      </c>
      <c r="O59" s="17" t="s">
        <v>154</v>
      </c>
      <c r="P59" s="18" t="s">
        <v>154</v>
      </c>
      <c r="Q59" s="17" t="s">
        <v>154</v>
      </c>
      <c r="R59" s="18" t="s">
        <v>154</v>
      </c>
    </row>
    <row r="60" spans="1:18" x14ac:dyDescent="0.25">
      <c r="A60" s="11" t="s">
        <v>193</v>
      </c>
      <c r="B60" s="17" t="s">
        <v>154</v>
      </c>
      <c r="C60" s="17" t="s">
        <v>154</v>
      </c>
      <c r="D60" s="18" t="s">
        <v>154</v>
      </c>
      <c r="E60" s="17" t="s">
        <v>154</v>
      </c>
      <c r="F60" s="18" t="s">
        <v>154</v>
      </c>
      <c r="G60" s="17" t="s">
        <v>154</v>
      </c>
      <c r="H60" s="18" t="s">
        <v>154</v>
      </c>
      <c r="I60" s="17" t="s">
        <v>154</v>
      </c>
      <c r="J60" s="18" t="s">
        <v>154</v>
      </c>
      <c r="K60" s="17" t="s">
        <v>154</v>
      </c>
      <c r="L60" s="18" t="s">
        <v>154</v>
      </c>
      <c r="M60" s="17" t="s">
        <v>154</v>
      </c>
      <c r="N60" s="18" t="s">
        <v>154</v>
      </c>
      <c r="O60" s="17" t="s">
        <v>154</v>
      </c>
      <c r="P60" s="18" t="s">
        <v>154</v>
      </c>
      <c r="Q60" s="17" t="s">
        <v>154</v>
      </c>
      <c r="R60" s="18" t="s">
        <v>154</v>
      </c>
    </row>
    <row r="61" spans="1:18" x14ac:dyDescent="0.25">
      <c r="A61" s="11" t="s">
        <v>194</v>
      </c>
      <c r="B61" s="13">
        <v>6525</v>
      </c>
      <c r="C61" s="14">
        <f>(5465/B61*100)</f>
        <v>83.754789272030649</v>
      </c>
      <c r="D61" s="15">
        <v>1060</v>
      </c>
      <c r="E61" s="14">
        <v>55.100190980000001</v>
      </c>
      <c r="F61" s="16">
        <v>1.9629016100000001</v>
      </c>
      <c r="G61" s="14">
        <v>44.899809019999999</v>
      </c>
      <c r="H61" s="16">
        <v>1.9629016100000001</v>
      </c>
      <c r="I61" s="14" t="s">
        <v>139</v>
      </c>
      <c r="J61" s="16" t="s">
        <v>139</v>
      </c>
      <c r="K61" s="14">
        <v>0</v>
      </c>
      <c r="L61" s="16">
        <v>0</v>
      </c>
      <c r="M61" s="14">
        <v>0</v>
      </c>
      <c r="N61" s="16">
        <v>0</v>
      </c>
      <c r="O61" s="14">
        <v>0</v>
      </c>
      <c r="P61" s="16">
        <v>0</v>
      </c>
      <c r="Q61" s="14">
        <v>0</v>
      </c>
      <c r="R61" s="16">
        <v>0</v>
      </c>
    </row>
    <row r="62" spans="1:18" x14ac:dyDescent="0.25">
      <c r="A62" s="11" t="s">
        <v>195</v>
      </c>
      <c r="B62" s="13">
        <v>4476</v>
      </c>
      <c r="C62" s="14">
        <f>(3763/B62*100)</f>
        <v>84.070598748882929</v>
      </c>
      <c r="D62" s="15">
        <v>713</v>
      </c>
      <c r="E62" s="14">
        <v>53.072856199999997</v>
      </c>
      <c r="F62" s="16">
        <v>2.11623318</v>
      </c>
      <c r="G62" s="14">
        <v>46.927143800000003</v>
      </c>
      <c r="H62" s="16">
        <v>2.11623318</v>
      </c>
      <c r="I62" s="14" t="s">
        <v>139</v>
      </c>
      <c r="J62" s="16" t="s">
        <v>139</v>
      </c>
      <c r="K62" s="14">
        <v>0</v>
      </c>
      <c r="L62" s="16">
        <v>0</v>
      </c>
      <c r="M62" s="14">
        <v>0</v>
      </c>
      <c r="N62" s="16">
        <v>0</v>
      </c>
      <c r="O62" s="14">
        <v>0</v>
      </c>
      <c r="P62" s="16">
        <v>0</v>
      </c>
      <c r="Q62" s="14">
        <v>0</v>
      </c>
      <c r="R62" s="16">
        <v>0</v>
      </c>
    </row>
    <row r="63" spans="1:18" x14ac:dyDescent="0.25">
      <c r="A63" s="11" t="s">
        <v>196</v>
      </c>
      <c r="B63" s="17" t="s">
        <v>154</v>
      </c>
      <c r="C63" s="17" t="s">
        <v>154</v>
      </c>
      <c r="D63" s="18" t="s">
        <v>154</v>
      </c>
      <c r="E63" s="17" t="s">
        <v>154</v>
      </c>
      <c r="F63" s="18" t="s">
        <v>154</v>
      </c>
      <c r="G63" s="17" t="s">
        <v>154</v>
      </c>
      <c r="H63" s="18" t="s">
        <v>154</v>
      </c>
      <c r="I63" s="17" t="s">
        <v>154</v>
      </c>
      <c r="J63" s="18" t="s">
        <v>154</v>
      </c>
      <c r="K63" s="17" t="s">
        <v>154</v>
      </c>
      <c r="L63" s="18" t="s">
        <v>154</v>
      </c>
      <c r="M63" s="17" t="s">
        <v>154</v>
      </c>
      <c r="N63" s="18" t="s">
        <v>154</v>
      </c>
      <c r="O63" s="17" t="s">
        <v>154</v>
      </c>
      <c r="P63" s="18" t="s">
        <v>154</v>
      </c>
      <c r="Q63" s="17" t="s">
        <v>154</v>
      </c>
      <c r="R63" s="18" t="s">
        <v>154</v>
      </c>
    </row>
    <row r="64" spans="1:18" x14ac:dyDescent="0.25">
      <c r="A64" s="11" t="s">
        <v>197</v>
      </c>
      <c r="B64" s="17" t="s">
        <v>154</v>
      </c>
      <c r="C64" s="17" t="s">
        <v>154</v>
      </c>
      <c r="D64" s="18" t="s">
        <v>154</v>
      </c>
      <c r="E64" s="17" t="s">
        <v>154</v>
      </c>
      <c r="F64" s="18" t="s">
        <v>154</v>
      </c>
      <c r="G64" s="17" t="s">
        <v>154</v>
      </c>
      <c r="H64" s="18" t="s">
        <v>154</v>
      </c>
      <c r="I64" s="17" t="s">
        <v>154</v>
      </c>
      <c r="J64" s="18" t="s">
        <v>154</v>
      </c>
      <c r="K64" s="17" t="s">
        <v>154</v>
      </c>
      <c r="L64" s="18" t="s">
        <v>154</v>
      </c>
      <c r="M64" s="17" t="s">
        <v>154</v>
      </c>
      <c r="N64" s="18" t="s">
        <v>154</v>
      </c>
      <c r="O64" s="17" t="s">
        <v>154</v>
      </c>
      <c r="P64" s="18" t="s">
        <v>154</v>
      </c>
      <c r="Q64" s="17" t="s">
        <v>154</v>
      </c>
      <c r="R64" s="18" t="s">
        <v>154</v>
      </c>
    </row>
    <row r="65" spans="1:18" x14ac:dyDescent="0.25">
      <c r="A65" s="11" t="s">
        <v>198</v>
      </c>
      <c r="B65" s="17" t="s">
        <v>154</v>
      </c>
      <c r="C65" s="17" t="s">
        <v>154</v>
      </c>
      <c r="D65" s="18" t="s">
        <v>154</v>
      </c>
      <c r="E65" s="17" t="s">
        <v>154</v>
      </c>
      <c r="F65" s="18" t="s">
        <v>154</v>
      </c>
      <c r="G65" s="17" t="s">
        <v>154</v>
      </c>
      <c r="H65" s="18" t="s">
        <v>154</v>
      </c>
      <c r="I65" s="17" t="s">
        <v>154</v>
      </c>
      <c r="J65" s="18" t="s">
        <v>154</v>
      </c>
      <c r="K65" s="17" t="s">
        <v>154</v>
      </c>
      <c r="L65" s="18" t="s">
        <v>154</v>
      </c>
      <c r="M65" s="17" t="s">
        <v>154</v>
      </c>
      <c r="N65" s="18" t="s">
        <v>154</v>
      </c>
      <c r="O65" s="17" t="s">
        <v>154</v>
      </c>
      <c r="P65" s="18" t="s">
        <v>154</v>
      </c>
      <c r="Q65" s="17" t="s">
        <v>154</v>
      </c>
      <c r="R65" s="18" t="s">
        <v>154</v>
      </c>
    </row>
    <row r="66" spans="1:18" x14ac:dyDescent="0.25">
      <c r="A66" s="11" t="s">
        <v>199</v>
      </c>
      <c r="B66" s="13">
        <v>5665</v>
      </c>
      <c r="C66" s="14">
        <f>(4776/B66*100)</f>
        <v>84.307149161518097</v>
      </c>
      <c r="D66" s="15">
        <v>889</v>
      </c>
      <c r="E66" s="14">
        <v>81.427509850000007</v>
      </c>
      <c r="F66" s="16">
        <v>1.4353007499999999</v>
      </c>
      <c r="G66" s="14">
        <v>18.57249015</v>
      </c>
      <c r="H66" s="16">
        <v>1.4353007499999999</v>
      </c>
      <c r="I66" s="14" t="s">
        <v>139</v>
      </c>
      <c r="J66" s="16" t="s">
        <v>139</v>
      </c>
      <c r="K66" s="14">
        <v>0</v>
      </c>
      <c r="L66" s="16">
        <v>0</v>
      </c>
      <c r="M66" s="14">
        <v>0</v>
      </c>
      <c r="N66" s="16">
        <v>0</v>
      </c>
      <c r="O66" s="14">
        <v>0</v>
      </c>
      <c r="P66" s="16">
        <v>0</v>
      </c>
      <c r="Q66" s="14">
        <v>0</v>
      </c>
      <c r="R66" s="16">
        <v>0</v>
      </c>
    </row>
    <row r="67" spans="1:18" x14ac:dyDescent="0.25">
      <c r="A67" s="11" t="s">
        <v>200</v>
      </c>
      <c r="B67" s="13">
        <v>6971</v>
      </c>
      <c r="C67" s="14">
        <f>(6110/B67*100)</f>
        <v>87.648830870750245</v>
      </c>
      <c r="D67" s="15">
        <v>861</v>
      </c>
      <c r="E67" s="14">
        <v>58.235517979999997</v>
      </c>
      <c r="F67" s="16">
        <v>1.71668095</v>
      </c>
      <c r="G67" s="14">
        <v>41.764482020000003</v>
      </c>
      <c r="H67" s="16">
        <v>1.71668095</v>
      </c>
      <c r="I67" s="14" t="s">
        <v>139</v>
      </c>
      <c r="J67" s="16" t="s">
        <v>139</v>
      </c>
      <c r="K67" s="14">
        <v>0</v>
      </c>
      <c r="L67" s="16">
        <v>0</v>
      </c>
      <c r="M67" s="14">
        <v>0</v>
      </c>
      <c r="N67" s="16">
        <v>0</v>
      </c>
      <c r="O67" s="14">
        <v>0</v>
      </c>
      <c r="P67" s="16">
        <v>0</v>
      </c>
      <c r="Q67" s="14">
        <v>0</v>
      </c>
      <c r="R67" s="16">
        <v>0</v>
      </c>
    </row>
    <row r="68" spans="1:18" x14ac:dyDescent="0.25">
      <c r="A68" s="11" t="s">
        <v>201</v>
      </c>
      <c r="B68" s="17" t="s">
        <v>154</v>
      </c>
      <c r="C68" s="17" t="s">
        <v>154</v>
      </c>
      <c r="D68" s="18" t="s">
        <v>154</v>
      </c>
      <c r="E68" s="17" t="s">
        <v>154</v>
      </c>
      <c r="F68" s="18" t="s">
        <v>154</v>
      </c>
      <c r="G68" s="17" t="s">
        <v>154</v>
      </c>
      <c r="H68" s="18" t="s">
        <v>154</v>
      </c>
      <c r="I68" s="17" t="s">
        <v>154</v>
      </c>
      <c r="J68" s="18" t="s">
        <v>154</v>
      </c>
      <c r="K68" s="17" t="s">
        <v>154</v>
      </c>
      <c r="L68" s="18" t="s">
        <v>154</v>
      </c>
      <c r="M68" s="17" t="s">
        <v>154</v>
      </c>
      <c r="N68" s="18" t="s">
        <v>154</v>
      </c>
      <c r="O68" s="17" t="s">
        <v>154</v>
      </c>
      <c r="P68" s="18" t="s">
        <v>154</v>
      </c>
      <c r="Q68" s="17" t="s">
        <v>154</v>
      </c>
      <c r="R68" s="18" t="s">
        <v>154</v>
      </c>
    </row>
    <row r="69" spans="1:18" x14ac:dyDescent="0.25">
      <c r="A69" s="11" t="s">
        <v>202</v>
      </c>
      <c r="B69" s="17" t="s">
        <v>154</v>
      </c>
      <c r="C69" s="17" t="s">
        <v>154</v>
      </c>
      <c r="D69" s="18" t="s">
        <v>154</v>
      </c>
      <c r="E69" s="17" t="s">
        <v>154</v>
      </c>
      <c r="F69" s="18" t="s">
        <v>154</v>
      </c>
      <c r="G69" s="17" t="s">
        <v>154</v>
      </c>
      <c r="H69" s="18" t="s">
        <v>154</v>
      </c>
      <c r="I69" s="17" t="s">
        <v>154</v>
      </c>
      <c r="J69" s="18" t="s">
        <v>154</v>
      </c>
      <c r="K69" s="17" t="s">
        <v>154</v>
      </c>
      <c r="L69" s="18" t="s">
        <v>154</v>
      </c>
      <c r="M69" s="17" t="s">
        <v>154</v>
      </c>
      <c r="N69" s="18" t="s">
        <v>154</v>
      </c>
      <c r="O69" s="17" t="s">
        <v>154</v>
      </c>
      <c r="P69" s="18" t="s">
        <v>154</v>
      </c>
      <c r="Q69" s="17" t="s">
        <v>154</v>
      </c>
      <c r="R69" s="18" t="s">
        <v>154</v>
      </c>
    </row>
    <row r="70" spans="1:18" x14ac:dyDescent="0.25">
      <c r="A70" s="11" t="s">
        <v>203</v>
      </c>
      <c r="B70" s="13">
        <v>6036</v>
      </c>
      <c r="C70" s="14">
        <f>(5082/B70*100)</f>
        <v>84.194831013916499</v>
      </c>
      <c r="D70" s="15">
        <v>954</v>
      </c>
      <c r="E70" s="14">
        <v>44.754814840000002</v>
      </c>
      <c r="F70" s="16">
        <v>1.98662107</v>
      </c>
      <c r="G70" s="14">
        <v>55.245185159999998</v>
      </c>
      <c r="H70" s="16">
        <v>1.98662107</v>
      </c>
      <c r="I70" s="14" t="s">
        <v>139</v>
      </c>
      <c r="J70" s="16" t="s">
        <v>139</v>
      </c>
      <c r="K70" s="14">
        <v>0</v>
      </c>
      <c r="L70" s="16">
        <v>0</v>
      </c>
      <c r="M70" s="14">
        <v>0</v>
      </c>
      <c r="N70" s="16">
        <v>0</v>
      </c>
      <c r="O70" s="14">
        <v>0</v>
      </c>
      <c r="P70" s="16">
        <v>0</v>
      </c>
      <c r="Q70" s="14">
        <v>0</v>
      </c>
      <c r="R70" s="16">
        <v>0</v>
      </c>
    </row>
    <row r="71" spans="1:18" x14ac:dyDescent="0.25">
      <c r="A71" s="11" t="s">
        <v>204</v>
      </c>
      <c r="B71" s="17" t="s">
        <v>154</v>
      </c>
      <c r="C71" s="17" t="s">
        <v>154</v>
      </c>
      <c r="D71" s="18" t="s">
        <v>154</v>
      </c>
      <c r="E71" s="17" t="s">
        <v>154</v>
      </c>
      <c r="F71" s="18" t="s">
        <v>154</v>
      </c>
      <c r="G71" s="17" t="s">
        <v>154</v>
      </c>
      <c r="H71" s="18" t="s">
        <v>154</v>
      </c>
      <c r="I71" s="17" t="s">
        <v>154</v>
      </c>
      <c r="J71" s="18" t="s">
        <v>154</v>
      </c>
      <c r="K71" s="17" t="s">
        <v>154</v>
      </c>
      <c r="L71" s="18" t="s">
        <v>154</v>
      </c>
      <c r="M71" s="17" t="s">
        <v>154</v>
      </c>
      <c r="N71" s="18" t="s">
        <v>154</v>
      </c>
      <c r="O71" s="17" t="s">
        <v>154</v>
      </c>
      <c r="P71" s="18" t="s">
        <v>154</v>
      </c>
      <c r="Q71" s="17" t="s">
        <v>154</v>
      </c>
      <c r="R71" s="18" t="s">
        <v>154</v>
      </c>
    </row>
    <row r="72" spans="1:18" x14ac:dyDescent="0.25">
      <c r="A72" s="11" t="s">
        <v>205</v>
      </c>
      <c r="B72" s="13">
        <v>7708</v>
      </c>
      <c r="C72" s="14">
        <f>(6398/B72*100)</f>
        <v>83.00467047223664</v>
      </c>
      <c r="D72" s="15">
        <v>1310</v>
      </c>
      <c r="E72" s="14">
        <v>41.16058288</v>
      </c>
      <c r="F72" s="16">
        <v>1.5718203100000001</v>
      </c>
      <c r="G72" s="14">
        <v>58.83941712</v>
      </c>
      <c r="H72" s="16">
        <v>1.5718203100000001</v>
      </c>
      <c r="I72" s="14" t="s">
        <v>139</v>
      </c>
      <c r="J72" s="16" t="s">
        <v>139</v>
      </c>
      <c r="K72" s="14">
        <v>0</v>
      </c>
      <c r="L72" s="16">
        <v>0</v>
      </c>
      <c r="M72" s="14">
        <v>0</v>
      </c>
      <c r="N72" s="16">
        <v>0</v>
      </c>
      <c r="O72" s="14">
        <v>0</v>
      </c>
      <c r="P72" s="16">
        <v>0</v>
      </c>
      <c r="Q72" s="14">
        <v>0</v>
      </c>
      <c r="R72" s="16">
        <v>0</v>
      </c>
    </row>
    <row r="73" spans="1:18" x14ac:dyDescent="0.25">
      <c r="A73" s="11" t="s">
        <v>206</v>
      </c>
      <c r="B73" s="13">
        <v>8249</v>
      </c>
      <c r="C73" s="14">
        <f>(7012/B73*100)</f>
        <v>85.004242938537999</v>
      </c>
      <c r="D73" s="15">
        <v>1237</v>
      </c>
      <c r="E73" s="14">
        <v>64.064417169999999</v>
      </c>
      <c r="F73" s="16">
        <v>1.76464719</v>
      </c>
      <c r="G73" s="14">
        <v>35.935582830000001</v>
      </c>
      <c r="H73" s="16">
        <v>1.76464719</v>
      </c>
      <c r="I73" s="14" t="s">
        <v>139</v>
      </c>
      <c r="J73" s="16" t="s">
        <v>139</v>
      </c>
      <c r="K73" s="14">
        <v>0</v>
      </c>
      <c r="L73" s="16">
        <v>0</v>
      </c>
      <c r="M73" s="14">
        <v>0</v>
      </c>
      <c r="N73" s="16">
        <v>0</v>
      </c>
      <c r="O73" s="14">
        <v>0</v>
      </c>
      <c r="P73" s="16">
        <v>0</v>
      </c>
      <c r="Q73" s="14">
        <v>0</v>
      </c>
      <c r="R73" s="16">
        <v>0</v>
      </c>
    </row>
    <row r="74" spans="1:18" x14ac:dyDescent="0.25">
      <c r="A74" s="11" t="s">
        <v>207</v>
      </c>
      <c r="B74" s="17" t="s">
        <v>154</v>
      </c>
      <c r="C74" s="17" t="s">
        <v>154</v>
      </c>
      <c r="D74" s="18" t="s">
        <v>154</v>
      </c>
      <c r="E74" s="17" t="s">
        <v>154</v>
      </c>
      <c r="F74" s="18" t="s">
        <v>154</v>
      </c>
      <c r="G74" s="17" t="s">
        <v>154</v>
      </c>
      <c r="H74" s="18" t="s">
        <v>154</v>
      </c>
      <c r="I74" s="17" t="s">
        <v>154</v>
      </c>
      <c r="J74" s="18" t="s">
        <v>154</v>
      </c>
      <c r="K74" s="17" t="s">
        <v>154</v>
      </c>
      <c r="L74" s="18" t="s">
        <v>154</v>
      </c>
      <c r="M74" s="17" t="s">
        <v>154</v>
      </c>
      <c r="N74" s="18" t="s">
        <v>154</v>
      </c>
      <c r="O74" s="17" t="s">
        <v>154</v>
      </c>
      <c r="P74" s="18" t="s">
        <v>154</v>
      </c>
      <c r="Q74" s="17" t="s">
        <v>154</v>
      </c>
      <c r="R74" s="18" t="s">
        <v>154</v>
      </c>
    </row>
    <row r="75" spans="1:18" x14ac:dyDescent="0.25">
      <c r="A75" s="11" t="s">
        <v>208</v>
      </c>
      <c r="B75" s="13">
        <v>5375</v>
      </c>
      <c r="C75" s="14">
        <f>(4627/B75*100)</f>
        <v>86.083720930232559</v>
      </c>
      <c r="D75" s="15">
        <v>748</v>
      </c>
      <c r="E75" s="14">
        <v>80.681757480000002</v>
      </c>
      <c r="F75" s="16">
        <v>1.3595754600000001</v>
      </c>
      <c r="G75" s="14">
        <v>19.318242519999998</v>
      </c>
      <c r="H75" s="16">
        <v>1.3595754600000001</v>
      </c>
      <c r="I75" s="14" t="s">
        <v>139</v>
      </c>
      <c r="J75" s="16" t="s">
        <v>139</v>
      </c>
      <c r="K75" s="14">
        <v>0</v>
      </c>
      <c r="L75" s="16">
        <v>0</v>
      </c>
      <c r="M75" s="14">
        <v>0</v>
      </c>
      <c r="N75" s="16">
        <v>0</v>
      </c>
      <c r="O75" s="14">
        <v>0</v>
      </c>
      <c r="P75" s="16">
        <v>0</v>
      </c>
      <c r="Q75" s="14">
        <v>0</v>
      </c>
      <c r="R75" s="16">
        <v>0</v>
      </c>
    </row>
    <row r="76" spans="1:18" x14ac:dyDescent="0.25">
      <c r="A76" s="11" t="s">
        <v>209</v>
      </c>
      <c r="B76" s="13">
        <v>14167</v>
      </c>
      <c r="C76" s="14">
        <f>(11765/B76*100)</f>
        <v>83.045104821063035</v>
      </c>
      <c r="D76" s="15">
        <v>2402</v>
      </c>
      <c r="E76" s="14">
        <v>75.412538150000003</v>
      </c>
      <c r="F76" s="16">
        <v>1.13848759</v>
      </c>
      <c r="G76" s="14">
        <v>24.58746185</v>
      </c>
      <c r="H76" s="16">
        <v>1.13848759</v>
      </c>
      <c r="I76" s="14" t="s">
        <v>139</v>
      </c>
      <c r="J76" s="16" t="s">
        <v>139</v>
      </c>
      <c r="K76" s="14">
        <v>0</v>
      </c>
      <c r="L76" s="16">
        <v>0</v>
      </c>
      <c r="M76" s="14">
        <v>0</v>
      </c>
      <c r="N76" s="16">
        <v>0</v>
      </c>
      <c r="O76" s="14">
        <v>0</v>
      </c>
      <c r="P76" s="16">
        <v>0</v>
      </c>
      <c r="Q76" s="14">
        <v>0</v>
      </c>
      <c r="R76" s="16">
        <v>0</v>
      </c>
    </row>
    <row r="77" spans="1:18" x14ac:dyDescent="0.25">
      <c r="A77" s="11" t="s">
        <v>210</v>
      </c>
      <c r="B77" s="13">
        <v>6062</v>
      </c>
      <c r="C77" s="14">
        <f>(5128/B77*100)</f>
        <v>84.592543714945563</v>
      </c>
      <c r="D77" s="15">
        <v>934</v>
      </c>
      <c r="E77" s="14">
        <v>56.681823000000001</v>
      </c>
      <c r="F77" s="16">
        <v>2.1115129600000002</v>
      </c>
      <c r="G77" s="14">
        <v>43.318176999999999</v>
      </c>
      <c r="H77" s="16">
        <v>2.1115129600000002</v>
      </c>
      <c r="I77" s="14" t="s">
        <v>139</v>
      </c>
      <c r="J77" s="16" t="s">
        <v>139</v>
      </c>
      <c r="K77" s="14">
        <v>0</v>
      </c>
      <c r="L77" s="16">
        <v>0</v>
      </c>
      <c r="M77" s="14">
        <v>0</v>
      </c>
      <c r="N77" s="16">
        <v>0</v>
      </c>
      <c r="O77" s="14">
        <v>0</v>
      </c>
      <c r="P77" s="16">
        <v>0</v>
      </c>
      <c r="Q77" s="14">
        <v>0</v>
      </c>
      <c r="R77" s="16">
        <v>0</v>
      </c>
    </row>
    <row r="78" spans="1:18" x14ac:dyDescent="0.25">
      <c r="A78" s="11" t="s">
        <v>211</v>
      </c>
      <c r="B78" s="17" t="s">
        <v>154</v>
      </c>
      <c r="C78" s="17" t="s">
        <v>154</v>
      </c>
      <c r="D78" s="18" t="s">
        <v>154</v>
      </c>
      <c r="E78" s="17" t="s">
        <v>154</v>
      </c>
      <c r="F78" s="18" t="s">
        <v>154</v>
      </c>
      <c r="G78" s="17" t="s">
        <v>154</v>
      </c>
      <c r="H78" s="18" t="s">
        <v>154</v>
      </c>
      <c r="I78" s="17" t="s">
        <v>154</v>
      </c>
      <c r="J78" s="18" t="s">
        <v>154</v>
      </c>
      <c r="K78" s="17" t="s">
        <v>154</v>
      </c>
      <c r="L78" s="18" t="s">
        <v>154</v>
      </c>
      <c r="M78" s="17" t="s">
        <v>154</v>
      </c>
      <c r="N78" s="18" t="s">
        <v>154</v>
      </c>
      <c r="O78" s="17" t="s">
        <v>154</v>
      </c>
      <c r="P78" s="18" t="s">
        <v>154</v>
      </c>
      <c r="Q78" s="17" t="s">
        <v>154</v>
      </c>
      <c r="R78" s="18" t="s">
        <v>154</v>
      </c>
    </row>
    <row r="79" spans="1:18" ht="24.95" customHeight="1" x14ac:dyDescent="0.25">
      <c r="A79" s="11" t="s">
        <v>212</v>
      </c>
      <c r="B79" s="17" t="s">
        <v>154</v>
      </c>
      <c r="C79" s="17" t="s">
        <v>154</v>
      </c>
      <c r="D79" s="18" t="s">
        <v>154</v>
      </c>
      <c r="E79" s="17" t="s">
        <v>154</v>
      </c>
      <c r="F79" s="18" t="s">
        <v>154</v>
      </c>
      <c r="G79" s="17" t="s">
        <v>154</v>
      </c>
      <c r="H79" s="18" t="s">
        <v>154</v>
      </c>
      <c r="I79" s="17" t="s">
        <v>154</v>
      </c>
      <c r="J79" s="18" t="s">
        <v>154</v>
      </c>
      <c r="K79" s="17" t="s">
        <v>154</v>
      </c>
      <c r="L79" s="18" t="s">
        <v>154</v>
      </c>
      <c r="M79" s="17" t="s">
        <v>154</v>
      </c>
      <c r="N79" s="18" t="s">
        <v>154</v>
      </c>
      <c r="O79" s="17" t="s">
        <v>154</v>
      </c>
      <c r="P79" s="18" t="s">
        <v>154</v>
      </c>
      <c r="Q79" s="17" t="s">
        <v>154</v>
      </c>
      <c r="R79" s="18" t="s">
        <v>154</v>
      </c>
    </row>
    <row r="80" spans="1:18" x14ac:dyDescent="0.25">
      <c r="A80" s="11" t="s">
        <v>213</v>
      </c>
      <c r="B80" s="17" t="s">
        <v>154</v>
      </c>
      <c r="C80" s="17" t="s">
        <v>154</v>
      </c>
      <c r="D80" s="18" t="s">
        <v>154</v>
      </c>
      <c r="E80" s="17" t="s">
        <v>154</v>
      </c>
      <c r="F80" s="18" t="s">
        <v>154</v>
      </c>
      <c r="G80" s="17" t="s">
        <v>154</v>
      </c>
      <c r="H80" s="18" t="s">
        <v>154</v>
      </c>
      <c r="I80" s="17" t="s">
        <v>154</v>
      </c>
      <c r="J80" s="18" t="s">
        <v>154</v>
      </c>
      <c r="K80" s="17" t="s">
        <v>154</v>
      </c>
      <c r="L80" s="18" t="s">
        <v>154</v>
      </c>
      <c r="M80" s="17" t="s">
        <v>154</v>
      </c>
      <c r="N80" s="18" t="s">
        <v>154</v>
      </c>
      <c r="O80" s="17" t="s">
        <v>154</v>
      </c>
      <c r="P80" s="18" t="s">
        <v>154</v>
      </c>
      <c r="Q80" s="17" t="s">
        <v>154</v>
      </c>
      <c r="R80" s="18" t="s">
        <v>154</v>
      </c>
    </row>
    <row r="81" spans="1:18" x14ac:dyDescent="0.25">
      <c r="A81" s="19" t="s">
        <v>214</v>
      </c>
      <c r="B81" s="13">
        <v>8861</v>
      </c>
      <c r="C81" s="14">
        <f>(7408/B81*100)</f>
        <v>83.602302223225365</v>
      </c>
      <c r="D81" s="15">
        <v>1453</v>
      </c>
      <c r="E81" s="14">
        <v>60.471056670000003</v>
      </c>
      <c r="F81" s="16">
        <v>1.43152843</v>
      </c>
      <c r="G81" s="14">
        <v>39.528943329999997</v>
      </c>
      <c r="H81" s="16">
        <v>1.43152843</v>
      </c>
      <c r="I81" s="14" t="s">
        <v>139</v>
      </c>
      <c r="J81" s="16" t="s">
        <v>139</v>
      </c>
      <c r="K81" s="14">
        <v>0</v>
      </c>
      <c r="L81" s="16">
        <v>0</v>
      </c>
      <c r="M81" s="14">
        <v>0</v>
      </c>
      <c r="N81" s="16">
        <v>0</v>
      </c>
      <c r="O81" s="14">
        <v>0</v>
      </c>
      <c r="P81" s="16">
        <v>0</v>
      </c>
      <c r="Q81" s="14">
        <v>0</v>
      </c>
      <c r="R81" s="16">
        <v>0</v>
      </c>
    </row>
    <row r="82" spans="1:18" x14ac:dyDescent="0.25">
      <c r="A82" s="20"/>
      <c r="B82" s="20" t="s">
        <v>215</v>
      </c>
      <c r="C82" s="20" t="s">
        <v>215</v>
      </c>
      <c r="D82" s="20" t="s">
        <v>215</v>
      </c>
      <c r="E82" s="20" t="s">
        <v>215</v>
      </c>
      <c r="F82" s="20" t="s">
        <v>215</v>
      </c>
      <c r="G82" s="20" t="s">
        <v>215</v>
      </c>
      <c r="H82" s="20" t="s">
        <v>215</v>
      </c>
      <c r="I82" s="20" t="s">
        <v>215</v>
      </c>
      <c r="J82" s="20" t="s">
        <v>215</v>
      </c>
      <c r="K82" s="20" t="s">
        <v>215</v>
      </c>
      <c r="L82" s="20" t="s">
        <v>215</v>
      </c>
      <c r="M82" s="20" t="s">
        <v>215</v>
      </c>
      <c r="N82" s="20" t="s">
        <v>215</v>
      </c>
      <c r="O82" s="20" t="s">
        <v>215</v>
      </c>
      <c r="P82" s="20" t="s">
        <v>215</v>
      </c>
      <c r="Q82" s="20" t="s">
        <v>215</v>
      </c>
      <c r="R82" s="20" t="s">
        <v>215</v>
      </c>
    </row>
    <row r="83" spans="1:18" x14ac:dyDescent="0.25">
      <c r="A83" s="3" t="s">
        <v>216</v>
      </c>
    </row>
    <row r="84" spans="1:18" x14ac:dyDescent="0.25">
      <c r="A84" s="22" t="s">
        <v>217</v>
      </c>
      <c r="B84" s="23"/>
      <c r="C84" s="23"/>
      <c r="D84" s="23"/>
      <c r="E84" s="23"/>
      <c r="F84" s="23"/>
      <c r="G84" s="23"/>
      <c r="H84" s="23"/>
      <c r="I84" s="23"/>
      <c r="J84" s="23"/>
      <c r="K84" s="23"/>
      <c r="L84" s="23"/>
      <c r="M84" s="23"/>
      <c r="N84" s="23"/>
      <c r="O84" s="23"/>
      <c r="P84" s="23"/>
      <c r="Q84" s="23"/>
      <c r="R84" s="23"/>
    </row>
    <row r="85" spans="1:18" x14ac:dyDescent="0.25">
      <c r="A85" s="22" t="s">
        <v>218</v>
      </c>
      <c r="B85" s="23"/>
      <c r="C85" s="23"/>
      <c r="D85" s="23"/>
      <c r="E85" s="23"/>
      <c r="F85" s="23"/>
      <c r="G85" s="23"/>
      <c r="H85" s="23"/>
      <c r="I85" s="23"/>
      <c r="J85" s="23"/>
      <c r="K85" s="23"/>
      <c r="L85" s="23"/>
      <c r="M85" s="23"/>
      <c r="N85" s="23"/>
      <c r="O85" s="23"/>
      <c r="P85" s="23"/>
      <c r="Q85" s="23"/>
      <c r="R85" s="23"/>
    </row>
    <row r="86" spans="1:18" ht="30" customHeight="1" x14ac:dyDescent="0.25">
      <c r="A86" s="22" t="s">
        <v>219</v>
      </c>
      <c r="B86" s="23"/>
      <c r="C86" s="23"/>
      <c r="D86" s="23"/>
      <c r="E86" s="23"/>
      <c r="F86" s="23"/>
      <c r="G86" s="23"/>
      <c r="H86" s="23"/>
      <c r="I86" s="23"/>
      <c r="J86" s="23"/>
      <c r="K86" s="23"/>
      <c r="L86" s="23"/>
      <c r="M86" s="23"/>
      <c r="N86" s="23"/>
      <c r="O86" s="23"/>
      <c r="P86" s="23"/>
      <c r="Q86" s="23"/>
      <c r="R86" s="23"/>
    </row>
    <row r="87" spans="1:18" ht="30" customHeight="1" x14ac:dyDescent="0.25">
      <c r="A87" s="22" t="s">
        <v>215</v>
      </c>
      <c r="B87" s="23"/>
      <c r="C87" s="23"/>
      <c r="D87" s="23"/>
      <c r="E87" s="23"/>
      <c r="F87" s="23"/>
      <c r="G87" s="23"/>
      <c r="H87" s="23"/>
      <c r="I87" s="23"/>
      <c r="J87" s="23"/>
      <c r="K87" s="23"/>
      <c r="L87" s="23"/>
      <c r="M87" s="23"/>
      <c r="N87" s="23"/>
      <c r="O87" s="23"/>
      <c r="P87" s="23"/>
      <c r="Q87" s="23"/>
      <c r="R87" s="23"/>
    </row>
    <row r="88" spans="1:18" ht="30" customHeight="1" x14ac:dyDescent="0.25">
      <c r="A88" s="22" t="s">
        <v>220</v>
      </c>
      <c r="B88" s="23"/>
      <c r="C88" s="23"/>
      <c r="D88" s="23"/>
      <c r="E88" s="23"/>
      <c r="F88" s="23"/>
      <c r="G88" s="23"/>
      <c r="H88" s="23"/>
      <c r="I88" s="23"/>
      <c r="J88" s="23"/>
      <c r="K88" s="23"/>
      <c r="L88" s="23"/>
      <c r="M88" s="23"/>
      <c r="N88" s="23"/>
      <c r="O88" s="23"/>
      <c r="P88" s="23"/>
      <c r="Q88" s="23"/>
      <c r="R88" s="23"/>
    </row>
    <row r="89" spans="1:18" ht="30" customHeight="1" x14ac:dyDescent="0.25">
      <c r="A89" s="22" t="s">
        <v>221</v>
      </c>
      <c r="B89" s="23"/>
      <c r="C89" s="23"/>
      <c r="D89" s="23"/>
      <c r="E89" s="23"/>
      <c r="F89" s="23"/>
      <c r="G89" s="23"/>
      <c r="H89" s="23"/>
      <c r="I89" s="23"/>
      <c r="J89" s="23"/>
      <c r="K89" s="23"/>
      <c r="L89" s="23"/>
      <c r="M89" s="23"/>
      <c r="N89" s="23"/>
      <c r="O89" s="23"/>
      <c r="P89" s="23"/>
      <c r="Q89" s="23"/>
      <c r="R89" s="23"/>
    </row>
    <row r="90" spans="1:18" ht="30" customHeight="1" x14ac:dyDescent="0.25">
      <c r="A90" s="22" t="s">
        <v>222</v>
      </c>
      <c r="B90" s="23"/>
      <c r="C90" s="23"/>
      <c r="D90" s="23"/>
      <c r="E90" s="23"/>
      <c r="F90" s="23"/>
      <c r="G90" s="23"/>
      <c r="H90" s="23"/>
      <c r="I90" s="23"/>
      <c r="J90" s="23"/>
      <c r="K90" s="23"/>
      <c r="L90" s="23"/>
      <c r="M90" s="23"/>
      <c r="N90" s="23"/>
      <c r="O90" s="23"/>
      <c r="P90" s="23"/>
      <c r="Q90" s="23"/>
      <c r="R90" s="23"/>
    </row>
    <row r="91" spans="1:18" ht="30" customHeight="1" x14ac:dyDescent="0.25">
      <c r="A91" s="22" t="s">
        <v>223</v>
      </c>
      <c r="B91" s="23"/>
      <c r="C91" s="23"/>
      <c r="D91" s="23"/>
      <c r="E91" s="23"/>
      <c r="F91" s="23"/>
      <c r="G91" s="23"/>
      <c r="H91" s="23"/>
      <c r="I91" s="23"/>
      <c r="J91" s="23"/>
      <c r="K91" s="23"/>
      <c r="L91" s="23"/>
      <c r="M91" s="23"/>
      <c r="N91" s="23"/>
      <c r="O91" s="23"/>
      <c r="P91" s="23"/>
      <c r="Q91" s="23"/>
      <c r="R91" s="23"/>
    </row>
    <row r="92" spans="1:18" ht="30" customHeight="1" x14ac:dyDescent="0.25">
      <c r="A92" s="22" t="s">
        <v>224</v>
      </c>
      <c r="B92" s="23"/>
      <c r="C92" s="23"/>
      <c r="D92" s="23"/>
      <c r="E92" s="23"/>
      <c r="F92" s="23"/>
      <c r="G92" s="23"/>
      <c r="H92" s="23"/>
      <c r="I92" s="23"/>
      <c r="J92" s="23"/>
      <c r="K92" s="23"/>
      <c r="L92" s="23"/>
      <c r="M92" s="23"/>
      <c r="N92" s="23"/>
      <c r="O92" s="23"/>
      <c r="P92" s="23"/>
      <c r="Q92" s="23"/>
      <c r="R92" s="23"/>
    </row>
    <row r="93" spans="1:18" ht="30" customHeight="1" x14ac:dyDescent="0.25">
      <c r="A93" s="22" t="s">
        <v>225</v>
      </c>
      <c r="B93" s="23"/>
      <c r="C93" s="23"/>
      <c r="D93" s="23"/>
      <c r="E93" s="23"/>
      <c r="F93" s="23"/>
      <c r="G93" s="23"/>
      <c r="H93" s="23"/>
      <c r="I93" s="23"/>
      <c r="J93" s="23"/>
      <c r="K93" s="23"/>
      <c r="L93" s="23"/>
      <c r="M93" s="23"/>
      <c r="N93" s="23"/>
      <c r="O93" s="23"/>
      <c r="P93" s="23"/>
      <c r="Q93" s="23"/>
      <c r="R93" s="23"/>
    </row>
    <row r="94" spans="1:18" ht="30" customHeight="1" x14ac:dyDescent="0.25">
      <c r="A94" s="22" t="s">
        <v>226</v>
      </c>
      <c r="B94" s="23"/>
      <c r="C94" s="23"/>
      <c r="D94" s="23"/>
      <c r="E94" s="23"/>
      <c r="F94" s="23"/>
      <c r="G94" s="23"/>
      <c r="H94" s="23"/>
      <c r="I94" s="23"/>
      <c r="J94" s="23"/>
      <c r="K94" s="23"/>
      <c r="L94" s="23"/>
      <c r="M94" s="23"/>
      <c r="N94" s="23"/>
      <c r="O94" s="23"/>
      <c r="P94" s="23"/>
      <c r="Q94" s="23"/>
      <c r="R94" s="23"/>
    </row>
    <row r="95" spans="1:18" ht="30" customHeight="1" x14ac:dyDescent="0.25">
      <c r="A95" s="22" t="s">
        <v>227</v>
      </c>
      <c r="B95" s="23"/>
      <c r="C95" s="23"/>
      <c r="D95" s="23"/>
      <c r="E95" s="23"/>
      <c r="F95" s="23"/>
      <c r="G95" s="23"/>
      <c r="H95" s="23"/>
      <c r="I95" s="23"/>
      <c r="J95" s="23"/>
      <c r="K95" s="23"/>
      <c r="L95" s="23"/>
      <c r="M95" s="23"/>
      <c r="N95" s="23"/>
      <c r="O95" s="23"/>
      <c r="P95" s="23"/>
      <c r="Q95" s="23"/>
      <c r="R95" s="23"/>
    </row>
    <row r="96" spans="1:18" ht="30" customHeight="1" x14ac:dyDescent="0.25">
      <c r="A96" s="22" t="s">
        <v>228</v>
      </c>
      <c r="B96" s="23"/>
      <c r="C96" s="23"/>
      <c r="D96" s="23"/>
      <c r="E96" s="23"/>
      <c r="F96" s="23"/>
      <c r="G96" s="23"/>
      <c r="H96" s="23"/>
      <c r="I96" s="23"/>
      <c r="J96" s="23"/>
      <c r="K96" s="23"/>
      <c r="L96" s="23"/>
      <c r="M96" s="23"/>
      <c r="N96" s="23"/>
      <c r="O96" s="23"/>
      <c r="P96" s="23"/>
      <c r="Q96" s="23"/>
      <c r="R96" s="23"/>
    </row>
  </sheetData>
  <mergeCells count="22">
    <mergeCell ref="O4:P4"/>
    <mergeCell ref="Q4:R4"/>
    <mergeCell ref="A1:R1"/>
    <mergeCell ref="A2:R2"/>
    <mergeCell ref="A84:R84"/>
    <mergeCell ref="E4:F4"/>
    <mergeCell ref="G4:H4"/>
    <mergeCell ref="I4:J4"/>
    <mergeCell ref="K4:L4"/>
    <mergeCell ref="M4:N4"/>
    <mergeCell ref="A85:R85"/>
    <mergeCell ref="A86:R86"/>
    <mergeCell ref="A87:R87"/>
    <mergeCell ref="A88:R88"/>
    <mergeCell ref="A89:R89"/>
    <mergeCell ref="A95:R95"/>
    <mergeCell ref="A96:R96"/>
    <mergeCell ref="A90:R90"/>
    <mergeCell ref="A91:R91"/>
    <mergeCell ref="A92:R92"/>
    <mergeCell ref="A93:R93"/>
    <mergeCell ref="A94:R94"/>
  </mergeCells>
  <pageMargins left="0.75" right="0.75" top="1" bottom="1" header="0.5" footer="0.5"/>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6"/>
  <dimension ref="A1:R96"/>
  <sheetViews>
    <sheetView zoomScale="80" workbookViewId="0">
      <pane xSplit="4" topLeftCell="E1" activePane="topRight" state="frozen"/>
      <selection sqref="A1:R1"/>
      <selection pane="topRight" sqref="A1:R1"/>
    </sheetView>
  </sheetViews>
  <sheetFormatPr defaultColWidth="11.42578125" defaultRowHeight="15" x14ac:dyDescent="0.25"/>
  <cols>
    <col min="1" max="1" width="50" customWidth="1"/>
  </cols>
  <sheetData>
    <row r="1" spans="1:18" x14ac:dyDescent="0.25">
      <c r="A1" s="26" t="s">
        <v>122</v>
      </c>
      <c r="B1" s="23"/>
      <c r="C1" s="23"/>
      <c r="D1" s="23"/>
      <c r="E1" s="23"/>
      <c r="F1" s="23"/>
      <c r="G1" s="23"/>
      <c r="H1" s="23"/>
      <c r="I1" s="23"/>
      <c r="J1" s="23"/>
      <c r="K1" s="23"/>
      <c r="L1" s="23"/>
      <c r="M1" s="23"/>
      <c r="N1" s="23"/>
      <c r="O1" s="23"/>
      <c r="P1" s="23"/>
      <c r="Q1" s="23"/>
      <c r="R1" s="23"/>
    </row>
    <row r="2" spans="1:18" x14ac:dyDescent="0.25">
      <c r="A2" s="27" t="s">
        <v>312</v>
      </c>
      <c r="B2" s="23"/>
      <c r="C2" s="23"/>
      <c r="D2" s="23"/>
      <c r="E2" s="23"/>
      <c r="F2" s="23"/>
      <c r="G2" s="23"/>
      <c r="H2" s="23"/>
      <c r="I2" s="23"/>
      <c r="J2" s="23"/>
      <c r="K2" s="23"/>
      <c r="L2" s="23"/>
      <c r="M2" s="23"/>
      <c r="N2" s="23"/>
      <c r="O2" s="23"/>
      <c r="P2" s="23"/>
      <c r="Q2" s="23"/>
      <c r="R2" s="23"/>
    </row>
    <row r="4" spans="1:18" ht="30" customHeight="1" x14ac:dyDescent="0.25">
      <c r="A4" s="4"/>
      <c r="B4" s="5" t="s">
        <v>123</v>
      </c>
      <c r="C4" s="5" t="s">
        <v>124</v>
      </c>
      <c r="D4" s="6" t="s">
        <v>123</v>
      </c>
      <c r="E4" s="24" t="s">
        <v>125</v>
      </c>
      <c r="F4" s="25"/>
      <c r="G4" s="24" t="s">
        <v>126</v>
      </c>
      <c r="H4" s="25"/>
      <c r="I4" s="24" t="s">
        <v>127</v>
      </c>
      <c r="J4" s="25"/>
      <c r="K4" s="24" t="s">
        <v>128</v>
      </c>
      <c r="L4" s="25"/>
      <c r="M4" s="24" t="s">
        <v>129</v>
      </c>
      <c r="N4" s="25"/>
      <c r="O4" s="24" t="s">
        <v>130</v>
      </c>
      <c r="P4" s="25"/>
      <c r="Q4" s="24" t="s">
        <v>131</v>
      </c>
      <c r="R4" s="25"/>
    </row>
    <row r="5" spans="1:18" x14ac:dyDescent="0.25">
      <c r="A5" s="7"/>
      <c r="B5" s="8" t="s">
        <v>132</v>
      </c>
      <c r="C5" s="8" t="s">
        <v>133</v>
      </c>
      <c r="D5" s="7" t="s">
        <v>134</v>
      </c>
      <c r="E5" s="8" t="s">
        <v>135</v>
      </c>
      <c r="F5" s="7" t="s">
        <v>136</v>
      </c>
      <c r="G5" s="8" t="s">
        <v>135</v>
      </c>
      <c r="H5" s="7" t="s">
        <v>136</v>
      </c>
      <c r="I5" s="8" t="s">
        <v>135</v>
      </c>
      <c r="J5" s="7" t="s">
        <v>136</v>
      </c>
      <c r="K5" s="8" t="s">
        <v>135</v>
      </c>
      <c r="L5" s="7" t="s">
        <v>136</v>
      </c>
      <c r="M5" s="8" t="s">
        <v>135</v>
      </c>
      <c r="N5" s="7" t="s">
        <v>136</v>
      </c>
      <c r="O5" s="8" t="s">
        <v>135</v>
      </c>
      <c r="P5" s="7" t="s">
        <v>136</v>
      </c>
      <c r="Q5" s="8" t="s">
        <v>135</v>
      </c>
      <c r="R5" s="7" t="s">
        <v>136</v>
      </c>
    </row>
    <row r="6" spans="1:18" x14ac:dyDescent="0.25">
      <c r="A6" s="9" t="s">
        <v>137</v>
      </c>
      <c r="B6" s="10"/>
      <c r="C6" s="10"/>
      <c r="D6" s="11"/>
      <c r="E6" s="10"/>
      <c r="F6" s="11"/>
      <c r="G6" s="10"/>
      <c r="H6" s="11"/>
      <c r="I6" s="10"/>
      <c r="J6" s="11"/>
      <c r="K6" s="10"/>
      <c r="L6" s="11"/>
      <c r="M6" s="10"/>
      <c r="N6" s="11"/>
      <c r="O6" s="10"/>
      <c r="P6" s="11"/>
      <c r="Q6" s="10"/>
      <c r="R6" s="12"/>
    </row>
    <row r="7" spans="1:18" x14ac:dyDescent="0.25">
      <c r="A7" s="11" t="s">
        <v>138</v>
      </c>
      <c r="B7" s="13">
        <v>14530</v>
      </c>
      <c r="C7" s="14">
        <f>(12273/B7*100)</f>
        <v>84.466620784583625</v>
      </c>
      <c r="D7" s="15">
        <v>2257</v>
      </c>
      <c r="E7" s="14">
        <v>23.47274444</v>
      </c>
      <c r="F7" s="16">
        <v>1.28524053</v>
      </c>
      <c r="G7" s="14">
        <v>76.52725556</v>
      </c>
      <c r="H7" s="16">
        <v>1.28524053</v>
      </c>
      <c r="I7" s="14" t="s">
        <v>139</v>
      </c>
      <c r="J7" s="16" t="s">
        <v>139</v>
      </c>
      <c r="K7" s="14">
        <v>0</v>
      </c>
      <c r="L7" s="16">
        <v>0</v>
      </c>
      <c r="M7" s="14">
        <v>0</v>
      </c>
      <c r="N7" s="16">
        <v>0</v>
      </c>
      <c r="O7" s="14">
        <v>0</v>
      </c>
      <c r="P7" s="16">
        <v>0</v>
      </c>
      <c r="Q7" s="14">
        <v>0</v>
      </c>
      <c r="R7" s="16">
        <v>0</v>
      </c>
    </row>
    <row r="8" spans="1:18" x14ac:dyDescent="0.25">
      <c r="A8" s="11" t="s">
        <v>140</v>
      </c>
      <c r="B8" s="13">
        <v>7007</v>
      </c>
      <c r="C8" s="14">
        <f>(5877/B8*100)</f>
        <v>83.873269587555299</v>
      </c>
      <c r="D8" s="15">
        <v>1130</v>
      </c>
      <c r="E8" s="14">
        <v>27.879853740000001</v>
      </c>
      <c r="F8" s="16">
        <v>1.5717455499999999</v>
      </c>
      <c r="G8" s="14">
        <v>72.120146259999999</v>
      </c>
      <c r="H8" s="16">
        <v>1.5717455499999999</v>
      </c>
      <c r="I8" s="14" t="s">
        <v>139</v>
      </c>
      <c r="J8" s="16" t="s">
        <v>139</v>
      </c>
      <c r="K8" s="14">
        <v>0</v>
      </c>
      <c r="L8" s="16">
        <v>0</v>
      </c>
      <c r="M8" s="14">
        <v>0</v>
      </c>
      <c r="N8" s="16">
        <v>0</v>
      </c>
      <c r="O8" s="14">
        <v>0</v>
      </c>
      <c r="P8" s="16">
        <v>0</v>
      </c>
      <c r="Q8" s="14">
        <v>0</v>
      </c>
      <c r="R8" s="16">
        <v>0</v>
      </c>
    </row>
    <row r="9" spans="1:18" x14ac:dyDescent="0.25">
      <c r="A9" s="11" t="s">
        <v>141</v>
      </c>
      <c r="B9" s="13">
        <v>9651</v>
      </c>
      <c r="C9" s="14">
        <f>(8191/B9*100)</f>
        <v>84.872033986115426</v>
      </c>
      <c r="D9" s="15">
        <v>1460</v>
      </c>
      <c r="E9" s="14">
        <v>21.857594209999998</v>
      </c>
      <c r="F9" s="16">
        <v>1.0376437700000001</v>
      </c>
      <c r="G9" s="14">
        <v>78.142405789999998</v>
      </c>
      <c r="H9" s="16">
        <v>1.0376437700000001</v>
      </c>
      <c r="I9" s="14" t="s">
        <v>139</v>
      </c>
      <c r="J9" s="16" t="s">
        <v>139</v>
      </c>
      <c r="K9" s="14">
        <v>0</v>
      </c>
      <c r="L9" s="16">
        <v>0</v>
      </c>
      <c r="M9" s="14">
        <v>0</v>
      </c>
      <c r="N9" s="16">
        <v>0</v>
      </c>
      <c r="O9" s="14">
        <v>0</v>
      </c>
      <c r="P9" s="16">
        <v>0</v>
      </c>
      <c r="Q9" s="14">
        <v>0</v>
      </c>
      <c r="R9" s="16">
        <v>0</v>
      </c>
    </row>
    <row r="10" spans="1:18" x14ac:dyDescent="0.25">
      <c r="A10" s="11" t="s">
        <v>142</v>
      </c>
      <c r="B10" s="13">
        <v>20058</v>
      </c>
      <c r="C10" s="14">
        <f>(16744/B10*100)</f>
        <v>83.477914049257151</v>
      </c>
      <c r="D10" s="15">
        <v>3314</v>
      </c>
      <c r="E10" s="14">
        <v>18.222986760000001</v>
      </c>
      <c r="F10" s="16">
        <v>0.86736363000000005</v>
      </c>
      <c r="G10" s="14">
        <v>81.777013240000002</v>
      </c>
      <c r="H10" s="16">
        <v>0.86736363000000005</v>
      </c>
      <c r="I10" s="14" t="s">
        <v>139</v>
      </c>
      <c r="J10" s="16" t="s">
        <v>139</v>
      </c>
      <c r="K10" s="14">
        <v>0</v>
      </c>
      <c r="L10" s="16">
        <v>0</v>
      </c>
      <c r="M10" s="14">
        <v>0</v>
      </c>
      <c r="N10" s="16">
        <v>0</v>
      </c>
      <c r="O10" s="14">
        <v>0</v>
      </c>
      <c r="P10" s="16">
        <v>0</v>
      </c>
      <c r="Q10" s="14">
        <v>0</v>
      </c>
      <c r="R10" s="16">
        <v>0</v>
      </c>
    </row>
    <row r="11" spans="1:18" x14ac:dyDescent="0.25">
      <c r="A11" s="11" t="s">
        <v>143</v>
      </c>
      <c r="B11" s="13">
        <v>7053</v>
      </c>
      <c r="C11" s="14">
        <f>(5950/B11*100)</f>
        <v>84.361264710052467</v>
      </c>
      <c r="D11" s="15">
        <v>1103</v>
      </c>
      <c r="E11" s="14">
        <v>34.076053559999998</v>
      </c>
      <c r="F11" s="16">
        <v>1.6367459799999999</v>
      </c>
      <c r="G11" s="14">
        <v>65.923946439999995</v>
      </c>
      <c r="H11" s="16">
        <v>1.6367459799999999</v>
      </c>
      <c r="I11" s="14" t="s">
        <v>139</v>
      </c>
      <c r="J11" s="16" t="s">
        <v>139</v>
      </c>
      <c r="K11" s="14">
        <v>0</v>
      </c>
      <c r="L11" s="16">
        <v>0</v>
      </c>
      <c r="M11" s="14">
        <v>0</v>
      </c>
      <c r="N11" s="16">
        <v>0</v>
      </c>
      <c r="O11" s="14">
        <v>0</v>
      </c>
      <c r="P11" s="16">
        <v>0</v>
      </c>
      <c r="Q11" s="14">
        <v>0</v>
      </c>
      <c r="R11" s="16">
        <v>0</v>
      </c>
    </row>
    <row r="12" spans="1:18" x14ac:dyDescent="0.25">
      <c r="A12" s="11" t="s">
        <v>144</v>
      </c>
      <c r="B12" s="13">
        <v>6894</v>
      </c>
      <c r="C12" s="14">
        <f>(5796/B12*100)</f>
        <v>84.073107049608353</v>
      </c>
      <c r="D12" s="15">
        <v>1098</v>
      </c>
      <c r="E12" s="14">
        <v>26.905010109999999</v>
      </c>
      <c r="F12" s="16">
        <v>1.5583159200000001</v>
      </c>
      <c r="G12" s="14">
        <v>73.094989889999994</v>
      </c>
      <c r="H12" s="16">
        <v>1.5583159200000001</v>
      </c>
      <c r="I12" s="14" t="s">
        <v>139</v>
      </c>
      <c r="J12" s="16" t="s">
        <v>139</v>
      </c>
      <c r="K12" s="14">
        <v>0</v>
      </c>
      <c r="L12" s="16">
        <v>0</v>
      </c>
      <c r="M12" s="14">
        <v>0</v>
      </c>
      <c r="N12" s="16">
        <v>0</v>
      </c>
      <c r="O12" s="14">
        <v>0</v>
      </c>
      <c r="P12" s="16">
        <v>0</v>
      </c>
      <c r="Q12" s="14">
        <v>0</v>
      </c>
      <c r="R12" s="16">
        <v>0</v>
      </c>
    </row>
    <row r="13" spans="1:18" x14ac:dyDescent="0.25">
      <c r="A13" s="11" t="s">
        <v>145</v>
      </c>
      <c r="B13" s="13">
        <v>7161</v>
      </c>
      <c r="C13" s="14">
        <f>(6096/B13*100)</f>
        <v>85.127775450356097</v>
      </c>
      <c r="D13" s="15">
        <v>1065</v>
      </c>
      <c r="E13" s="14">
        <v>17.86561927</v>
      </c>
      <c r="F13" s="16">
        <v>1.53207363</v>
      </c>
      <c r="G13" s="14">
        <v>82.134380730000004</v>
      </c>
      <c r="H13" s="16">
        <v>1.53207363</v>
      </c>
      <c r="I13" s="14" t="s">
        <v>139</v>
      </c>
      <c r="J13" s="16" t="s">
        <v>139</v>
      </c>
      <c r="K13" s="14">
        <v>0</v>
      </c>
      <c r="L13" s="16">
        <v>0</v>
      </c>
      <c r="M13" s="14">
        <v>0</v>
      </c>
      <c r="N13" s="16">
        <v>0</v>
      </c>
      <c r="O13" s="14">
        <v>0</v>
      </c>
      <c r="P13" s="16">
        <v>0</v>
      </c>
      <c r="Q13" s="14">
        <v>0</v>
      </c>
      <c r="R13" s="16">
        <v>0</v>
      </c>
    </row>
    <row r="14" spans="1:18" x14ac:dyDescent="0.25">
      <c r="A14" s="11" t="s">
        <v>146</v>
      </c>
      <c r="B14" s="13">
        <v>5587</v>
      </c>
      <c r="C14" s="14">
        <f>(4671/B14*100)</f>
        <v>83.604796849829967</v>
      </c>
      <c r="D14" s="15">
        <v>916</v>
      </c>
      <c r="E14" s="14">
        <v>20.374486470000001</v>
      </c>
      <c r="F14" s="16">
        <v>1.3989778100000001</v>
      </c>
      <c r="G14" s="14">
        <v>79.625513530000006</v>
      </c>
      <c r="H14" s="16">
        <v>1.3989778100000001</v>
      </c>
      <c r="I14" s="14" t="s">
        <v>139</v>
      </c>
      <c r="J14" s="16" t="s">
        <v>139</v>
      </c>
      <c r="K14" s="14">
        <v>0</v>
      </c>
      <c r="L14" s="16">
        <v>0</v>
      </c>
      <c r="M14" s="14">
        <v>0</v>
      </c>
      <c r="N14" s="16">
        <v>0</v>
      </c>
      <c r="O14" s="14">
        <v>0</v>
      </c>
      <c r="P14" s="16">
        <v>0</v>
      </c>
      <c r="Q14" s="14">
        <v>0</v>
      </c>
      <c r="R14" s="16">
        <v>0</v>
      </c>
    </row>
    <row r="15" spans="1:18" x14ac:dyDescent="0.25">
      <c r="A15" s="11" t="s">
        <v>147</v>
      </c>
      <c r="B15" s="13">
        <v>5882</v>
      </c>
      <c r="C15" s="14">
        <f>(4907/B15*100)</f>
        <v>83.424005440326425</v>
      </c>
      <c r="D15" s="15">
        <v>975</v>
      </c>
      <c r="E15" s="14">
        <v>17.74868786</v>
      </c>
      <c r="F15" s="16">
        <v>1.31488395</v>
      </c>
      <c r="G15" s="14">
        <v>82.251312139999996</v>
      </c>
      <c r="H15" s="16">
        <v>1.31488395</v>
      </c>
      <c r="I15" s="14" t="s">
        <v>139</v>
      </c>
      <c r="J15" s="16" t="s">
        <v>139</v>
      </c>
      <c r="K15" s="14">
        <v>0</v>
      </c>
      <c r="L15" s="16">
        <v>0</v>
      </c>
      <c r="M15" s="14">
        <v>0</v>
      </c>
      <c r="N15" s="16">
        <v>0</v>
      </c>
      <c r="O15" s="14">
        <v>0</v>
      </c>
      <c r="P15" s="16">
        <v>0</v>
      </c>
      <c r="Q15" s="14">
        <v>0</v>
      </c>
      <c r="R15" s="16">
        <v>0</v>
      </c>
    </row>
    <row r="16" spans="1:18" x14ac:dyDescent="0.25">
      <c r="A16" s="11" t="s">
        <v>148</v>
      </c>
      <c r="B16" s="13">
        <v>6108</v>
      </c>
      <c r="C16" s="14">
        <f>(5106/B16*100)</f>
        <v>83.59528487229862</v>
      </c>
      <c r="D16" s="15">
        <v>1002</v>
      </c>
      <c r="E16" s="14">
        <v>24.192110700000001</v>
      </c>
      <c r="F16" s="16">
        <v>1.5389937499999999</v>
      </c>
      <c r="G16" s="14">
        <v>75.807889299999999</v>
      </c>
      <c r="H16" s="16">
        <v>1.5389937499999999</v>
      </c>
      <c r="I16" s="14" t="s">
        <v>139</v>
      </c>
      <c r="J16" s="16" t="s">
        <v>139</v>
      </c>
      <c r="K16" s="14">
        <v>0</v>
      </c>
      <c r="L16" s="16">
        <v>0</v>
      </c>
      <c r="M16" s="14">
        <v>0</v>
      </c>
      <c r="N16" s="16">
        <v>0</v>
      </c>
      <c r="O16" s="14">
        <v>0</v>
      </c>
      <c r="P16" s="16">
        <v>0</v>
      </c>
      <c r="Q16" s="14">
        <v>0</v>
      </c>
      <c r="R16" s="16">
        <v>0</v>
      </c>
    </row>
    <row r="17" spans="1:18" x14ac:dyDescent="0.25">
      <c r="A17" s="11" t="s">
        <v>149</v>
      </c>
      <c r="B17" s="13">
        <v>6504</v>
      </c>
      <c r="C17" s="14">
        <f>(5484/B17*100)</f>
        <v>84.317343173431738</v>
      </c>
      <c r="D17" s="15">
        <v>1020</v>
      </c>
      <c r="E17" s="14">
        <v>21.479675069999999</v>
      </c>
      <c r="F17" s="16">
        <v>1.41792783</v>
      </c>
      <c r="G17" s="14">
        <v>78.520324930000001</v>
      </c>
      <c r="H17" s="16">
        <v>1.41792783</v>
      </c>
      <c r="I17" s="14" t="s">
        <v>139</v>
      </c>
      <c r="J17" s="16" t="s">
        <v>139</v>
      </c>
      <c r="K17" s="14">
        <v>0</v>
      </c>
      <c r="L17" s="16">
        <v>0</v>
      </c>
      <c r="M17" s="14">
        <v>0</v>
      </c>
      <c r="N17" s="16">
        <v>0</v>
      </c>
      <c r="O17" s="14">
        <v>0</v>
      </c>
      <c r="P17" s="16">
        <v>0</v>
      </c>
      <c r="Q17" s="14">
        <v>0</v>
      </c>
      <c r="R17" s="16">
        <v>0</v>
      </c>
    </row>
    <row r="18" spans="1:18" x14ac:dyDescent="0.25">
      <c r="A18" s="11" t="s">
        <v>150</v>
      </c>
      <c r="B18" s="13">
        <v>5532</v>
      </c>
      <c r="C18" s="14">
        <f>(4644/B18*100)</f>
        <v>83.947939262472886</v>
      </c>
      <c r="D18" s="15">
        <v>888</v>
      </c>
      <c r="E18" s="14">
        <v>37.961483549999997</v>
      </c>
      <c r="F18" s="16">
        <v>1.7536508399999999</v>
      </c>
      <c r="G18" s="14">
        <v>62.038516450000003</v>
      </c>
      <c r="H18" s="16">
        <v>1.7536508399999999</v>
      </c>
      <c r="I18" s="14" t="s">
        <v>139</v>
      </c>
      <c r="J18" s="16" t="s">
        <v>139</v>
      </c>
      <c r="K18" s="14">
        <v>0</v>
      </c>
      <c r="L18" s="16">
        <v>0</v>
      </c>
      <c r="M18" s="14">
        <v>0</v>
      </c>
      <c r="N18" s="16">
        <v>0</v>
      </c>
      <c r="O18" s="14">
        <v>0</v>
      </c>
      <c r="P18" s="16">
        <v>0</v>
      </c>
      <c r="Q18" s="14">
        <v>0</v>
      </c>
      <c r="R18" s="16">
        <v>0</v>
      </c>
    </row>
    <row r="19" spans="1:18" x14ac:dyDescent="0.25">
      <c r="A19" s="11" t="s">
        <v>151</v>
      </c>
      <c r="B19" s="13">
        <v>5658</v>
      </c>
      <c r="C19" s="14">
        <f>(4776/B19*100)</f>
        <v>84.411452810180279</v>
      </c>
      <c r="D19" s="15">
        <v>882</v>
      </c>
      <c r="E19" s="14">
        <v>33.16064171</v>
      </c>
      <c r="F19" s="16">
        <v>1.8449234999999999</v>
      </c>
      <c r="G19" s="14">
        <v>66.839358290000007</v>
      </c>
      <c r="H19" s="16">
        <v>1.8449234999999999</v>
      </c>
      <c r="I19" s="14" t="s">
        <v>139</v>
      </c>
      <c r="J19" s="16" t="s">
        <v>139</v>
      </c>
      <c r="K19" s="14">
        <v>0</v>
      </c>
      <c r="L19" s="16">
        <v>0</v>
      </c>
      <c r="M19" s="14">
        <v>0</v>
      </c>
      <c r="N19" s="16">
        <v>0</v>
      </c>
      <c r="O19" s="14">
        <v>0</v>
      </c>
      <c r="P19" s="16">
        <v>0</v>
      </c>
      <c r="Q19" s="14">
        <v>0</v>
      </c>
      <c r="R19" s="16">
        <v>0</v>
      </c>
    </row>
    <row r="20" spans="1:18" x14ac:dyDescent="0.25">
      <c r="A20" s="11" t="s">
        <v>152</v>
      </c>
      <c r="B20" s="13">
        <v>3371</v>
      </c>
      <c r="C20" s="14">
        <f>(2854/B20*100)</f>
        <v>84.663304657371697</v>
      </c>
      <c r="D20" s="15">
        <v>517</v>
      </c>
      <c r="E20" s="14">
        <v>21.91761335</v>
      </c>
      <c r="F20" s="16">
        <v>1.7837012999999999</v>
      </c>
      <c r="G20" s="14">
        <v>78.082386650000004</v>
      </c>
      <c r="H20" s="16">
        <v>1.7837012999999999</v>
      </c>
      <c r="I20" s="14" t="s">
        <v>139</v>
      </c>
      <c r="J20" s="16" t="s">
        <v>139</v>
      </c>
      <c r="K20" s="14">
        <v>0</v>
      </c>
      <c r="L20" s="16">
        <v>0</v>
      </c>
      <c r="M20" s="14">
        <v>0</v>
      </c>
      <c r="N20" s="16">
        <v>0</v>
      </c>
      <c r="O20" s="14">
        <v>0</v>
      </c>
      <c r="P20" s="16">
        <v>0</v>
      </c>
      <c r="Q20" s="14">
        <v>0</v>
      </c>
      <c r="R20" s="16">
        <v>0</v>
      </c>
    </row>
    <row r="21" spans="1:18" x14ac:dyDescent="0.25">
      <c r="A21" s="11" t="s">
        <v>153</v>
      </c>
      <c r="B21" s="17" t="s">
        <v>154</v>
      </c>
      <c r="C21" s="17" t="s">
        <v>154</v>
      </c>
      <c r="D21" s="18" t="s">
        <v>154</v>
      </c>
      <c r="E21" s="17" t="s">
        <v>154</v>
      </c>
      <c r="F21" s="18" t="s">
        <v>154</v>
      </c>
      <c r="G21" s="17" t="s">
        <v>154</v>
      </c>
      <c r="H21" s="18" t="s">
        <v>154</v>
      </c>
      <c r="I21" s="17" t="s">
        <v>154</v>
      </c>
      <c r="J21" s="18" t="s">
        <v>154</v>
      </c>
      <c r="K21" s="17" t="s">
        <v>154</v>
      </c>
      <c r="L21" s="18" t="s">
        <v>154</v>
      </c>
      <c r="M21" s="17" t="s">
        <v>154</v>
      </c>
      <c r="N21" s="18" t="s">
        <v>154</v>
      </c>
      <c r="O21" s="17" t="s">
        <v>154</v>
      </c>
      <c r="P21" s="18" t="s">
        <v>154</v>
      </c>
      <c r="Q21" s="17" t="s">
        <v>154</v>
      </c>
      <c r="R21" s="18" t="s">
        <v>154</v>
      </c>
    </row>
    <row r="22" spans="1:18" x14ac:dyDescent="0.25">
      <c r="A22" s="11" t="s">
        <v>155</v>
      </c>
      <c r="B22" s="13">
        <v>6598</v>
      </c>
      <c r="C22" s="14">
        <f>(5614/B22*100)</f>
        <v>85.086389815095487</v>
      </c>
      <c r="D22" s="15">
        <v>984</v>
      </c>
      <c r="E22" s="14">
        <v>32.400523759999999</v>
      </c>
      <c r="F22" s="16">
        <v>1.60474099</v>
      </c>
      <c r="G22" s="14">
        <v>67.599476240000001</v>
      </c>
      <c r="H22" s="16">
        <v>1.60474099</v>
      </c>
      <c r="I22" s="14" t="s">
        <v>139</v>
      </c>
      <c r="J22" s="16" t="s">
        <v>139</v>
      </c>
      <c r="K22" s="14">
        <v>0</v>
      </c>
      <c r="L22" s="16">
        <v>0</v>
      </c>
      <c r="M22" s="14">
        <v>0</v>
      </c>
      <c r="N22" s="16">
        <v>0</v>
      </c>
      <c r="O22" s="14">
        <v>0</v>
      </c>
      <c r="P22" s="16">
        <v>0</v>
      </c>
      <c r="Q22" s="14">
        <v>0</v>
      </c>
      <c r="R22" s="16">
        <v>0</v>
      </c>
    </row>
    <row r="23" spans="1:18" x14ac:dyDescent="0.25">
      <c r="A23" s="11" t="s">
        <v>156</v>
      </c>
      <c r="B23" s="13">
        <v>11583</v>
      </c>
      <c r="C23" s="14">
        <f>(9708/B23*100)</f>
        <v>83.812483812483819</v>
      </c>
      <c r="D23" s="15">
        <v>1875</v>
      </c>
      <c r="E23" s="14">
        <v>24.42975324</v>
      </c>
      <c r="F23" s="16">
        <v>1.4632389100000001</v>
      </c>
      <c r="G23" s="14">
        <v>75.570246760000003</v>
      </c>
      <c r="H23" s="16">
        <v>1.4632389100000001</v>
      </c>
      <c r="I23" s="14" t="s">
        <v>139</v>
      </c>
      <c r="J23" s="16" t="s">
        <v>139</v>
      </c>
      <c r="K23" s="14">
        <v>0</v>
      </c>
      <c r="L23" s="16">
        <v>0</v>
      </c>
      <c r="M23" s="14">
        <v>0</v>
      </c>
      <c r="N23" s="16">
        <v>0</v>
      </c>
      <c r="O23" s="14">
        <v>0</v>
      </c>
      <c r="P23" s="16">
        <v>0</v>
      </c>
      <c r="Q23" s="14">
        <v>0</v>
      </c>
      <c r="R23" s="16">
        <v>0</v>
      </c>
    </row>
    <row r="24" spans="1:18" x14ac:dyDescent="0.25">
      <c r="A24" s="11" t="s">
        <v>157</v>
      </c>
      <c r="B24" s="13">
        <v>6647</v>
      </c>
      <c r="C24" s="14">
        <f>(5510/B24*100)</f>
        <v>82.894538889724686</v>
      </c>
      <c r="D24" s="15">
        <v>1137</v>
      </c>
      <c r="E24" s="14">
        <v>13.95028574</v>
      </c>
      <c r="F24" s="16">
        <v>1.1369474399999999</v>
      </c>
      <c r="G24" s="14">
        <v>86.049714260000002</v>
      </c>
      <c r="H24" s="16">
        <v>1.1369474399999999</v>
      </c>
      <c r="I24" s="14" t="s">
        <v>139</v>
      </c>
      <c r="J24" s="16" t="s">
        <v>139</v>
      </c>
      <c r="K24" s="14">
        <v>0</v>
      </c>
      <c r="L24" s="16">
        <v>0</v>
      </c>
      <c r="M24" s="14">
        <v>0</v>
      </c>
      <c r="N24" s="16">
        <v>0</v>
      </c>
      <c r="O24" s="14">
        <v>0</v>
      </c>
      <c r="P24" s="16">
        <v>0</v>
      </c>
      <c r="Q24" s="14">
        <v>0</v>
      </c>
      <c r="R24" s="16">
        <v>0</v>
      </c>
    </row>
    <row r="25" spans="1:18" x14ac:dyDescent="0.25">
      <c r="A25" s="11" t="s">
        <v>158</v>
      </c>
      <c r="B25" s="13">
        <v>5581</v>
      </c>
      <c r="C25" s="14">
        <f>(4606/B25*100)</f>
        <v>82.530012542555099</v>
      </c>
      <c r="D25" s="15">
        <v>975</v>
      </c>
      <c r="E25" s="14">
        <v>14.162516289999999</v>
      </c>
      <c r="F25" s="16">
        <v>1.0972313499999999</v>
      </c>
      <c r="G25" s="14">
        <v>85.837483710000001</v>
      </c>
      <c r="H25" s="16">
        <v>1.0972313499999999</v>
      </c>
      <c r="I25" s="14" t="s">
        <v>139</v>
      </c>
      <c r="J25" s="16" t="s">
        <v>139</v>
      </c>
      <c r="K25" s="14">
        <v>0</v>
      </c>
      <c r="L25" s="16">
        <v>0</v>
      </c>
      <c r="M25" s="14">
        <v>0</v>
      </c>
      <c r="N25" s="16">
        <v>0</v>
      </c>
      <c r="O25" s="14">
        <v>0</v>
      </c>
      <c r="P25" s="16">
        <v>0</v>
      </c>
      <c r="Q25" s="14">
        <v>0</v>
      </c>
      <c r="R25" s="16">
        <v>0</v>
      </c>
    </row>
    <row r="26" spans="1:18" x14ac:dyDescent="0.25">
      <c r="A26" s="11" t="s">
        <v>159</v>
      </c>
      <c r="B26" s="13">
        <v>4869</v>
      </c>
      <c r="C26" s="14">
        <f>(4059/B26*100)</f>
        <v>83.364140480591502</v>
      </c>
      <c r="D26" s="15">
        <v>810</v>
      </c>
      <c r="E26" s="14">
        <v>33.857908780000002</v>
      </c>
      <c r="F26" s="16">
        <v>1.50285983</v>
      </c>
      <c r="G26" s="14">
        <v>66.142091219999998</v>
      </c>
      <c r="H26" s="16">
        <v>1.50285983</v>
      </c>
      <c r="I26" s="14" t="s">
        <v>139</v>
      </c>
      <c r="J26" s="16" t="s">
        <v>139</v>
      </c>
      <c r="K26" s="14">
        <v>0</v>
      </c>
      <c r="L26" s="16">
        <v>0</v>
      </c>
      <c r="M26" s="14">
        <v>0</v>
      </c>
      <c r="N26" s="16">
        <v>0</v>
      </c>
      <c r="O26" s="14">
        <v>0</v>
      </c>
      <c r="P26" s="16">
        <v>0</v>
      </c>
      <c r="Q26" s="14">
        <v>0</v>
      </c>
      <c r="R26" s="16">
        <v>0</v>
      </c>
    </row>
    <row r="27" spans="1:18" x14ac:dyDescent="0.25">
      <c r="A27" s="11" t="s">
        <v>160</v>
      </c>
      <c r="B27" s="13">
        <v>5299</v>
      </c>
      <c r="C27" s="14">
        <f>(4491/B27*100)</f>
        <v>84.751839969805616</v>
      </c>
      <c r="D27" s="15">
        <v>808</v>
      </c>
      <c r="E27" s="14">
        <v>25.745461160000001</v>
      </c>
      <c r="F27" s="16">
        <v>1.36950086</v>
      </c>
      <c r="G27" s="14">
        <v>74.254538839999995</v>
      </c>
      <c r="H27" s="16">
        <v>1.36950086</v>
      </c>
      <c r="I27" s="14" t="s">
        <v>139</v>
      </c>
      <c r="J27" s="16" t="s">
        <v>139</v>
      </c>
      <c r="K27" s="14">
        <v>0</v>
      </c>
      <c r="L27" s="16">
        <v>0</v>
      </c>
      <c r="M27" s="14">
        <v>0</v>
      </c>
      <c r="N27" s="16">
        <v>0</v>
      </c>
      <c r="O27" s="14">
        <v>0</v>
      </c>
      <c r="P27" s="16">
        <v>0</v>
      </c>
      <c r="Q27" s="14">
        <v>0</v>
      </c>
      <c r="R27" s="16">
        <v>0</v>
      </c>
    </row>
    <row r="28" spans="1:18" x14ac:dyDescent="0.25">
      <c r="A28" s="11" t="s">
        <v>161</v>
      </c>
      <c r="B28" s="13">
        <v>7568</v>
      </c>
      <c r="C28" s="14">
        <f>(6520/B28*100)</f>
        <v>86.152219873150102</v>
      </c>
      <c r="D28" s="15">
        <v>1048</v>
      </c>
      <c r="E28" s="14">
        <v>45.107637959999998</v>
      </c>
      <c r="F28" s="16">
        <v>1.8058503100000001</v>
      </c>
      <c r="G28" s="14">
        <v>54.892362040000002</v>
      </c>
      <c r="H28" s="16">
        <v>1.8058503100000001</v>
      </c>
      <c r="I28" s="14" t="s">
        <v>139</v>
      </c>
      <c r="J28" s="16" t="s">
        <v>139</v>
      </c>
      <c r="K28" s="14">
        <v>0</v>
      </c>
      <c r="L28" s="16">
        <v>0</v>
      </c>
      <c r="M28" s="14">
        <v>0</v>
      </c>
      <c r="N28" s="16">
        <v>0</v>
      </c>
      <c r="O28" s="14">
        <v>0</v>
      </c>
      <c r="P28" s="16">
        <v>0</v>
      </c>
      <c r="Q28" s="14">
        <v>0</v>
      </c>
      <c r="R28" s="16">
        <v>0</v>
      </c>
    </row>
    <row r="29" spans="1:18" x14ac:dyDescent="0.25">
      <c r="A29" s="11" t="s">
        <v>162</v>
      </c>
      <c r="B29" s="13">
        <v>5385</v>
      </c>
      <c r="C29" s="14">
        <f>(4468/B29*100)</f>
        <v>82.971216341689882</v>
      </c>
      <c r="D29" s="15">
        <v>917</v>
      </c>
      <c r="E29" s="14">
        <v>17.427720770000001</v>
      </c>
      <c r="F29" s="16">
        <v>1.25825612</v>
      </c>
      <c r="G29" s="14">
        <v>82.572279230000007</v>
      </c>
      <c r="H29" s="16">
        <v>1.25825612</v>
      </c>
      <c r="I29" s="14" t="s">
        <v>139</v>
      </c>
      <c r="J29" s="16" t="s">
        <v>139</v>
      </c>
      <c r="K29" s="14">
        <v>0</v>
      </c>
      <c r="L29" s="16">
        <v>0</v>
      </c>
      <c r="M29" s="14">
        <v>0</v>
      </c>
      <c r="N29" s="16">
        <v>0</v>
      </c>
      <c r="O29" s="14">
        <v>0</v>
      </c>
      <c r="P29" s="16">
        <v>0</v>
      </c>
      <c r="Q29" s="14">
        <v>0</v>
      </c>
      <c r="R29" s="16">
        <v>0</v>
      </c>
    </row>
    <row r="30" spans="1:18" x14ac:dyDescent="0.25">
      <c r="A30" s="11" t="s">
        <v>163</v>
      </c>
      <c r="B30" s="13">
        <v>4520</v>
      </c>
      <c r="C30" s="14">
        <f>(3818/B30*100)</f>
        <v>84.469026548672559</v>
      </c>
      <c r="D30" s="15">
        <v>702</v>
      </c>
      <c r="E30" s="14">
        <v>22.422208130000001</v>
      </c>
      <c r="F30" s="16">
        <v>1.8651380200000001</v>
      </c>
      <c r="G30" s="14">
        <v>77.577791869999999</v>
      </c>
      <c r="H30" s="16">
        <v>1.8651380200000001</v>
      </c>
      <c r="I30" s="14" t="s">
        <v>139</v>
      </c>
      <c r="J30" s="16" t="s">
        <v>139</v>
      </c>
      <c r="K30" s="14">
        <v>0</v>
      </c>
      <c r="L30" s="16">
        <v>0</v>
      </c>
      <c r="M30" s="14">
        <v>0</v>
      </c>
      <c r="N30" s="16">
        <v>0</v>
      </c>
      <c r="O30" s="14">
        <v>0</v>
      </c>
      <c r="P30" s="16">
        <v>0</v>
      </c>
      <c r="Q30" s="14">
        <v>0</v>
      </c>
      <c r="R30" s="16">
        <v>0</v>
      </c>
    </row>
    <row r="31" spans="1:18" x14ac:dyDescent="0.25">
      <c r="A31" s="11" t="s">
        <v>164</v>
      </c>
      <c r="B31" s="13">
        <v>5456</v>
      </c>
      <c r="C31" s="14">
        <f>(4537/B31*100)</f>
        <v>83.156158357771261</v>
      </c>
      <c r="D31" s="15">
        <v>919</v>
      </c>
      <c r="E31" s="14">
        <v>23.2382755</v>
      </c>
      <c r="F31" s="16">
        <v>1.42745598</v>
      </c>
      <c r="G31" s="14">
        <v>76.7617245</v>
      </c>
      <c r="H31" s="16">
        <v>1.42745598</v>
      </c>
      <c r="I31" s="14" t="s">
        <v>139</v>
      </c>
      <c r="J31" s="16" t="s">
        <v>139</v>
      </c>
      <c r="K31" s="14">
        <v>0</v>
      </c>
      <c r="L31" s="16">
        <v>0</v>
      </c>
      <c r="M31" s="14">
        <v>0</v>
      </c>
      <c r="N31" s="16">
        <v>0</v>
      </c>
      <c r="O31" s="14">
        <v>0</v>
      </c>
      <c r="P31" s="16">
        <v>0</v>
      </c>
      <c r="Q31" s="14">
        <v>0</v>
      </c>
      <c r="R31" s="16">
        <v>0</v>
      </c>
    </row>
    <row r="32" spans="1:18" x14ac:dyDescent="0.25">
      <c r="A32" s="11" t="s">
        <v>165</v>
      </c>
      <c r="B32" s="17" t="s">
        <v>154</v>
      </c>
      <c r="C32" s="17" t="s">
        <v>154</v>
      </c>
      <c r="D32" s="18" t="s">
        <v>154</v>
      </c>
      <c r="E32" s="17" t="s">
        <v>154</v>
      </c>
      <c r="F32" s="18" t="s">
        <v>154</v>
      </c>
      <c r="G32" s="17" t="s">
        <v>154</v>
      </c>
      <c r="H32" s="18" t="s">
        <v>154</v>
      </c>
      <c r="I32" s="17" t="s">
        <v>154</v>
      </c>
      <c r="J32" s="18" t="s">
        <v>154</v>
      </c>
      <c r="K32" s="17" t="s">
        <v>154</v>
      </c>
      <c r="L32" s="18" t="s">
        <v>154</v>
      </c>
      <c r="M32" s="17" t="s">
        <v>154</v>
      </c>
      <c r="N32" s="18" t="s">
        <v>154</v>
      </c>
      <c r="O32" s="17" t="s">
        <v>154</v>
      </c>
      <c r="P32" s="18" t="s">
        <v>154</v>
      </c>
      <c r="Q32" s="17" t="s">
        <v>154</v>
      </c>
      <c r="R32" s="18" t="s">
        <v>154</v>
      </c>
    </row>
    <row r="33" spans="1:18" x14ac:dyDescent="0.25">
      <c r="A33" s="11" t="s">
        <v>166</v>
      </c>
      <c r="B33" s="13">
        <v>7325</v>
      </c>
      <c r="C33" s="14">
        <f>(6183/B33*100)</f>
        <v>84.409556313993178</v>
      </c>
      <c r="D33" s="15">
        <v>1142</v>
      </c>
      <c r="E33" s="14">
        <v>27.230827680000001</v>
      </c>
      <c r="F33" s="16">
        <v>1.3957932799999999</v>
      </c>
      <c r="G33" s="14">
        <v>72.769172319999996</v>
      </c>
      <c r="H33" s="16">
        <v>1.3957932799999999</v>
      </c>
      <c r="I33" s="14" t="s">
        <v>139</v>
      </c>
      <c r="J33" s="16" t="s">
        <v>139</v>
      </c>
      <c r="K33" s="14">
        <v>0</v>
      </c>
      <c r="L33" s="16">
        <v>0</v>
      </c>
      <c r="M33" s="14">
        <v>0</v>
      </c>
      <c r="N33" s="16">
        <v>0</v>
      </c>
      <c r="O33" s="14">
        <v>0</v>
      </c>
      <c r="P33" s="16">
        <v>0</v>
      </c>
      <c r="Q33" s="14">
        <v>0</v>
      </c>
      <c r="R33" s="16">
        <v>0</v>
      </c>
    </row>
    <row r="34" spans="1:18" x14ac:dyDescent="0.25">
      <c r="A34" s="11" t="s">
        <v>167</v>
      </c>
      <c r="B34" s="13">
        <v>6350</v>
      </c>
      <c r="C34" s="14">
        <f>(5404/B34*100)</f>
        <v>85.102362204724415</v>
      </c>
      <c r="D34" s="15">
        <v>946</v>
      </c>
      <c r="E34" s="14">
        <v>39.196983430000003</v>
      </c>
      <c r="F34" s="16">
        <v>1.8236642599999999</v>
      </c>
      <c r="G34" s="14">
        <v>60.803016569999997</v>
      </c>
      <c r="H34" s="16">
        <v>1.8236642599999999</v>
      </c>
      <c r="I34" s="14" t="s">
        <v>139</v>
      </c>
      <c r="J34" s="16" t="s">
        <v>139</v>
      </c>
      <c r="K34" s="14">
        <v>0</v>
      </c>
      <c r="L34" s="16">
        <v>0</v>
      </c>
      <c r="M34" s="14">
        <v>0</v>
      </c>
      <c r="N34" s="16">
        <v>0</v>
      </c>
      <c r="O34" s="14">
        <v>0</v>
      </c>
      <c r="P34" s="16">
        <v>0</v>
      </c>
      <c r="Q34" s="14">
        <v>0</v>
      </c>
      <c r="R34" s="16">
        <v>0</v>
      </c>
    </row>
    <row r="35" spans="1:18" x14ac:dyDescent="0.25">
      <c r="A35" s="11" t="s">
        <v>168</v>
      </c>
      <c r="B35" s="13">
        <v>6406</v>
      </c>
      <c r="C35" s="14">
        <f>(5350/B35*100)</f>
        <v>83.515454261629714</v>
      </c>
      <c r="D35" s="15">
        <v>1056</v>
      </c>
      <c r="E35" s="14">
        <v>22.277361389999999</v>
      </c>
      <c r="F35" s="16">
        <v>1.4091893600000001</v>
      </c>
      <c r="G35" s="14">
        <v>77.722638610000004</v>
      </c>
      <c r="H35" s="16">
        <v>1.4091893600000001</v>
      </c>
      <c r="I35" s="14" t="s">
        <v>139</v>
      </c>
      <c r="J35" s="16" t="s">
        <v>139</v>
      </c>
      <c r="K35" s="14">
        <v>0</v>
      </c>
      <c r="L35" s="16">
        <v>0</v>
      </c>
      <c r="M35" s="14">
        <v>0</v>
      </c>
      <c r="N35" s="16">
        <v>0</v>
      </c>
      <c r="O35" s="14">
        <v>0</v>
      </c>
      <c r="P35" s="16">
        <v>0</v>
      </c>
      <c r="Q35" s="14">
        <v>0</v>
      </c>
      <c r="R35" s="16">
        <v>0</v>
      </c>
    </row>
    <row r="36" spans="1:18" x14ac:dyDescent="0.25">
      <c r="A36" s="11" t="s">
        <v>169</v>
      </c>
      <c r="B36" s="13">
        <v>6736</v>
      </c>
      <c r="C36" s="14">
        <f>(5705/B36*100)</f>
        <v>84.694180522565318</v>
      </c>
      <c r="D36" s="15">
        <v>1031</v>
      </c>
      <c r="E36" s="14">
        <v>19.153833039999999</v>
      </c>
      <c r="F36" s="16">
        <v>1.2885621</v>
      </c>
      <c r="G36" s="14">
        <v>80.846166960000005</v>
      </c>
      <c r="H36" s="16">
        <v>1.2885621</v>
      </c>
      <c r="I36" s="14" t="s">
        <v>139</v>
      </c>
      <c r="J36" s="16" t="s">
        <v>139</v>
      </c>
      <c r="K36" s="14">
        <v>0</v>
      </c>
      <c r="L36" s="16">
        <v>0</v>
      </c>
      <c r="M36" s="14">
        <v>0</v>
      </c>
      <c r="N36" s="16">
        <v>0</v>
      </c>
      <c r="O36" s="14">
        <v>0</v>
      </c>
      <c r="P36" s="16">
        <v>0</v>
      </c>
      <c r="Q36" s="14">
        <v>0</v>
      </c>
      <c r="R36" s="16">
        <v>0</v>
      </c>
    </row>
    <row r="37" spans="1:18" x14ac:dyDescent="0.25">
      <c r="A37" s="11" t="s">
        <v>170</v>
      </c>
      <c r="B37" s="13">
        <v>5458</v>
      </c>
      <c r="C37" s="14">
        <f>(4588/B37*100)</f>
        <v>84.060095272993777</v>
      </c>
      <c r="D37" s="15">
        <v>870</v>
      </c>
      <c r="E37" s="14">
        <v>23.600448199999999</v>
      </c>
      <c r="F37" s="16">
        <v>1.6422829999999999</v>
      </c>
      <c r="G37" s="14">
        <v>76.399551799999998</v>
      </c>
      <c r="H37" s="16">
        <v>1.6422829999999999</v>
      </c>
      <c r="I37" s="14" t="s">
        <v>139</v>
      </c>
      <c r="J37" s="16" t="s">
        <v>139</v>
      </c>
      <c r="K37" s="14">
        <v>0</v>
      </c>
      <c r="L37" s="16">
        <v>0</v>
      </c>
      <c r="M37" s="14">
        <v>0</v>
      </c>
      <c r="N37" s="16">
        <v>0</v>
      </c>
      <c r="O37" s="14">
        <v>0</v>
      </c>
      <c r="P37" s="16">
        <v>0</v>
      </c>
      <c r="Q37" s="14">
        <v>0</v>
      </c>
      <c r="R37" s="16">
        <v>0</v>
      </c>
    </row>
    <row r="38" spans="1:18" x14ac:dyDescent="0.25">
      <c r="A38" s="11" t="s">
        <v>171</v>
      </c>
      <c r="B38" s="17" t="s">
        <v>154</v>
      </c>
      <c r="C38" s="17" t="s">
        <v>154</v>
      </c>
      <c r="D38" s="18" t="s">
        <v>154</v>
      </c>
      <c r="E38" s="17" t="s">
        <v>154</v>
      </c>
      <c r="F38" s="18" t="s">
        <v>154</v>
      </c>
      <c r="G38" s="17" t="s">
        <v>154</v>
      </c>
      <c r="H38" s="18" t="s">
        <v>154</v>
      </c>
      <c r="I38" s="17" t="s">
        <v>154</v>
      </c>
      <c r="J38" s="18" t="s">
        <v>154</v>
      </c>
      <c r="K38" s="17" t="s">
        <v>154</v>
      </c>
      <c r="L38" s="18" t="s">
        <v>154</v>
      </c>
      <c r="M38" s="17" t="s">
        <v>154</v>
      </c>
      <c r="N38" s="18" t="s">
        <v>154</v>
      </c>
      <c r="O38" s="17" t="s">
        <v>154</v>
      </c>
      <c r="P38" s="18" t="s">
        <v>154</v>
      </c>
      <c r="Q38" s="17" t="s">
        <v>154</v>
      </c>
      <c r="R38" s="18" t="s">
        <v>154</v>
      </c>
    </row>
    <row r="39" spans="1:18" x14ac:dyDescent="0.25">
      <c r="A39" s="11" t="s">
        <v>172</v>
      </c>
      <c r="B39" s="13">
        <v>5895</v>
      </c>
      <c r="C39" s="14">
        <f>(4865/B39*100)</f>
        <v>82.527565733672603</v>
      </c>
      <c r="D39" s="15">
        <v>1030</v>
      </c>
      <c r="E39" s="14">
        <v>46.055465679999998</v>
      </c>
      <c r="F39" s="16">
        <v>1.6846108900000001</v>
      </c>
      <c r="G39" s="14">
        <v>53.944534320000002</v>
      </c>
      <c r="H39" s="16">
        <v>1.6846108900000001</v>
      </c>
      <c r="I39" s="14" t="s">
        <v>139</v>
      </c>
      <c r="J39" s="16" t="s">
        <v>139</v>
      </c>
      <c r="K39" s="14">
        <v>0</v>
      </c>
      <c r="L39" s="16">
        <v>0</v>
      </c>
      <c r="M39" s="14">
        <v>0</v>
      </c>
      <c r="N39" s="16">
        <v>0</v>
      </c>
      <c r="O39" s="14">
        <v>0</v>
      </c>
      <c r="P39" s="16">
        <v>0</v>
      </c>
      <c r="Q39" s="14">
        <v>0</v>
      </c>
      <c r="R39" s="16">
        <v>0</v>
      </c>
    </row>
    <row r="40" spans="1:18" x14ac:dyDescent="0.25">
      <c r="A40" s="11" t="s">
        <v>173</v>
      </c>
      <c r="B40" s="13">
        <v>14157</v>
      </c>
      <c r="C40" s="14">
        <f>(11730/B40*100)</f>
        <v>82.856537401991943</v>
      </c>
      <c r="D40" s="15">
        <v>2427</v>
      </c>
      <c r="E40" s="14">
        <v>20.65782385</v>
      </c>
      <c r="F40" s="16">
        <v>1.34107979</v>
      </c>
      <c r="G40" s="14">
        <v>79.34217615</v>
      </c>
      <c r="H40" s="16">
        <v>1.34107979</v>
      </c>
      <c r="I40" s="14" t="s">
        <v>139</v>
      </c>
      <c r="J40" s="16" t="s">
        <v>139</v>
      </c>
      <c r="K40" s="14">
        <v>0</v>
      </c>
      <c r="L40" s="16">
        <v>0</v>
      </c>
      <c r="M40" s="14">
        <v>0</v>
      </c>
      <c r="N40" s="16">
        <v>0</v>
      </c>
      <c r="O40" s="14">
        <v>0</v>
      </c>
      <c r="P40" s="16">
        <v>0</v>
      </c>
      <c r="Q40" s="14">
        <v>0</v>
      </c>
      <c r="R40" s="16">
        <v>0</v>
      </c>
    </row>
    <row r="41" spans="1:18" x14ac:dyDescent="0.25">
      <c r="A41" s="11" t="s">
        <v>174</v>
      </c>
      <c r="B41" s="13">
        <v>5712</v>
      </c>
      <c r="C41" s="14">
        <f>(4814/B41*100)</f>
        <v>84.278711484593842</v>
      </c>
      <c r="D41" s="15">
        <v>898</v>
      </c>
      <c r="E41" s="14">
        <v>22.463942530000001</v>
      </c>
      <c r="F41" s="16">
        <v>1.4665618199999999</v>
      </c>
      <c r="G41" s="14">
        <v>77.536057470000003</v>
      </c>
      <c r="H41" s="16">
        <v>1.4665618199999999</v>
      </c>
      <c r="I41" s="14" t="s">
        <v>139</v>
      </c>
      <c r="J41" s="16" t="s">
        <v>139</v>
      </c>
      <c r="K41" s="14">
        <v>0</v>
      </c>
      <c r="L41" s="16">
        <v>0</v>
      </c>
      <c r="M41" s="14">
        <v>0</v>
      </c>
      <c r="N41" s="16">
        <v>0</v>
      </c>
      <c r="O41" s="14">
        <v>0</v>
      </c>
      <c r="P41" s="16">
        <v>0</v>
      </c>
      <c r="Q41" s="14">
        <v>0</v>
      </c>
      <c r="R41" s="16">
        <v>0</v>
      </c>
    </row>
    <row r="42" spans="1:18" x14ac:dyDescent="0.25">
      <c r="A42" s="11" t="s">
        <v>175</v>
      </c>
      <c r="B42" s="13">
        <f>IF(COUNT(B7:B41) &gt; 0, AVERAGE(B7:B41), "\u2014")</f>
        <v>7266.90625</v>
      </c>
      <c r="C42" s="14">
        <f>IF(COUNT(C7:C41) &gt; 0, AVERAGE(C7:C41), "—")</f>
        <v>84.026518828473272</v>
      </c>
      <c r="D42" s="15">
        <f>IF(COUNT(D7:D41) &gt; 0, AVERAGE(D7:D41), "—")</f>
        <v>1162.5625</v>
      </c>
      <c r="E42" s="14">
        <f>IF(COUNT(E7:E41) &gt; 0, AVERAGE(E7:E41), "—")</f>
        <v>25.6404230603125</v>
      </c>
      <c r="F42" s="16">
        <f>IF(COUNT(F7:F41) &gt; 0, SQRT(SUMSQ(F7:F41)/(COUNT(F7:F41)*COUNT(F7:F41)) ), "—")</f>
        <v>0.26376854308341352</v>
      </c>
      <c r="G42" s="14">
        <f>IF(COUNT(G7:G41) &gt; 0, AVERAGE(G7:G41), "—")</f>
        <v>74.359576939687486</v>
      </c>
      <c r="H42" s="16">
        <f>IF(COUNT(H7:H41) &gt; 0, SQRT(SUMSQ(H7:H41)/(COUNT(H7:H41)*COUNT(H7:H41)) ), "—")</f>
        <v>0.26376854308341352</v>
      </c>
      <c r="I42" s="14" t="str">
        <f>IF(COUNT(I7:I41) &gt; 0, AVERAGE(I7:I41), "—")</f>
        <v>—</v>
      </c>
      <c r="J42" s="16" t="str">
        <f>IF(COUNT(J7:J41) &gt; 0, SQRT(SUMSQ(J7:J41)/(COUNT(J7:J41)*COUNT(J7:J41)) ), "—")</f>
        <v>—</v>
      </c>
      <c r="K42" s="14">
        <f>IF(COUNT(K7:K41) &gt; 0, AVERAGE(K7:K41), "—")</f>
        <v>0</v>
      </c>
      <c r="L42" s="16">
        <f>IF(COUNT(L7:L41) &gt; 0, SQRT(SUMSQ(L7:L41)/(COUNT(L7:L41)*COUNT(L7:L41)) ), "—")</f>
        <v>0</v>
      </c>
      <c r="M42" s="14">
        <f>IF(COUNT(M7:M41) &gt; 0, AVERAGE(M7:M41), "—")</f>
        <v>0</v>
      </c>
      <c r="N42" s="16">
        <f>IF(COUNT(N7:N41) &gt; 0, SQRT(SUMSQ(N7:N41)/(COUNT(N7:N41)*COUNT(N7:N41)) ), "—")</f>
        <v>0</v>
      </c>
      <c r="O42" s="14">
        <f>IF(COUNT(O7:O41) &gt; 0, AVERAGE(O7:O41), "—")</f>
        <v>0</v>
      </c>
      <c r="P42" s="16">
        <f>IF(COUNT(P7:P41) &gt; 0, SQRT(SUMSQ(P7:P41)/(COUNT(P7:P41)*COUNT(P7:P41)) ), "—")</f>
        <v>0</v>
      </c>
      <c r="Q42" s="14">
        <f>IF(COUNT(Q7:Q41) &gt; 0, AVERAGE(Q7:Q41), "—")</f>
        <v>0</v>
      </c>
      <c r="R42" s="16">
        <f>IF(COUNT(R7:R41) &gt; 0, SQRT(SUMSQ(R7:R41)/(COUNT(R7:R41)*COUNT(R7:R41)) ), "—")</f>
        <v>0</v>
      </c>
    </row>
    <row r="43" spans="1:18" x14ac:dyDescent="0.25">
      <c r="A43" s="9" t="s">
        <v>176</v>
      </c>
      <c r="B43" s="10"/>
      <c r="C43" s="10"/>
      <c r="D43" s="11"/>
      <c r="E43" s="10"/>
      <c r="F43" s="11"/>
      <c r="G43" s="10"/>
      <c r="H43" s="11"/>
      <c r="I43" s="10"/>
      <c r="J43" s="11"/>
      <c r="K43" s="10"/>
      <c r="L43" s="11"/>
      <c r="M43" s="10"/>
      <c r="N43" s="11"/>
      <c r="O43" s="10"/>
      <c r="P43" s="11"/>
      <c r="Q43" s="10"/>
      <c r="R43" s="12"/>
    </row>
    <row r="44" spans="1:18" x14ac:dyDescent="0.25">
      <c r="A44" s="11" t="s">
        <v>177</v>
      </c>
      <c r="B44" s="17" t="s">
        <v>154</v>
      </c>
      <c r="C44" s="17" t="s">
        <v>154</v>
      </c>
      <c r="D44" s="18" t="s">
        <v>154</v>
      </c>
      <c r="E44" s="17" t="s">
        <v>154</v>
      </c>
      <c r="F44" s="18" t="s">
        <v>154</v>
      </c>
      <c r="G44" s="17" t="s">
        <v>154</v>
      </c>
      <c r="H44" s="18" t="s">
        <v>154</v>
      </c>
      <c r="I44" s="17" t="s">
        <v>154</v>
      </c>
      <c r="J44" s="18" t="s">
        <v>154</v>
      </c>
      <c r="K44" s="17" t="s">
        <v>154</v>
      </c>
      <c r="L44" s="18" t="s">
        <v>154</v>
      </c>
      <c r="M44" s="17" t="s">
        <v>154</v>
      </c>
      <c r="N44" s="18" t="s">
        <v>154</v>
      </c>
      <c r="O44" s="17" t="s">
        <v>154</v>
      </c>
      <c r="P44" s="18" t="s">
        <v>154</v>
      </c>
      <c r="Q44" s="17" t="s">
        <v>154</v>
      </c>
      <c r="R44" s="18" t="s">
        <v>154</v>
      </c>
    </row>
    <row r="45" spans="1:18" x14ac:dyDescent="0.25">
      <c r="A45" s="11" t="s">
        <v>178</v>
      </c>
      <c r="B45" s="17" t="s">
        <v>154</v>
      </c>
      <c r="C45" s="17" t="s">
        <v>154</v>
      </c>
      <c r="D45" s="18" t="s">
        <v>154</v>
      </c>
      <c r="E45" s="17" t="s">
        <v>154</v>
      </c>
      <c r="F45" s="18" t="s">
        <v>154</v>
      </c>
      <c r="G45" s="17" t="s">
        <v>154</v>
      </c>
      <c r="H45" s="18" t="s">
        <v>154</v>
      </c>
      <c r="I45" s="17" t="s">
        <v>154</v>
      </c>
      <c r="J45" s="18" t="s">
        <v>154</v>
      </c>
      <c r="K45" s="17" t="s">
        <v>154</v>
      </c>
      <c r="L45" s="18" t="s">
        <v>154</v>
      </c>
      <c r="M45" s="17" t="s">
        <v>154</v>
      </c>
      <c r="N45" s="18" t="s">
        <v>154</v>
      </c>
      <c r="O45" s="17" t="s">
        <v>154</v>
      </c>
      <c r="P45" s="18" t="s">
        <v>154</v>
      </c>
      <c r="Q45" s="17" t="s">
        <v>154</v>
      </c>
      <c r="R45" s="18" t="s">
        <v>154</v>
      </c>
    </row>
    <row r="46" spans="1:18" x14ac:dyDescent="0.25">
      <c r="A46" s="11" t="s">
        <v>179</v>
      </c>
      <c r="B46" s="13">
        <v>23141</v>
      </c>
      <c r="C46" s="14">
        <f>(20644/B46*100)</f>
        <v>89.209627933105736</v>
      </c>
      <c r="D46" s="15">
        <v>2497</v>
      </c>
      <c r="E46" s="14">
        <v>51.290065370000001</v>
      </c>
      <c r="F46" s="16">
        <v>1.47079666</v>
      </c>
      <c r="G46" s="14">
        <v>48.709934629999999</v>
      </c>
      <c r="H46" s="16">
        <v>1.47079666</v>
      </c>
      <c r="I46" s="14" t="s">
        <v>139</v>
      </c>
      <c r="J46" s="16" t="s">
        <v>139</v>
      </c>
      <c r="K46" s="14">
        <v>0</v>
      </c>
      <c r="L46" s="16">
        <v>0</v>
      </c>
      <c r="M46" s="14">
        <v>0</v>
      </c>
      <c r="N46" s="16">
        <v>0</v>
      </c>
      <c r="O46" s="14">
        <v>0</v>
      </c>
      <c r="P46" s="16">
        <v>0</v>
      </c>
      <c r="Q46" s="14">
        <v>0</v>
      </c>
      <c r="R46" s="16">
        <v>0</v>
      </c>
    </row>
    <row r="47" spans="1:18" x14ac:dyDescent="0.25">
      <c r="A47" s="11" t="s">
        <v>180</v>
      </c>
      <c r="B47" s="13">
        <v>5928</v>
      </c>
      <c r="C47" s="14">
        <f>(5035/B47*100)</f>
        <v>84.935897435897431</v>
      </c>
      <c r="D47" s="15">
        <v>893</v>
      </c>
      <c r="E47" s="14">
        <v>48.868867129999998</v>
      </c>
      <c r="F47" s="16">
        <v>1.7280618299999999</v>
      </c>
      <c r="G47" s="14">
        <v>51.131132870000002</v>
      </c>
      <c r="H47" s="16">
        <v>1.7280618299999999</v>
      </c>
      <c r="I47" s="14" t="s">
        <v>139</v>
      </c>
      <c r="J47" s="16" t="s">
        <v>139</v>
      </c>
      <c r="K47" s="14">
        <v>0</v>
      </c>
      <c r="L47" s="16">
        <v>0</v>
      </c>
      <c r="M47" s="14">
        <v>0</v>
      </c>
      <c r="N47" s="16">
        <v>0</v>
      </c>
      <c r="O47" s="14">
        <v>0</v>
      </c>
      <c r="P47" s="16">
        <v>0</v>
      </c>
      <c r="Q47" s="14">
        <v>0</v>
      </c>
      <c r="R47" s="16">
        <v>0</v>
      </c>
    </row>
    <row r="48" spans="1:18" x14ac:dyDescent="0.25">
      <c r="A48" s="11" t="s">
        <v>181</v>
      </c>
      <c r="B48" s="13">
        <v>9841</v>
      </c>
      <c r="C48" s="14">
        <f>(8177/B48*100)</f>
        <v>83.091149273447812</v>
      </c>
      <c r="D48" s="15">
        <v>1664</v>
      </c>
      <c r="E48" s="14">
        <v>26.37818382</v>
      </c>
      <c r="F48" s="16">
        <v>1.4181272199999999</v>
      </c>
      <c r="G48" s="14">
        <v>73.621816179999996</v>
      </c>
      <c r="H48" s="16">
        <v>1.4181272199999999</v>
      </c>
      <c r="I48" s="14" t="s">
        <v>139</v>
      </c>
      <c r="J48" s="16" t="s">
        <v>139</v>
      </c>
      <c r="K48" s="14">
        <v>0</v>
      </c>
      <c r="L48" s="16">
        <v>0</v>
      </c>
      <c r="M48" s="14">
        <v>0</v>
      </c>
      <c r="N48" s="16">
        <v>0</v>
      </c>
      <c r="O48" s="14">
        <v>0</v>
      </c>
      <c r="P48" s="16">
        <v>0</v>
      </c>
      <c r="Q48" s="14">
        <v>0</v>
      </c>
      <c r="R48" s="16">
        <v>0</v>
      </c>
    </row>
    <row r="49" spans="1:18" x14ac:dyDescent="0.25">
      <c r="A49" s="11" t="s">
        <v>182</v>
      </c>
      <c r="B49" s="17" t="s">
        <v>154</v>
      </c>
      <c r="C49" s="17" t="s">
        <v>154</v>
      </c>
      <c r="D49" s="18" t="s">
        <v>154</v>
      </c>
      <c r="E49" s="17" t="s">
        <v>154</v>
      </c>
      <c r="F49" s="18" t="s">
        <v>154</v>
      </c>
      <c r="G49" s="17" t="s">
        <v>154</v>
      </c>
      <c r="H49" s="18" t="s">
        <v>154</v>
      </c>
      <c r="I49" s="17" t="s">
        <v>154</v>
      </c>
      <c r="J49" s="18" t="s">
        <v>154</v>
      </c>
      <c r="K49" s="17" t="s">
        <v>154</v>
      </c>
      <c r="L49" s="18" t="s">
        <v>154</v>
      </c>
      <c r="M49" s="17" t="s">
        <v>154</v>
      </c>
      <c r="N49" s="18" t="s">
        <v>154</v>
      </c>
      <c r="O49" s="17" t="s">
        <v>154</v>
      </c>
      <c r="P49" s="18" t="s">
        <v>154</v>
      </c>
      <c r="Q49" s="17" t="s">
        <v>154</v>
      </c>
      <c r="R49" s="18" t="s">
        <v>154</v>
      </c>
    </row>
    <row r="50" spans="1:18" x14ac:dyDescent="0.25">
      <c r="A50" s="11" t="s">
        <v>183</v>
      </c>
      <c r="B50" s="13">
        <v>11795</v>
      </c>
      <c r="C50" s="14">
        <f>(10030/B50*100)</f>
        <v>85.036032217041125</v>
      </c>
      <c r="D50" s="15">
        <v>1765</v>
      </c>
      <c r="E50" s="14">
        <v>45.056313230000001</v>
      </c>
      <c r="F50" s="16">
        <v>1.5816596700000001</v>
      </c>
      <c r="G50" s="14">
        <v>54.943686769999999</v>
      </c>
      <c r="H50" s="16">
        <v>1.5816596700000001</v>
      </c>
      <c r="I50" s="14" t="s">
        <v>139</v>
      </c>
      <c r="J50" s="16" t="s">
        <v>139</v>
      </c>
      <c r="K50" s="14">
        <v>0</v>
      </c>
      <c r="L50" s="16">
        <v>0</v>
      </c>
      <c r="M50" s="14">
        <v>0</v>
      </c>
      <c r="N50" s="16">
        <v>0</v>
      </c>
      <c r="O50" s="14">
        <v>0</v>
      </c>
      <c r="P50" s="16">
        <v>0</v>
      </c>
      <c r="Q50" s="14">
        <v>0</v>
      </c>
      <c r="R50" s="16">
        <v>0</v>
      </c>
    </row>
    <row r="51" spans="1:18" x14ac:dyDescent="0.25">
      <c r="A51" s="11" t="s">
        <v>184</v>
      </c>
      <c r="B51" s="13">
        <v>6866</v>
      </c>
      <c r="C51" s="14">
        <f>(5964/B51*100)</f>
        <v>86.862802213807171</v>
      </c>
      <c r="D51" s="15">
        <v>902</v>
      </c>
      <c r="E51" s="14">
        <v>37.490604509999997</v>
      </c>
      <c r="F51" s="16">
        <v>1.80044527</v>
      </c>
      <c r="G51" s="14">
        <v>62.509395490000003</v>
      </c>
      <c r="H51" s="16">
        <v>1.80044527</v>
      </c>
      <c r="I51" s="14" t="s">
        <v>139</v>
      </c>
      <c r="J51" s="16" t="s">
        <v>139</v>
      </c>
      <c r="K51" s="14">
        <v>0</v>
      </c>
      <c r="L51" s="16">
        <v>0</v>
      </c>
      <c r="M51" s="14">
        <v>0</v>
      </c>
      <c r="N51" s="16">
        <v>0</v>
      </c>
      <c r="O51" s="14">
        <v>0</v>
      </c>
      <c r="P51" s="16">
        <v>0</v>
      </c>
      <c r="Q51" s="14">
        <v>0</v>
      </c>
      <c r="R51" s="16">
        <v>0</v>
      </c>
    </row>
    <row r="52" spans="1:18" x14ac:dyDescent="0.25">
      <c r="A52" s="11" t="s">
        <v>185</v>
      </c>
      <c r="B52" s="13">
        <v>5809</v>
      </c>
      <c r="C52" s="14">
        <f>(4863/B52*100)</f>
        <v>83.714925116198998</v>
      </c>
      <c r="D52" s="15">
        <v>946</v>
      </c>
      <c r="E52" s="14">
        <v>28.964794609999998</v>
      </c>
      <c r="F52" s="16">
        <v>1.8416221800000001</v>
      </c>
      <c r="G52" s="14">
        <v>71.035205390000002</v>
      </c>
      <c r="H52" s="16">
        <v>1.8416221800000001</v>
      </c>
      <c r="I52" s="14" t="s">
        <v>139</v>
      </c>
      <c r="J52" s="16" t="s">
        <v>139</v>
      </c>
      <c r="K52" s="14">
        <v>0</v>
      </c>
      <c r="L52" s="16">
        <v>0</v>
      </c>
      <c r="M52" s="14">
        <v>0</v>
      </c>
      <c r="N52" s="16">
        <v>0</v>
      </c>
      <c r="O52" s="14">
        <v>0</v>
      </c>
      <c r="P52" s="16">
        <v>0</v>
      </c>
      <c r="Q52" s="14">
        <v>0</v>
      </c>
      <c r="R52" s="16">
        <v>0</v>
      </c>
    </row>
    <row r="53" spans="1:18" x14ac:dyDescent="0.25">
      <c r="A53" s="11" t="s">
        <v>186</v>
      </c>
      <c r="B53" s="13">
        <v>5571</v>
      </c>
      <c r="C53" s="14">
        <f>(4653/B53*100)</f>
        <v>83.521809369951541</v>
      </c>
      <c r="D53" s="15">
        <v>918</v>
      </c>
      <c r="E53" s="14">
        <v>42.448860660000001</v>
      </c>
      <c r="F53" s="16">
        <v>1.6520794700000001</v>
      </c>
      <c r="G53" s="14">
        <v>57.551139339999999</v>
      </c>
      <c r="H53" s="16">
        <v>1.6520794700000001</v>
      </c>
      <c r="I53" s="14" t="s">
        <v>139</v>
      </c>
      <c r="J53" s="16" t="s">
        <v>139</v>
      </c>
      <c r="K53" s="14">
        <v>0</v>
      </c>
      <c r="L53" s="16">
        <v>0</v>
      </c>
      <c r="M53" s="14">
        <v>0</v>
      </c>
      <c r="N53" s="16">
        <v>0</v>
      </c>
      <c r="O53" s="14">
        <v>0</v>
      </c>
      <c r="P53" s="16">
        <v>0</v>
      </c>
      <c r="Q53" s="14">
        <v>0</v>
      </c>
      <c r="R53" s="16">
        <v>0</v>
      </c>
    </row>
    <row r="54" spans="1:18" x14ac:dyDescent="0.25">
      <c r="A54" s="11" t="s">
        <v>187</v>
      </c>
      <c r="B54" s="17" t="s">
        <v>154</v>
      </c>
      <c r="C54" s="17" t="s">
        <v>154</v>
      </c>
      <c r="D54" s="18" t="s">
        <v>154</v>
      </c>
      <c r="E54" s="17" t="s">
        <v>154</v>
      </c>
      <c r="F54" s="18" t="s">
        <v>154</v>
      </c>
      <c r="G54" s="17" t="s">
        <v>154</v>
      </c>
      <c r="H54" s="18" t="s">
        <v>154</v>
      </c>
      <c r="I54" s="17" t="s">
        <v>154</v>
      </c>
      <c r="J54" s="18" t="s">
        <v>154</v>
      </c>
      <c r="K54" s="17" t="s">
        <v>154</v>
      </c>
      <c r="L54" s="18" t="s">
        <v>154</v>
      </c>
      <c r="M54" s="17" t="s">
        <v>154</v>
      </c>
      <c r="N54" s="18" t="s">
        <v>154</v>
      </c>
      <c r="O54" s="17" t="s">
        <v>154</v>
      </c>
      <c r="P54" s="18" t="s">
        <v>154</v>
      </c>
      <c r="Q54" s="17" t="s">
        <v>154</v>
      </c>
      <c r="R54" s="18" t="s">
        <v>154</v>
      </c>
    </row>
    <row r="55" spans="1:18" x14ac:dyDescent="0.25">
      <c r="A55" s="11" t="s">
        <v>188</v>
      </c>
      <c r="B55" s="17" t="s">
        <v>154</v>
      </c>
      <c r="C55" s="17" t="s">
        <v>154</v>
      </c>
      <c r="D55" s="18" t="s">
        <v>154</v>
      </c>
      <c r="E55" s="17" t="s">
        <v>154</v>
      </c>
      <c r="F55" s="18" t="s">
        <v>154</v>
      </c>
      <c r="G55" s="17" t="s">
        <v>154</v>
      </c>
      <c r="H55" s="18" t="s">
        <v>154</v>
      </c>
      <c r="I55" s="17" t="s">
        <v>154</v>
      </c>
      <c r="J55" s="18" t="s">
        <v>154</v>
      </c>
      <c r="K55" s="17" t="s">
        <v>154</v>
      </c>
      <c r="L55" s="18" t="s">
        <v>154</v>
      </c>
      <c r="M55" s="17" t="s">
        <v>154</v>
      </c>
      <c r="N55" s="18" t="s">
        <v>154</v>
      </c>
      <c r="O55" s="17" t="s">
        <v>154</v>
      </c>
      <c r="P55" s="18" t="s">
        <v>154</v>
      </c>
      <c r="Q55" s="17" t="s">
        <v>154</v>
      </c>
      <c r="R55" s="18" t="s">
        <v>154</v>
      </c>
    </row>
    <row r="56" spans="1:18" x14ac:dyDescent="0.25">
      <c r="A56" s="11" t="s">
        <v>189</v>
      </c>
      <c r="B56" s="13">
        <v>5359</v>
      </c>
      <c r="C56" s="14">
        <f>(4430/B56*100)</f>
        <v>82.664676245568202</v>
      </c>
      <c r="D56" s="15">
        <v>929</v>
      </c>
      <c r="E56" s="14">
        <v>15.0727552</v>
      </c>
      <c r="F56" s="16">
        <v>1.23000295</v>
      </c>
      <c r="G56" s="14">
        <v>84.927244799999997</v>
      </c>
      <c r="H56" s="16">
        <v>1.23000295</v>
      </c>
      <c r="I56" s="14" t="s">
        <v>139</v>
      </c>
      <c r="J56" s="16" t="s">
        <v>139</v>
      </c>
      <c r="K56" s="14">
        <v>0</v>
      </c>
      <c r="L56" s="16">
        <v>0</v>
      </c>
      <c r="M56" s="14">
        <v>0</v>
      </c>
      <c r="N56" s="16">
        <v>0</v>
      </c>
      <c r="O56" s="14">
        <v>0</v>
      </c>
      <c r="P56" s="16">
        <v>0</v>
      </c>
      <c r="Q56" s="14">
        <v>0</v>
      </c>
      <c r="R56" s="16">
        <v>0</v>
      </c>
    </row>
    <row r="57" spans="1:18" x14ac:dyDescent="0.25">
      <c r="A57" s="11" t="s">
        <v>190</v>
      </c>
      <c r="B57" s="17" t="s">
        <v>154</v>
      </c>
      <c r="C57" s="17" t="s">
        <v>154</v>
      </c>
      <c r="D57" s="18" t="s">
        <v>154</v>
      </c>
      <c r="E57" s="17" t="s">
        <v>154</v>
      </c>
      <c r="F57" s="18" t="s">
        <v>154</v>
      </c>
      <c r="G57" s="17" t="s">
        <v>154</v>
      </c>
      <c r="H57" s="18" t="s">
        <v>154</v>
      </c>
      <c r="I57" s="17" t="s">
        <v>154</v>
      </c>
      <c r="J57" s="18" t="s">
        <v>154</v>
      </c>
      <c r="K57" s="17" t="s">
        <v>154</v>
      </c>
      <c r="L57" s="18" t="s">
        <v>154</v>
      </c>
      <c r="M57" s="17" t="s">
        <v>154</v>
      </c>
      <c r="N57" s="18" t="s">
        <v>154</v>
      </c>
      <c r="O57" s="17" t="s">
        <v>154</v>
      </c>
      <c r="P57" s="18" t="s">
        <v>154</v>
      </c>
      <c r="Q57" s="17" t="s">
        <v>154</v>
      </c>
      <c r="R57" s="18" t="s">
        <v>154</v>
      </c>
    </row>
    <row r="58" spans="1:18" x14ac:dyDescent="0.25">
      <c r="A58" s="11" t="s">
        <v>191</v>
      </c>
      <c r="B58" s="17" t="s">
        <v>154</v>
      </c>
      <c r="C58" s="17" t="s">
        <v>154</v>
      </c>
      <c r="D58" s="18" t="s">
        <v>154</v>
      </c>
      <c r="E58" s="17" t="s">
        <v>154</v>
      </c>
      <c r="F58" s="18" t="s">
        <v>154</v>
      </c>
      <c r="G58" s="17" t="s">
        <v>154</v>
      </c>
      <c r="H58" s="18" t="s">
        <v>154</v>
      </c>
      <c r="I58" s="17" t="s">
        <v>154</v>
      </c>
      <c r="J58" s="18" t="s">
        <v>154</v>
      </c>
      <c r="K58" s="17" t="s">
        <v>154</v>
      </c>
      <c r="L58" s="18" t="s">
        <v>154</v>
      </c>
      <c r="M58" s="17" t="s">
        <v>154</v>
      </c>
      <c r="N58" s="18" t="s">
        <v>154</v>
      </c>
      <c r="O58" s="17" t="s">
        <v>154</v>
      </c>
      <c r="P58" s="18" t="s">
        <v>154</v>
      </c>
      <c r="Q58" s="17" t="s">
        <v>154</v>
      </c>
      <c r="R58" s="18" t="s">
        <v>154</v>
      </c>
    </row>
    <row r="59" spans="1:18" x14ac:dyDescent="0.25">
      <c r="A59" s="11" t="s">
        <v>192</v>
      </c>
      <c r="B59" s="17" t="s">
        <v>154</v>
      </c>
      <c r="C59" s="17" t="s">
        <v>154</v>
      </c>
      <c r="D59" s="18" t="s">
        <v>154</v>
      </c>
      <c r="E59" s="17" t="s">
        <v>154</v>
      </c>
      <c r="F59" s="18" t="s">
        <v>154</v>
      </c>
      <c r="G59" s="17" t="s">
        <v>154</v>
      </c>
      <c r="H59" s="18" t="s">
        <v>154</v>
      </c>
      <c r="I59" s="17" t="s">
        <v>154</v>
      </c>
      <c r="J59" s="18" t="s">
        <v>154</v>
      </c>
      <c r="K59" s="17" t="s">
        <v>154</v>
      </c>
      <c r="L59" s="18" t="s">
        <v>154</v>
      </c>
      <c r="M59" s="17" t="s">
        <v>154</v>
      </c>
      <c r="N59" s="18" t="s">
        <v>154</v>
      </c>
      <c r="O59" s="17" t="s">
        <v>154</v>
      </c>
      <c r="P59" s="18" t="s">
        <v>154</v>
      </c>
      <c r="Q59" s="17" t="s">
        <v>154</v>
      </c>
      <c r="R59" s="18" t="s">
        <v>154</v>
      </c>
    </row>
    <row r="60" spans="1:18" x14ac:dyDescent="0.25">
      <c r="A60" s="11" t="s">
        <v>193</v>
      </c>
      <c r="B60" s="17" t="s">
        <v>154</v>
      </c>
      <c r="C60" s="17" t="s">
        <v>154</v>
      </c>
      <c r="D60" s="18" t="s">
        <v>154</v>
      </c>
      <c r="E60" s="17" t="s">
        <v>154</v>
      </c>
      <c r="F60" s="18" t="s">
        <v>154</v>
      </c>
      <c r="G60" s="17" t="s">
        <v>154</v>
      </c>
      <c r="H60" s="18" t="s">
        <v>154</v>
      </c>
      <c r="I60" s="17" t="s">
        <v>154</v>
      </c>
      <c r="J60" s="18" t="s">
        <v>154</v>
      </c>
      <c r="K60" s="17" t="s">
        <v>154</v>
      </c>
      <c r="L60" s="18" t="s">
        <v>154</v>
      </c>
      <c r="M60" s="17" t="s">
        <v>154</v>
      </c>
      <c r="N60" s="18" t="s">
        <v>154</v>
      </c>
      <c r="O60" s="17" t="s">
        <v>154</v>
      </c>
      <c r="P60" s="18" t="s">
        <v>154</v>
      </c>
      <c r="Q60" s="17" t="s">
        <v>154</v>
      </c>
      <c r="R60" s="18" t="s">
        <v>154</v>
      </c>
    </row>
    <row r="61" spans="1:18" x14ac:dyDescent="0.25">
      <c r="A61" s="11" t="s">
        <v>194</v>
      </c>
      <c r="B61" s="13">
        <v>6525</v>
      </c>
      <c r="C61" s="14">
        <f>(5465/B61*100)</f>
        <v>83.754789272030649</v>
      </c>
      <c r="D61" s="15">
        <v>1060</v>
      </c>
      <c r="E61" s="14">
        <v>37.876293650000001</v>
      </c>
      <c r="F61" s="16">
        <v>1.6794540200000001</v>
      </c>
      <c r="G61" s="14">
        <v>62.123706349999999</v>
      </c>
      <c r="H61" s="16">
        <v>1.6794540200000001</v>
      </c>
      <c r="I61" s="14" t="s">
        <v>139</v>
      </c>
      <c r="J61" s="16" t="s">
        <v>139</v>
      </c>
      <c r="K61" s="14">
        <v>0</v>
      </c>
      <c r="L61" s="16">
        <v>0</v>
      </c>
      <c r="M61" s="14">
        <v>0</v>
      </c>
      <c r="N61" s="16">
        <v>0</v>
      </c>
      <c r="O61" s="14">
        <v>0</v>
      </c>
      <c r="P61" s="16">
        <v>0</v>
      </c>
      <c r="Q61" s="14">
        <v>0</v>
      </c>
      <c r="R61" s="16">
        <v>0</v>
      </c>
    </row>
    <row r="62" spans="1:18" x14ac:dyDescent="0.25">
      <c r="A62" s="11" t="s">
        <v>195</v>
      </c>
      <c r="B62" s="13">
        <v>4476</v>
      </c>
      <c r="C62" s="14">
        <f>(3763/B62*100)</f>
        <v>84.070598748882929</v>
      </c>
      <c r="D62" s="15">
        <v>713</v>
      </c>
      <c r="E62" s="14">
        <v>16.196744349999999</v>
      </c>
      <c r="F62" s="16">
        <v>1.2815433899999999</v>
      </c>
      <c r="G62" s="14">
        <v>83.803255649999997</v>
      </c>
      <c r="H62" s="16">
        <v>1.2815433899999999</v>
      </c>
      <c r="I62" s="14" t="s">
        <v>139</v>
      </c>
      <c r="J62" s="16" t="s">
        <v>139</v>
      </c>
      <c r="K62" s="14">
        <v>0</v>
      </c>
      <c r="L62" s="16">
        <v>0</v>
      </c>
      <c r="M62" s="14">
        <v>0</v>
      </c>
      <c r="N62" s="16">
        <v>0</v>
      </c>
      <c r="O62" s="14">
        <v>0</v>
      </c>
      <c r="P62" s="16">
        <v>0</v>
      </c>
      <c r="Q62" s="14">
        <v>0</v>
      </c>
      <c r="R62" s="16">
        <v>0</v>
      </c>
    </row>
    <row r="63" spans="1:18" x14ac:dyDescent="0.25">
      <c r="A63" s="11" t="s">
        <v>196</v>
      </c>
      <c r="B63" s="17" t="s">
        <v>154</v>
      </c>
      <c r="C63" s="17" t="s">
        <v>154</v>
      </c>
      <c r="D63" s="18" t="s">
        <v>154</v>
      </c>
      <c r="E63" s="17" t="s">
        <v>154</v>
      </c>
      <c r="F63" s="18" t="s">
        <v>154</v>
      </c>
      <c r="G63" s="17" t="s">
        <v>154</v>
      </c>
      <c r="H63" s="18" t="s">
        <v>154</v>
      </c>
      <c r="I63" s="17" t="s">
        <v>154</v>
      </c>
      <c r="J63" s="18" t="s">
        <v>154</v>
      </c>
      <c r="K63" s="17" t="s">
        <v>154</v>
      </c>
      <c r="L63" s="18" t="s">
        <v>154</v>
      </c>
      <c r="M63" s="17" t="s">
        <v>154</v>
      </c>
      <c r="N63" s="18" t="s">
        <v>154</v>
      </c>
      <c r="O63" s="17" t="s">
        <v>154</v>
      </c>
      <c r="P63" s="18" t="s">
        <v>154</v>
      </c>
      <c r="Q63" s="17" t="s">
        <v>154</v>
      </c>
      <c r="R63" s="18" t="s">
        <v>154</v>
      </c>
    </row>
    <row r="64" spans="1:18" x14ac:dyDescent="0.25">
      <c r="A64" s="11" t="s">
        <v>197</v>
      </c>
      <c r="B64" s="17" t="s">
        <v>154</v>
      </c>
      <c r="C64" s="17" t="s">
        <v>154</v>
      </c>
      <c r="D64" s="18" t="s">
        <v>154</v>
      </c>
      <c r="E64" s="17" t="s">
        <v>154</v>
      </c>
      <c r="F64" s="18" t="s">
        <v>154</v>
      </c>
      <c r="G64" s="17" t="s">
        <v>154</v>
      </c>
      <c r="H64" s="18" t="s">
        <v>154</v>
      </c>
      <c r="I64" s="17" t="s">
        <v>154</v>
      </c>
      <c r="J64" s="18" t="s">
        <v>154</v>
      </c>
      <c r="K64" s="17" t="s">
        <v>154</v>
      </c>
      <c r="L64" s="18" t="s">
        <v>154</v>
      </c>
      <c r="M64" s="17" t="s">
        <v>154</v>
      </c>
      <c r="N64" s="18" t="s">
        <v>154</v>
      </c>
      <c r="O64" s="17" t="s">
        <v>154</v>
      </c>
      <c r="P64" s="18" t="s">
        <v>154</v>
      </c>
      <c r="Q64" s="17" t="s">
        <v>154</v>
      </c>
      <c r="R64" s="18" t="s">
        <v>154</v>
      </c>
    </row>
    <row r="65" spans="1:18" x14ac:dyDescent="0.25">
      <c r="A65" s="11" t="s">
        <v>198</v>
      </c>
      <c r="B65" s="17" t="s">
        <v>154</v>
      </c>
      <c r="C65" s="17" t="s">
        <v>154</v>
      </c>
      <c r="D65" s="18" t="s">
        <v>154</v>
      </c>
      <c r="E65" s="17" t="s">
        <v>154</v>
      </c>
      <c r="F65" s="18" t="s">
        <v>154</v>
      </c>
      <c r="G65" s="17" t="s">
        <v>154</v>
      </c>
      <c r="H65" s="18" t="s">
        <v>154</v>
      </c>
      <c r="I65" s="17" t="s">
        <v>154</v>
      </c>
      <c r="J65" s="18" t="s">
        <v>154</v>
      </c>
      <c r="K65" s="17" t="s">
        <v>154</v>
      </c>
      <c r="L65" s="18" t="s">
        <v>154</v>
      </c>
      <c r="M65" s="17" t="s">
        <v>154</v>
      </c>
      <c r="N65" s="18" t="s">
        <v>154</v>
      </c>
      <c r="O65" s="17" t="s">
        <v>154</v>
      </c>
      <c r="P65" s="18" t="s">
        <v>154</v>
      </c>
      <c r="Q65" s="17" t="s">
        <v>154</v>
      </c>
      <c r="R65" s="18" t="s">
        <v>154</v>
      </c>
    </row>
    <row r="66" spans="1:18" x14ac:dyDescent="0.25">
      <c r="A66" s="11" t="s">
        <v>199</v>
      </c>
      <c r="B66" s="13">
        <v>5665</v>
      </c>
      <c r="C66" s="14">
        <f>(4776/B66*100)</f>
        <v>84.307149161518097</v>
      </c>
      <c r="D66" s="15">
        <v>889</v>
      </c>
      <c r="E66" s="14">
        <v>50.189459759999998</v>
      </c>
      <c r="F66" s="16">
        <v>1.72657726</v>
      </c>
      <c r="G66" s="14">
        <v>49.810540240000002</v>
      </c>
      <c r="H66" s="16">
        <v>1.72657726</v>
      </c>
      <c r="I66" s="14" t="s">
        <v>139</v>
      </c>
      <c r="J66" s="16" t="s">
        <v>139</v>
      </c>
      <c r="K66" s="14">
        <v>0</v>
      </c>
      <c r="L66" s="16">
        <v>0</v>
      </c>
      <c r="M66" s="14">
        <v>0</v>
      </c>
      <c r="N66" s="16">
        <v>0</v>
      </c>
      <c r="O66" s="14">
        <v>0</v>
      </c>
      <c r="P66" s="16">
        <v>0</v>
      </c>
      <c r="Q66" s="14">
        <v>0</v>
      </c>
      <c r="R66" s="16">
        <v>0</v>
      </c>
    </row>
    <row r="67" spans="1:18" x14ac:dyDescent="0.25">
      <c r="A67" s="11" t="s">
        <v>200</v>
      </c>
      <c r="B67" s="13">
        <v>6971</v>
      </c>
      <c r="C67" s="14">
        <f>(6110/B67*100)</f>
        <v>87.648830870750245</v>
      </c>
      <c r="D67" s="15">
        <v>861</v>
      </c>
      <c r="E67" s="14">
        <v>48.32149141</v>
      </c>
      <c r="F67" s="16">
        <v>1.7924941299999999</v>
      </c>
      <c r="G67" s="14">
        <v>51.67850859</v>
      </c>
      <c r="H67" s="16">
        <v>1.7924941299999999</v>
      </c>
      <c r="I67" s="14" t="s">
        <v>139</v>
      </c>
      <c r="J67" s="16" t="s">
        <v>139</v>
      </c>
      <c r="K67" s="14">
        <v>0</v>
      </c>
      <c r="L67" s="16">
        <v>0</v>
      </c>
      <c r="M67" s="14">
        <v>0</v>
      </c>
      <c r="N67" s="16">
        <v>0</v>
      </c>
      <c r="O67" s="14">
        <v>0</v>
      </c>
      <c r="P67" s="16">
        <v>0</v>
      </c>
      <c r="Q67" s="14">
        <v>0</v>
      </c>
      <c r="R67" s="16">
        <v>0</v>
      </c>
    </row>
    <row r="68" spans="1:18" x14ac:dyDescent="0.25">
      <c r="A68" s="11" t="s">
        <v>201</v>
      </c>
      <c r="B68" s="17" t="s">
        <v>154</v>
      </c>
      <c r="C68" s="17" t="s">
        <v>154</v>
      </c>
      <c r="D68" s="18" t="s">
        <v>154</v>
      </c>
      <c r="E68" s="17" t="s">
        <v>154</v>
      </c>
      <c r="F68" s="18" t="s">
        <v>154</v>
      </c>
      <c r="G68" s="17" t="s">
        <v>154</v>
      </c>
      <c r="H68" s="18" t="s">
        <v>154</v>
      </c>
      <c r="I68" s="17" t="s">
        <v>154</v>
      </c>
      <c r="J68" s="18" t="s">
        <v>154</v>
      </c>
      <c r="K68" s="17" t="s">
        <v>154</v>
      </c>
      <c r="L68" s="18" t="s">
        <v>154</v>
      </c>
      <c r="M68" s="17" t="s">
        <v>154</v>
      </c>
      <c r="N68" s="18" t="s">
        <v>154</v>
      </c>
      <c r="O68" s="17" t="s">
        <v>154</v>
      </c>
      <c r="P68" s="18" t="s">
        <v>154</v>
      </c>
      <c r="Q68" s="17" t="s">
        <v>154</v>
      </c>
      <c r="R68" s="18" t="s">
        <v>154</v>
      </c>
    </row>
    <row r="69" spans="1:18" x14ac:dyDescent="0.25">
      <c r="A69" s="11" t="s">
        <v>202</v>
      </c>
      <c r="B69" s="17" t="s">
        <v>154</v>
      </c>
      <c r="C69" s="17" t="s">
        <v>154</v>
      </c>
      <c r="D69" s="18" t="s">
        <v>154</v>
      </c>
      <c r="E69" s="17" t="s">
        <v>154</v>
      </c>
      <c r="F69" s="18" t="s">
        <v>154</v>
      </c>
      <c r="G69" s="17" t="s">
        <v>154</v>
      </c>
      <c r="H69" s="18" t="s">
        <v>154</v>
      </c>
      <c r="I69" s="17" t="s">
        <v>154</v>
      </c>
      <c r="J69" s="18" t="s">
        <v>154</v>
      </c>
      <c r="K69" s="17" t="s">
        <v>154</v>
      </c>
      <c r="L69" s="18" t="s">
        <v>154</v>
      </c>
      <c r="M69" s="17" t="s">
        <v>154</v>
      </c>
      <c r="N69" s="18" t="s">
        <v>154</v>
      </c>
      <c r="O69" s="17" t="s">
        <v>154</v>
      </c>
      <c r="P69" s="18" t="s">
        <v>154</v>
      </c>
      <c r="Q69" s="17" t="s">
        <v>154</v>
      </c>
      <c r="R69" s="18" t="s">
        <v>154</v>
      </c>
    </row>
    <row r="70" spans="1:18" x14ac:dyDescent="0.25">
      <c r="A70" s="11" t="s">
        <v>203</v>
      </c>
      <c r="B70" s="13">
        <v>6036</v>
      </c>
      <c r="C70" s="14">
        <f>(5082/B70*100)</f>
        <v>84.194831013916499</v>
      </c>
      <c r="D70" s="15">
        <v>954</v>
      </c>
      <c r="E70" s="14">
        <v>30.037944490000001</v>
      </c>
      <c r="F70" s="16">
        <v>1.85842624</v>
      </c>
      <c r="G70" s="14">
        <v>69.962055509999999</v>
      </c>
      <c r="H70" s="16">
        <v>1.85842624</v>
      </c>
      <c r="I70" s="14" t="s">
        <v>139</v>
      </c>
      <c r="J70" s="16" t="s">
        <v>139</v>
      </c>
      <c r="K70" s="14">
        <v>0</v>
      </c>
      <c r="L70" s="16">
        <v>0</v>
      </c>
      <c r="M70" s="14">
        <v>0</v>
      </c>
      <c r="N70" s="16">
        <v>0</v>
      </c>
      <c r="O70" s="14">
        <v>0</v>
      </c>
      <c r="P70" s="16">
        <v>0</v>
      </c>
      <c r="Q70" s="14">
        <v>0</v>
      </c>
      <c r="R70" s="16">
        <v>0</v>
      </c>
    </row>
    <row r="71" spans="1:18" x14ac:dyDescent="0.25">
      <c r="A71" s="11" t="s">
        <v>204</v>
      </c>
      <c r="B71" s="17" t="s">
        <v>154</v>
      </c>
      <c r="C71" s="17" t="s">
        <v>154</v>
      </c>
      <c r="D71" s="18" t="s">
        <v>154</v>
      </c>
      <c r="E71" s="17" t="s">
        <v>154</v>
      </c>
      <c r="F71" s="18" t="s">
        <v>154</v>
      </c>
      <c r="G71" s="17" t="s">
        <v>154</v>
      </c>
      <c r="H71" s="18" t="s">
        <v>154</v>
      </c>
      <c r="I71" s="17" t="s">
        <v>154</v>
      </c>
      <c r="J71" s="18" t="s">
        <v>154</v>
      </c>
      <c r="K71" s="17" t="s">
        <v>154</v>
      </c>
      <c r="L71" s="18" t="s">
        <v>154</v>
      </c>
      <c r="M71" s="17" t="s">
        <v>154</v>
      </c>
      <c r="N71" s="18" t="s">
        <v>154</v>
      </c>
      <c r="O71" s="17" t="s">
        <v>154</v>
      </c>
      <c r="P71" s="18" t="s">
        <v>154</v>
      </c>
      <c r="Q71" s="17" t="s">
        <v>154</v>
      </c>
      <c r="R71" s="18" t="s">
        <v>154</v>
      </c>
    </row>
    <row r="72" spans="1:18" x14ac:dyDescent="0.25">
      <c r="A72" s="11" t="s">
        <v>205</v>
      </c>
      <c r="B72" s="13">
        <v>7708</v>
      </c>
      <c r="C72" s="14">
        <f>(6398/B72*100)</f>
        <v>83.00467047223664</v>
      </c>
      <c r="D72" s="15">
        <v>1310</v>
      </c>
      <c r="E72" s="14">
        <v>14.005387669999999</v>
      </c>
      <c r="F72" s="16">
        <v>1.0603210599999999</v>
      </c>
      <c r="G72" s="14">
        <v>85.994612329999995</v>
      </c>
      <c r="H72" s="16">
        <v>1.0603210599999999</v>
      </c>
      <c r="I72" s="14" t="s">
        <v>139</v>
      </c>
      <c r="J72" s="16" t="s">
        <v>139</v>
      </c>
      <c r="K72" s="14">
        <v>0</v>
      </c>
      <c r="L72" s="16">
        <v>0</v>
      </c>
      <c r="M72" s="14">
        <v>0</v>
      </c>
      <c r="N72" s="16">
        <v>0</v>
      </c>
      <c r="O72" s="14">
        <v>0</v>
      </c>
      <c r="P72" s="16">
        <v>0</v>
      </c>
      <c r="Q72" s="14">
        <v>0</v>
      </c>
      <c r="R72" s="16">
        <v>0</v>
      </c>
    </row>
    <row r="73" spans="1:18" x14ac:dyDescent="0.25">
      <c r="A73" s="11" t="s">
        <v>206</v>
      </c>
      <c r="B73" s="13">
        <v>8249</v>
      </c>
      <c r="C73" s="14">
        <f>(7012/B73*100)</f>
        <v>85.004242938537999</v>
      </c>
      <c r="D73" s="15">
        <v>1237</v>
      </c>
      <c r="E73" s="14">
        <v>44.754605560000002</v>
      </c>
      <c r="F73" s="16">
        <v>2.04494204</v>
      </c>
      <c r="G73" s="14">
        <v>55.245394439999998</v>
      </c>
      <c r="H73" s="16">
        <v>2.04494204</v>
      </c>
      <c r="I73" s="14" t="s">
        <v>139</v>
      </c>
      <c r="J73" s="16" t="s">
        <v>139</v>
      </c>
      <c r="K73" s="14">
        <v>0</v>
      </c>
      <c r="L73" s="16">
        <v>0</v>
      </c>
      <c r="M73" s="14">
        <v>0</v>
      </c>
      <c r="N73" s="16">
        <v>0</v>
      </c>
      <c r="O73" s="14">
        <v>0</v>
      </c>
      <c r="P73" s="16">
        <v>0</v>
      </c>
      <c r="Q73" s="14">
        <v>0</v>
      </c>
      <c r="R73" s="16">
        <v>0</v>
      </c>
    </row>
    <row r="74" spans="1:18" x14ac:dyDescent="0.25">
      <c r="A74" s="11" t="s">
        <v>207</v>
      </c>
      <c r="B74" s="17" t="s">
        <v>154</v>
      </c>
      <c r="C74" s="17" t="s">
        <v>154</v>
      </c>
      <c r="D74" s="18" t="s">
        <v>154</v>
      </c>
      <c r="E74" s="17" t="s">
        <v>154</v>
      </c>
      <c r="F74" s="18" t="s">
        <v>154</v>
      </c>
      <c r="G74" s="17" t="s">
        <v>154</v>
      </c>
      <c r="H74" s="18" t="s">
        <v>154</v>
      </c>
      <c r="I74" s="17" t="s">
        <v>154</v>
      </c>
      <c r="J74" s="18" t="s">
        <v>154</v>
      </c>
      <c r="K74" s="17" t="s">
        <v>154</v>
      </c>
      <c r="L74" s="18" t="s">
        <v>154</v>
      </c>
      <c r="M74" s="17" t="s">
        <v>154</v>
      </c>
      <c r="N74" s="18" t="s">
        <v>154</v>
      </c>
      <c r="O74" s="17" t="s">
        <v>154</v>
      </c>
      <c r="P74" s="18" t="s">
        <v>154</v>
      </c>
      <c r="Q74" s="17" t="s">
        <v>154</v>
      </c>
      <c r="R74" s="18" t="s">
        <v>154</v>
      </c>
    </row>
    <row r="75" spans="1:18" x14ac:dyDescent="0.25">
      <c r="A75" s="11" t="s">
        <v>208</v>
      </c>
      <c r="B75" s="13">
        <v>5375</v>
      </c>
      <c r="C75" s="14">
        <f>(4627/B75*100)</f>
        <v>86.083720930232559</v>
      </c>
      <c r="D75" s="15">
        <v>748</v>
      </c>
      <c r="E75" s="14">
        <v>56.374093940000002</v>
      </c>
      <c r="F75" s="16">
        <v>2.0763315900000001</v>
      </c>
      <c r="G75" s="14">
        <v>43.625906059999998</v>
      </c>
      <c r="H75" s="16">
        <v>2.0763315900000001</v>
      </c>
      <c r="I75" s="14" t="s">
        <v>139</v>
      </c>
      <c r="J75" s="16" t="s">
        <v>139</v>
      </c>
      <c r="K75" s="14">
        <v>0</v>
      </c>
      <c r="L75" s="16">
        <v>0</v>
      </c>
      <c r="M75" s="14">
        <v>0</v>
      </c>
      <c r="N75" s="16">
        <v>0</v>
      </c>
      <c r="O75" s="14">
        <v>0</v>
      </c>
      <c r="P75" s="16">
        <v>0</v>
      </c>
      <c r="Q75" s="14">
        <v>0</v>
      </c>
      <c r="R75" s="16">
        <v>0</v>
      </c>
    </row>
    <row r="76" spans="1:18" x14ac:dyDescent="0.25">
      <c r="A76" s="11" t="s">
        <v>209</v>
      </c>
      <c r="B76" s="13">
        <v>14167</v>
      </c>
      <c r="C76" s="14">
        <f>(11765/B76*100)</f>
        <v>83.045104821063035</v>
      </c>
      <c r="D76" s="15">
        <v>2402</v>
      </c>
      <c r="E76" s="14">
        <v>45.364754949999998</v>
      </c>
      <c r="F76" s="16">
        <v>1.1248963599999999</v>
      </c>
      <c r="G76" s="14">
        <v>54.635245050000002</v>
      </c>
      <c r="H76" s="16">
        <v>1.1248963599999999</v>
      </c>
      <c r="I76" s="14" t="s">
        <v>139</v>
      </c>
      <c r="J76" s="16" t="s">
        <v>139</v>
      </c>
      <c r="K76" s="14">
        <v>0</v>
      </c>
      <c r="L76" s="16">
        <v>0</v>
      </c>
      <c r="M76" s="14">
        <v>0</v>
      </c>
      <c r="N76" s="16">
        <v>0</v>
      </c>
      <c r="O76" s="14">
        <v>0</v>
      </c>
      <c r="P76" s="16">
        <v>0</v>
      </c>
      <c r="Q76" s="14">
        <v>0</v>
      </c>
      <c r="R76" s="16">
        <v>0</v>
      </c>
    </row>
    <row r="77" spans="1:18" x14ac:dyDescent="0.25">
      <c r="A77" s="11" t="s">
        <v>210</v>
      </c>
      <c r="B77" s="13">
        <v>6062</v>
      </c>
      <c r="C77" s="14">
        <f>(5128/B77*100)</f>
        <v>84.592543714945563</v>
      </c>
      <c r="D77" s="15">
        <v>934</v>
      </c>
      <c r="E77" s="14">
        <v>41.032938020000003</v>
      </c>
      <c r="F77" s="16">
        <v>1.8306050700000001</v>
      </c>
      <c r="G77" s="14">
        <v>58.967061979999997</v>
      </c>
      <c r="H77" s="16">
        <v>1.8306050700000001</v>
      </c>
      <c r="I77" s="14" t="s">
        <v>139</v>
      </c>
      <c r="J77" s="16" t="s">
        <v>139</v>
      </c>
      <c r="K77" s="14">
        <v>0</v>
      </c>
      <c r="L77" s="16">
        <v>0</v>
      </c>
      <c r="M77" s="14">
        <v>0</v>
      </c>
      <c r="N77" s="16">
        <v>0</v>
      </c>
      <c r="O77" s="14">
        <v>0</v>
      </c>
      <c r="P77" s="16">
        <v>0</v>
      </c>
      <c r="Q77" s="14">
        <v>0</v>
      </c>
      <c r="R77" s="16">
        <v>0</v>
      </c>
    </row>
    <row r="78" spans="1:18" x14ac:dyDescent="0.25">
      <c r="A78" s="11" t="s">
        <v>211</v>
      </c>
      <c r="B78" s="17" t="s">
        <v>154</v>
      </c>
      <c r="C78" s="17" t="s">
        <v>154</v>
      </c>
      <c r="D78" s="18" t="s">
        <v>154</v>
      </c>
      <c r="E78" s="17" t="s">
        <v>154</v>
      </c>
      <c r="F78" s="18" t="s">
        <v>154</v>
      </c>
      <c r="G78" s="17" t="s">
        <v>154</v>
      </c>
      <c r="H78" s="18" t="s">
        <v>154</v>
      </c>
      <c r="I78" s="17" t="s">
        <v>154</v>
      </c>
      <c r="J78" s="18" t="s">
        <v>154</v>
      </c>
      <c r="K78" s="17" t="s">
        <v>154</v>
      </c>
      <c r="L78" s="18" t="s">
        <v>154</v>
      </c>
      <c r="M78" s="17" t="s">
        <v>154</v>
      </c>
      <c r="N78" s="18" t="s">
        <v>154</v>
      </c>
      <c r="O78" s="17" t="s">
        <v>154</v>
      </c>
      <c r="P78" s="18" t="s">
        <v>154</v>
      </c>
      <c r="Q78" s="17" t="s">
        <v>154</v>
      </c>
      <c r="R78" s="18" t="s">
        <v>154</v>
      </c>
    </row>
    <row r="79" spans="1:18" ht="24.95" customHeight="1" x14ac:dyDescent="0.25">
      <c r="A79" s="11" t="s">
        <v>212</v>
      </c>
      <c r="B79" s="17" t="s">
        <v>154</v>
      </c>
      <c r="C79" s="17" t="s">
        <v>154</v>
      </c>
      <c r="D79" s="18" t="s">
        <v>154</v>
      </c>
      <c r="E79" s="17" t="s">
        <v>154</v>
      </c>
      <c r="F79" s="18" t="s">
        <v>154</v>
      </c>
      <c r="G79" s="17" t="s">
        <v>154</v>
      </c>
      <c r="H79" s="18" t="s">
        <v>154</v>
      </c>
      <c r="I79" s="17" t="s">
        <v>154</v>
      </c>
      <c r="J79" s="18" t="s">
        <v>154</v>
      </c>
      <c r="K79" s="17" t="s">
        <v>154</v>
      </c>
      <c r="L79" s="18" t="s">
        <v>154</v>
      </c>
      <c r="M79" s="17" t="s">
        <v>154</v>
      </c>
      <c r="N79" s="18" t="s">
        <v>154</v>
      </c>
      <c r="O79" s="17" t="s">
        <v>154</v>
      </c>
      <c r="P79" s="18" t="s">
        <v>154</v>
      </c>
      <c r="Q79" s="17" t="s">
        <v>154</v>
      </c>
      <c r="R79" s="18" t="s">
        <v>154</v>
      </c>
    </row>
    <row r="80" spans="1:18" x14ac:dyDescent="0.25">
      <c r="A80" s="11" t="s">
        <v>213</v>
      </c>
      <c r="B80" s="17" t="s">
        <v>154</v>
      </c>
      <c r="C80" s="17" t="s">
        <v>154</v>
      </c>
      <c r="D80" s="18" t="s">
        <v>154</v>
      </c>
      <c r="E80" s="17" t="s">
        <v>154</v>
      </c>
      <c r="F80" s="18" t="s">
        <v>154</v>
      </c>
      <c r="G80" s="17" t="s">
        <v>154</v>
      </c>
      <c r="H80" s="18" t="s">
        <v>154</v>
      </c>
      <c r="I80" s="17" t="s">
        <v>154</v>
      </c>
      <c r="J80" s="18" t="s">
        <v>154</v>
      </c>
      <c r="K80" s="17" t="s">
        <v>154</v>
      </c>
      <c r="L80" s="18" t="s">
        <v>154</v>
      </c>
      <c r="M80" s="17" t="s">
        <v>154</v>
      </c>
      <c r="N80" s="18" t="s">
        <v>154</v>
      </c>
      <c r="O80" s="17" t="s">
        <v>154</v>
      </c>
      <c r="P80" s="18" t="s">
        <v>154</v>
      </c>
      <c r="Q80" s="17" t="s">
        <v>154</v>
      </c>
      <c r="R80" s="18" t="s">
        <v>154</v>
      </c>
    </row>
    <row r="81" spans="1:18" x14ac:dyDescent="0.25">
      <c r="A81" s="19" t="s">
        <v>214</v>
      </c>
      <c r="B81" s="13">
        <v>8861</v>
      </c>
      <c r="C81" s="14">
        <f>(7408/B81*100)</f>
        <v>83.602302223225365</v>
      </c>
      <c r="D81" s="15">
        <v>1453</v>
      </c>
      <c r="E81" s="14">
        <v>38.688399699999998</v>
      </c>
      <c r="F81" s="16">
        <v>1.64369707</v>
      </c>
      <c r="G81" s="14">
        <v>61.311600300000002</v>
      </c>
      <c r="H81" s="16">
        <v>1.64369707</v>
      </c>
      <c r="I81" s="14" t="s">
        <v>139</v>
      </c>
      <c r="J81" s="16" t="s">
        <v>139</v>
      </c>
      <c r="K81" s="14">
        <v>0</v>
      </c>
      <c r="L81" s="16">
        <v>0</v>
      </c>
      <c r="M81" s="14">
        <v>0</v>
      </c>
      <c r="N81" s="16">
        <v>0</v>
      </c>
      <c r="O81" s="14">
        <v>0</v>
      </c>
      <c r="P81" s="16">
        <v>0</v>
      </c>
      <c r="Q81" s="14">
        <v>0</v>
      </c>
      <c r="R81" s="16">
        <v>0</v>
      </c>
    </row>
    <row r="82" spans="1:18" x14ac:dyDescent="0.25">
      <c r="A82" s="20"/>
      <c r="B82" s="20" t="s">
        <v>215</v>
      </c>
      <c r="C82" s="20" t="s">
        <v>215</v>
      </c>
      <c r="D82" s="20" t="s">
        <v>215</v>
      </c>
      <c r="E82" s="20" t="s">
        <v>215</v>
      </c>
      <c r="F82" s="20" t="s">
        <v>215</v>
      </c>
      <c r="G82" s="20" t="s">
        <v>215</v>
      </c>
      <c r="H82" s="20" t="s">
        <v>215</v>
      </c>
      <c r="I82" s="20" t="s">
        <v>215</v>
      </c>
      <c r="J82" s="20" t="s">
        <v>215</v>
      </c>
      <c r="K82" s="20" t="s">
        <v>215</v>
      </c>
      <c r="L82" s="20" t="s">
        <v>215</v>
      </c>
      <c r="M82" s="20" t="s">
        <v>215</v>
      </c>
      <c r="N82" s="20" t="s">
        <v>215</v>
      </c>
      <c r="O82" s="20" t="s">
        <v>215</v>
      </c>
      <c r="P82" s="20" t="s">
        <v>215</v>
      </c>
      <c r="Q82" s="20" t="s">
        <v>215</v>
      </c>
      <c r="R82" s="20" t="s">
        <v>215</v>
      </c>
    </row>
    <row r="83" spans="1:18" x14ac:dyDescent="0.25">
      <c r="A83" s="3" t="s">
        <v>216</v>
      </c>
    </row>
    <row r="84" spans="1:18" x14ac:dyDescent="0.25">
      <c r="A84" s="22" t="s">
        <v>217</v>
      </c>
      <c r="B84" s="23"/>
      <c r="C84" s="23"/>
      <c r="D84" s="23"/>
      <c r="E84" s="23"/>
      <c r="F84" s="23"/>
      <c r="G84" s="23"/>
      <c r="H84" s="23"/>
      <c r="I84" s="23"/>
      <c r="J84" s="23"/>
      <c r="K84" s="23"/>
      <c r="L84" s="23"/>
      <c r="M84" s="23"/>
      <c r="N84" s="23"/>
      <c r="O84" s="23"/>
      <c r="P84" s="23"/>
      <c r="Q84" s="23"/>
      <c r="R84" s="23"/>
    </row>
    <row r="85" spans="1:18" x14ac:dyDescent="0.25">
      <c r="A85" s="22" t="s">
        <v>218</v>
      </c>
      <c r="B85" s="23"/>
      <c r="C85" s="23"/>
      <c r="D85" s="23"/>
      <c r="E85" s="23"/>
      <c r="F85" s="23"/>
      <c r="G85" s="23"/>
      <c r="H85" s="23"/>
      <c r="I85" s="23"/>
      <c r="J85" s="23"/>
      <c r="K85" s="23"/>
      <c r="L85" s="23"/>
      <c r="M85" s="23"/>
      <c r="N85" s="23"/>
      <c r="O85" s="23"/>
      <c r="P85" s="23"/>
      <c r="Q85" s="23"/>
      <c r="R85" s="23"/>
    </row>
    <row r="86" spans="1:18" ht="30" customHeight="1" x14ac:dyDescent="0.25">
      <c r="A86" s="22" t="s">
        <v>219</v>
      </c>
      <c r="B86" s="23"/>
      <c r="C86" s="23"/>
      <c r="D86" s="23"/>
      <c r="E86" s="23"/>
      <c r="F86" s="23"/>
      <c r="G86" s="23"/>
      <c r="H86" s="23"/>
      <c r="I86" s="23"/>
      <c r="J86" s="23"/>
      <c r="K86" s="23"/>
      <c r="L86" s="23"/>
      <c r="M86" s="23"/>
      <c r="N86" s="23"/>
      <c r="O86" s="23"/>
      <c r="P86" s="23"/>
      <c r="Q86" s="23"/>
      <c r="R86" s="23"/>
    </row>
    <row r="87" spans="1:18" ht="30" customHeight="1" x14ac:dyDescent="0.25">
      <c r="A87" s="22" t="s">
        <v>215</v>
      </c>
      <c r="B87" s="23"/>
      <c r="C87" s="23"/>
      <c r="D87" s="23"/>
      <c r="E87" s="23"/>
      <c r="F87" s="23"/>
      <c r="G87" s="23"/>
      <c r="H87" s="23"/>
      <c r="I87" s="23"/>
      <c r="J87" s="23"/>
      <c r="K87" s="23"/>
      <c r="L87" s="23"/>
      <c r="M87" s="23"/>
      <c r="N87" s="23"/>
      <c r="O87" s="23"/>
      <c r="P87" s="23"/>
      <c r="Q87" s="23"/>
      <c r="R87" s="23"/>
    </row>
    <row r="88" spans="1:18" ht="30" customHeight="1" x14ac:dyDescent="0.25">
      <c r="A88" s="22" t="s">
        <v>220</v>
      </c>
      <c r="B88" s="23"/>
      <c r="C88" s="23"/>
      <c r="D88" s="23"/>
      <c r="E88" s="23"/>
      <c r="F88" s="23"/>
      <c r="G88" s="23"/>
      <c r="H88" s="23"/>
      <c r="I88" s="23"/>
      <c r="J88" s="23"/>
      <c r="K88" s="23"/>
      <c r="L88" s="23"/>
      <c r="M88" s="23"/>
      <c r="N88" s="23"/>
      <c r="O88" s="23"/>
      <c r="P88" s="23"/>
      <c r="Q88" s="23"/>
      <c r="R88" s="23"/>
    </row>
    <row r="89" spans="1:18" ht="30" customHeight="1" x14ac:dyDescent="0.25">
      <c r="A89" s="22" t="s">
        <v>221</v>
      </c>
      <c r="B89" s="23"/>
      <c r="C89" s="23"/>
      <c r="D89" s="23"/>
      <c r="E89" s="23"/>
      <c r="F89" s="23"/>
      <c r="G89" s="23"/>
      <c r="H89" s="23"/>
      <c r="I89" s="23"/>
      <c r="J89" s="23"/>
      <c r="K89" s="23"/>
      <c r="L89" s="23"/>
      <c r="M89" s="23"/>
      <c r="N89" s="23"/>
      <c r="O89" s="23"/>
      <c r="P89" s="23"/>
      <c r="Q89" s="23"/>
      <c r="R89" s="23"/>
    </row>
    <row r="90" spans="1:18" ht="30" customHeight="1" x14ac:dyDescent="0.25">
      <c r="A90" s="22" t="s">
        <v>222</v>
      </c>
      <c r="B90" s="23"/>
      <c r="C90" s="23"/>
      <c r="D90" s="23"/>
      <c r="E90" s="23"/>
      <c r="F90" s="23"/>
      <c r="G90" s="23"/>
      <c r="H90" s="23"/>
      <c r="I90" s="23"/>
      <c r="J90" s="23"/>
      <c r="K90" s="23"/>
      <c r="L90" s="23"/>
      <c r="M90" s="23"/>
      <c r="N90" s="23"/>
      <c r="O90" s="23"/>
      <c r="P90" s="23"/>
      <c r="Q90" s="23"/>
      <c r="R90" s="23"/>
    </row>
    <row r="91" spans="1:18" ht="30" customHeight="1" x14ac:dyDescent="0.25">
      <c r="A91" s="22" t="s">
        <v>223</v>
      </c>
      <c r="B91" s="23"/>
      <c r="C91" s="23"/>
      <c r="D91" s="23"/>
      <c r="E91" s="23"/>
      <c r="F91" s="23"/>
      <c r="G91" s="23"/>
      <c r="H91" s="23"/>
      <c r="I91" s="23"/>
      <c r="J91" s="23"/>
      <c r="K91" s="23"/>
      <c r="L91" s="23"/>
      <c r="M91" s="23"/>
      <c r="N91" s="23"/>
      <c r="O91" s="23"/>
      <c r="P91" s="23"/>
      <c r="Q91" s="23"/>
      <c r="R91" s="23"/>
    </row>
    <row r="92" spans="1:18" ht="30" customHeight="1" x14ac:dyDescent="0.25">
      <c r="A92" s="22" t="s">
        <v>224</v>
      </c>
      <c r="B92" s="23"/>
      <c r="C92" s="23"/>
      <c r="D92" s="23"/>
      <c r="E92" s="23"/>
      <c r="F92" s="23"/>
      <c r="G92" s="23"/>
      <c r="H92" s="23"/>
      <c r="I92" s="23"/>
      <c r="J92" s="23"/>
      <c r="K92" s="23"/>
      <c r="L92" s="23"/>
      <c r="M92" s="23"/>
      <c r="N92" s="23"/>
      <c r="O92" s="23"/>
      <c r="P92" s="23"/>
      <c r="Q92" s="23"/>
      <c r="R92" s="23"/>
    </row>
    <row r="93" spans="1:18" ht="30" customHeight="1" x14ac:dyDescent="0.25">
      <c r="A93" s="22" t="s">
        <v>225</v>
      </c>
      <c r="B93" s="23"/>
      <c r="C93" s="23"/>
      <c r="D93" s="23"/>
      <c r="E93" s="23"/>
      <c r="F93" s="23"/>
      <c r="G93" s="23"/>
      <c r="H93" s="23"/>
      <c r="I93" s="23"/>
      <c r="J93" s="23"/>
      <c r="K93" s="23"/>
      <c r="L93" s="23"/>
      <c r="M93" s="23"/>
      <c r="N93" s="23"/>
      <c r="O93" s="23"/>
      <c r="P93" s="23"/>
      <c r="Q93" s="23"/>
      <c r="R93" s="23"/>
    </row>
    <row r="94" spans="1:18" ht="30" customHeight="1" x14ac:dyDescent="0.25">
      <c r="A94" s="22" t="s">
        <v>226</v>
      </c>
      <c r="B94" s="23"/>
      <c r="C94" s="23"/>
      <c r="D94" s="23"/>
      <c r="E94" s="23"/>
      <c r="F94" s="23"/>
      <c r="G94" s="23"/>
      <c r="H94" s="23"/>
      <c r="I94" s="23"/>
      <c r="J94" s="23"/>
      <c r="K94" s="23"/>
      <c r="L94" s="23"/>
      <c r="M94" s="23"/>
      <c r="N94" s="23"/>
      <c r="O94" s="23"/>
      <c r="P94" s="23"/>
      <c r="Q94" s="23"/>
      <c r="R94" s="23"/>
    </row>
    <row r="95" spans="1:18" ht="30" customHeight="1" x14ac:dyDescent="0.25">
      <c r="A95" s="22" t="s">
        <v>227</v>
      </c>
      <c r="B95" s="23"/>
      <c r="C95" s="23"/>
      <c r="D95" s="23"/>
      <c r="E95" s="23"/>
      <c r="F95" s="23"/>
      <c r="G95" s="23"/>
      <c r="H95" s="23"/>
      <c r="I95" s="23"/>
      <c r="J95" s="23"/>
      <c r="K95" s="23"/>
      <c r="L95" s="23"/>
      <c r="M95" s="23"/>
      <c r="N95" s="23"/>
      <c r="O95" s="23"/>
      <c r="P95" s="23"/>
      <c r="Q95" s="23"/>
      <c r="R95" s="23"/>
    </row>
    <row r="96" spans="1:18" ht="30" customHeight="1" x14ac:dyDescent="0.25">
      <c r="A96" s="22" t="s">
        <v>228</v>
      </c>
      <c r="B96" s="23"/>
      <c r="C96" s="23"/>
      <c r="D96" s="23"/>
      <c r="E96" s="23"/>
      <c r="F96" s="23"/>
      <c r="G96" s="23"/>
      <c r="H96" s="23"/>
      <c r="I96" s="23"/>
      <c r="J96" s="23"/>
      <c r="K96" s="23"/>
      <c r="L96" s="23"/>
      <c r="M96" s="23"/>
      <c r="N96" s="23"/>
      <c r="O96" s="23"/>
      <c r="P96" s="23"/>
      <c r="Q96" s="23"/>
      <c r="R96" s="23"/>
    </row>
  </sheetData>
  <mergeCells count="22">
    <mergeCell ref="O4:P4"/>
    <mergeCell ref="Q4:R4"/>
    <mergeCell ref="A1:R1"/>
    <mergeCell ref="A2:R2"/>
    <mergeCell ref="A84:R84"/>
    <mergeCell ref="E4:F4"/>
    <mergeCell ref="G4:H4"/>
    <mergeCell ref="I4:J4"/>
    <mergeCell ref="K4:L4"/>
    <mergeCell ref="M4:N4"/>
    <mergeCell ref="A85:R85"/>
    <mergeCell ref="A86:R86"/>
    <mergeCell ref="A87:R87"/>
    <mergeCell ref="A88:R88"/>
    <mergeCell ref="A89:R89"/>
    <mergeCell ref="A95:R95"/>
    <mergeCell ref="A96:R96"/>
    <mergeCell ref="A90:R90"/>
    <mergeCell ref="A91:R91"/>
    <mergeCell ref="A92:R92"/>
    <mergeCell ref="A93:R93"/>
    <mergeCell ref="A94:R94"/>
  </mergeCells>
  <pageMargins left="0.75" right="0.75" top="1" bottom="1" header="0.5" footer="0.5"/>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7"/>
  <dimension ref="A1:R96"/>
  <sheetViews>
    <sheetView zoomScale="80" workbookViewId="0">
      <pane xSplit="4" topLeftCell="E1" activePane="topRight" state="frozen"/>
      <selection sqref="A1:R1"/>
      <selection pane="topRight" sqref="A1:R1"/>
    </sheetView>
  </sheetViews>
  <sheetFormatPr defaultColWidth="11.42578125" defaultRowHeight="15" x14ac:dyDescent="0.25"/>
  <cols>
    <col min="1" max="1" width="50" customWidth="1"/>
  </cols>
  <sheetData>
    <row r="1" spans="1:18" x14ac:dyDescent="0.25">
      <c r="A1" s="26" t="s">
        <v>122</v>
      </c>
      <c r="B1" s="23"/>
      <c r="C1" s="23"/>
      <c r="D1" s="23"/>
      <c r="E1" s="23"/>
      <c r="F1" s="23"/>
      <c r="G1" s="23"/>
      <c r="H1" s="23"/>
      <c r="I1" s="23"/>
      <c r="J1" s="23"/>
      <c r="K1" s="23"/>
      <c r="L1" s="23"/>
      <c r="M1" s="23"/>
      <c r="N1" s="23"/>
      <c r="O1" s="23"/>
      <c r="P1" s="23"/>
      <c r="Q1" s="23"/>
      <c r="R1" s="23"/>
    </row>
    <row r="2" spans="1:18" x14ac:dyDescent="0.25">
      <c r="A2" s="27" t="s">
        <v>313</v>
      </c>
      <c r="B2" s="23"/>
      <c r="C2" s="23"/>
      <c r="D2" s="23"/>
      <c r="E2" s="23"/>
      <c r="F2" s="23"/>
      <c r="G2" s="23"/>
      <c r="H2" s="23"/>
      <c r="I2" s="23"/>
      <c r="J2" s="23"/>
      <c r="K2" s="23"/>
      <c r="L2" s="23"/>
      <c r="M2" s="23"/>
      <c r="N2" s="23"/>
      <c r="O2" s="23"/>
      <c r="P2" s="23"/>
      <c r="Q2" s="23"/>
      <c r="R2" s="23"/>
    </row>
    <row r="4" spans="1:18" ht="30" customHeight="1" x14ac:dyDescent="0.25">
      <c r="A4" s="4"/>
      <c r="B4" s="5" t="s">
        <v>123</v>
      </c>
      <c r="C4" s="5" t="s">
        <v>124</v>
      </c>
      <c r="D4" s="6" t="s">
        <v>123</v>
      </c>
      <c r="E4" s="24" t="s">
        <v>125</v>
      </c>
      <c r="F4" s="25"/>
      <c r="G4" s="24" t="s">
        <v>126</v>
      </c>
      <c r="H4" s="25"/>
      <c r="I4" s="24" t="s">
        <v>127</v>
      </c>
      <c r="J4" s="25"/>
      <c r="K4" s="24" t="s">
        <v>128</v>
      </c>
      <c r="L4" s="25"/>
      <c r="M4" s="24" t="s">
        <v>129</v>
      </c>
      <c r="N4" s="25"/>
      <c r="O4" s="24" t="s">
        <v>130</v>
      </c>
      <c r="P4" s="25"/>
      <c r="Q4" s="24" t="s">
        <v>131</v>
      </c>
      <c r="R4" s="25"/>
    </row>
    <row r="5" spans="1:18" x14ac:dyDescent="0.25">
      <c r="A5" s="7"/>
      <c r="B5" s="8" t="s">
        <v>132</v>
      </c>
      <c r="C5" s="8" t="s">
        <v>133</v>
      </c>
      <c r="D5" s="7" t="s">
        <v>134</v>
      </c>
      <c r="E5" s="8" t="s">
        <v>135</v>
      </c>
      <c r="F5" s="7" t="s">
        <v>136</v>
      </c>
      <c r="G5" s="8" t="s">
        <v>135</v>
      </c>
      <c r="H5" s="7" t="s">
        <v>136</v>
      </c>
      <c r="I5" s="8" t="s">
        <v>135</v>
      </c>
      <c r="J5" s="7" t="s">
        <v>136</v>
      </c>
      <c r="K5" s="8" t="s">
        <v>135</v>
      </c>
      <c r="L5" s="7" t="s">
        <v>136</v>
      </c>
      <c r="M5" s="8" t="s">
        <v>135</v>
      </c>
      <c r="N5" s="7" t="s">
        <v>136</v>
      </c>
      <c r="O5" s="8" t="s">
        <v>135</v>
      </c>
      <c r="P5" s="7" t="s">
        <v>136</v>
      </c>
      <c r="Q5" s="8" t="s">
        <v>135</v>
      </c>
      <c r="R5" s="7" t="s">
        <v>136</v>
      </c>
    </row>
    <row r="6" spans="1:18" x14ac:dyDescent="0.25">
      <c r="A6" s="9" t="s">
        <v>137</v>
      </c>
      <c r="B6" s="10"/>
      <c r="C6" s="10"/>
      <c r="D6" s="11"/>
      <c r="E6" s="10"/>
      <c r="F6" s="11"/>
      <c r="G6" s="10"/>
      <c r="H6" s="11"/>
      <c r="I6" s="10"/>
      <c r="J6" s="11"/>
      <c r="K6" s="10"/>
      <c r="L6" s="11"/>
      <c r="M6" s="10"/>
      <c r="N6" s="11"/>
      <c r="O6" s="10"/>
      <c r="P6" s="11"/>
      <c r="Q6" s="10"/>
      <c r="R6" s="12"/>
    </row>
    <row r="7" spans="1:18" x14ac:dyDescent="0.25">
      <c r="A7" s="11" t="s">
        <v>138</v>
      </c>
      <c r="B7" s="13">
        <v>14530</v>
      </c>
      <c r="C7" s="14">
        <f>(12273/B7*100)</f>
        <v>84.466620784583625</v>
      </c>
      <c r="D7" s="15">
        <v>2257</v>
      </c>
      <c r="E7" s="14">
        <v>30.581947509999999</v>
      </c>
      <c r="F7" s="16">
        <v>1.1248620899999999</v>
      </c>
      <c r="G7" s="14">
        <v>69.418052489999994</v>
      </c>
      <c r="H7" s="16">
        <v>1.1248620899999999</v>
      </c>
      <c r="I7" s="14" t="s">
        <v>139</v>
      </c>
      <c r="J7" s="16" t="s">
        <v>139</v>
      </c>
      <c r="K7" s="14">
        <v>0</v>
      </c>
      <c r="L7" s="16">
        <v>0</v>
      </c>
      <c r="M7" s="14">
        <v>0</v>
      </c>
      <c r="N7" s="16">
        <v>0</v>
      </c>
      <c r="O7" s="14">
        <v>0</v>
      </c>
      <c r="P7" s="16">
        <v>0</v>
      </c>
      <c r="Q7" s="14">
        <v>0</v>
      </c>
      <c r="R7" s="16">
        <v>0</v>
      </c>
    </row>
    <row r="8" spans="1:18" x14ac:dyDescent="0.25">
      <c r="A8" s="11" t="s">
        <v>140</v>
      </c>
      <c r="B8" s="13">
        <v>7007</v>
      </c>
      <c r="C8" s="14">
        <f>(5877/B8*100)</f>
        <v>83.873269587555299</v>
      </c>
      <c r="D8" s="15">
        <v>1130</v>
      </c>
      <c r="E8" s="14">
        <v>23.977853540000002</v>
      </c>
      <c r="F8" s="16">
        <v>1.4285654999999999</v>
      </c>
      <c r="G8" s="14">
        <v>76.022146460000002</v>
      </c>
      <c r="H8" s="16">
        <v>1.4285654999999999</v>
      </c>
      <c r="I8" s="14" t="s">
        <v>139</v>
      </c>
      <c r="J8" s="16" t="s">
        <v>139</v>
      </c>
      <c r="K8" s="14">
        <v>0</v>
      </c>
      <c r="L8" s="16">
        <v>0</v>
      </c>
      <c r="M8" s="14">
        <v>0</v>
      </c>
      <c r="N8" s="16">
        <v>0</v>
      </c>
      <c r="O8" s="14">
        <v>0</v>
      </c>
      <c r="P8" s="16">
        <v>0</v>
      </c>
      <c r="Q8" s="14">
        <v>0</v>
      </c>
      <c r="R8" s="16">
        <v>0</v>
      </c>
    </row>
    <row r="9" spans="1:18" x14ac:dyDescent="0.25">
      <c r="A9" s="11" t="s">
        <v>141</v>
      </c>
      <c r="B9" s="13">
        <v>9651</v>
      </c>
      <c r="C9" s="14">
        <f>(8191/B9*100)</f>
        <v>84.872033986115426</v>
      </c>
      <c r="D9" s="15">
        <v>1460</v>
      </c>
      <c r="E9" s="14">
        <v>27.576249690000001</v>
      </c>
      <c r="F9" s="16">
        <v>1.34522031</v>
      </c>
      <c r="G9" s="14">
        <v>72.423750310000003</v>
      </c>
      <c r="H9" s="16">
        <v>1.34522031</v>
      </c>
      <c r="I9" s="14" t="s">
        <v>139</v>
      </c>
      <c r="J9" s="16" t="s">
        <v>139</v>
      </c>
      <c r="K9" s="14">
        <v>0</v>
      </c>
      <c r="L9" s="16">
        <v>0</v>
      </c>
      <c r="M9" s="14">
        <v>0</v>
      </c>
      <c r="N9" s="16">
        <v>0</v>
      </c>
      <c r="O9" s="14">
        <v>0</v>
      </c>
      <c r="P9" s="16">
        <v>0</v>
      </c>
      <c r="Q9" s="14">
        <v>0</v>
      </c>
      <c r="R9" s="16">
        <v>0</v>
      </c>
    </row>
    <row r="10" spans="1:18" x14ac:dyDescent="0.25">
      <c r="A10" s="11" t="s">
        <v>142</v>
      </c>
      <c r="B10" s="13">
        <v>20058</v>
      </c>
      <c r="C10" s="14">
        <f>(16744/B10*100)</f>
        <v>83.477914049257151</v>
      </c>
      <c r="D10" s="15">
        <v>3314</v>
      </c>
      <c r="E10" s="14">
        <v>26.340459209999999</v>
      </c>
      <c r="F10" s="16">
        <v>1.0037726199999999</v>
      </c>
      <c r="G10" s="14">
        <v>73.659540789999994</v>
      </c>
      <c r="H10" s="16">
        <v>1.0037726199999999</v>
      </c>
      <c r="I10" s="14" t="s">
        <v>139</v>
      </c>
      <c r="J10" s="16" t="s">
        <v>139</v>
      </c>
      <c r="K10" s="14">
        <v>0</v>
      </c>
      <c r="L10" s="16">
        <v>0</v>
      </c>
      <c r="M10" s="14">
        <v>0</v>
      </c>
      <c r="N10" s="16">
        <v>0</v>
      </c>
      <c r="O10" s="14">
        <v>0</v>
      </c>
      <c r="P10" s="16">
        <v>0</v>
      </c>
      <c r="Q10" s="14">
        <v>0</v>
      </c>
      <c r="R10" s="16">
        <v>0</v>
      </c>
    </row>
    <row r="11" spans="1:18" x14ac:dyDescent="0.25">
      <c r="A11" s="11" t="s">
        <v>143</v>
      </c>
      <c r="B11" s="13">
        <v>7053</v>
      </c>
      <c r="C11" s="14">
        <f>(5950/B11*100)</f>
        <v>84.361264710052467</v>
      </c>
      <c r="D11" s="15">
        <v>1103</v>
      </c>
      <c r="E11" s="14">
        <v>38.468612350000001</v>
      </c>
      <c r="F11" s="16">
        <v>1.6762565199999999</v>
      </c>
      <c r="G11" s="14">
        <v>61.531387649999999</v>
      </c>
      <c r="H11" s="16">
        <v>1.6762565199999999</v>
      </c>
      <c r="I11" s="14" t="s">
        <v>139</v>
      </c>
      <c r="J11" s="16" t="s">
        <v>139</v>
      </c>
      <c r="K11" s="14">
        <v>0</v>
      </c>
      <c r="L11" s="16">
        <v>0</v>
      </c>
      <c r="M11" s="14">
        <v>0</v>
      </c>
      <c r="N11" s="16">
        <v>0</v>
      </c>
      <c r="O11" s="14">
        <v>0</v>
      </c>
      <c r="P11" s="16">
        <v>0</v>
      </c>
      <c r="Q11" s="14">
        <v>0</v>
      </c>
      <c r="R11" s="16">
        <v>0</v>
      </c>
    </row>
    <row r="12" spans="1:18" x14ac:dyDescent="0.25">
      <c r="A12" s="11" t="s">
        <v>144</v>
      </c>
      <c r="B12" s="13">
        <v>6894</v>
      </c>
      <c r="C12" s="14">
        <f>(5796/B12*100)</f>
        <v>84.073107049608353</v>
      </c>
      <c r="D12" s="15">
        <v>1098</v>
      </c>
      <c r="E12" s="14">
        <v>40.057432079999998</v>
      </c>
      <c r="F12" s="16">
        <v>1.8117447200000001</v>
      </c>
      <c r="G12" s="14">
        <v>59.942567920000002</v>
      </c>
      <c r="H12" s="16">
        <v>1.8117447200000001</v>
      </c>
      <c r="I12" s="14" t="s">
        <v>139</v>
      </c>
      <c r="J12" s="16" t="s">
        <v>139</v>
      </c>
      <c r="K12" s="14">
        <v>0</v>
      </c>
      <c r="L12" s="16">
        <v>0</v>
      </c>
      <c r="M12" s="14">
        <v>0</v>
      </c>
      <c r="N12" s="16">
        <v>0</v>
      </c>
      <c r="O12" s="14">
        <v>0</v>
      </c>
      <c r="P12" s="16">
        <v>0</v>
      </c>
      <c r="Q12" s="14">
        <v>0</v>
      </c>
      <c r="R12" s="16">
        <v>0</v>
      </c>
    </row>
    <row r="13" spans="1:18" x14ac:dyDescent="0.25">
      <c r="A13" s="11" t="s">
        <v>145</v>
      </c>
      <c r="B13" s="13">
        <v>7161</v>
      </c>
      <c r="C13" s="14">
        <f>(6096/B13*100)</f>
        <v>85.127775450356097</v>
      </c>
      <c r="D13" s="15">
        <v>1065</v>
      </c>
      <c r="E13" s="14">
        <v>18.352169709999998</v>
      </c>
      <c r="F13" s="16">
        <v>1.50626321</v>
      </c>
      <c r="G13" s="14">
        <v>81.647830290000002</v>
      </c>
      <c r="H13" s="16">
        <v>1.50626321</v>
      </c>
      <c r="I13" s="14" t="s">
        <v>139</v>
      </c>
      <c r="J13" s="16" t="s">
        <v>139</v>
      </c>
      <c r="K13" s="14">
        <v>0</v>
      </c>
      <c r="L13" s="16">
        <v>0</v>
      </c>
      <c r="M13" s="14">
        <v>0</v>
      </c>
      <c r="N13" s="16">
        <v>0</v>
      </c>
      <c r="O13" s="14">
        <v>0</v>
      </c>
      <c r="P13" s="16">
        <v>0</v>
      </c>
      <c r="Q13" s="14">
        <v>0</v>
      </c>
      <c r="R13" s="16">
        <v>0</v>
      </c>
    </row>
    <row r="14" spans="1:18" x14ac:dyDescent="0.25">
      <c r="A14" s="11" t="s">
        <v>146</v>
      </c>
      <c r="B14" s="13">
        <v>5587</v>
      </c>
      <c r="C14" s="14">
        <f>(4671/B14*100)</f>
        <v>83.604796849829967</v>
      </c>
      <c r="D14" s="15">
        <v>916</v>
      </c>
      <c r="E14" s="14">
        <v>25.87913811</v>
      </c>
      <c r="F14" s="16">
        <v>1.3487645800000001</v>
      </c>
      <c r="G14" s="14">
        <v>74.12086189</v>
      </c>
      <c r="H14" s="16">
        <v>1.3487645800000001</v>
      </c>
      <c r="I14" s="14" t="s">
        <v>139</v>
      </c>
      <c r="J14" s="16" t="s">
        <v>139</v>
      </c>
      <c r="K14" s="14">
        <v>0</v>
      </c>
      <c r="L14" s="16">
        <v>0</v>
      </c>
      <c r="M14" s="14">
        <v>0</v>
      </c>
      <c r="N14" s="16">
        <v>0</v>
      </c>
      <c r="O14" s="14">
        <v>0</v>
      </c>
      <c r="P14" s="16">
        <v>0</v>
      </c>
      <c r="Q14" s="14">
        <v>0</v>
      </c>
      <c r="R14" s="16">
        <v>0</v>
      </c>
    </row>
    <row r="15" spans="1:18" x14ac:dyDescent="0.25">
      <c r="A15" s="11" t="s">
        <v>147</v>
      </c>
      <c r="B15" s="13">
        <v>5882</v>
      </c>
      <c r="C15" s="14">
        <f>(4907/B15*100)</f>
        <v>83.424005440326425</v>
      </c>
      <c r="D15" s="15">
        <v>975</v>
      </c>
      <c r="E15" s="14">
        <v>28.859242739999999</v>
      </c>
      <c r="F15" s="16">
        <v>1.5631002899999999</v>
      </c>
      <c r="G15" s="14">
        <v>71.140757260000001</v>
      </c>
      <c r="H15" s="16">
        <v>1.5631002899999999</v>
      </c>
      <c r="I15" s="14" t="s">
        <v>139</v>
      </c>
      <c r="J15" s="16" t="s">
        <v>139</v>
      </c>
      <c r="K15" s="14">
        <v>0</v>
      </c>
      <c r="L15" s="16">
        <v>0</v>
      </c>
      <c r="M15" s="14">
        <v>0</v>
      </c>
      <c r="N15" s="16">
        <v>0</v>
      </c>
      <c r="O15" s="14">
        <v>0</v>
      </c>
      <c r="P15" s="16">
        <v>0</v>
      </c>
      <c r="Q15" s="14">
        <v>0</v>
      </c>
      <c r="R15" s="16">
        <v>0</v>
      </c>
    </row>
    <row r="16" spans="1:18" x14ac:dyDescent="0.25">
      <c r="A16" s="11" t="s">
        <v>148</v>
      </c>
      <c r="B16" s="13">
        <v>6108</v>
      </c>
      <c r="C16" s="14">
        <f>(5106/B16*100)</f>
        <v>83.59528487229862</v>
      </c>
      <c r="D16" s="15">
        <v>1002</v>
      </c>
      <c r="E16" s="14">
        <v>32.217003380000001</v>
      </c>
      <c r="F16" s="16">
        <v>1.81841053</v>
      </c>
      <c r="G16" s="14">
        <v>67.782996620000006</v>
      </c>
      <c r="H16" s="16">
        <v>1.81841053</v>
      </c>
      <c r="I16" s="14" t="s">
        <v>139</v>
      </c>
      <c r="J16" s="16" t="s">
        <v>139</v>
      </c>
      <c r="K16" s="14">
        <v>0</v>
      </c>
      <c r="L16" s="16">
        <v>0</v>
      </c>
      <c r="M16" s="14">
        <v>0</v>
      </c>
      <c r="N16" s="16">
        <v>0</v>
      </c>
      <c r="O16" s="14">
        <v>0</v>
      </c>
      <c r="P16" s="16">
        <v>0</v>
      </c>
      <c r="Q16" s="14">
        <v>0</v>
      </c>
      <c r="R16" s="16">
        <v>0</v>
      </c>
    </row>
    <row r="17" spans="1:18" x14ac:dyDescent="0.25">
      <c r="A17" s="11" t="s">
        <v>149</v>
      </c>
      <c r="B17" s="13">
        <v>6504</v>
      </c>
      <c r="C17" s="14">
        <f>(5484/B17*100)</f>
        <v>84.317343173431738</v>
      </c>
      <c r="D17" s="15">
        <v>1020</v>
      </c>
      <c r="E17" s="14">
        <v>21.381352</v>
      </c>
      <c r="F17" s="16">
        <v>1.3714139400000001</v>
      </c>
      <c r="G17" s="14">
        <v>78.618647999999993</v>
      </c>
      <c r="H17" s="16">
        <v>1.3714139400000001</v>
      </c>
      <c r="I17" s="14" t="s">
        <v>139</v>
      </c>
      <c r="J17" s="16" t="s">
        <v>139</v>
      </c>
      <c r="K17" s="14">
        <v>0</v>
      </c>
      <c r="L17" s="16">
        <v>0</v>
      </c>
      <c r="M17" s="14">
        <v>0</v>
      </c>
      <c r="N17" s="16">
        <v>0</v>
      </c>
      <c r="O17" s="14">
        <v>0</v>
      </c>
      <c r="P17" s="16">
        <v>0</v>
      </c>
      <c r="Q17" s="14">
        <v>0</v>
      </c>
      <c r="R17" s="16">
        <v>0</v>
      </c>
    </row>
    <row r="18" spans="1:18" x14ac:dyDescent="0.25">
      <c r="A18" s="11" t="s">
        <v>150</v>
      </c>
      <c r="B18" s="13">
        <v>5532</v>
      </c>
      <c r="C18" s="14">
        <f>(4644/B18*100)</f>
        <v>83.947939262472886</v>
      </c>
      <c r="D18" s="15">
        <v>888</v>
      </c>
      <c r="E18" s="14">
        <v>47.656468289999999</v>
      </c>
      <c r="F18" s="16">
        <v>2.0617857800000001</v>
      </c>
      <c r="G18" s="14">
        <v>52.343531710000001</v>
      </c>
      <c r="H18" s="16">
        <v>2.0617857800000001</v>
      </c>
      <c r="I18" s="14" t="s">
        <v>139</v>
      </c>
      <c r="J18" s="16" t="s">
        <v>139</v>
      </c>
      <c r="K18" s="14">
        <v>0</v>
      </c>
      <c r="L18" s="16">
        <v>0</v>
      </c>
      <c r="M18" s="14">
        <v>0</v>
      </c>
      <c r="N18" s="16">
        <v>0</v>
      </c>
      <c r="O18" s="14">
        <v>0</v>
      </c>
      <c r="P18" s="16">
        <v>0</v>
      </c>
      <c r="Q18" s="14">
        <v>0</v>
      </c>
      <c r="R18" s="16">
        <v>0</v>
      </c>
    </row>
    <row r="19" spans="1:18" x14ac:dyDescent="0.25">
      <c r="A19" s="11" t="s">
        <v>151</v>
      </c>
      <c r="B19" s="13">
        <v>5658</v>
      </c>
      <c r="C19" s="14">
        <f>(4776/B19*100)</f>
        <v>84.411452810180279</v>
      </c>
      <c r="D19" s="15">
        <v>882</v>
      </c>
      <c r="E19" s="14">
        <v>42.140423949999999</v>
      </c>
      <c r="F19" s="16">
        <v>2.1165097799999999</v>
      </c>
      <c r="G19" s="14">
        <v>57.859576050000001</v>
      </c>
      <c r="H19" s="16">
        <v>2.1165097799999999</v>
      </c>
      <c r="I19" s="14" t="s">
        <v>139</v>
      </c>
      <c r="J19" s="16" t="s">
        <v>139</v>
      </c>
      <c r="K19" s="14">
        <v>0</v>
      </c>
      <c r="L19" s="16">
        <v>0</v>
      </c>
      <c r="M19" s="14">
        <v>0</v>
      </c>
      <c r="N19" s="16">
        <v>0</v>
      </c>
      <c r="O19" s="14">
        <v>0</v>
      </c>
      <c r="P19" s="16">
        <v>0</v>
      </c>
      <c r="Q19" s="14">
        <v>0</v>
      </c>
      <c r="R19" s="16">
        <v>0</v>
      </c>
    </row>
    <row r="20" spans="1:18" x14ac:dyDescent="0.25">
      <c r="A20" s="11" t="s">
        <v>152</v>
      </c>
      <c r="B20" s="13">
        <v>3371</v>
      </c>
      <c r="C20" s="14">
        <f>(2854/B20*100)</f>
        <v>84.663304657371697</v>
      </c>
      <c r="D20" s="15">
        <v>517</v>
      </c>
      <c r="E20" s="14">
        <v>34.565615780000002</v>
      </c>
      <c r="F20" s="16">
        <v>1.75315474</v>
      </c>
      <c r="G20" s="14">
        <v>65.434384219999998</v>
      </c>
      <c r="H20" s="16">
        <v>1.75315474</v>
      </c>
      <c r="I20" s="14" t="s">
        <v>139</v>
      </c>
      <c r="J20" s="16" t="s">
        <v>139</v>
      </c>
      <c r="K20" s="14">
        <v>0</v>
      </c>
      <c r="L20" s="16">
        <v>0</v>
      </c>
      <c r="M20" s="14">
        <v>0</v>
      </c>
      <c r="N20" s="16">
        <v>0</v>
      </c>
      <c r="O20" s="14">
        <v>0</v>
      </c>
      <c r="P20" s="16">
        <v>0</v>
      </c>
      <c r="Q20" s="14">
        <v>0</v>
      </c>
      <c r="R20" s="16">
        <v>0</v>
      </c>
    </row>
    <row r="21" spans="1:18" x14ac:dyDescent="0.25">
      <c r="A21" s="11" t="s">
        <v>153</v>
      </c>
      <c r="B21" s="17" t="s">
        <v>154</v>
      </c>
      <c r="C21" s="17" t="s">
        <v>154</v>
      </c>
      <c r="D21" s="18" t="s">
        <v>154</v>
      </c>
      <c r="E21" s="17" t="s">
        <v>154</v>
      </c>
      <c r="F21" s="18" t="s">
        <v>154</v>
      </c>
      <c r="G21" s="17" t="s">
        <v>154</v>
      </c>
      <c r="H21" s="18" t="s">
        <v>154</v>
      </c>
      <c r="I21" s="17" t="s">
        <v>154</v>
      </c>
      <c r="J21" s="18" t="s">
        <v>154</v>
      </c>
      <c r="K21" s="17" t="s">
        <v>154</v>
      </c>
      <c r="L21" s="18" t="s">
        <v>154</v>
      </c>
      <c r="M21" s="17" t="s">
        <v>154</v>
      </c>
      <c r="N21" s="18" t="s">
        <v>154</v>
      </c>
      <c r="O21" s="17" t="s">
        <v>154</v>
      </c>
      <c r="P21" s="18" t="s">
        <v>154</v>
      </c>
      <c r="Q21" s="17" t="s">
        <v>154</v>
      </c>
      <c r="R21" s="18" t="s">
        <v>154</v>
      </c>
    </row>
    <row r="22" spans="1:18" x14ac:dyDescent="0.25">
      <c r="A22" s="11" t="s">
        <v>155</v>
      </c>
      <c r="B22" s="13">
        <v>6598</v>
      </c>
      <c r="C22" s="14">
        <f>(5614/B22*100)</f>
        <v>85.086389815095487</v>
      </c>
      <c r="D22" s="15">
        <v>984</v>
      </c>
      <c r="E22" s="14">
        <v>36.072979279999998</v>
      </c>
      <c r="F22" s="16">
        <v>1.8616462499999999</v>
      </c>
      <c r="G22" s="14">
        <v>63.927020720000002</v>
      </c>
      <c r="H22" s="16">
        <v>1.8616462499999999</v>
      </c>
      <c r="I22" s="14" t="s">
        <v>139</v>
      </c>
      <c r="J22" s="16" t="s">
        <v>139</v>
      </c>
      <c r="K22" s="14">
        <v>0</v>
      </c>
      <c r="L22" s="16">
        <v>0</v>
      </c>
      <c r="M22" s="14">
        <v>0</v>
      </c>
      <c r="N22" s="16">
        <v>0</v>
      </c>
      <c r="O22" s="14">
        <v>0</v>
      </c>
      <c r="P22" s="16">
        <v>0</v>
      </c>
      <c r="Q22" s="14">
        <v>0</v>
      </c>
      <c r="R22" s="16">
        <v>0</v>
      </c>
    </row>
    <row r="23" spans="1:18" x14ac:dyDescent="0.25">
      <c r="A23" s="11" t="s">
        <v>156</v>
      </c>
      <c r="B23" s="13">
        <v>11583</v>
      </c>
      <c r="C23" s="14">
        <f>(9708/B23*100)</f>
        <v>83.812483812483819</v>
      </c>
      <c r="D23" s="15">
        <v>1875</v>
      </c>
      <c r="E23" s="14">
        <v>34.42664319</v>
      </c>
      <c r="F23" s="16">
        <v>1.88562725</v>
      </c>
      <c r="G23" s="14">
        <v>65.573356810000007</v>
      </c>
      <c r="H23" s="16">
        <v>1.88562725</v>
      </c>
      <c r="I23" s="14" t="s">
        <v>139</v>
      </c>
      <c r="J23" s="16" t="s">
        <v>139</v>
      </c>
      <c r="K23" s="14">
        <v>0</v>
      </c>
      <c r="L23" s="16">
        <v>0</v>
      </c>
      <c r="M23" s="14">
        <v>0</v>
      </c>
      <c r="N23" s="16">
        <v>0</v>
      </c>
      <c r="O23" s="14">
        <v>0</v>
      </c>
      <c r="P23" s="16">
        <v>0</v>
      </c>
      <c r="Q23" s="14">
        <v>0</v>
      </c>
      <c r="R23" s="16">
        <v>0</v>
      </c>
    </row>
    <row r="24" spans="1:18" x14ac:dyDescent="0.25">
      <c r="A24" s="11" t="s">
        <v>157</v>
      </c>
      <c r="B24" s="13">
        <v>6647</v>
      </c>
      <c r="C24" s="14">
        <f>(5510/B24*100)</f>
        <v>82.894538889724686</v>
      </c>
      <c r="D24" s="15">
        <v>1137</v>
      </c>
      <c r="E24" s="14">
        <v>18.982468040000001</v>
      </c>
      <c r="F24" s="16">
        <v>1.02501033</v>
      </c>
      <c r="G24" s="14">
        <v>81.017531959999999</v>
      </c>
      <c r="H24" s="16">
        <v>1.02501033</v>
      </c>
      <c r="I24" s="14" t="s">
        <v>139</v>
      </c>
      <c r="J24" s="16" t="s">
        <v>139</v>
      </c>
      <c r="K24" s="14">
        <v>0</v>
      </c>
      <c r="L24" s="16">
        <v>0</v>
      </c>
      <c r="M24" s="14">
        <v>0</v>
      </c>
      <c r="N24" s="16">
        <v>0</v>
      </c>
      <c r="O24" s="14">
        <v>0</v>
      </c>
      <c r="P24" s="16">
        <v>0</v>
      </c>
      <c r="Q24" s="14">
        <v>0</v>
      </c>
      <c r="R24" s="16">
        <v>0</v>
      </c>
    </row>
    <row r="25" spans="1:18" x14ac:dyDescent="0.25">
      <c r="A25" s="11" t="s">
        <v>158</v>
      </c>
      <c r="B25" s="13">
        <v>5581</v>
      </c>
      <c r="C25" s="14">
        <f>(4606/B25*100)</f>
        <v>82.530012542555099</v>
      </c>
      <c r="D25" s="15">
        <v>975</v>
      </c>
      <c r="E25" s="14">
        <v>26.35429298</v>
      </c>
      <c r="F25" s="16">
        <v>1.37910533</v>
      </c>
      <c r="G25" s="14">
        <v>73.645707020000003</v>
      </c>
      <c r="H25" s="16">
        <v>1.37910533</v>
      </c>
      <c r="I25" s="14" t="s">
        <v>139</v>
      </c>
      <c r="J25" s="16" t="s">
        <v>139</v>
      </c>
      <c r="K25" s="14">
        <v>0</v>
      </c>
      <c r="L25" s="16">
        <v>0</v>
      </c>
      <c r="M25" s="14">
        <v>0</v>
      </c>
      <c r="N25" s="16">
        <v>0</v>
      </c>
      <c r="O25" s="14">
        <v>0</v>
      </c>
      <c r="P25" s="16">
        <v>0</v>
      </c>
      <c r="Q25" s="14">
        <v>0</v>
      </c>
      <c r="R25" s="16">
        <v>0</v>
      </c>
    </row>
    <row r="26" spans="1:18" x14ac:dyDescent="0.25">
      <c r="A26" s="11" t="s">
        <v>159</v>
      </c>
      <c r="B26" s="13">
        <v>4869</v>
      </c>
      <c r="C26" s="14">
        <f>(4059/B26*100)</f>
        <v>83.364140480591502</v>
      </c>
      <c r="D26" s="15">
        <v>810</v>
      </c>
      <c r="E26" s="14">
        <v>43.503808100000001</v>
      </c>
      <c r="F26" s="16">
        <v>1.92464422</v>
      </c>
      <c r="G26" s="14">
        <v>56.496191899999999</v>
      </c>
      <c r="H26" s="16">
        <v>1.92464422</v>
      </c>
      <c r="I26" s="14" t="s">
        <v>139</v>
      </c>
      <c r="J26" s="16" t="s">
        <v>139</v>
      </c>
      <c r="K26" s="14">
        <v>0</v>
      </c>
      <c r="L26" s="16">
        <v>0</v>
      </c>
      <c r="M26" s="14">
        <v>0</v>
      </c>
      <c r="N26" s="16">
        <v>0</v>
      </c>
      <c r="O26" s="14">
        <v>0</v>
      </c>
      <c r="P26" s="16">
        <v>0</v>
      </c>
      <c r="Q26" s="14">
        <v>0</v>
      </c>
      <c r="R26" s="16">
        <v>0</v>
      </c>
    </row>
    <row r="27" spans="1:18" x14ac:dyDescent="0.25">
      <c r="A27" s="11" t="s">
        <v>160</v>
      </c>
      <c r="B27" s="13">
        <v>5299</v>
      </c>
      <c r="C27" s="14">
        <f>(4491/B27*100)</f>
        <v>84.751839969805616</v>
      </c>
      <c r="D27" s="15">
        <v>808</v>
      </c>
      <c r="E27" s="14">
        <v>29.193713420000002</v>
      </c>
      <c r="F27" s="16">
        <v>1.56805924</v>
      </c>
      <c r="G27" s="14">
        <v>70.806286580000005</v>
      </c>
      <c r="H27" s="16">
        <v>1.56805924</v>
      </c>
      <c r="I27" s="14" t="s">
        <v>139</v>
      </c>
      <c r="J27" s="16" t="s">
        <v>139</v>
      </c>
      <c r="K27" s="14">
        <v>0</v>
      </c>
      <c r="L27" s="16">
        <v>0</v>
      </c>
      <c r="M27" s="14">
        <v>0</v>
      </c>
      <c r="N27" s="16">
        <v>0</v>
      </c>
      <c r="O27" s="14">
        <v>0</v>
      </c>
      <c r="P27" s="16">
        <v>0</v>
      </c>
      <c r="Q27" s="14">
        <v>0</v>
      </c>
      <c r="R27" s="16">
        <v>0</v>
      </c>
    </row>
    <row r="28" spans="1:18" x14ac:dyDescent="0.25">
      <c r="A28" s="11" t="s">
        <v>161</v>
      </c>
      <c r="B28" s="13">
        <v>7568</v>
      </c>
      <c r="C28" s="14">
        <f>(6520/B28*100)</f>
        <v>86.152219873150102</v>
      </c>
      <c r="D28" s="15">
        <v>1048</v>
      </c>
      <c r="E28" s="14">
        <v>48.342033809999997</v>
      </c>
      <c r="F28" s="16">
        <v>1.7770064000000001</v>
      </c>
      <c r="G28" s="14">
        <v>51.657966190000003</v>
      </c>
      <c r="H28" s="16">
        <v>1.7770064000000001</v>
      </c>
      <c r="I28" s="14" t="s">
        <v>139</v>
      </c>
      <c r="J28" s="16" t="s">
        <v>139</v>
      </c>
      <c r="K28" s="14">
        <v>0</v>
      </c>
      <c r="L28" s="16">
        <v>0</v>
      </c>
      <c r="M28" s="14">
        <v>0</v>
      </c>
      <c r="N28" s="16">
        <v>0</v>
      </c>
      <c r="O28" s="14">
        <v>0</v>
      </c>
      <c r="P28" s="16">
        <v>0</v>
      </c>
      <c r="Q28" s="14">
        <v>0</v>
      </c>
      <c r="R28" s="16">
        <v>0</v>
      </c>
    </row>
    <row r="29" spans="1:18" x14ac:dyDescent="0.25">
      <c r="A29" s="11" t="s">
        <v>162</v>
      </c>
      <c r="B29" s="13">
        <v>5385</v>
      </c>
      <c r="C29" s="14">
        <f>(4468/B29*100)</f>
        <v>82.971216341689882</v>
      </c>
      <c r="D29" s="15">
        <v>917</v>
      </c>
      <c r="E29" s="14">
        <v>20.653084440000001</v>
      </c>
      <c r="F29" s="16">
        <v>1.3688092199999999</v>
      </c>
      <c r="G29" s="14">
        <v>79.346915559999999</v>
      </c>
      <c r="H29" s="16">
        <v>1.3688092199999999</v>
      </c>
      <c r="I29" s="14" t="s">
        <v>139</v>
      </c>
      <c r="J29" s="16" t="s">
        <v>139</v>
      </c>
      <c r="K29" s="14">
        <v>0</v>
      </c>
      <c r="L29" s="16">
        <v>0</v>
      </c>
      <c r="M29" s="14">
        <v>0</v>
      </c>
      <c r="N29" s="16">
        <v>0</v>
      </c>
      <c r="O29" s="14">
        <v>0</v>
      </c>
      <c r="P29" s="16">
        <v>0</v>
      </c>
      <c r="Q29" s="14">
        <v>0</v>
      </c>
      <c r="R29" s="16">
        <v>0</v>
      </c>
    </row>
    <row r="30" spans="1:18" x14ac:dyDescent="0.25">
      <c r="A30" s="11" t="s">
        <v>163</v>
      </c>
      <c r="B30" s="13">
        <v>4520</v>
      </c>
      <c r="C30" s="14">
        <f>(3818/B30*100)</f>
        <v>84.469026548672559</v>
      </c>
      <c r="D30" s="15">
        <v>702</v>
      </c>
      <c r="E30" s="14">
        <v>32.493717859999997</v>
      </c>
      <c r="F30" s="16">
        <v>1.89640546</v>
      </c>
      <c r="G30" s="14">
        <v>67.506282139999996</v>
      </c>
      <c r="H30" s="16">
        <v>1.89640546</v>
      </c>
      <c r="I30" s="14" t="s">
        <v>139</v>
      </c>
      <c r="J30" s="16" t="s">
        <v>139</v>
      </c>
      <c r="K30" s="14">
        <v>0</v>
      </c>
      <c r="L30" s="16">
        <v>0</v>
      </c>
      <c r="M30" s="14">
        <v>0</v>
      </c>
      <c r="N30" s="16">
        <v>0</v>
      </c>
      <c r="O30" s="14">
        <v>0</v>
      </c>
      <c r="P30" s="16">
        <v>0</v>
      </c>
      <c r="Q30" s="14">
        <v>0</v>
      </c>
      <c r="R30" s="16">
        <v>0</v>
      </c>
    </row>
    <row r="31" spans="1:18" x14ac:dyDescent="0.25">
      <c r="A31" s="11" t="s">
        <v>164</v>
      </c>
      <c r="B31" s="13">
        <v>5456</v>
      </c>
      <c r="C31" s="14">
        <f>(4537/B31*100)</f>
        <v>83.156158357771261</v>
      </c>
      <c r="D31" s="15">
        <v>919</v>
      </c>
      <c r="E31" s="14">
        <v>26.2383886</v>
      </c>
      <c r="F31" s="16">
        <v>1.6477542199999999</v>
      </c>
      <c r="G31" s="14">
        <v>73.761611400000007</v>
      </c>
      <c r="H31" s="16">
        <v>1.6477542199999999</v>
      </c>
      <c r="I31" s="14" t="s">
        <v>139</v>
      </c>
      <c r="J31" s="16" t="s">
        <v>139</v>
      </c>
      <c r="K31" s="14">
        <v>0</v>
      </c>
      <c r="L31" s="16">
        <v>0</v>
      </c>
      <c r="M31" s="14">
        <v>0</v>
      </c>
      <c r="N31" s="16">
        <v>0</v>
      </c>
      <c r="O31" s="14">
        <v>0</v>
      </c>
      <c r="P31" s="16">
        <v>0</v>
      </c>
      <c r="Q31" s="14">
        <v>0</v>
      </c>
      <c r="R31" s="16">
        <v>0</v>
      </c>
    </row>
    <row r="32" spans="1:18" x14ac:dyDescent="0.25">
      <c r="A32" s="11" t="s">
        <v>165</v>
      </c>
      <c r="B32" s="17" t="s">
        <v>154</v>
      </c>
      <c r="C32" s="17" t="s">
        <v>154</v>
      </c>
      <c r="D32" s="18" t="s">
        <v>154</v>
      </c>
      <c r="E32" s="17" t="s">
        <v>154</v>
      </c>
      <c r="F32" s="18" t="s">
        <v>154</v>
      </c>
      <c r="G32" s="17" t="s">
        <v>154</v>
      </c>
      <c r="H32" s="18" t="s">
        <v>154</v>
      </c>
      <c r="I32" s="17" t="s">
        <v>154</v>
      </c>
      <c r="J32" s="18" t="s">
        <v>154</v>
      </c>
      <c r="K32" s="17" t="s">
        <v>154</v>
      </c>
      <c r="L32" s="18" t="s">
        <v>154</v>
      </c>
      <c r="M32" s="17" t="s">
        <v>154</v>
      </c>
      <c r="N32" s="18" t="s">
        <v>154</v>
      </c>
      <c r="O32" s="17" t="s">
        <v>154</v>
      </c>
      <c r="P32" s="18" t="s">
        <v>154</v>
      </c>
      <c r="Q32" s="17" t="s">
        <v>154</v>
      </c>
      <c r="R32" s="18" t="s">
        <v>154</v>
      </c>
    </row>
    <row r="33" spans="1:18" x14ac:dyDescent="0.25">
      <c r="A33" s="11" t="s">
        <v>166</v>
      </c>
      <c r="B33" s="13">
        <v>7325</v>
      </c>
      <c r="C33" s="14">
        <f>(6183/B33*100)</f>
        <v>84.409556313993178</v>
      </c>
      <c r="D33" s="15">
        <v>1142</v>
      </c>
      <c r="E33" s="14">
        <v>25.30537404</v>
      </c>
      <c r="F33" s="16">
        <v>1.40054451</v>
      </c>
      <c r="G33" s="14">
        <v>74.694625959999996</v>
      </c>
      <c r="H33" s="16">
        <v>1.40054451</v>
      </c>
      <c r="I33" s="14" t="s">
        <v>139</v>
      </c>
      <c r="J33" s="16" t="s">
        <v>139</v>
      </c>
      <c r="K33" s="14">
        <v>0</v>
      </c>
      <c r="L33" s="16">
        <v>0</v>
      </c>
      <c r="M33" s="14">
        <v>0</v>
      </c>
      <c r="N33" s="16">
        <v>0</v>
      </c>
      <c r="O33" s="14">
        <v>0</v>
      </c>
      <c r="P33" s="16">
        <v>0</v>
      </c>
      <c r="Q33" s="14">
        <v>0</v>
      </c>
      <c r="R33" s="16">
        <v>0</v>
      </c>
    </row>
    <row r="34" spans="1:18" x14ac:dyDescent="0.25">
      <c r="A34" s="11" t="s">
        <v>167</v>
      </c>
      <c r="B34" s="13">
        <v>6350</v>
      </c>
      <c r="C34" s="14">
        <f>(5404/B34*100)</f>
        <v>85.102362204724415</v>
      </c>
      <c r="D34" s="15">
        <v>946</v>
      </c>
      <c r="E34" s="14">
        <v>48.118569469999997</v>
      </c>
      <c r="F34" s="16">
        <v>1.6651653399999999</v>
      </c>
      <c r="G34" s="14">
        <v>51.881430530000003</v>
      </c>
      <c r="H34" s="16">
        <v>1.6651653399999999</v>
      </c>
      <c r="I34" s="14" t="s">
        <v>139</v>
      </c>
      <c r="J34" s="16" t="s">
        <v>139</v>
      </c>
      <c r="K34" s="14">
        <v>0</v>
      </c>
      <c r="L34" s="16">
        <v>0</v>
      </c>
      <c r="M34" s="14">
        <v>0</v>
      </c>
      <c r="N34" s="16">
        <v>0</v>
      </c>
      <c r="O34" s="14">
        <v>0</v>
      </c>
      <c r="P34" s="16">
        <v>0</v>
      </c>
      <c r="Q34" s="14">
        <v>0</v>
      </c>
      <c r="R34" s="16">
        <v>0</v>
      </c>
    </row>
    <row r="35" spans="1:18" x14ac:dyDescent="0.25">
      <c r="A35" s="11" t="s">
        <v>168</v>
      </c>
      <c r="B35" s="13">
        <v>6406</v>
      </c>
      <c r="C35" s="14">
        <f>(5350/B35*100)</f>
        <v>83.515454261629714</v>
      </c>
      <c r="D35" s="15">
        <v>1056</v>
      </c>
      <c r="E35" s="14">
        <v>23.72916734</v>
      </c>
      <c r="F35" s="16">
        <v>1.6778157499999999</v>
      </c>
      <c r="G35" s="14">
        <v>76.270832659999996</v>
      </c>
      <c r="H35" s="16">
        <v>1.6778157499999999</v>
      </c>
      <c r="I35" s="14" t="s">
        <v>139</v>
      </c>
      <c r="J35" s="16" t="s">
        <v>139</v>
      </c>
      <c r="K35" s="14">
        <v>0</v>
      </c>
      <c r="L35" s="16">
        <v>0</v>
      </c>
      <c r="M35" s="14">
        <v>0</v>
      </c>
      <c r="N35" s="16">
        <v>0</v>
      </c>
      <c r="O35" s="14">
        <v>0</v>
      </c>
      <c r="P35" s="16">
        <v>0</v>
      </c>
      <c r="Q35" s="14">
        <v>0</v>
      </c>
      <c r="R35" s="16">
        <v>0</v>
      </c>
    </row>
    <row r="36" spans="1:18" x14ac:dyDescent="0.25">
      <c r="A36" s="11" t="s">
        <v>169</v>
      </c>
      <c r="B36" s="13">
        <v>6736</v>
      </c>
      <c r="C36" s="14">
        <f>(5705/B36*100)</f>
        <v>84.694180522565318</v>
      </c>
      <c r="D36" s="15">
        <v>1031</v>
      </c>
      <c r="E36" s="14">
        <v>28.439897630000001</v>
      </c>
      <c r="F36" s="16">
        <v>1.38330522</v>
      </c>
      <c r="G36" s="14">
        <v>71.560102369999996</v>
      </c>
      <c r="H36" s="16">
        <v>1.38330522</v>
      </c>
      <c r="I36" s="14" t="s">
        <v>139</v>
      </c>
      <c r="J36" s="16" t="s">
        <v>139</v>
      </c>
      <c r="K36" s="14">
        <v>0</v>
      </c>
      <c r="L36" s="16">
        <v>0</v>
      </c>
      <c r="M36" s="14">
        <v>0</v>
      </c>
      <c r="N36" s="16">
        <v>0</v>
      </c>
      <c r="O36" s="14">
        <v>0</v>
      </c>
      <c r="P36" s="16">
        <v>0</v>
      </c>
      <c r="Q36" s="14">
        <v>0</v>
      </c>
      <c r="R36" s="16">
        <v>0</v>
      </c>
    </row>
    <row r="37" spans="1:18" x14ac:dyDescent="0.25">
      <c r="A37" s="11" t="s">
        <v>170</v>
      </c>
      <c r="B37" s="13">
        <v>5458</v>
      </c>
      <c r="C37" s="14">
        <f>(4588/B37*100)</f>
        <v>84.060095272993777</v>
      </c>
      <c r="D37" s="15">
        <v>870</v>
      </c>
      <c r="E37" s="14">
        <v>34.690727989999999</v>
      </c>
      <c r="F37" s="16">
        <v>2.10482557</v>
      </c>
      <c r="G37" s="14">
        <v>65.309272010000001</v>
      </c>
      <c r="H37" s="16">
        <v>2.10482557</v>
      </c>
      <c r="I37" s="14" t="s">
        <v>139</v>
      </c>
      <c r="J37" s="16" t="s">
        <v>139</v>
      </c>
      <c r="K37" s="14">
        <v>0</v>
      </c>
      <c r="L37" s="16">
        <v>0</v>
      </c>
      <c r="M37" s="14">
        <v>0</v>
      </c>
      <c r="N37" s="16">
        <v>0</v>
      </c>
      <c r="O37" s="14">
        <v>0</v>
      </c>
      <c r="P37" s="16">
        <v>0</v>
      </c>
      <c r="Q37" s="14">
        <v>0</v>
      </c>
      <c r="R37" s="16">
        <v>0</v>
      </c>
    </row>
    <row r="38" spans="1:18" x14ac:dyDescent="0.25">
      <c r="A38" s="11" t="s">
        <v>171</v>
      </c>
      <c r="B38" s="17" t="s">
        <v>154</v>
      </c>
      <c r="C38" s="17" t="s">
        <v>154</v>
      </c>
      <c r="D38" s="18" t="s">
        <v>154</v>
      </c>
      <c r="E38" s="17" t="s">
        <v>154</v>
      </c>
      <c r="F38" s="18" t="s">
        <v>154</v>
      </c>
      <c r="G38" s="17" t="s">
        <v>154</v>
      </c>
      <c r="H38" s="18" t="s">
        <v>154</v>
      </c>
      <c r="I38" s="17" t="s">
        <v>154</v>
      </c>
      <c r="J38" s="18" t="s">
        <v>154</v>
      </c>
      <c r="K38" s="17" t="s">
        <v>154</v>
      </c>
      <c r="L38" s="18" t="s">
        <v>154</v>
      </c>
      <c r="M38" s="17" t="s">
        <v>154</v>
      </c>
      <c r="N38" s="18" t="s">
        <v>154</v>
      </c>
      <c r="O38" s="17" t="s">
        <v>154</v>
      </c>
      <c r="P38" s="18" t="s">
        <v>154</v>
      </c>
      <c r="Q38" s="17" t="s">
        <v>154</v>
      </c>
      <c r="R38" s="18" t="s">
        <v>154</v>
      </c>
    </row>
    <row r="39" spans="1:18" x14ac:dyDescent="0.25">
      <c r="A39" s="11" t="s">
        <v>172</v>
      </c>
      <c r="B39" s="13">
        <v>5895</v>
      </c>
      <c r="C39" s="14">
        <f>(4865/B39*100)</f>
        <v>82.527565733672603</v>
      </c>
      <c r="D39" s="15">
        <v>1030</v>
      </c>
      <c r="E39" s="14">
        <v>68.124355840000007</v>
      </c>
      <c r="F39" s="16">
        <v>1.62636387</v>
      </c>
      <c r="G39" s="14">
        <v>31.87564416</v>
      </c>
      <c r="H39" s="16">
        <v>1.62636387</v>
      </c>
      <c r="I39" s="14" t="s">
        <v>139</v>
      </c>
      <c r="J39" s="16" t="s">
        <v>139</v>
      </c>
      <c r="K39" s="14">
        <v>0</v>
      </c>
      <c r="L39" s="16">
        <v>0</v>
      </c>
      <c r="M39" s="14">
        <v>0</v>
      </c>
      <c r="N39" s="16">
        <v>0</v>
      </c>
      <c r="O39" s="14">
        <v>0</v>
      </c>
      <c r="P39" s="16">
        <v>0</v>
      </c>
      <c r="Q39" s="14">
        <v>0</v>
      </c>
      <c r="R39" s="16">
        <v>0</v>
      </c>
    </row>
    <row r="40" spans="1:18" x14ac:dyDescent="0.25">
      <c r="A40" s="11" t="s">
        <v>173</v>
      </c>
      <c r="B40" s="13">
        <v>14157</v>
      </c>
      <c r="C40" s="14">
        <f>(11730/B40*100)</f>
        <v>82.856537401991943</v>
      </c>
      <c r="D40" s="15">
        <v>2427</v>
      </c>
      <c r="E40" s="14">
        <v>27.082071620000001</v>
      </c>
      <c r="F40" s="16">
        <v>1.1921595899999999</v>
      </c>
      <c r="G40" s="14">
        <v>72.917928380000006</v>
      </c>
      <c r="H40" s="16">
        <v>1.1921595899999999</v>
      </c>
      <c r="I40" s="14" t="s">
        <v>139</v>
      </c>
      <c r="J40" s="16" t="s">
        <v>139</v>
      </c>
      <c r="K40" s="14">
        <v>0</v>
      </c>
      <c r="L40" s="16">
        <v>0</v>
      </c>
      <c r="M40" s="14">
        <v>0</v>
      </c>
      <c r="N40" s="16">
        <v>0</v>
      </c>
      <c r="O40" s="14">
        <v>0</v>
      </c>
      <c r="P40" s="16">
        <v>0</v>
      </c>
      <c r="Q40" s="14">
        <v>0</v>
      </c>
      <c r="R40" s="16">
        <v>0</v>
      </c>
    </row>
    <row r="41" spans="1:18" x14ac:dyDescent="0.25">
      <c r="A41" s="11" t="s">
        <v>174</v>
      </c>
      <c r="B41" s="13">
        <v>5712</v>
      </c>
      <c r="C41" s="14">
        <f>(4814/B41*100)</f>
        <v>84.278711484593842</v>
      </c>
      <c r="D41" s="15">
        <v>898</v>
      </c>
      <c r="E41" s="14">
        <v>29.940173300000001</v>
      </c>
      <c r="F41" s="16">
        <v>1.4535647300000001</v>
      </c>
      <c r="G41" s="14">
        <v>70.059826700000002</v>
      </c>
      <c r="H41" s="16">
        <v>1.4535647300000001</v>
      </c>
      <c r="I41" s="14" t="s">
        <v>139</v>
      </c>
      <c r="J41" s="16" t="s">
        <v>139</v>
      </c>
      <c r="K41" s="14">
        <v>0</v>
      </c>
      <c r="L41" s="16">
        <v>0</v>
      </c>
      <c r="M41" s="14">
        <v>0</v>
      </c>
      <c r="N41" s="16">
        <v>0</v>
      </c>
      <c r="O41" s="14">
        <v>0</v>
      </c>
      <c r="P41" s="16">
        <v>0</v>
      </c>
      <c r="Q41" s="14">
        <v>0</v>
      </c>
      <c r="R41" s="16">
        <v>0</v>
      </c>
    </row>
    <row r="42" spans="1:18" x14ac:dyDescent="0.25">
      <c r="A42" s="11" t="s">
        <v>175</v>
      </c>
      <c r="B42" s="13">
        <f>IF(COUNT(B7:B41) &gt; 0, AVERAGE(B7:B41), "\u2014")</f>
        <v>7266.90625</v>
      </c>
      <c r="C42" s="14">
        <f>IF(COUNT(C7:C41) &gt; 0, AVERAGE(C7:C41), "—")</f>
        <v>84.026518828473272</v>
      </c>
      <c r="D42" s="15">
        <f>IF(COUNT(D7:D41) &gt; 0, AVERAGE(D7:D41), "—")</f>
        <v>1162.5625</v>
      </c>
      <c r="E42" s="14">
        <f>IF(COUNT(E7:E41) &gt; 0, AVERAGE(E7:E41), "—")</f>
        <v>32.492044852812498</v>
      </c>
      <c r="F42" s="16">
        <f>IF(COUNT(F7:F41) &gt; 0, SQRT(SUMSQ(F7:F41)/(COUNT(F7:F41)*COUNT(F7:F41)) ), "—")</f>
        <v>0.28519881464117475</v>
      </c>
      <c r="G42" s="14">
        <f>IF(COUNT(G7:G41) &gt; 0, AVERAGE(G7:G41), "—")</f>
        <v>67.507955147187502</v>
      </c>
      <c r="H42" s="16">
        <f>IF(COUNT(H7:H41) &gt; 0, SQRT(SUMSQ(H7:H41)/(COUNT(H7:H41)*COUNT(H7:H41)) ), "—")</f>
        <v>0.28519881464117475</v>
      </c>
      <c r="I42" s="14" t="str">
        <f>IF(COUNT(I7:I41) &gt; 0, AVERAGE(I7:I41), "—")</f>
        <v>—</v>
      </c>
      <c r="J42" s="16" t="str">
        <f>IF(COUNT(J7:J41) &gt; 0, SQRT(SUMSQ(J7:J41)/(COUNT(J7:J41)*COUNT(J7:J41)) ), "—")</f>
        <v>—</v>
      </c>
      <c r="K42" s="14">
        <f>IF(COUNT(K7:K41) &gt; 0, AVERAGE(K7:K41), "—")</f>
        <v>0</v>
      </c>
      <c r="L42" s="16">
        <f>IF(COUNT(L7:L41) &gt; 0, SQRT(SUMSQ(L7:L41)/(COUNT(L7:L41)*COUNT(L7:L41)) ), "—")</f>
        <v>0</v>
      </c>
      <c r="M42" s="14">
        <f>IF(COUNT(M7:M41) &gt; 0, AVERAGE(M7:M41), "—")</f>
        <v>0</v>
      </c>
      <c r="N42" s="16">
        <f>IF(COUNT(N7:N41) &gt; 0, SQRT(SUMSQ(N7:N41)/(COUNT(N7:N41)*COUNT(N7:N41)) ), "—")</f>
        <v>0</v>
      </c>
      <c r="O42" s="14">
        <f>IF(COUNT(O7:O41) &gt; 0, AVERAGE(O7:O41), "—")</f>
        <v>0</v>
      </c>
      <c r="P42" s="16">
        <f>IF(COUNT(P7:P41) &gt; 0, SQRT(SUMSQ(P7:P41)/(COUNT(P7:P41)*COUNT(P7:P41)) ), "—")</f>
        <v>0</v>
      </c>
      <c r="Q42" s="14">
        <f>IF(COUNT(Q7:Q41) &gt; 0, AVERAGE(Q7:Q41), "—")</f>
        <v>0</v>
      </c>
      <c r="R42" s="16">
        <f>IF(COUNT(R7:R41) &gt; 0, SQRT(SUMSQ(R7:R41)/(COUNT(R7:R41)*COUNT(R7:R41)) ), "—")</f>
        <v>0</v>
      </c>
    </row>
    <row r="43" spans="1:18" x14ac:dyDescent="0.25">
      <c r="A43" s="9" t="s">
        <v>176</v>
      </c>
      <c r="B43" s="10"/>
      <c r="C43" s="10"/>
      <c r="D43" s="11"/>
      <c r="E43" s="10"/>
      <c r="F43" s="11"/>
      <c r="G43" s="10"/>
      <c r="H43" s="11"/>
      <c r="I43" s="10"/>
      <c r="J43" s="11"/>
      <c r="K43" s="10"/>
      <c r="L43" s="11"/>
      <c r="M43" s="10"/>
      <c r="N43" s="11"/>
      <c r="O43" s="10"/>
      <c r="P43" s="11"/>
      <c r="Q43" s="10"/>
      <c r="R43" s="12"/>
    </row>
    <row r="44" spans="1:18" x14ac:dyDescent="0.25">
      <c r="A44" s="11" t="s">
        <v>177</v>
      </c>
      <c r="B44" s="17" t="s">
        <v>154</v>
      </c>
      <c r="C44" s="17" t="s">
        <v>154</v>
      </c>
      <c r="D44" s="18" t="s">
        <v>154</v>
      </c>
      <c r="E44" s="17" t="s">
        <v>154</v>
      </c>
      <c r="F44" s="18" t="s">
        <v>154</v>
      </c>
      <c r="G44" s="17" t="s">
        <v>154</v>
      </c>
      <c r="H44" s="18" t="s">
        <v>154</v>
      </c>
      <c r="I44" s="17" t="s">
        <v>154</v>
      </c>
      <c r="J44" s="18" t="s">
        <v>154</v>
      </c>
      <c r="K44" s="17" t="s">
        <v>154</v>
      </c>
      <c r="L44" s="18" t="s">
        <v>154</v>
      </c>
      <c r="M44" s="17" t="s">
        <v>154</v>
      </c>
      <c r="N44" s="18" t="s">
        <v>154</v>
      </c>
      <c r="O44" s="17" t="s">
        <v>154</v>
      </c>
      <c r="P44" s="18" t="s">
        <v>154</v>
      </c>
      <c r="Q44" s="17" t="s">
        <v>154</v>
      </c>
      <c r="R44" s="18" t="s">
        <v>154</v>
      </c>
    </row>
    <row r="45" spans="1:18" x14ac:dyDescent="0.25">
      <c r="A45" s="11" t="s">
        <v>178</v>
      </c>
      <c r="B45" s="17" t="s">
        <v>154</v>
      </c>
      <c r="C45" s="17" t="s">
        <v>154</v>
      </c>
      <c r="D45" s="18" t="s">
        <v>154</v>
      </c>
      <c r="E45" s="17" t="s">
        <v>154</v>
      </c>
      <c r="F45" s="18" t="s">
        <v>154</v>
      </c>
      <c r="G45" s="17" t="s">
        <v>154</v>
      </c>
      <c r="H45" s="18" t="s">
        <v>154</v>
      </c>
      <c r="I45" s="17" t="s">
        <v>154</v>
      </c>
      <c r="J45" s="18" t="s">
        <v>154</v>
      </c>
      <c r="K45" s="17" t="s">
        <v>154</v>
      </c>
      <c r="L45" s="18" t="s">
        <v>154</v>
      </c>
      <c r="M45" s="17" t="s">
        <v>154</v>
      </c>
      <c r="N45" s="18" t="s">
        <v>154</v>
      </c>
      <c r="O45" s="17" t="s">
        <v>154</v>
      </c>
      <c r="P45" s="18" t="s">
        <v>154</v>
      </c>
      <c r="Q45" s="17" t="s">
        <v>154</v>
      </c>
      <c r="R45" s="18" t="s">
        <v>154</v>
      </c>
    </row>
    <row r="46" spans="1:18" x14ac:dyDescent="0.25">
      <c r="A46" s="11" t="s">
        <v>179</v>
      </c>
      <c r="B46" s="13">
        <v>23141</v>
      </c>
      <c r="C46" s="14">
        <f>(20644/B46*100)</f>
        <v>89.209627933105736</v>
      </c>
      <c r="D46" s="15">
        <v>2497</v>
      </c>
      <c r="E46" s="14">
        <v>47.525642750000003</v>
      </c>
      <c r="F46" s="16">
        <v>1.52822072</v>
      </c>
      <c r="G46" s="14">
        <v>52.474357249999997</v>
      </c>
      <c r="H46" s="16">
        <v>1.52822072</v>
      </c>
      <c r="I46" s="14" t="s">
        <v>139</v>
      </c>
      <c r="J46" s="16" t="s">
        <v>139</v>
      </c>
      <c r="K46" s="14">
        <v>0</v>
      </c>
      <c r="L46" s="16">
        <v>0</v>
      </c>
      <c r="M46" s="14">
        <v>0</v>
      </c>
      <c r="N46" s="16">
        <v>0</v>
      </c>
      <c r="O46" s="14">
        <v>0</v>
      </c>
      <c r="P46" s="16">
        <v>0</v>
      </c>
      <c r="Q46" s="14">
        <v>0</v>
      </c>
      <c r="R46" s="16">
        <v>0</v>
      </c>
    </row>
    <row r="47" spans="1:18" x14ac:dyDescent="0.25">
      <c r="A47" s="11" t="s">
        <v>180</v>
      </c>
      <c r="B47" s="13">
        <v>5928</v>
      </c>
      <c r="C47" s="14">
        <f>(5035/B47*100)</f>
        <v>84.935897435897431</v>
      </c>
      <c r="D47" s="15">
        <v>893</v>
      </c>
      <c r="E47" s="14">
        <v>52.060175579999999</v>
      </c>
      <c r="F47" s="16">
        <v>1.9651735800000001</v>
      </c>
      <c r="G47" s="14">
        <v>47.939824420000001</v>
      </c>
      <c r="H47" s="16">
        <v>1.9651735800000001</v>
      </c>
      <c r="I47" s="14" t="s">
        <v>139</v>
      </c>
      <c r="J47" s="16" t="s">
        <v>139</v>
      </c>
      <c r="K47" s="14">
        <v>0</v>
      </c>
      <c r="L47" s="16">
        <v>0</v>
      </c>
      <c r="M47" s="14">
        <v>0</v>
      </c>
      <c r="N47" s="16">
        <v>0</v>
      </c>
      <c r="O47" s="14">
        <v>0</v>
      </c>
      <c r="P47" s="16">
        <v>0</v>
      </c>
      <c r="Q47" s="14">
        <v>0</v>
      </c>
      <c r="R47" s="16">
        <v>0</v>
      </c>
    </row>
    <row r="48" spans="1:18" x14ac:dyDescent="0.25">
      <c r="A48" s="11" t="s">
        <v>181</v>
      </c>
      <c r="B48" s="13">
        <v>9841</v>
      </c>
      <c r="C48" s="14">
        <f>(8177/B48*100)</f>
        <v>83.091149273447812</v>
      </c>
      <c r="D48" s="15">
        <v>1664</v>
      </c>
      <c r="E48" s="14">
        <v>30.715016859999999</v>
      </c>
      <c r="F48" s="16">
        <v>1.39614807</v>
      </c>
      <c r="G48" s="14">
        <v>69.284983139999994</v>
      </c>
      <c r="H48" s="16">
        <v>1.39614807</v>
      </c>
      <c r="I48" s="14" t="s">
        <v>139</v>
      </c>
      <c r="J48" s="16" t="s">
        <v>139</v>
      </c>
      <c r="K48" s="14">
        <v>0</v>
      </c>
      <c r="L48" s="16">
        <v>0</v>
      </c>
      <c r="M48" s="14">
        <v>0</v>
      </c>
      <c r="N48" s="16">
        <v>0</v>
      </c>
      <c r="O48" s="14">
        <v>0</v>
      </c>
      <c r="P48" s="16">
        <v>0</v>
      </c>
      <c r="Q48" s="14">
        <v>0</v>
      </c>
      <c r="R48" s="16">
        <v>0</v>
      </c>
    </row>
    <row r="49" spans="1:18" x14ac:dyDescent="0.25">
      <c r="A49" s="11" t="s">
        <v>182</v>
      </c>
      <c r="B49" s="17" t="s">
        <v>154</v>
      </c>
      <c r="C49" s="17" t="s">
        <v>154</v>
      </c>
      <c r="D49" s="18" t="s">
        <v>154</v>
      </c>
      <c r="E49" s="17" t="s">
        <v>154</v>
      </c>
      <c r="F49" s="18" t="s">
        <v>154</v>
      </c>
      <c r="G49" s="17" t="s">
        <v>154</v>
      </c>
      <c r="H49" s="18" t="s">
        <v>154</v>
      </c>
      <c r="I49" s="17" t="s">
        <v>154</v>
      </c>
      <c r="J49" s="18" t="s">
        <v>154</v>
      </c>
      <c r="K49" s="17" t="s">
        <v>154</v>
      </c>
      <c r="L49" s="18" t="s">
        <v>154</v>
      </c>
      <c r="M49" s="17" t="s">
        <v>154</v>
      </c>
      <c r="N49" s="18" t="s">
        <v>154</v>
      </c>
      <c r="O49" s="17" t="s">
        <v>154</v>
      </c>
      <c r="P49" s="18" t="s">
        <v>154</v>
      </c>
      <c r="Q49" s="17" t="s">
        <v>154</v>
      </c>
      <c r="R49" s="18" t="s">
        <v>154</v>
      </c>
    </row>
    <row r="50" spans="1:18" x14ac:dyDescent="0.25">
      <c r="A50" s="11" t="s">
        <v>183</v>
      </c>
      <c r="B50" s="13">
        <v>11795</v>
      </c>
      <c r="C50" s="14">
        <f>(10030/B50*100)</f>
        <v>85.036032217041125</v>
      </c>
      <c r="D50" s="15">
        <v>1765</v>
      </c>
      <c r="E50" s="14">
        <v>49.487078420000003</v>
      </c>
      <c r="F50" s="16">
        <v>1.66418322</v>
      </c>
      <c r="G50" s="14">
        <v>50.512921579999997</v>
      </c>
      <c r="H50" s="16">
        <v>1.66418322</v>
      </c>
      <c r="I50" s="14" t="s">
        <v>139</v>
      </c>
      <c r="J50" s="16" t="s">
        <v>139</v>
      </c>
      <c r="K50" s="14">
        <v>0</v>
      </c>
      <c r="L50" s="16">
        <v>0</v>
      </c>
      <c r="M50" s="14">
        <v>0</v>
      </c>
      <c r="N50" s="16">
        <v>0</v>
      </c>
      <c r="O50" s="14">
        <v>0</v>
      </c>
      <c r="P50" s="16">
        <v>0</v>
      </c>
      <c r="Q50" s="14">
        <v>0</v>
      </c>
      <c r="R50" s="16">
        <v>0</v>
      </c>
    </row>
    <row r="51" spans="1:18" x14ac:dyDescent="0.25">
      <c r="A51" s="11" t="s">
        <v>184</v>
      </c>
      <c r="B51" s="13">
        <v>6866</v>
      </c>
      <c r="C51" s="14">
        <f>(5964/B51*100)</f>
        <v>86.862802213807171</v>
      </c>
      <c r="D51" s="15">
        <v>902</v>
      </c>
      <c r="E51" s="14">
        <v>40.36505219</v>
      </c>
      <c r="F51" s="16">
        <v>1.89156692</v>
      </c>
      <c r="G51" s="14">
        <v>59.63494781</v>
      </c>
      <c r="H51" s="16">
        <v>1.89156692</v>
      </c>
      <c r="I51" s="14" t="s">
        <v>139</v>
      </c>
      <c r="J51" s="16" t="s">
        <v>139</v>
      </c>
      <c r="K51" s="14">
        <v>0</v>
      </c>
      <c r="L51" s="16">
        <v>0</v>
      </c>
      <c r="M51" s="14">
        <v>0</v>
      </c>
      <c r="N51" s="16">
        <v>0</v>
      </c>
      <c r="O51" s="14">
        <v>0</v>
      </c>
      <c r="P51" s="16">
        <v>0</v>
      </c>
      <c r="Q51" s="14">
        <v>0</v>
      </c>
      <c r="R51" s="16">
        <v>0</v>
      </c>
    </row>
    <row r="52" spans="1:18" x14ac:dyDescent="0.25">
      <c r="A52" s="11" t="s">
        <v>185</v>
      </c>
      <c r="B52" s="13">
        <v>5809</v>
      </c>
      <c r="C52" s="14">
        <f>(4863/B52*100)</f>
        <v>83.714925116198998</v>
      </c>
      <c r="D52" s="15">
        <v>946</v>
      </c>
      <c r="E52" s="14">
        <v>29.343832890000002</v>
      </c>
      <c r="F52" s="16">
        <v>1.4884958800000001</v>
      </c>
      <c r="G52" s="14">
        <v>70.656167109999998</v>
      </c>
      <c r="H52" s="16">
        <v>1.4884958800000001</v>
      </c>
      <c r="I52" s="14" t="s">
        <v>139</v>
      </c>
      <c r="J52" s="16" t="s">
        <v>139</v>
      </c>
      <c r="K52" s="14">
        <v>0</v>
      </c>
      <c r="L52" s="16">
        <v>0</v>
      </c>
      <c r="M52" s="14">
        <v>0</v>
      </c>
      <c r="N52" s="16">
        <v>0</v>
      </c>
      <c r="O52" s="14">
        <v>0</v>
      </c>
      <c r="P52" s="16">
        <v>0</v>
      </c>
      <c r="Q52" s="14">
        <v>0</v>
      </c>
      <c r="R52" s="16">
        <v>0</v>
      </c>
    </row>
    <row r="53" spans="1:18" x14ac:dyDescent="0.25">
      <c r="A53" s="11" t="s">
        <v>186</v>
      </c>
      <c r="B53" s="13">
        <v>5571</v>
      </c>
      <c r="C53" s="14">
        <f>(4653/B53*100)</f>
        <v>83.521809369951541</v>
      </c>
      <c r="D53" s="15">
        <v>918</v>
      </c>
      <c r="E53" s="14">
        <v>49.969097929999997</v>
      </c>
      <c r="F53" s="16">
        <v>1.70825458</v>
      </c>
      <c r="G53" s="14">
        <v>50.030902070000003</v>
      </c>
      <c r="H53" s="16">
        <v>1.70825458</v>
      </c>
      <c r="I53" s="14" t="s">
        <v>139</v>
      </c>
      <c r="J53" s="16" t="s">
        <v>139</v>
      </c>
      <c r="K53" s="14">
        <v>0</v>
      </c>
      <c r="L53" s="16">
        <v>0</v>
      </c>
      <c r="M53" s="14">
        <v>0</v>
      </c>
      <c r="N53" s="16">
        <v>0</v>
      </c>
      <c r="O53" s="14">
        <v>0</v>
      </c>
      <c r="P53" s="16">
        <v>0</v>
      </c>
      <c r="Q53" s="14">
        <v>0</v>
      </c>
      <c r="R53" s="16">
        <v>0</v>
      </c>
    </row>
    <row r="54" spans="1:18" x14ac:dyDescent="0.25">
      <c r="A54" s="11" t="s">
        <v>187</v>
      </c>
      <c r="B54" s="17" t="s">
        <v>154</v>
      </c>
      <c r="C54" s="17" t="s">
        <v>154</v>
      </c>
      <c r="D54" s="18" t="s">
        <v>154</v>
      </c>
      <c r="E54" s="17" t="s">
        <v>154</v>
      </c>
      <c r="F54" s="18" t="s">
        <v>154</v>
      </c>
      <c r="G54" s="17" t="s">
        <v>154</v>
      </c>
      <c r="H54" s="18" t="s">
        <v>154</v>
      </c>
      <c r="I54" s="17" t="s">
        <v>154</v>
      </c>
      <c r="J54" s="18" t="s">
        <v>154</v>
      </c>
      <c r="K54" s="17" t="s">
        <v>154</v>
      </c>
      <c r="L54" s="18" t="s">
        <v>154</v>
      </c>
      <c r="M54" s="17" t="s">
        <v>154</v>
      </c>
      <c r="N54" s="18" t="s">
        <v>154</v>
      </c>
      <c r="O54" s="17" t="s">
        <v>154</v>
      </c>
      <c r="P54" s="18" t="s">
        <v>154</v>
      </c>
      <c r="Q54" s="17" t="s">
        <v>154</v>
      </c>
      <c r="R54" s="18" t="s">
        <v>154</v>
      </c>
    </row>
    <row r="55" spans="1:18" x14ac:dyDescent="0.25">
      <c r="A55" s="11" t="s">
        <v>188</v>
      </c>
      <c r="B55" s="17" t="s">
        <v>154</v>
      </c>
      <c r="C55" s="17" t="s">
        <v>154</v>
      </c>
      <c r="D55" s="18" t="s">
        <v>154</v>
      </c>
      <c r="E55" s="17" t="s">
        <v>154</v>
      </c>
      <c r="F55" s="18" t="s">
        <v>154</v>
      </c>
      <c r="G55" s="17" t="s">
        <v>154</v>
      </c>
      <c r="H55" s="18" t="s">
        <v>154</v>
      </c>
      <c r="I55" s="17" t="s">
        <v>154</v>
      </c>
      <c r="J55" s="18" t="s">
        <v>154</v>
      </c>
      <c r="K55" s="17" t="s">
        <v>154</v>
      </c>
      <c r="L55" s="18" t="s">
        <v>154</v>
      </c>
      <c r="M55" s="17" t="s">
        <v>154</v>
      </c>
      <c r="N55" s="18" t="s">
        <v>154</v>
      </c>
      <c r="O55" s="17" t="s">
        <v>154</v>
      </c>
      <c r="P55" s="18" t="s">
        <v>154</v>
      </c>
      <c r="Q55" s="17" t="s">
        <v>154</v>
      </c>
      <c r="R55" s="18" t="s">
        <v>154</v>
      </c>
    </row>
    <row r="56" spans="1:18" x14ac:dyDescent="0.25">
      <c r="A56" s="11" t="s">
        <v>189</v>
      </c>
      <c r="B56" s="13">
        <v>5359</v>
      </c>
      <c r="C56" s="14">
        <f>(4430/B56*100)</f>
        <v>82.664676245568202</v>
      </c>
      <c r="D56" s="15">
        <v>929</v>
      </c>
      <c r="E56" s="14">
        <v>31.403268740000001</v>
      </c>
      <c r="F56" s="16">
        <v>1.53053642</v>
      </c>
      <c r="G56" s="14">
        <v>68.596731259999999</v>
      </c>
      <c r="H56" s="16">
        <v>1.53053642</v>
      </c>
      <c r="I56" s="14" t="s">
        <v>139</v>
      </c>
      <c r="J56" s="16" t="s">
        <v>139</v>
      </c>
      <c r="K56" s="14">
        <v>0</v>
      </c>
      <c r="L56" s="16">
        <v>0</v>
      </c>
      <c r="M56" s="14">
        <v>0</v>
      </c>
      <c r="N56" s="16">
        <v>0</v>
      </c>
      <c r="O56" s="14">
        <v>0</v>
      </c>
      <c r="P56" s="16">
        <v>0</v>
      </c>
      <c r="Q56" s="14">
        <v>0</v>
      </c>
      <c r="R56" s="16">
        <v>0</v>
      </c>
    </row>
    <row r="57" spans="1:18" x14ac:dyDescent="0.25">
      <c r="A57" s="11" t="s">
        <v>190</v>
      </c>
      <c r="B57" s="17" t="s">
        <v>154</v>
      </c>
      <c r="C57" s="17" t="s">
        <v>154</v>
      </c>
      <c r="D57" s="18" t="s">
        <v>154</v>
      </c>
      <c r="E57" s="17" t="s">
        <v>154</v>
      </c>
      <c r="F57" s="18" t="s">
        <v>154</v>
      </c>
      <c r="G57" s="17" t="s">
        <v>154</v>
      </c>
      <c r="H57" s="18" t="s">
        <v>154</v>
      </c>
      <c r="I57" s="17" t="s">
        <v>154</v>
      </c>
      <c r="J57" s="18" t="s">
        <v>154</v>
      </c>
      <c r="K57" s="17" t="s">
        <v>154</v>
      </c>
      <c r="L57" s="18" t="s">
        <v>154</v>
      </c>
      <c r="M57" s="17" t="s">
        <v>154</v>
      </c>
      <c r="N57" s="18" t="s">
        <v>154</v>
      </c>
      <c r="O57" s="17" t="s">
        <v>154</v>
      </c>
      <c r="P57" s="18" t="s">
        <v>154</v>
      </c>
      <c r="Q57" s="17" t="s">
        <v>154</v>
      </c>
      <c r="R57" s="18" t="s">
        <v>154</v>
      </c>
    </row>
    <row r="58" spans="1:18" x14ac:dyDescent="0.25">
      <c r="A58" s="11" t="s">
        <v>191</v>
      </c>
      <c r="B58" s="17" t="s">
        <v>154</v>
      </c>
      <c r="C58" s="17" t="s">
        <v>154</v>
      </c>
      <c r="D58" s="18" t="s">
        <v>154</v>
      </c>
      <c r="E58" s="17" t="s">
        <v>154</v>
      </c>
      <c r="F58" s="18" t="s">
        <v>154</v>
      </c>
      <c r="G58" s="17" t="s">
        <v>154</v>
      </c>
      <c r="H58" s="18" t="s">
        <v>154</v>
      </c>
      <c r="I58" s="17" t="s">
        <v>154</v>
      </c>
      <c r="J58" s="18" t="s">
        <v>154</v>
      </c>
      <c r="K58" s="17" t="s">
        <v>154</v>
      </c>
      <c r="L58" s="18" t="s">
        <v>154</v>
      </c>
      <c r="M58" s="17" t="s">
        <v>154</v>
      </c>
      <c r="N58" s="18" t="s">
        <v>154</v>
      </c>
      <c r="O58" s="17" t="s">
        <v>154</v>
      </c>
      <c r="P58" s="18" t="s">
        <v>154</v>
      </c>
      <c r="Q58" s="17" t="s">
        <v>154</v>
      </c>
      <c r="R58" s="18" t="s">
        <v>154</v>
      </c>
    </row>
    <row r="59" spans="1:18" x14ac:dyDescent="0.25">
      <c r="A59" s="11" t="s">
        <v>192</v>
      </c>
      <c r="B59" s="17" t="s">
        <v>154</v>
      </c>
      <c r="C59" s="17" t="s">
        <v>154</v>
      </c>
      <c r="D59" s="18" t="s">
        <v>154</v>
      </c>
      <c r="E59" s="17" t="s">
        <v>154</v>
      </c>
      <c r="F59" s="18" t="s">
        <v>154</v>
      </c>
      <c r="G59" s="17" t="s">
        <v>154</v>
      </c>
      <c r="H59" s="18" t="s">
        <v>154</v>
      </c>
      <c r="I59" s="17" t="s">
        <v>154</v>
      </c>
      <c r="J59" s="18" t="s">
        <v>154</v>
      </c>
      <c r="K59" s="17" t="s">
        <v>154</v>
      </c>
      <c r="L59" s="18" t="s">
        <v>154</v>
      </c>
      <c r="M59" s="17" t="s">
        <v>154</v>
      </c>
      <c r="N59" s="18" t="s">
        <v>154</v>
      </c>
      <c r="O59" s="17" t="s">
        <v>154</v>
      </c>
      <c r="P59" s="18" t="s">
        <v>154</v>
      </c>
      <c r="Q59" s="17" t="s">
        <v>154</v>
      </c>
      <c r="R59" s="18" t="s">
        <v>154</v>
      </c>
    </row>
    <row r="60" spans="1:18" x14ac:dyDescent="0.25">
      <c r="A60" s="11" t="s">
        <v>193</v>
      </c>
      <c r="B60" s="17" t="s">
        <v>154</v>
      </c>
      <c r="C60" s="17" t="s">
        <v>154</v>
      </c>
      <c r="D60" s="18" t="s">
        <v>154</v>
      </c>
      <c r="E60" s="17" t="s">
        <v>154</v>
      </c>
      <c r="F60" s="18" t="s">
        <v>154</v>
      </c>
      <c r="G60" s="17" t="s">
        <v>154</v>
      </c>
      <c r="H60" s="18" t="s">
        <v>154</v>
      </c>
      <c r="I60" s="17" t="s">
        <v>154</v>
      </c>
      <c r="J60" s="18" t="s">
        <v>154</v>
      </c>
      <c r="K60" s="17" t="s">
        <v>154</v>
      </c>
      <c r="L60" s="18" t="s">
        <v>154</v>
      </c>
      <c r="M60" s="17" t="s">
        <v>154</v>
      </c>
      <c r="N60" s="18" t="s">
        <v>154</v>
      </c>
      <c r="O60" s="17" t="s">
        <v>154</v>
      </c>
      <c r="P60" s="18" t="s">
        <v>154</v>
      </c>
      <c r="Q60" s="17" t="s">
        <v>154</v>
      </c>
      <c r="R60" s="18" t="s">
        <v>154</v>
      </c>
    </row>
    <row r="61" spans="1:18" x14ac:dyDescent="0.25">
      <c r="A61" s="11" t="s">
        <v>194</v>
      </c>
      <c r="B61" s="13">
        <v>6525</v>
      </c>
      <c r="C61" s="14">
        <f>(5465/B61*100)</f>
        <v>83.754789272030649</v>
      </c>
      <c r="D61" s="15">
        <v>1060</v>
      </c>
      <c r="E61" s="14">
        <v>38.701379039999999</v>
      </c>
      <c r="F61" s="16">
        <v>1.7363411</v>
      </c>
      <c r="G61" s="14">
        <v>61.298620960000001</v>
      </c>
      <c r="H61" s="16">
        <v>1.7363411</v>
      </c>
      <c r="I61" s="14" t="s">
        <v>139</v>
      </c>
      <c r="J61" s="16" t="s">
        <v>139</v>
      </c>
      <c r="K61" s="14">
        <v>0</v>
      </c>
      <c r="L61" s="16">
        <v>0</v>
      </c>
      <c r="M61" s="14">
        <v>0</v>
      </c>
      <c r="N61" s="16">
        <v>0</v>
      </c>
      <c r="O61" s="14">
        <v>0</v>
      </c>
      <c r="P61" s="16">
        <v>0</v>
      </c>
      <c r="Q61" s="14">
        <v>0</v>
      </c>
      <c r="R61" s="16">
        <v>0</v>
      </c>
    </row>
    <row r="62" spans="1:18" x14ac:dyDescent="0.25">
      <c r="A62" s="11" t="s">
        <v>195</v>
      </c>
      <c r="B62" s="13">
        <v>4476</v>
      </c>
      <c r="C62" s="14">
        <f>(3763/B62*100)</f>
        <v>84.070598748882929</v>
      </c>
      <c r="D62" s="15">
        <v>713</v>
      </c>
      <c r="E62" s="14">
        <v>30.048114600000002</v>
      </c>
      <c r="F62" s="16">
        <v>1.46969306</v>
      </c>
      <c r="G62" s="14">
        <v>69.951885399999995</v>
      </c>
      <c r="H62" s="16">
        <v>1.46969306</v>
      </c>
      <c r="I62" s="14" t="s">
        <v>139</v>
      </c>
      <c r="J62" s="16" t="s">
        <v>139</v>
      </c>
      <c r="K62" s="14">
        <v>0</v>
      </c>
      <c r="L62" s="16">
        <v>0</v>
      </c>
      <c r="M62" s="14">
        <v>0</v>
      </c>
      <c r="N62" s="16">
        <v>0</v>
      </c>
      <c r="O62" s="14">
        <v>0</v>
      </c>
      <c r="P62" s="16">
        <v>0</v>
      </c>
      <c r="Q62" s="14">
        <v>0</v>
      </c>
      <c r="R62" s="16">
        <v>0</v>
      </c>
    </row>
    <row r="63" spans="1:18" x14ac:dyDescent="0.25">
      <c r="A63" s="11" t="s">
        <v>196</v>
      </c>
      <c r="B63" s="17" t="s">
        <v>154</v>
      </c>
      <c r="C63" s="17" t="s">
        <v>154</v>
      </c>
      <c r="D63" s="18" t="s">
        <v>154</v>
      </c>
      <c r="E63" s="17" t="s">
        <v>154</v>
      </c>
      <c r="F63" s="18" t="s">
        <v>154</v>
      </c>
      <c r="G63" s="17" t="s">
        <v>154</v>
      </c>
      <c r="H63" s="18" t="s">
        <v>154</v>
      </c>
      <c r="I63" s="17" t="s">
        <v>154</v>
      </c>
      <c r="J63" s="18" t="s">
        <v>154</v>
      </c>
      <c r="K63" s="17" t="s">
        <v>154</v>
      </c>
      <c r="L63" s="18" t="s">
        <v>154</v>
      </c>
      <c r="M63" s="17" t="s">
        <v>154</v>
      </c>
      <c r="N63" s="18" t="s">
        <v>154</v>
      </c>
      <c r="O63" s="17" t="s">
        <v>154</v>
      </c>
      <c r="P63" s="18" t="s">
        <v>154</v>
      </c>
      <c r="Q63" s="17" t="s">
        <v>154</v>
      </c>
      <c r="R63" s="18" t="s">
        <v>154</v>
      </c>
    </row>
    <row r="64" spans="1:18" x14ac:dyDescent="0.25">
      <c r="A64" s="11" t="s">
        <v>197</v>
      </c>
      <c r="B64" s="17" t="s">
        <v>154</v>
      </c>
      <c r="C64" s="17" t="s">
        <v>154</v>
      </c>
      <c r="D64" s="18" t="s">
        <v>154</v>
      </c>
      <c r="E64" s="17" t="s">
        <v>154</v>
      </c>
      <c r="F64" s="18" t="s">
        <v>154</v>
      </c>
      <c r="G64" s="17" t="s">
        <v>154</v>
      </c>
      <c r="H64" s="18" t="s">
        <v>154</v>
      </c>
      <c r="I64" s="17" t="s">
        <v>154</v>
      </c>
      <c r="J64" s="18" t="s">
        <v>154</v>
      </c>
      <c r="K64" s="17" t="s">
        <v>154</v>
      </c>
      <c r="L64" s="18" t="s">
        <v>154</v>
      </c>
      <c r="M64" s="17" t="s">
        <v>154</v>
      </c>
      <c r="N64" s="18" t="s">
        <v>154</v>
      </c>
      <c r="O64" s="17" t="s">
        <v>154</v>
      </c>
      <c r="P64" s="18" t="s">
        <v>154</v>
      </c>
      <c r="Q64" s="17" t="s">
        <v>154</v>
      </c>
      <c r="R64" s="18" t="s">
        <v>154</v>
      </c>
    </row>
    <row r="65" spans="1:18" x14ac:dyDescent="0.25">
      <c r="A65" s="11" t="s">
        <v>198</v>
      </c>
      <c r="B65" s="17" t="s">
        <v>154</v>
      </c>
      <c r="C65" s="17" t="s">
        <v>154</v>
      </c>
      <c r="D65" s="18" t="s">
        <v>154</v>
      </c>
      <c r="E65" s="17" t="s">
        <v>154</v>
      </c>
      <c r="F65" s="18" t="s">
        <v>154</v>
      </c>
      <c r="G65" s="17" t="s">
        <v>154</v>
      </c>
      <c r="H65" s="18" t="s">
        <v>154</v>
      </c>
      <c r="I65" s="17" t="s">
        <v>154</v>
      </c>
      <c r="J65" s="18" t="s">
        <v>154</v>
      </c>
      <c r="K65" s="17" t="s">
        <v>154</v>
      </c>
      <c r="L65" s="18" t="s">
        <v>154</v>
      </c>
      <c r="M65" s="17" t="s">
        <v>154</v>
      </c>
      <c r="N65" s="18" t="s">
        <v>154</v>
      </c>
      <c r="O65" s="17" t="s">
        <v>154</v>
      </c>
      <c r="P65" s="18" t="s">
        <v>154</v>
      </c>
      <c r="Q65" s="17" t="s">
        <v>154</v>
      </c>
      <c r="R65" s="18" t="s">
        <v>154</v>
      </c>
    </row>
    <row r="66" spans="1:18" x14ac:dyDescent="0.25">
      <c r="A66" s="11" t="s">
        <v>199</v>
      </c>
      <c r="B66" s="13">
        <v>5665</v>
      </c>
      <c r="C66" s="14">
        <f>(4776/B66*100)</f>
        <v>84.307149161518097</v>
      </c>
      <c r="D66" s="15">
        <v>889</v>
      </c>
      <c r="E66" s="14">
        <v>55.996645780000001</v>
      </c>
      <c r="F66" s="16">
        <v>1.8026796899999999</v>
      </c>
      <c r="G66" s="14">
        <v>44.003354219999999</v>
      </c>
      <c r="H66" s="16">
        <v>1.8026796899999999</v>
      </c>
      <c r="I66" s="14" t="s">
        <v>139</v>
      </c>
      <c r="J66" s="16" t="s">
        <v>139</v>
      </c>
      <c r="K66" s="14">
        <v>0</v>
      </c>
      <c r="L66" s="16">
        <v>0</v>
      </c>
      <c r="M66" s="14">
        <v>0</v>
      </c>
      <c r="N66" s="16">
        <v>0</v>
      </c>
      <c r="O66" s="14">
        <v>0</v>
      </c>
      <c r="P66" s="16">
        <v>0</v>
      </c>
      <c r="Q66" s="14">
        <v>0</v>
      </c>
      <c r="R66" s="16">
        <v>0</v>
      </c>
    </row>
    <row r="67" spans="1:18" x14ac:dyDescent="0.25">
      <c r="A67" s="11" t="s">
        <v>200</v>
      </c>
      <c r="B67" s="13">
        <v>6971</v>
      </c>
      <c r="C67" s="14">
        <f>(6110/B67*100)</f>
        <v>87.648830870750245</v>
      </c>
      <c r="D67" s="15">
        <v>861</v>
      </c>
      <c r="E67" s="14">
        <v>46.878543690000001</v>
      </c>
      <c r="F67" s="16">
        <v>2.0504353000000002</v>
      </c>
      <c r="G67" s="14">
        <v>53.121456309999999</v>
      </c>
      <c r="H67" s="16">
        <v>2.0504353000000002</v>
      </c>
      <c r="I67" s="14" t="s">
        <v>139</v>
      </c>
      <c r="J67" s="16" t="s">
        <v>139</v>
      </c>
      <c r="K67" s="14">
        <v>0</v>
      </c>
      <c r="L67" s="16">
        <v>0</v>
      </c>
      <c r="M67" s="14">
        <v>0</v>
      </c>
      <c r="N67" s="16">
        <v>0</v>
      </c>
      <c r="O67" s="14">
        <v>0</v>
      </c>
      <c r="P67" s="16">
        <v>0</v>
      </c>
      <c r="Q67" s="14">
        <v>0</v>
      </c>
      <c r="R67" s="16">
        <v>0</v>
      </c>
    </row>
    <row r="68" spans="1:18" x14ac:dyDescent="0.25">
      <c r="A68" s="11" t="s">
        <v>201</v>
      </c>
      <c r="B68" s="17" t="s">
        <v>154</v>
      </c>
      <c r="C68" s="17" t="s">
        <v>154</v>
      </c>
      <c r="D68" s="18" t="s">
        <v>154</v>
      </c>
      <c r="E68" s="17" t="s">
        <v>154</v>
      </c>
      <c r="F68" s="18" t="s">
        <v>154</v>
      </c>
      <c r="G68" s="17" t="s">
        <v>154</v>
      </c>
      <c r="H68" s="18" t="s">
        <v>154</v>
      </c>
      <c r="I68" s="17" t="s">
        <v>154</v>
      </c>
      <c r="J68" s="18" t="s">
        <v>154</v>
      </c>
      <c r="K68" s="17" t="s">
        <v>154</v>
      </c>
      <c r="L68" s="18" t="s">
        <v>154</v>
      </c>
      <c r="M68" s="17" t="s">
        <v>154</v>
      </c>
      <c r="N68" s="18" t="s">
        <v>154</v>
      </c>
      <c r="O68" s="17" t="s">
        <v>154</v>
      </c>
      <c r="P68" s="18" t="s">
        <v>154</v>
      </c>
      <c r="Q68" s="17" t="s">
        <v>154</v>
      </c>
      <c r="R68" s="18" t="s">
        <v>154</v>
      </c>
    </row>
    <row r="69" spans="1:18" x14ac:dyDescent="0.25">
      <c r="A69" s="11" t="s">
        <v>202</v>
      </c>
      <c r="B69" s="17" t="s">
        <v>154</v>
      </c>
      <c r="C69" s="17" t="s">
        <v>154</v>
      </c>
      <c r="D69" s="18" t="s">
        <v>154</v>
      </c>
      <c r="E69" s="17" t="s">
        <v>154</v>
      </c>
      <c r="F69" s="18" t="s">
        <v>154</v>
      </c>
      <c r="G69" s="17" t="s">
        <v>154</v>
      </c>
      <c r="H69" s="18" t="s">
        <v>154</v>
      </c>
      <c r="I69" s="17" t="s">
        <v>154</v>
      </c>
      <c r="J69" s="18" t="s">
        <v>154</v>
      </c>
      <c r="K69" s="17" t="s">
        <v>154</v>
      </c>
      <c r="L69" s="18" t="s">
        <v>154</v>
      </c>
      <c r="M69" s="17" t="s">
        <v>154</v>
      </c>
      <c r="N69" s="18" t="s">
        <v>154</v>
      </c>
      <c r="O69" s="17" t="s">
        <v>154</v>
      </c>
      <c r="P69" s="18" t="s">
        <v>154</v>
      </c>
      <c r="Q69" s="17" t="s">
        <v>154</v>
      </c>
      <c r="R69" s="18" t="s">
        <v>154</v>
      </c>
    </row>
    <row r="70" spans="1:18" x14ac:dyDescent="0.25">
      <c r="A70" s="11" t="s">
        <v>203</v>
      </c>
      <c r="B70" s="13">
        <v>6036</v>
      </c>
      <c r="C70" s="14">
        <f>(5082/B70*100)</f>
        <v>84.194831013916499</v>
      </c>
      <c r="D70" s="15">
        <v>954</v>
      </c>
      <c r="E70" s="14">
        <v>38.451373680000003</v>
      </c>
      <c r="F70" s="16">
        <v>1.98879457</v>
      </c>
      <c r="G70" s="14">
        <v>61.548626319999997</v>
      </c>
      <c r="H70" s="16">
        <v>1.98879457</v>
      </c>
      <c r="I70" s="14" t="s">
        <v>139</v>
      </c>
      <c r="J70" s="16" t="s">
        <v>139</v>
      </c>
      <c r="K70" s="14">
        <v>0</v>
      </c>
      <c r="L70" s="16">
        <v>0</v>
      </c>
      <c r="M70" s="14">
        <v>0</v>
      </c>
      <c r="N70" s="16">
        <v>0</v>
      </c>
      <c r="O70" s="14">
        <v>0</v>
      </c>
      <c r="P70" s="16">
        <v>0</v>
      </c>
      <c r="Q70" s="14">
        <v>0</v>
      </c>
      <c r="R70" s="16">
        <v>0</v>
      </c>
    </row>
    <row r="71" spans="1:18" x14ac:dyDescent="0.25">
      <c r="A71" s="11" t="s">
        <v>204</v>
      </c>
      <c r="B71" s="17" t="s">
        <v>154</v>
      </c>
      <c r="C71" s="17" t="s">
        <v>154</v>
      </c>
      <c r="D71" s="18" t="s">
        <v>154</v>
      </c>
      <c r="E71" s="17" t="s">
        <v>154</v>
      </c>
      <c r="F71" s="18" t="s">
        <v>154</v>
      </c>
      <c r="G71" s="17" t="s">
        <v>154</v>
      </c>
      <c r="H71" s="18" t="s">
        <v>154</v>
      </c>
      <c r="I71" s="17" t="s">
        <v>154</v>
      </c>
      <c r="J71" s="18" t="s">
        <v>154</v>
      </c>
      <c r="K71" s="17" t="s">
        <v>154</v>
      </c>
      <c r="L71" s="18" t="s">
        <v>154</v>
      </c>
      <c r="M71" s="17" t="s">
        <v>154</v>
      </c>
      <c r="N71" s="18" t="s">
        <v>154</v>
      </c>
      <c r="O71" s="17" t="s">
        <v>154</v>
      </c>
      <c r="P71" s="18" t="s">
        <v>154</v>
      </c>
      <c r="Q71" s="17" t="s">
        <v>154</v>
      </c>
      <c r="R71" s="18" t="s">
        <v>154</v>
      </c>
    </row>
    <row r="72" spans="1:18" x14ac:dyDescent="0.25">
      <c r="A72" s="11" t="s">
        <v>205</v>
      </c>
      <c r="B72" s="13">
        <v>7708</v>
      </c>
      <c r="C72" s="14">
        <f>(6398/B72*100)</f>
        <v>83.00467047223664</v>
      </c>
      <c r="D72" s="15">
        <v>1310</v>
      </c>
      <c r="E72" s="14">
        <v>28.277117960000002</v>
      </c>
      <c r="F72" s="16">
        <v>1.42536022</v>
      </c>
      <c r="G72" s="14">
        <v>71.722882040000002</v>
      </c>
      <c r="H72" s="16">
        <v>1.42536022</v>
      </c>
      <c r="I72" s="14" t="s">
        <v>139</v>
      </c>
      <c r="J72" s="16" t="s">
        <v>139</v>
      </c>
      <c r="K72" s="14">
        <v>0</v>
      </c>
      <c r="L72" s="16">
        <v>0</v>
      </c>
      <c r="M72" s="14">
        <v>0</v>
      </c>
      <c r="N72" s="16">
        <v>0</v>
      </c>
      <c r="O72" s="14">
        <v>0</v>
      </c>
      <c r="P72" s="16">
        <v>0</v>
      </c>
      <c r="Q72" s="14">
        <v>0</v>
      </c>
      <c r="R72" s="16">
        <v>0</v>
      </c>
    </row>
    <row r="73" spans="1:18" x14ac:dyDescent="0.25">
      <c r="A73" s="11" t="s">
        <v>206</v>
      </c>
      <c r="B73" s="13">
        <v>8249</v>
      </c>
      <c r="C73" s="14">
        <f>(7012/B73*100)</f>
        <v>85.004242938537999</v>
      </c>
      <c r="D73" s="15">
        <v>1237</v>
      </c>
      <c r="E73" s="14">
        <v>43.60923648</v>
      </c>
      <c r="F73" s="16">
        <v>1.93456703</v>
      </c>
      <c r="G73" s="14">
        <v>56.39076352</v>
      </c>
      <c r="H73" s="16">
        <v>1.93456703</v>
      </c>
      <c r="I73" s="14" t="s">
        <v>139</v>
      </c>
      <c r="J73" s="16" t="s">
        <v>139</v>
      </c>
      <c r="K73" s="14">
        <v>0</v>
      </c>
      <c r="L73" s="16">
        <v>0</v>
      </c>
      <c r="M73" s="14">
        <v>0</v>
      </c>
      <c r="N73" s="16">
        <v>0</v>
      </c>
      <c r="O73" s="14">
        <v>0</v>
      </c>
      <c r="P73" s="16">
        <v>0</v>
      </c>
      <c r="Q73" s="14">
        <v>0</v>
      </c>
      <c r="R73" s="16">
        <v>0</v>
      </c>
    </row>
    <row r="74" spans="1:18" x14ac:dyDescent="0.25">
      <c r="A74" s="11" t="s">
        <v>207</v>
      </c>
      <c r="B74" s="17" t="s">
        <v>154</v>
      </c>
      <c r="C74" s="17" t="s">
        <v>154</v>
      </c>
      <c r="D74" s="18" t="s">
        <v>154</v>
      </c>
      <c r="E74" s="17" t="s">
        <v>154</v>
      </c>
      <c r="F74" s="18" t="s">
        <v>154</v>
      </c>
      <c r="G74" s="17" t="s">
        <v>154</v>
      </c>
      <c r="H74" s="18" t="s">
        <v>154</v>
      </c>
      <c r="I74" s="17" t="s">
        <v>154</v>
      </c>
      <c r="J74" s="18" t="s">
        <v>154</v>
      </c>
      <c r="K74" s="17" t="s">
        <v>154</v>
      </c>
      <c r="L74" s="18" t="s">
        <v>154</v>
      </c>
      <c r="M74" s="17" t="s">
        <v>154</v>
      </c>
      <c r="N74" s="18" t="s">
        <v>154</v>
      </c>
      <c r="O74" s="17" t="s">
        <v>154</v>
      </c>
      <c r="P74" s="18" t="s">
        <v>154</v>
      </c>
      <c r="Q74" s="17" t="s">
        <v>154</v>
      </c>
      <c r="R74" s="18" t="s">
        <v>154</v>
      </c>
    </row>
    <row r="75" spans="1:18" x14ac:dyDescent="0.25">
      <c r="A75" s="11" t="s">
        <v>208</v>
      </c>
      <c r="B75" s="13">
        <v>5375</v>
      </c>
      <c r="C75" s="14">
        <f>(4627/B75*100)</f>
        <v>86.083720930232559</v>
      </c>
      <c r="D75" s="15">
        <v>748</v>
      </c>
      <c r="E75" s="14">
        <v>66.220708630000004</v>
      </c>
      <c r="F75" s="16">
        <v>1.62579724</v>
      </c>
      <c r="G75" s="14">
        <v>33.779291370000003</v>
      </c>
      <c r="H75" s="16">
        <v>1.62579724</v>
      </c>
      <c r="I75" s="14" t="s">
        <v>139</v>
      </c>
      <c r="J75" s="16" t="s">
        <v>139</v>
      </c>
      <c r="K75" s="14">
        <v>0</v>
      </c>
      <c r="L75" s="16">
        <v>0</v>
      </c>
      <c r="M75" s="14">
        <v>0</v>
      </c>
      <c r="N75" s="16">
        <v>0</v>
      </c>
      <c r="O75" s="14">
        <v>0</v>
      </c>
      <c r="P75" s="16">
        <v>0</v>
      </c>
      <c r="Q75" s="14">
        <v>0</v>
      </c>
      <c r="R75" s="16">
        <v>0</v>
      </c>
    </row>
    <row r="76" spans="1:18" x14ac:dyDescent="0.25">
      <c r="A76" s="11" t="s">
        <v>209</v>
      </c>
      <c r="B76" s="13">
        <v>14167</v>
      </c>
      <c r="C76" s="14">
        <f>(11765/B76*100)</f>
        <v>83.045104821063035</v>
      </c>
      <c r="D76" s="15">
        <v>2402</v>
      </c>
      <c r="E76" s="14">
        <v>56.744430549999997</v>
      </c>
      <c r="F76" s="16">
        <v>1.1971037899999999</v>
      </c>
      <c r="G76" s="14">
        <v>43.255569450000003</v>
      </c>
      <c r="H76" s="16">
        <v>1.1971037899999999</v>
      </c>
      <c r="I76" s="14" t="s">
        <v>139</v>
      </c>
      <c r="J76" s="16" t="s">
        <v>139</v>
      </c>
      <c r="K76" s="14">
        <v>0</v>
      </c>
      <c r="L76" s="16">
        <v>0</v>
      </c>
      <c r="M76" s="14">
        <v>0</v>
      </c>
      <c r="N76" s="16">
        <v>0</v>
      </c>
      <c r="O76" s="14">
        <v>0</v>
      </c>
      <c r="P76" s="16">
        <v>0</v>
      </c>
      <c r="Q76" s="14">
        <v>0</v>
      </c>
      <c r="R76" s="16">
        <v>0</v>
      </c>
    </row>
    <row r="77" spans="1:18" x14ac:dyDescent="0.25">
      <c r="A77" s="11" t="s">
        <v>210</v>
      </c>
      <c r="B77" s="13">
        <v>6062</v>
      </c>
      <c r="C77" s="14">
        <f>(5128/B77*100)</f>
        <v>84.592543714945563</v>
      </c>
      <c r="D77" s="15">
        <v>934</v>
      </c>
      <c r="E77" s="14">
        <v>45.994868140000001</v>
      </c>
      <c r="F77" s="16">
        <v>2.0357979400000001</v>
      </c>
      <c r="G77" s="14">
        <v>54.005131859999999</v>
      </c>
      <c r="H77" s="16">
        <v>2.0357979400000001</v>
      </c>
      <c r="I77" s="14" t="s">
        <v>139</v>
      </c>
      <c r="J77" s="16" t="s">
        <v>139</v>
      </c>
      <c r="K77" s="14">
        <v>0</v>
      </c>
      <c r="L77" s="16">
        <v>0</v>
      </c>
      <c r="M77" s="14">
        <v>0</v>
      </c>
      <c r="N77" s="16">
        <v>0</v>
      </c>
      <c r="O77" s="14">
        <v>0</v>
      </c>
      <c r="P77" s="16">
        <v>0</v>
      </c>
      <c r="Q77" s="14">
        <v>0</v>
      </c>
      <c r="R77" s="16">
        <v>0</v>
      </c>
    </row>
    <row r="78" spans="1:18" x14ac:dyDescent="0.25">
      <c r="A78" s="11" t="s">
        <v>211</v>
      </c>
      <c r="B78" s="17" t="s">
        <v>154</v>
      </c>
      <c r="C78" s="17" t="s">
        <v>154</v>
      </c>
      <c r="D78" s="18" t="s">
        <v>154</v>
      </c>
      <c r="E78" s="17" t="s">
        <v>154</v>
      </c>
      <c r="F78" s="18" t="s">
        <v>154</v>
      </c>
      <c r="G78" s="17" t="s">
        <v>154</v>
      </c>
      <c r="H78" s="18" t="s">
        <v>154</v>
      </c>
      <c r="I78" s="17" t="s">
        <v>154</v>
      </c>
      <c r="J78" s="18" t="s">
        <v>154</v>
      </c>
      <c r="K78" s="17" t="s">
        <v>154</v>
      </c>
      <c r="L78" s="18" t="s">
        <v>154</v>
      </c>
      <c r="M78" s="17" t="s">
        <v>154</v>
      </c>
      <c r="N78" s="18" t="s">
        <v>154</v>
      </c>
      <c r="O78" s="17" t="s">
        <v>154</v>
      </c>
      <c r="P78" s="18" t="s">
        <v>154</v>
      </c>
      <c r="Q78" s="17" t="s">
        <v>154</v>
      </c>
      <c r="R78" s="18" t="s">
        <v>154</v>
      </c>
    </row>
    <row r="79" spans="1:18" ht="24.95" customHeight="1" x14ac:dyDescent="0.25">
      <c r="A79" s="11" t="s">
        <v>212</v>
      </c>
      <c r="B79" s="17" t="s">
        <v>154</v>
      </c>
      <c r="C79" s="17" t="s">
        <v>154</v>
      </c>
      <c r="D79" s="18" t="s">
        <v>154</v>
      </c>
      <c r="E79" s="17" t="s">
        <v>154</v>
      </c>
      <c r="F79" s="18" t="s">
        <v>154</v>
      </c>
      <c r="G79" s="17" t="s">
        <v>154</v>
      </c>
      <c r="H79" s="18" t="s">
        <v>154</v>
      </c>
      <c r="I79" s="17" t="s">
        <v>154</v>
      </c>
      <c r="J79" s="18" t="s">
        <v>154</v>
      </c>
      <c r="K79" s="17" t="s">
        <v>154</v>
      </c>
      <c r="L79" s="18" t="s">
        <v>154</v>
      </c>
      <c r="M79" s="17" t="s">
        <v>154</v>
      </c>
      <c r="N79" s="18" t="s">
        <v>154</v>
      </c>
      <c r="O79" s="17" t="s">
        <v>154</v>
      </c>
      <c r="P79" s="18" t="s">
        <v>154</v>
      </c>
      <c r="Q79" s="17" t="s">
        <v>154</v>
      </c>
      <c r="R79" s="18" t="s">
        <v>154</v>
      </c>
    </row>
    <row r="80" spans="1:18" x14ac:dyDescent="0.25">
      <c r="A80" s="11" t="s">
        <v>213</v>
      </c>
      <c r="B80" s="17" t="s">
        <v>154</v>
      </c>
      <c r="C80" s="17" t="s">
        <v>154</v>
      </c>
      <c r="D80" s="18" t="s">
        <v>154</v>
      </c>
      <c r="E80" s="17" t="s">
        <v>154</v>
      </c>
      <c r="F80" s="18" t="s">
        <v>154</v>
      </c>
      <c r="G80" s="17" t="s">
        <v>154</v>
      </c>
      <c r="H80" s="18" t="s">
        <v>154</v>
      </c>
      <c r="I80" s="17" t="s">
        <v>154</v>
      </c>
      <c r="J80" s="18" t="s">
        <v>154</v>
      </c>
      <c r="K80" s="17" t="s">
        <v>154</v>
      </c>
      <c r="L80" s="18" t="s">
        <v>154</v>
      </c>
      <c r="M80" s="17" t="s">
        <v>154</v>
      </c>
      <c r="N80" s="18" t="s">
        <v>154</v>
      </c>
      <c r="O80" s="17" t="s">
        <v>154</v>
      </c>
      <c r="P80" s="18" t="s">
        <v>154</v>
      </c>
      <c r="Q80" s="17" t="s">
        <v>154</v>
      </c>
      <c r="R80" s="18" t="s">
        <v>154</v>
      </c>
    </row>
    <row r="81" spans="1:18" x14ac:dyDescent="0.25">
      <c r="A81" s="19" t="s">
        <v>214</v>
      </c>
      <c r="B81" s="13">
        <v>8861</v>
      </c>
      <c r="C81" s="14">
        <f>(7408/B81*100)</f>
        <v>83.602302223225365</v>
      </c>
      <c r="D81" s="15">
        <v>1453</v>
      </c>
      <c r="E81" s="14">
        <v>42.970456300000002</v>
      </c>
      <c r="F81" s="16">
        <v>1.81478786</v>
      </c>
      <c r="G81" s="14">
        <v>57.029543699999998</v>
      </c>
      <c r="H81" s="16">
        <v>1.81478786</v>
      </c>
      <c r="I81" s="14" t="s">
        <v>139</v>
      </c>
      <c r="J81" s="16" t="s">
        <v>139</v>
      </c>
      <c r="K81" s="14">
        <v>0</v>
      </c>
      <c r="L81" s="16">
        <v>0</v>
      </c>
      <c r="M81" s="14">
        <v>0</v>
      </c>
      <c r="N81" s="16">
        <v>0</v>
      </c>
      <c r="O81" s="14">
        <v>0</v>
      </c>
      <c r="P81" s="16">
        <v>0</v>
      </c>
      <c r="Q81" s="14">
        <v>0</v>
      </c>
      <c r="R81" s="16">
        <v>0</v>
      </c>
    </row>
    <row r="82" spans="1:18" x14ac:dyDescent="0.25">
      <c r="A82" s="20"/>
      <c r="B82" s="20" t="s">
        <v>215</v>
      </c>
      <c r="C82" s="20" t="s">
        <v>215</v>
      </c>
      <c r="D82" s="20" t="s">
        <v>215</v>
      </c>
      <c r="E82" s="20" t="s">
        <v>215</v>
      </c>
      <c r="F82" s="20" t="s">
        <v>215</v>
      </c>
      <c r="G82" s="20" t="s">
        <v>215</v>
      </c>
      <c r="H82" s="20" t="s">
        <v>215</v>
      </c>
      <c r="I82" s="20" t="s">
        <v>215</v>
      </c>
      <c r="J82" s="20" t="s">
        <v>215</v>
      </c>
      <c r="K82" s="20" t="s">
        <v>215</v>
      </c>
      <c r="L82" s="20" t="s">
        <v>215</v>
      </c>
      <c r="M82" s="20" t="s">
        <v>215</v>
      </c>
      <c r="N82" s="20" t="s">
        <v>215</v>
      </c>
      <c r="O82" s="20" t="s">
        <v>215</v>
      </c>
      <c r="P82" s="20" t="s">
        <v>215</v>
      </c>
      <c r="Q82" s="20" t="s">
        <v>215</v>
      </c>
      <c r="R82" s="20" t="s">
        <v>215</v>
      </c>
    </row>
    <row r="83" spans="1:18" x14ac:dyDescent="0.25">
      <c r="A83" s="3" t="s">
        <v>216</v>
      </c>
    </row>
    <row r="84" spans="1:18" x14ac:dyDescent="0.25">
      <c r="A84" s="22" t="s">
        <v>217</v>
      </c>
      <c r="B84" s="23"/>
      <c r="C84" s="23"/>
      <c r="D84" s="23"/>
      <c r="E84" s="23"/>
      <c r="F84" s="23"/>
      <c r="G84" s="23"/>
      <c r="H84" s="23"/>
      <c r="I84" s="23"/>
      <c r="J84" s="23"/>
      <c r="K84" s="23"/>
      <c r="L84" s="23"/>
      <c r="M84" s="23"/>
      <c r="N84" s="23"/>
      <c r="O84" s="23"/>
      <c r="P84" s="23"/>
      <c r="Q84" s="23"/>
      <c r="R84" s="23"/>
    </row>
    <row r="85" spans="1:18" x14ac:dyDescent="0.25">
      <c r="A85" s="22" t="s">
        <v>218</v>
      </c>
      <c r="B85" s="23"/>
      <c r="C85" s="23"/>
      <c r="D85" s="23"/>
      <c r="E85" s="23"/>
      <c r="F85" s="23"/>
      <c r="G85" s="23"/>
      <c r="H85" s="23"/>
      <c r="I85" s="23"/>
      <c r="J85" s="23"/>
      <c r="K85" s="23"/>
      <c r="L85" s="23"/>
      <c r="M85" s="23"/>
      <c r="N85" s="23"/>
      <c r="O85" s="23"/>
      <c r="P85" s="23"/>
      <c r="Q85" s="23"/>
      <c r="R85" s="23"/>
    </row>
    <row r="86" spans="1:18" ht="30" customHeight="1" x14ac:dyDescent="0.25">
      <c r="A86" s="22" t="s">
        <v>219</v>
      </c>
      <c r="B86" s="23"/>
      <c r="C86" s="23"/>
      <c r="D86" s="23"/>
      <c r="E86" s="23"/>
      <c r="F86" s="23"/>
      <c r="G86" s="23"/>
      <c r="H86" s="23"/>
      <c r="I86" s="23"/>
      <c r="J86" s="23"/>
      <c r="K86" s="23"/>
      <c r="L86" s="23"/>
      <c r="M86" s="23"/>
      <c r="N86" s="23"/>
      <c r="O86" s="23"/>
      <c r="P86" s="23"/>
      <c r="Q86" s="23"/>
      <c r="R86" s="23"/>
    </row>
    <row r="87" spans="1:18" ht="30" customHeight="1" x14ac:dyDescent="0.25">
      <c r="A87" s="22" t="s">
        <v>215</v>
      </c>
      <c r="B87" s="23"/>
      <c r="C87" s="23"/>
      <c r="D87" s="23"/>
      <c r="E87" s="23"/>
      <c r="F87" s="23"/>
      <c r="G87" s="23"/>
      <c r="H87" s="23"/>
      <c r="I87" s="23"/>
      <c r="J87" s="23"/>
      <c r="K87" s="23"/>
      <c r="L87" s="23"/>
      <c r="M87" s="23"/>
      <c r="N87" s="23"/>
      <c r="O87" s="23"/>
      <c r="P87" s="23"/>
      <c r="Q87" s="23"/>
      <c r="R87" s="23"/>
    </row>
    <row r="88" spans="1:18" ht="30" customHeight="1" x14ac:dyDescent="0.25">
      <c r="A88" s="22" t="s">
        <v>220</v>
      </c>
      <c r="B88" s="23"/>
      <c r="C88" s="23"/>
      <c r="D88" s="23"/>
      <c r="E88" s="23"/>
      <c r="F88" s="23"/>
      <c r="G88" s="23"/>
      <c r="H88" s="23"/>
      <c r="I88" s="23"/>
      <c r="J88" s="23"/>
      <c r="K88" s="23"/>
      <c r="L88" s="23"/>
      <c r="M88" s="23"/>
      <c r="N88" s="23"/>
      <c r="O88" s="23"/>
      <c r="P88" s="23"/>
      <c r="Q88" s="23"/>
      <c r="R88" s="23"/>
    </row>
    <row r="89" spans="1:18" ht="30" customHeight="1" x14ac:dyDescent="0.25">
      <c r="A89" s="22" t="s">
        <v>221</v>
      </c>
      <c r="B89" s="23"/>
      <c r="C89" s="23"/>
      <c r="D89" s="23"/>
      <c r="E89" s="23"/>
      <c r="F89" s="23"/>
      <c r="G89" s="23"/>
      <c r="H89" s="23"/>
      <c r="I89" s="23"/>
      <c r="J89" s="23"/>
      <c r="K89" s="23"/>
      <c r="L89" s="23"/>
      <c r="M89" s="23"/>
      <c r="N89" s="23"/>
      <c r="O89" s="23"/>
      <c r="P89" s="23"/>
      <c r="Q89" s="23"/>
      <c r="R89" s="23"/>
    </row>
    <row r="90" spans="1:18" ht="30" customHeight="1" x14ac:dyDescent="0.25">
      <c r="A90" s="22" t="s">
        <v>222</v>
      </c>
      <c r="B90" s="23"/>
      <c r="C90" s="23"/>
      <c r="D90" s="23"/>
      <c r="E90" s="23"/>
      <c r="F90" s="23"/>
      <c r="G90" s="23"/>
      <c r="H90" s="23"/>
      <c r="I90" s="23"/>
      <c r="J90" s="23"/>
      <c r="K90" s="23"/>
      <c r="L90" s="23"/>
      <c r="M90" s="23"/>
      <c r="N90" s="23"/>
      <c r="O90" s="23"/>
      <c r="P90" s="23"/>
      <c r="Q90" s="23"/>
      <c r="R90" s="23"/>
    </row>
    <row r="91" spans="1:18" ht="30" customHeight="1" x14ac:dyDescent="0.25">
      <c r="A91" s="22" t="s">
        <v>223</v>
      </c>
      <c r="B91" s="23"/>
      <c r="C91" s="23"/>
      <c r="D91" s="23"/>
      <c r="E91" s="23"/>
      <c r="F91" s="23"/>
      <c r="G91" s="23"/>
      <c r="H91" s="23"/>
      <c r="I91" s="23"/>
      <c r="J91" s="23"/>
      <c r="K91" s="23"/>
      <c r="L91" s="23"/>
      <c r="M91" s="23"/>
      <c r="N91" s="23"/>
      <c r="O91" s="23"/>
      <c r="P91" s="23"/>
      <c r="Q91" s="23"/>
      <c r="R91" s="23"/>
    </row>
    <row r="92" spans="1:18" ht="30" customHeight="1" x14ac:dyDescent="0.25">
      <c r="A92" s="22" t="s">
        <v>224</v>
      </c>
      <c r="B92" s="23"/>
      <c r="C92" s="23"/>
      <c r="D92" s="23"/>
      <c r="E92" s="23"/>
      <c r="F92" s="23"/>
      <c r="G92" s="23"/>
      <c r="H92" s="23"/>
      <c r="I92" s="23"/>
      <c r="J92" s="23"/>
      <c r="K92" s="23"/>
      <c r="L92" s="23"/>
      <c r="M92" s="23"/>
      <c r="N92" s="23"/>
      <c r="O92" s="23"/>
      <c r="P92" s="23"/>
      <c r="Q92" s="23"/>
      <c r="R92" s="23"/>
    </row>
    <row r="93" spans="1:18" ht="30" customHeight="1" x14ac:dyDescent="0.25">
      <c r="A93" s="22" t="s">
        <v>225</v>
      </c>
      <c r="B93" s="23"/>
      <c r="C93" s="23"/>
      <c r="D93" s="23"/>
      <c r="E93" s="23"/>
      <c r="F93" s="23"/>
      <c r="G93" s="23"/>
      <c r="H93" s="23"/>
      <c r="I93" s="23"/>
      <c r="J93" s="23"/>
      <c r="K93" s="23"/>
      <c r="L93" s="23"/>
      <c r="M93" s="23"/>
      <c r="N93" s="23"/>
      <c r="O93" s="23"/>
      <c r="P93" s="23"/>
      <c r="Q93" s="23"/>
      <c r="R93" s="23"/>
    </row>
    <row r="94" spans="1:18" ht="30" customHeight="1" x14ac:dyDescent="0.25">
      <c r="A94" s="22" t="s">
        <v>226</v>
      </c>
      <c r="B94" s="23"/>
      <c r="C94" s="23"/>
      <c r="D94" s="23"/>
      <c r="E94" s="23"/>
      <c r="F94" s="23"/>
      <c r="G94" s="23"/>
      <c r="H94" s="23"/>
      <c r="I94" s="23"/>
      <c r="J94" s="23"/>
      <c r="K94" s="23"/>
      <c r="L94" s="23"/>
      <c r="M94" s="23"/>
      <c r="N94" s="23"/>
      <c r="O94" s="23"/>
      <c r="P94" s="23"/>
      <c r="Q94" s="23"/>
      <c r="R94" s="23"/>
    </row>
    <row r="95" spans="1:18" ht="30" customHeight="1" x14ac:dyDescent="0.25">
      <c r="A95" s="22" t="s">
        <v>227</v>
      </c>
      <c r="B95" s="23"/>
      <c r="C95" s="23"/>
      <c r="D95" s="23"/>
      <c r="E95" s="23"/>
      <c r="F95" s="23"/>
      <c r="G95" s="23"/>
      <c r="H95" s="23"/>
      <c r="I95" s="23"/>
      <c r="J95" s="23"/>
      <c r="K95" s="23"/>
      <c r="L95" s="23"/>
      <c r="M95" s="23"/>
      <c r="N95" s="23"/>
      <c r="O95" s="23"/>
      <c r="P95" s="23"/>
      <c r="Q95" s="23"/>
      <c r="R95" s="23"/>
    </row>
    <row r="96" spans="1:18" ht="30" customHeight="1" x14ac:dyDescent="0.25">
      <c r="A96" s="22" t="s">
        <v>228</v>
      </c>
      <c r="B96" s="23"/>
      <c r="C96" s="23"/>
      <c r="D96" s="23"/>
      <c r="E96" s="23"/>
      <c r="F96" s="23"/>
      <c r="G96" s="23"/>
      <c r="H96" s="23"/>
      <c r="I96" s="23"/>
      <c r="J96" s="23"/>
      <c r="K96" s="23"/>
      <c r="L96" s="23"/>
      <c r="M96" s="23"/>
      <c r="N96" s="23"/>
      <c r="O96" s="23"/>
      <c r="P96" s="23"/>
      <c r="Q96" s="23"/>
      <c r="R96" s="23"/>
    </row>
  </sheetData>
  <mergeCells count="22">
    <mergeCell ref="O4:P4"/>
    <mergeCell ref="Q4:R4"/>
    <mergeCell ref="A1:R1"/>
    <mergeCell ref="A2:R2"/>
    <mergeCell ref="A84:R84"/>
    <mergeCell ref="E4:F4"/>
    <mergeCell ref="G4:H4"/>
    <mergeCell ref="I4:J4"/>
    <mergeCell ref="K4:L4"/>
    <mergeCell ref="M4:N4"/>
    <mergeCell ref="A85:R85"/>
    <mergeCell ref="A86:R86"/>
    <mergeCell ref="A87:R87"/>
    <mergeCell ref="A88:R88"/>
    <mergeCell ref="A89:R89"/>
    <mergeCell ref="A95:R95"/>
    <mergeCell ref="A96:R96"/>
    <mergeCell ref="A90:R90"/>
    <mergeCell ref="A91:R91"/>
    <mergeCell ref="A92:R92"/>
    <mergeCell ref="A93:R93"/>
    <mergeCell ref="A94:R94"/>
  </mergeCells>
  <pageMargins left="0.75" right="0.75" top="1" bottom="1" header="0.5" footer="0.5"/>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8"/>
  <dimension ref="A1:R96"/>
  <sheetViews>
    <sheetView zoomScale="80" workbookViewId="0">
      <pane xSplit="4" topLeftCell="E1" activePane="topRight" state="frozen"/>
      <selection sqref="A1:R1"/>
      <selection pane="topRight" sqref="A1:R1"/>
    </sheetView>
  </sheetViews>
  <sheetFormatPr defaultColWidth="11.42578125" defaultRowHeight="15" x14ac:dyDescent="0.25"/>
  <cols>
    <col min="1" max="1" width="50" customWidth="1"/>
  </cols>
  <sheetData>
    <row r="1" spans="1:18" x14ac:dyDescent="0.25">
      <c r="A1" s="26" t="s">
        <v>122</v>
      </c>
      <c r="B1" s="23"/>
      <c r="C1" s="23"/>
      <c r="D1" s="23"/>
      <c r="E1" s="23"/>
      <c r="F1" s="23"/>
      <c r="G1" s="23"/>
      <c r="H1" s="23"/>
      <c r="I1" s="23"/>
      <c r="J1" s="23"/>
      <c r="K1" s="23"/>
      <c r="L1" s="23"/>
      <c r="M1" s="23"/>
      <c r="N1" s="23"/>
      <c r="O1" s="23"/>
      <c r="P1" s="23"/>
      <c r="Q1" s="23"/>
      <c r="R1" s="23"/>
    </row>
    <row r="2" spans="1:18" x14ac:dyDescent="0.25">
      <c r="A2" s="27" t="s">
        <v>314</v>
      </c>
      <c r="B2" s="23"/>
      <c r="C2" s="23"/>
      <c r="D2" s="23"/>
      <c r="E2" s="23"/>
      <c r="F2" s="23"/>
      <c r="G2" s="23"/>
      <c r="H2" s="23"/>
      <c r="I2" s="23"/>
      <c r="J2" s="23"/>
      <c r="K2" s="23"/>
      <c r="L2" s="23"/>
      <c r="M2" s="23"/>
      <c r="N2" s="23"/>
      <c r="O2" s="23"/>
      <c r="P2" s="23"/>
      <c r="Q2" s="23"/>
      <c r="R2" s="23"/>
    </row>
    <row r="4" spans="1:18" ht="30" customHeight="1" x14ac:dyDescent="0.25">
      <c r="A4" s="4"/>
      <c r="B4" s="5" t="s">
        <v>123</v>
      </c>
      <c r="C4" s="5" t="s">
        <v>124</v>
      </c>
      <c r="D4" s="6" t="s">
        <v>123</v>
      </c>
      <c r="E4" s="24" t="s">
        <v>125</v>
      </c>
      <c r="F4" s="25"/>
      <c r="G4" s="24" t="s">
        <v>126</v>
      </c>
      <c r="H4" s="25"/>
      <c r="I4" s="24" t="s">
        <v>127</v>
      </c>
      <c r="J4" s="25"/>
      <c r="K4" s="24" t="s">
        <v>128</v>
      </c>
      <c r="L4" s="25"/>
      <c r="M4" s="24" t="s">
        <v>129</v>
      </c>
      <c r="N4" s="25"/>
      <c r="O4" s="24" t="s">
        <v>130</v>
      </c>
      <c r="P4" s="25"/>
      <c r="Q4" s="24" t="s">
        <v>131</v>
      </c>
      <c r="R4" s="25"/>
    </row>
    <row r="5" spans="1:18" x14ac:dyDescent="0.25">
      <c r="A5" s="7"/>
      <c r="B5" s="8" t="s">
        <v>132</v>
      </c>
      <c r="C5" s="8" t="s">
        <v>133</v>
      </c>
      <c r="D5" s="7" t="s">
        <v>134</v>
      </c>
      <c r="E5" s="8" t="s">
        <v>135</v>
      </c>
      <c r="F5" s="7" t="s">
        <v>136</v>
      </c>
      <c r="G5" s="8" t="s">
        <v>135</v>
      </c>
      <c r="H5" s="7" t="s">
        <v>136</v>
      </c>
      <c r="I5" s="8" t="s">
        <v>135</v>
      </c>
      <c r="J5" s="7" t="s">
        <v>136</v>
      </c>
      <c r="K5" s="8" t="s">
        <v>135</v>
      </c>
      <c r="L5" s="7" t="s">
        <v>136</v>
      </c>
      <c r="M5" s="8" t="s">
        <v>135</v>
      </c>
      <c r="N5" s="7" t="s">
        <v>136</v>
      </c>
      <c r="O5" s="8" t="s">
        <v>135</v>
      </c>
      <c r="P5" s="7" t="s">
        <v>136</v>
      </c>
      <c r="Q5" s="8" t="s">
        <v>135</v>
      </c>
      <c r="R5" s="7" t="s">
        <v>136</v>
      </c>
    </row>
    <row r="6" spans="1:18" x14ac:dyDescent="0.25">
      <c r="A6" s="9" t="s">
        <v>137</v>
      </c>
      <c r="B6" s="10"/>
      <c r="C6" s="10"/>
      <c r="D6" s="11"/>
      <c r="E6" s="10"/>
      <c r="F6" s="11"/>
      <c r="G6" s="10"/>
      <c r="H6" s="11"/>
      <c r="I6" s="10"/>
      <c r="J6" s="11"/>
      <c r="K6" s="10"/>
      <c r="L6" s="11"/>
      <c r="M6" s="10"/>
      <c r="N6" s="11"/>
      <c r="O6" s="10"/>
      <c r="P6" s="11"/>
      <c r="Q6" s="10"/>
      <c r="R6" s="12"/>
    </row>
    <row r="7" spans="1:18" x14ac:dyDescent="0.25">
      <c r="A7" s="11" t="s">
        <v>138</v>
      </c>
      <c r="B7" s="13">
        <v>14530</v>
      </c>
      <c r="C7" s="14">
        <f>(12273/B7*100)</f>
        <v>84.466620784583625</v>
      </c>
      <c r="D7" s="15">
        <v>2257</v>
      </c>
      <c r="E7" s="14">
        <v>36.488965210000003</v>
      </c>
      <c r="F7" s="16">
        <v>1.2740249100000001</v>
      </c>
      <c r="G7" s="14">
        <v>63.511034789999997</v>
      </c>
      <c r="H7" s="16">
        <v>1.2740249100000001</v>
      </c>
      <c r="I7" s="14" t="s">
        <v>139</v>
      </c>
      <c r="J7" s="16" t="s">
        <v>139</v>
      </c>
      <c r="K7" s="14">
        <v>0</v>
      </c>
      <c r="L7" s="16">
        <v>0</v>
      </c>
      <c r="M7" s="14">
        <v>0</v>
      </c>
      <c r="N7" s="16">
        <v>0</v>
      </c>
      <c r="O7" s="14">
        <v>0</v>
      </c>
      <c r="P7" s="16">
        <v>0</v>
      </c>
      <c r="Q7" s="14">
        <v>0</v>
      </c>
      <c r="R7" s="16">
        <v>0</v>
      </c>
    </row>
    <row r="8" spans="1:18" x14ac:dyDescent="0.25">
      <c r="A8" s="11" t="s">
        <v>140</v>
      </c>
      <c r="B8" s="13">
        <v>7007</v>
      </c>
      <c r="C8" s="14">
        <f>(5877/B8*100)</f>
        <v>83.873269587555299</v>
      </c>
      <c r="D8" s="15">
        <v>1130</v>
      </c>
      <c r="E8" s="14">
        <v>34.872775470000001</v>
      </c>
      <c r="F8" s="16">
        <v>1.4004837800000001</v>
      </c>
      <c r="G8" s="14">
        <v>65.127224530000007</v>
      </c>
      <c r="H8" s="16">
        <v>1.4004837800000001</v>
      </c>
      <c r="I8" s="14" t="s">
        <v>139</v>
      </c>
      <c r="J8" s="16" t="s">
        <v>139</v>
      </c>
      <c r="K8" s="14">
        <v>0</v>
      </c>
      <c r="L8" s="16">
        <v>0</v>
      </c>
      <c r="M8" s="14">
        <v>0</v>
      </c>
      <c r="N8" s="16">
        <v>0</v>
      </c>
      <c r="O8" s="14">
        <v>0</v>
      </c>
      <c r="P8" s="16">
        <v>0</v>
      </c>
      <c r="Q8" s="14">
        <v>0</v>
      </c>
      <c r="R8" s="16">
        <v>0</v>
      </c>
    </row>
    <row r="9" spans="1:18" x14ac:dyDescent="0.25">
      <c r="A9" s="11" t="s">
        <v>141</v>
      </c>
      <c r="B9" s="13">
        <v>9651</v>
      </c>
      <c r="C9" s="14">
        <f>(8191/B9*100)</f>
        <v>84.872033986115426</v>
      </c>
      <c r="D9" s="15">
        <v>1460</v>
      </c>
      <c r="E9" s="14">
        <v>40.965956869999999</v>
      </c>
      <c r="F9" s="16">
        <v>1.35651915</v>
      </c>
      <c r="G9" s="14">
        <v>59.034043130000001</v>
      </c>
      <c r="H9" s="16">
        <v>1.35651915</v>
      </c>
      <c r="I9" s="14" t="s">
        <v>139</v>
      </c>
      <c r="J9" s="16" t="s">
        <v>139</v>
      </c>
      <c r="K9" s="14">
        <v>0</v>
      </c>
      <c r="L9" s="16">
        <v>0</v>
      </c>
      <c r="M9" s="14">
        <v>0</v>
      </c>
      <c r="N9" s="16">
        <v>0</v>
      </c>
      <c r="O9" s="14">
        <v>0</v>
      </c>
      <c r="P9" s="16">
        <v>0</v>
      </c>
      <c r="Q9" s="14">
        <v>0</v>
      </c>
      <c r="R9" s="16">
        <v>0</v>
      </c>
    </row>
    <row r="10" spans="1:18" x14ac:dyDescent="0.25">
      <c r="A10" s="11" t="s">
        <v>142</v>
      </c>
      <c r="B10" s="13">
        <v>20058</v>
      </c>
      <c r="C10" s="14">
        <f>(16744/B10*100)</f>
        <v>83.477914049257151</v>
      </c>
      <c r="D10" s="15">
        <v>3314</v>
      </c>
      <c r="E10" s="14">
        <v>32.856145820000002</v>
      </c>
      <c r="F10" s="16">
        <v>1.0009365100000001</v>
      </c>
      <c r="G10" s="14">
        <v>67.143854180000005</v>
      </c>
      <c r="H10" s="16">
        <v>1.0009365100000001</v>
      </c>
      <c r="I10" s="14" t="s">
        <v>139</v>
      </c>
      <c r="J10" s="16" t="s">
        <v>139</v>
      </c>
      <c r="K10" s="14">
        <v>0</v>
      </c>
      <c r="L10" s="16">
        <v>0</v>
      </c>
      <c r="M10" s="14">
        <v>0</v>
      </c>
      <c r="N10" s="16">
        <v>0</v>
      </c>
      <c r="O10" s="14">
        <v>0</v>
      </c>
      <c r="P10" s="16">
        <v>0</v>
      </c>
      <c r="Q10" s="14">
        <v>0</v>
      </c>
      <c r="R10" s="16">
        <v>0</v>
      </c>
    </row>
    <row r="11" spans="1:18" x14ac:dyDescent="0.25">
      <c r="A11" s="11" t="s">
        <v>143</v>
      </c>
      <c r="B11" s="13">
        <v>7053</v>
      </c>
      <c r="C11" s="14">
        <f>(5950/B11*100)</f>
        <v>84.361264710052467</v>
      </c>
      <c r="D11" s="15">
        <v>1103</v>
      </c>
      <c r="E11" s="14">
        <v>55.895865389999997</v>
      </c>
      <c r="F11" s="16">
        <v>1.9591654599999999</v>
      </c>
      <c r="G11" s="14">
        <v>44.104134610000003</v>
      </c>
      <c r="H11" s="16">
        <v>1.9591654599999999</v>
      </c>
      <c r="I11" s="14" t="s">
        <v>139</v>
      </c>
      <c r="J11" s="16" t="s">
        <v>139</v>
      </c>
      <c r="K11" s="14">
        <v>0</v>
      </c>
      <c r="L11" s="16">
        <v>0</v>
      </c>
      <c r="M11" s="14">
        <v>0</v>
      </c>
      <c r="N11" s="16">
        <v>0</v>
      </c>
      <c r="O11" s="14">
        <v>0</v>
      </c>
      <c r="P11" s="16">
        <v>0</v>
      </c>
      <c r="Q11" s="14">
        <v>0</v>
      </c>
      <c r="R11" s="16">
        <v>0</v>
      </c>
    </row>
    <row r="12" spans="1:18" x14ac:dyDescent="0.25">
      <c r="A12" s="11" t="s">
        <v>144</v>
      </c>
      <c r="B12" s="13">
        <v>6894</v>
      </c>
      <c r="C12" s="14">
        <f>(5796/B12*100)</f>
        <v>84.073107049608353</v>
      </c>
      <c r="D12" s="15">
        <v>1098</v>
      </c>
      <c r="E12" s="14">
        <v>42.031821460000003</v>
      </c>
      <c r="F12" s="16">
        <v>1.6322398199999999</v>
      </c>
      <c r="G12" s="14">
        <v>57.968178539999997</v>
      </c>
      <c r="H12" s="16">
        <v>1.6322398199999999</v>
      </c>
      <c r="I12" s="14" t="s">
        <v>139</v>
      </c>
      <c r="J12" s="16" t="s">
        <v>139</v>
      </c>
      <c r="K12" s="14">
        <v>0</v>
      </c>
      <c r="L12" s="16">
        <v>0</v>
      </c>
      <c r="M12" s="14">
        <v>0</v>
      </c>
      <c r="N12" s="16">
        <v>0</v>
      </c>
      <c r="O12" s="14">
        <v>0</v>
      </c>
      <c r="P12" s="16">
        <v>0</v>
      </c>
      <c r="Q12" s="14">
        <v>0</v>
      </c>
      <c r="R12" s="16">
        <v>0</v>
      </c>
    </row>
    <row r="13" spans="1:18" x14ac:dyDescent="0.25">
      <c r="A13" s="11" t="s">
        <v>145</v>
      </c>
      <c r="B13" s="13">
        <v>7161</v>
      </c>
      <c r="C13" s="14">
        <f>(6096/B13*100)</f>
        <v>85.127775450356097</v>
      </c>
      <c r="D13" s="15">
        <v>1065</v>
      </c>
      <c r="E13" s="14">
        <v>39.497330130000002</v>
      </c>
      <c r="F13" s="16">
        <v>1.8468985899999999</v>
      </c>
      <c r="G13" s="14">
        <v>60.502669869999998</v>
      </c>
      <c r="H13" s="16">
        <v>1.8468985899999999</v>
      </c>
      <c r="I13" s="14" t="s">
        <v>139</v>
      </c>
      <c r="J13" s="16" t="s">
        <v>139</v>
      </c>
      <c r="K13" s="14">
        <v>0</v>
      </c>
      <c r="L13" s="16">
        <v>0</v>
      </c>
      <c r="M13" s="14">
        <v>0</v>
      </c>
      <c r="N13" s="16">
        <v>0</v>
      </c>
      <c r="O13" s="14">
        <v>0</v>
      </c>
      <c r="P13" s="16">
        <v>0</v>
      </c>
      <c r="Q13" s="14">
        <v>0</v>
      </c>
      <c r="R13" s="16">
        <v>0</v>
      </c>
    </row>
    <row r="14" spans="1:18" x14ac:dyDescent="0.25">
      <c r="A14" s="11" t="s">
        <v>146</v>
      </c>
      <c r="B14" s="13">
        <v>5587</v>
      </c>
      <c r="C14" s="14">
        <f>(4671/B14*100)</f>
        <v>83.604796849829967</v>
      </c>
      <c r="D14" s="15">
        <v>916</v>
      </c>
      <c r="E14" s="14">
        <v>35.987868730000002</v>
      </c>
      <c r="F14" s="16">
        <v>1.46904006</v>
      </c>
      <c r="G14" s="14">
        <v>64.012131269999998</v>
      </c>
      <c r="H14" s="16">
        <v>1.46904006</v>
      </c>
      <c r="I14" s="14" t="s">
        <v>139</v>
      </c>
      <c r="J14" s="16" t="s">
        <v>139</v>
      </c>
      <c r="K14" s="14">
        <v>0</v>
      </c>
      <c r="L14" s="16">
        <v>0</v>
      </c>
      <c r="M14" s="14">
        <v>0</v>
      </c>
      <c r="N14" s="16">
        <v>0</v>
      </c>
      <c r="O14" s="14">
        <v>0</v>
      </c>
      <c r="P14" s="16">
        <v>0</v>
      </c>
      <c r="Q14" s="14">
        <v>0</v>
      </c>
      <c r="R14" s="16">
        <v>0</v>
      </c>
    </row>
    <row r="15" spans="1:18" x14ac:dyDescent="0.25">
      <c r="A15" s="11" t="s">
        <v>147</v>
      </c>
      <c r="B15" s="13">
        <v>5882</v>
      </c>
      <c r="C15" s="14">
        <f>(4907/B15*100)</f>
        <v>83.424005440326425</v>
      </c>
      <c r="D15" s="15">
        <v>975</v>
      </c>
      <c r="E15" s="14">
        <v>29.287833970000001</v>
      </c>
      <c r="F15" s="16">
        <v>1.55833789</v>
      </c>
      <c r="G15" s="14">
        <v>70.712166030000006</v>
      </c>
      <c r="H15" s="16">
        <v>1.55833789</v>
      </c>
      <c r="I15" s="14" t="s">
        <v>139</v>
      </c>
      <c r="J15" s="16" t="s">
        <v>139</v>
      </c>
      <c r="K15" s="14">
        <v>0</v>
      </c>
      <c r="L15" s="16">
        <v>0</v>
      </c>
      <c r="M15" s="14">
        <v>0</v>
      </c>
      <c r="N15" s="16">
        <v>0</v>
      </c>
      <c r="O15" s="14">
        <v>0</v>
      </c>
      <c r="P15" s="16">
        <v>0</v>
      </c>
      <c r="Q15" s="14">
        <v>0</v>
      </c>
      <c r="R15" s="16">
        <v>0</v>
      </c>
    </row>
    <row r="16" spans="1:18" x14ac:dyDescent="0.25">
      <c r="A16" s="11" t="s">
        <v>148</v>
      </c>
      <c r="B16" s="13">
        <v>6108</v>
      </c>
      <c r="C16" s="14">
        <f>(5106/B16*100)</f>
        <v>83.59528487229862</v>
      </c>
      <c r="D16" s="15">
        <v>1002</v>
      </c>
      <c r="E16" s="14">
        <v>43.287896680000003</v>
      </c>
      <c r="F16" s="16">
        <v>1.6884242300000001</v>
      </c>
      <c r="G16" s="14">
        <v>56.712103319999997</v>
      </c>
      <c r="H16" s="16">
        <v>1.6884242300000001</v>
      </c>
      <c r="I16" s="14" t="s">
        <v>139</v>
      </c>
      <c r="J16" s="16" t="s">
        <v>139</v>
      </c>
      <c r="K16" s="14">
        <v>0</v>
      </c>
      <c r="L16" s="16">
        <v>0</v>
      </c>
      <c r="M16" s="14">
        <v>0</v>
      </c>
      <c r="N16" s="16">
        <v>0</v>
      </c>
      <c r="O16" s="14">
        <v>0</v>
      </c>
      <c r="P16" s="16">
        <v>0</v>
      </c>
      <c r="Q16" s="14">
        <v>0</v>
      </c>
      <c r="R16" s="16">
        <v>0</v>
      </c>
    </row>
    <row r="17" spans="1:18" x14ac:dyDescent="0.25">
      <c r="A17" s="11" t="s">
        <v>149</v>
      </c>
      <c r="B17" s="13">
        <v>6504</v>
      </c>
      <c r="C17" s="14">
        <f>(5484/B17*100)</f>
        <v>84.317343173431738</v>
      </c>
      <c r="D17" s="15">
        <v>1020</v>
      </c>
      <c r="E17" s="14">
        <v>32.640946900000003</v>
      </c>
      <c r="F17" s="16">
        <v>1.58053986</v>
      </c>
      <c r="G17" s="14">
        <v>67.359053099999997</v>
      </c>
      <c r="H17" s="16">
        <v>1.58053986</v>
      </c>
      <c r="I17" s="14" t="s">
        <v>139</v>
      </c>
      <c r="J17" s="16" t="s">
        <v>139</v>
      </c>
      <c r="K17" s="14">
        <v>0</v>
      </c>
      <c r="L17" s="16">
        <v>0</v>
      </c>
      <c r="M17" s="14">
        <v>0</v>
      </c>
      <c r="N17" s="16">
        <v>0</v>
      </c>
      <c r="O17" s="14">
        <v>0</v>
      </c>
      <c r="P17" s="16">
        <v>0</v>
      </c>
      <c r="Q17" s="14">
        <v>0</v>
      </c>
      <c r="R17" s="16">
        <v>0</v>
      </c>
    </row>
    <row r="18" spans="1:18" x14ac:dyDescent="0.25">
      <c r="A18" s="11" t="s">
        <v>150</v>
      </c>
      <c r="B18" s="13">
        <v>5532</v>
      </c>
      <c r="C18" s="14">
        <f>(4644/B18*100)</f>
        <v>83.947939262472886</v>
      </c>
      <c r="D18" s="15">
        <v>888</v>
      </c>
      <c r="E18" s="14">
        <v>48.07257104</v>
      </c>
      <c r="F18" s="16">
        <v>2.2977803200000002</v>
      </c>
      <c r="G18" s="14">
        <v>51.92742896</v>
      </c>
      <c r="H18" s="16">
        <v>2.2977803200000002</v>
      </c>
      <c r="I18" s="14" t="s">
        <v>139</v>
      </c>
      <c r="J18" s="16" t="s">
        <v>139</v>
      </c>
      <c r="K18" s="14">
        <v>0</v>
      </c>
      <c r="L18" s="16">
        <v>0</v>
      </c>
      <c r="M18" s="14">
        <v>0</v>
      </c>
      <c r="N18" s="16">
        <v>0</v>
      </c>
      <c r="O18" s="14">
        <v>0</v>
      </c>
      <c r="P18" s="16">
        <v>0</v>
      </c>
      <c r="Q18" s="14">
        <v>0</v>
      </c>
      <c r="R18" s="16">
        <v>0</v>
      </c>
    </row>
    <row r="19" spans="1:18" x14ac:dyDescent="0.25">
      <c r="A19" s="11" t="s">
        <v>151</v>
      </c>
      <c r="B19" s="13">
        <v>5658</v>
      </c>
      <c r="C19" s="14">
        <f>(4776/B19*100)</f>
        <v>84.411452810180279</v>
      </c>
      <c r="D19" s="15">
        <v>882</v>
      </c>
      <c r="E19" s="14">
        <v>53.134022960000003</v>
      </c>
      <c r="F19" s="16">
        <v>1.81478166</v>
      </c>
      <c r="G19" s="14">
        <v>46.865977039999997</v>
      </c>
      <c r="H19" s="16">
        <v>1.81478166</v>
      </c>
      <c r="I19" s="14" t="s">
        <v>139</v>
      </c>
      <c r="J19" s="16" t="s">
        <v>139</v>
      </c>
      <c r="K19" s="14">
        <v>0</v>
      </c>
      <c r="L19" s="16">
        <v>0</v>
      </c>
      <c r="M19" s="14">
        <v>0</v>
      </c>
      <c r="N19" s="16">
        <v>0</v>
      </c>
      <c r="O19" s="14">
        <v>0</v>
      </c>
      <c r="P19" s="16">
        <v>0</v>
      </c>
      <c r="Q19" s="14">
        <v>0</v>
      </c>
      <c r="R19" s="16">
        <v>0</v>
      </c>
    </row>
    <row r="20" spans="1:18" x14ac:dyDescent="0.25">
      <c r="A20" s="11" t="s">
        <v>152</v>
      </c>
      <c r="B20" s="13">
        <v>3371</v>
      </c>
      <c r="C20" s="14">
        <f>(2854/B20*100)</f>
        <v>84.663304657371697</v>
      </c>
      <c r="D20" s="15">
        <v>517</v>
      </c>
      <c r="E20" s="14">
        <v>48.240614370000003</v>
      </c>
      <c r="F20" s="16">
        <v>2.2197285600000001</v>
      </c>
      <c r="G20" s="14">
        <v>51.759385629999997</v>
      </c>
      <c r="H20" s="16">
        <v>2.2197285600000001</v>
      </c>
      <c r="I20" s="14" t="s">
        <v>139</v>
      </c>
      <c r="J20" s="16" t="s">
        <v>139</v>
      </c>
      <c r="K20" s="14">
        <v>0</v>
      </c>
      <c r="L20" s="16">
        <v>0</v>
      </c>
      <c r="M20" s="14">
        <v>0</v>
      </c>
      <c r="N20" s="16">
        <v>0</v>
      </c>
      <c r="O20" s="14">
        <v>0</v>
      </c>
      <c r="P20" s="16">
        <v>0</v>
      </c>
      <c r="Q20" s="14">
        <v>0</v>
      </c>
      <c r="R20" s="16">
        <v>0</v>
      </c>
    </row>
    <row r="21" spans="1:18" x14ac:dyDescent="0.25">
      <c r="A21" s="11" t="s">
        <v>153</v>
      </c>
      <c r="B21" s="17" t="s">
        <v>154</v>
      </c>
      <c r="C21" s="17" t="s">
        <v>154</v>
      </c>
      <c r="D21" s="18" t="s">
        <v>154</v>
      </c>
      <c r="E21" s="17" t="s">
        <v>154</v>
      </c>
      <c r="F21" s="18" t="s">
        <v>154</v>
      </c>
      <c r="G21" s="17" t="s">
        <v>154</v>
      </c>
      <c r="H21" s="18" t="s">
        <v>154</v>
      </c>
      <c r="I21" s="17" t="s">
        <v>154</v>
      </c>
      <c r="J21" s="18" t="s">
        <v>154</v>
      </c>
      <c r="K21" s="17" t="s">
        <v>154</v>
      </c>
      <c r="L21" s="18" t="s">
        <v>154</v>
      </c>
      <c r="M21" s="17" t="s">
        <v>154</v>
      </c>
      <c r="N21" s="18" t="s">
        <v>154</v>
      </c>
      <c r="O21" s="17" t="s">
        <v>154</v>
      </c>
      <c r="P21" s="18" t="s">
        <v>154</v>
      </c>
      <c r="Q21" s="17" t="s">
        <v>154</v>
      </c>
      <c r="R21" s="18" t="s">
        <v>154</v>
      </c>
    </row>
    <row r="22" spans="1:18" x14ac:dyDescent="0.25">
      <c r="A22" s="11" t="s">
        <v>155</v>
      </c>
      <c r="B22" s="13">
        <v>6598</v>
      </c>
      <c r="C22" s="14">
        <f>(5614/B22*100)</f>
        <v>85.086389815095487</v>
      </c>
      <c r="D22" s="15">
        <v>984</v>
      </c>
      <c r="E22" s="14">
        <v>54.729933879999997</v>
      </c>
      <c r="F22" s="16">
        <v>1.7584290899999999</v>
      </c>
      <c r="G22" s="14">
        <v>45.270066120000003</v>
      </c>
      <c r="H22" s="16">
        <v>1.7584290899999999</v>
      </c>
      <c r="I22" s="14" t="s">
        <v>139</v>
      </c>
      <c r="J22" s="16" t="s">
        <v>139</v>
      </c>
      <c r="K22" s="14">
        <v>0</v>
      </c>
      <c r="L22" s="16">
        <v>0</v>
      </c>
      <c r="M22" s="14">
        <v>0</v>
      </c>
      <c r="N22" s="16">
        <v>0</v>
      </c>
      <c r="O22" s="14">
        <v>0</v>
      </c>
      <c r="P22" s="16">
        <v>0</v>
      </c>
      <c r="Q22" s="14">
        <v>0</v>
      </c>
      <c r="R22" s="16">
        <v>0</v>
      </c>
    </row>
    <row r="23" spans="1:18" x14ac:dyDescent="0.25">
      <c r="A23" s="11" t="s">
        <v>156</v>
      </c>
      <c r="B23" s="13">
        <v>11583</v>
      </c>
      <c r="C23" s="14">
        <f>(9708/B23*100)</f>
        <v>83.812483812483819</v>
      </c>
      <c r="D23" s="15">
        <v>1875</v>
      </c>
      <c r="E23" s="14">
        <v>50.79161723</v>
      </c>
      <c r="F23" s="16">
        <v>2.0576810999999999</v>
      </c>
      <c r="G23" s="14">
        <v>49.20838277</v>
      </c>
      <c r="H23" s="16">
        <v>2.0576810999999999</v>
      </c>
      <c r="I23" s="14" t="s">
        <v>139</v>
      </c>
      <c r="J23" s="16" t="s">
        <v>139</v>
      </c>
      <c r="K23" s="14">
        <v>0</v>
      </c>
      <c r="L23" s="16">
        <v>0</v>
      </c>
      <c r="M23" s="14">
        <v>0</v>
      </c>
      <c r="N23" s="16">
        <v>0</v>
      </c>
      <c r="O23" s="14">
        <v>0</v>
      </c>
      <c r="P23" s="16">
        <v>0</v>
      </c>
      <c r="Q23" s="14">
        <v>0</v>
      </c>
      <c r="R23" s="16">
        <v>0</v>
      </c>
    </row>
    <row r="24" spans="1:18" x14ac:dyDescent="0.25">
      <c r="A24" s="11" t="s">
        <v>157</v>
      </c>
      <c r="B24" s="13">
        <v>6647</v>
      </c>
      <c r="C24" s="14">
        <f>(5510/B24*100)</f>
        <v>82.894538889724686</v>
      </c>
      <c r="D24" s="15">
        <v>1137</v>
      </c>
      <c r="E24" s="14">
        <v>24.292577789999999</v>
      </c>
      <c r="F24" s="16">
        <v>1.37229567</v>
      </c>
      <c r="G24" s="14">
        <v>75.707422210000004</v>
      </c>
      <c r="H24" s="16">
        <v>1.37229567</v>
      </c>
      <c r="I24" s="14" t="s">
        <v>139</v>
      </c>
      <c r="J24" s="16" t="s">
        <v>139</v>
      </c>
      <c r="K24" s="14">
        <v>0</v>
      </c>
      <c r="L24" s="16">
        <v>0</v>
      </c>
      <c r="M24" s="14">
        <v>0</v>
      </c>
      <c r="N24" s="16">
        <v>0</v>
      </c>
      <c r="O24" s="14">
        <v>0</v>
      </c>
      <c r="P24" s="16">
        <v>0</v>
      </c>
      <c r="Q24" s="14">
        <v>0</v>
      </c>
      <c r="R24" s="16">
        <v>0</v>
      </c>
    </row>
    <row r="25" spans="1:18" x14ac:dyDescent="0.25">
      <c r="A25" s="11" t="s">
        <v>158</v>
      </c>
      <c r="B25" s="13">
        <v>5581</v>
      </c>
      <c r="C25" s="14">
        <f>(4606/B25*100)</f>
        <v>82.530012542555099</v>
      </c>
      <c r="D25" s="15">
        <v>975</v>
      </c>
      <c r="E25" s="14">
        <v>26.463669750000001</v>
      </c>
      <c r="F25" s="16">
        <v>1.6419853</v>
      </c>
      <c r="G25" s="14">
        <v>73.536330250000006</v>
      </c>
      <c r="H25" s="16">
        <v>1.6419853</v>
      </c>
      <c r="I25" s="14" t="s">
        <v>139</v>
      </c>
      <c r="J25" s="16" t="s">
        <v>139</v>
      </c>
      <c r="K25" s="14">
        <v>0</v>
      </c>
      <c r="L25" s="16">
        <v>0</v>
      </c>
      <c r="M25" s="14">
        <v>0</v>
      </c>
      <c r="N25" s="16">
        <v>0</v>
      </c>
      <c r="O25" s="14">
        <v>0</v>
      </c>
      <c r="P25" s="16">
        <v>0</v>
      </c>
      <c r="Q25" s="14">
        <v>0</v>
      </c>
      <c r="R25" s="16">
        <v>0</v>
      </c>
    </row>
    <row r="26" spans="1:18" x14ac:dyDescent="0.25">
      <c r="A26" s="11" t="s">
        <v>159</v>
      </c>
      <c r="B26" s="13">
        <v>4869</v>
      </c>
      <c r="C26" s="14">
        <f>(4059/B26*100)</f>
        <v>83.364140480591502</v>
      </c>
      <c r="D26" s="15">
        <v>810</v>
      </c>
      <c r="E26" s="14">
        <v>59.5856815</v>
      </c>
      <c r="F26" s="16">
        <v>2.0986190200000001</v>
      </c>
      <c r="G26" s="14">
        <v>40.4143185</v>
      </c>
      <c r="H26" s="16">
        <v>2.0986190200000001</v>
      </c>
      <c r="I26" s="14" t="s">
        <v>139</v>
      </c>
      <c r="J26" s="16" t="s">
        <v>139</v>
      </c>
      <c r="K26" s="14">
        <v>0</v>
      </c>
      <c r="L26" s="16">
        <v>0</v>
      </c>
      <c r="M26" s="14">
        <v>0</v>
      </c>
      <c r="N26" s="16">
        <v>0</v>
      </c>
      <c r="O26" s="14">
        <v>0</v>
      </c>
      <c r="P26" s="16">
        <v>0</v>
      </c>
      <c r="Q26" s="14">
        <v>0</v>
      </c>
      <c r="R26" s="16">
        <v>0</v>
      </c>
    </row>
    <row r="27" spans="1:18" x14ac:dyDescent="0.25">
      <c r="A27" s="11" t="s">
        <v>160</v>
      </c>
      <c r="B27" s="13">
        <v>5299</v>
      </c>
      <c r="C27" s="14">
        <f>(4491/B27*100)</f>
        <v>84.751839969805616</v>
      </c>
      <c r="D27" s="15">
        <v>808</v>
      </c>
      <c r="E27" s="14">
        <v>45.020280769999999</v>
      </c>
      <c r="F27" s="16">
        <v>1.82446613</v>
      </c>
      <c r="G27" s="14">
        <v>54.979719230000001</v>
      </c>
      <c r="H27" s="16">
        <v>1.82446613</v>
      </c>
      <c r="I27" s="14" t="s">
        <v>139</v>
      </c>
      <c r="J27" s="16" t="s">
        <v>139</v>
      </c>
      <c r="K27" s="14">
        <v>0</v>
      </c>
      <c r="L27" s="16">
        <v>0</v>
      </c>
      <c r="M27" s="14">
        <v>0</v>
      </c>
      <c r="N27" s="16">
        <v>0</v>
      </c>
      <c r="O27" s="14">
        <v>0</v>
      </c>
      <c r="P27" s="16">
        <v>0</v>
      </c>
      <c r="Q27" s="14">
        <v>0</v>
      </c>
      <c r="R27" s="16">
        <v>0</v>
      </c>
    </row>
    <row r="28" spans="1:18" x14ac:dyDescent="0.25">
      <c r="A28" s="11" t="s">
        <v>161</v>
      </c>
      <c r="B28" s="13">
        <v>7568</v>
      </c>
      <c r="C28" s="14">
        <f>(6520/B28*100)</f>
        <v>86.152219873150102</v>
      </c>
      <c r="D28" s="15">
        <v>1048</v>
      </c>
      <c r="E28" s="14">
        <v>57.643530290000001</v>
      </c>
      <c r="F28" s="16">
        <v>1.9132908099999999</v>
      </c>
      <c r="G28" s="14">
        <v>42.356469709999999</v>
      </c>
      <c r="H28" s="16">
        <v>1.9132908099999999</v>
      </c>
      <c r="I28" s="14" t="s">
        <v>139</v>
      </c>
      <c r="J28" s="16" t="s">
        <v>139</v>
      </c>
      <c r="K28" s="14">
        <v>0</v>
      </c>
      <c r="L28" s="16">
        <v>0</v>
      </c>
      <c r="M28" s="14">
        <v>0</v>
      </c>
      <c r="N28" s="16">
        <v>0</v>
      </c>
      <c r="O28" s="14">
        <v>0</v>
      </c>
      <c r="P28" s="16">
        <v>0</v>
      </c>
      <c r="Q28" s="14">
        <v>0</v>
      </c>
      <c r="R28" s="16">
        <v>0</v>
      </c>
    </row>
    <row r="29" spans="1:18" x14ac:dyDescent="0.25">
      <c r="A29" s="11" t="s">
        <v>162</v>
      </c>
      <c r="B29" s="13">
        <v>5385</v>
      </c>
      <c r="C29" s="14">
        <f>(4468/B29*100)</f>
        <v>82.971216341689882</v>
      </c>
      <c r="D29" s="15">
        <v>917</v>
      </c>
      <c r="E29" s="14">
        <v>34.365771000000002</v>
      </c>
      <c r="F29" s="16">
        <v>1.6909943999999999</v>
      </c>
      <c r="G29" s="14">
        <v>65.634229000000005</v>
      </c>
      <c r="H29" s="16">
        <v>1.6909943999999999</v>
      </c>
      <c r="I29" s="14" t="s">
        <v>139</v>
      </c>
      <c r="J29" s="16" t="s">
        <v>139</v>
      </c>
      <c r="K29" s="14">
        <v>0</v>
      </c>
      <c r="L29" s="16">
        <v>0</v>
      </c>
      <c r="M29" s="14">
        <v>0</v>
      </c>
      <c r="N29" s="16">
        <v>0</v>
      </c>
      <c r="O29" s="14">
        <v>0</v>
      </c>
      <c r="P29" s="16">
        <v>0</v>
      </c>
      <c r="Q29" s="14">
        <v>0</v>
      </c>
      <c r="R29" s="16">
        <v>0</v>
      </c>
    </row>
    <row r="30" spans="1:18" x14ac:dyDescent="0.25">
      <c r="A30" s="11" t="s">
        <v>163</v>
      </c>
      <c r="B30" s="13">
        <v>4520</v>
      </c>
      <c r="C30" s="14">
        <f>(3818/B30*100)</f>
        <v>84.469026548672559</v>
      </c>
      <c r="D30" s="15">
        <v>702</v>
      </c>
      <c r="E30" s="14">
        <v>36.710615560000001</v>
      </c>
      <c r="F30" s="16">
        <v>1.67207525</v>
      </c>
      <c r="G30" s="14">
        <v>63.289384439999999</v>
      </c>
      <c r="H30" s="16">
        <v>1.67207525</v>
      </c>
      <c r="I30" s="14" t="s">
        <v>139</v>
      </c>
      <c r="J30" s="16" t="s">
        <v>139</v>
      </c>
      <c r="K30" s="14">
        <v>0</v>
      </c>
      <c r="L30" s="16">
        <v>0</v>
      </c>
      <c r="M30" s="14">
        <v>0</v>
      </c>
      <c r="N30" s="16">
        <v>0</v>
      </c>
      <c r="O30" s="14">
        <v>0</v>
      </c>
      <c r="P30" s="16">
        <v>0</v>
      </c>
      <c r="Q30" s="14">
        <v>0</v>
      </c>
      <c r="R30" s="16">
        <v>0</v>
      </c>
    </row>
    <row r="31" spans="1:18" x14ac:dyDescent="0.25">
      <c r="A31" s="11" t="s">
        <v>164</v>
      </c>
      <c r="B31" s="13">
        <v>5456</v>
      </c>
      <c r="C31" s="14">
        <f>(4537/B31*100)</f>
        <v>83.156158357771261</v>
      </c>
      <c r="D31" s="15">
        <v>919</v>
      </c>
      <c r="E31" s="14">
        <v>48.536304049999998</v>
      </c>
      <c r="F31" s="16">
        <v>1.64956138</v>
      </c>
      <c r="G31" s="14">
        <v>51.463695950000002</v>
      </c>
      <c r="H31" s="16">
        <v>1.64956138</v>
      </c>
      <c r="I31" s="14" t="s">
        <v>139</v>
      </c>
      <c r="J31" s="16" t="s">
        <v>139</v>
      </c>
      <c r="K31" s="14">
        <v>0</v>
      </c>
      <c r="L31" s="16">
        <v>0</v>
      </c>
      <c r="M31" s="14">
        <v>0</v>
      </c>
      <c r="N31" s="16">
        <v>0</v>
      </c>
      <c r="O31" s="14">
        <v>0</v>
      </c>
      <c r="P31" s="16">
        <v>0</v>
      </c>
      <c r="Q31" s="14">
        <v>0</v>
      </c>
      <c r="R31" s="16">
        <v>0</v>
      </c>
    </row>
    <row r="32" spans="1:18" x14ac:dyDescent="0.25">
      <c r="A32" s="11" t="s">
        <v>165</v>
      </c>
      <c r="B32" s="17" t="s">
        <v>154</v>
      </c>
      <c r="C32" s="17" t="s">
        <v>154</v>
      </c>
      <c r="D32" s="18" t="s">
        <v>154</v>
      </c>
      <c r="E32" s="17" t="s">
        <v>154</v>
      </c>
      <c r="F32" s="18" t="s">
        <v>154</v>
      </c>
      <c r="G32" s="17" t="s">
        <v>154</v>
      </c>
      <c r="H32" s="18" t="s">
        <v>154</v>
      </c>
      <c r="I32" s="17" t="s">
        <v>154</v>
      </c>
      <c r="J32" s="18" t="s">
        <v>154</v>
      </c>
      <c r="K32" s="17" t="s">
        <v>154</v>
      </c>
      <c r="L32" s="18" t="s">
        <v>154</v>
      </c>
      <c r="M32" s="17" t="s">
        <v>154</v>
      </c>
      <c r="N32" s="18" t="s">
        <v>154</v>
      </c>
      <c r="O32" s="17" t="s">
        <v>154</v>
      </c>
      <c r="P32" s="18" t="s">
        <v>154</v>
      </c>
      <c r="Q32" s="17" t="s">
        <v>154</v>
      </c>
      <c r="R32" s="18" t="s">
        <v>154</v>
      </c>
    </row>
    <row r="33" spans="1:18" x14ac:dyDescent="0.25">
      <c r="A33" s="11" t="s">
        <v>166</v>
      </c>
      <c r="B33" s="13">
        <v>7325</v>
      </c>
      <c r="C33" s="14">
        <f>(6183/B33*100)</f>
        <v>84.409556313993178</v>
      </c>
      <c r="D33" s="15">
        <v>1142</v>
      </c>
      <c r="E33" s="14">
        <v>45.831450410000002</v>
      </c>
      <c r="F33" s="16">
        <v>1.7792577599999999</v>
      </c>
      <c r="G33" s="14">
        <v>54.168549589999998</v>
      </c>
      <c r="H33" s="16">
        <v>1.7792577599999999</v>
      </c>
      <c r="I33" s="14" t="s">
        <v>139</v>
      </c>
      <c r="J33" s="16" t="s">
        <v>139</v>
      </c>
      <c r="K33" s="14">
        <v>0</v>
      </c>
      <c r="L33" s="16">
        <v>0</v>
      </c>
      <c r="M33" s="14">
        <v>0</v>
      </c>
      <c r="N33" s="16">
        <v>0</v>
      </c>
      <c r="O33" s="14">
        <v>0</v>
      </c>
      <c r="P33" s="16">
        <v>0</v>
      </c>
      <c r="Q33" s="14">
        <v>0</v>
      </c>
      <c r="R33" s="16">
        <v>0</v>
      </c>
    </row>
    <row r="34" spans="1:18" x14ac:dyDescent="0.25">
      <c r="A34" s="11" t="s">
        <v>167</v>
      </c>
      <c r="B34" s="13">
        <v>6350</v>
      </c>
      <c r="C34" s="14">
        <f>(5404/B34*100)</f>
        <v>85.102362204724415</v>
      </c>
      <c r="D34" s="15">
        <v>946</v>
      </c>
      <c r="E34" s="14">
        <v>57.671533570000001</v>
      </c>
      <c r="F34" s="16">
        <v>1.71699315</v>
      </c>
      <c r="G34" s="14">
        <v>42.328466429999999</v>
      </c>
      <c r="H34" s="16">
        <v>1.71699315</v>
      </c>
      <c r="I34" s="14" t="s">
        <v>139</v>
      </c>
      <c r="J34" s="16" t="s">
        <v>139</v>
      </c>
      <c r="K34" s="14">
        <v>0</v>
      </c>
      <c r="L34" s="16">
        <v>0</v>
      </c>
      <c r="M34" s="14">
        <v>0</v>
      </c>
      <c r="N34" s="16">
        <v>0</v>
      </c>
      <c r="O34" s="14">
        <v>0</v>
      </c>
      <c r="P34" s="16">
        <v>0</v>
      </c>
      <c r="Q34" s="14">
        <v>0</v>
      </c>
      <c r="R34" s="16">
        <v>0</v>
      </c>
    </row>
    <row r="35" spans="1:18" x14ac:dyDescent="0.25">
      <c r="A35" s="11" t="s">
        <v>168</v>
      </c>
      <c r="B35" s="13">
        <v>6406</v>
      </c>
      <c r="C35" s="14">
        <f>(5350/B35*100)</f>
        <v>83.515454261629714</v>
      </c>
      <c r="D35" s="15">
        <v>1056</v>
      </c>
      <c r="E35" s="14">
        <v>36.204134150000002</v>
      </c>
      <c r="F35" s="16">
        <v>1.7594561200000001</v>
      </c>
      <c r="G35" s="14">
        <v>63.795865849999998</v>
      </c>
      <c r="H35" s="16">
        <v>1.7594561200000001</v>
      </c>
      <c r="I35" s="14" t="s">
        <v>139</v>
      </c>
      <c r="J35" s="16" t="s">
        <v>139</v>
      </c>
      <c r="K35" s="14">
        <v>0</v>
      </c>
      <c r="L35" s="16">
        <v>0</v>
      </c>
      <c r="M35" s="14">
        <v>0</v>
      </c>
      <c r="N35" s="16">
        <v>0</v>
      </c>
      <c r="O35" s="14">
        <v>0</v>
      </c>
      <c r="P35" s="16">
        <v>0</v>
      </c>
      <c r="Q35" s="14">
        <v>0</v>
      </c>
      <c r="R35" s="16">
        <v>0</v>
      </c>
    </row>
    <row r="36" spans="1:18" x14ac:dyDescent="0.25">
      <c r="A36" s="11" t="s">
        <v>169</v>
      </c>
      <c r="B36" s="13">
        <v>6736</v>
      </c>
      <c r="C36" s="14">
        <f>(5705/B36*100)</f>
        <v>84.694180522565318</v>
      </c>
      <c r="D36" s="15">
        <v>1031</v>
      </c>
      <c r="E36" s="14">
        <v>42.927802739999997</v>
      </c>
      <c r="F36" s="16">
        <v>1.5592576300000001</v>
      </c>
      <c r="G36" s="14">
        <v>57.072197260000003</v>
      </c>
      <c r="H36" s="16">
        <v>1.5592576300000001</v>
      </c>
      <c r="I36" s="14" t="s">
        <v>139</v>
      </c>
      <c r="J36" s="16" t="s">
        <v>139</v>
      </c>
      <c r="K36" s="14">
        <v>0</v>
      </c>
      <c r="L36" s="16">
        <v>0</v>
      </c>
      <c r="M36" s="14">
        <v>0</v>
      </c>
      <c r="N36" s="16">
        <v>0</v>
      </c>
      <c r="O36" s="14">
        <v>0</v>
      </c>
      <c r="P36" s="16">
        <v>0</v>
      </c>
      <c r="Q36" s="14">
        <v>0</v>
      </c>
      <c r="R36" s="16">
        <v>0</v>
      </c>
    </row>
    <row r="37" spans="1:18" x14ac:dyDescent="0.25">
      <c r="A37" s="11" t="s">
        <v>170</v>
      </c>
      <c r="B37" s="13">
        <v>5458</v>
      </c>
      <c r="C37" s="14">
        <f>(4588/B37*100)</f>
        <v>84.060095272993777</v>
      </c>
      <c r="D37" s="15">
        <v>870</v>
      </c>
      <c r="E37" s="14">
        <v>42.044287920000002</v>
      </c>
      <c r="F37" s="16">
        <v>1.86380726</v>
      </c>
      <c r="G37" s="14">
        <v>57.955712079999998</v>
      </c>
      <c r="H37" s="16">
        <v>1.86380726</v>
      </c>
      <c r="I37" s="14" t="s">
        <v>139</v>
      </c>
      <c r="J37" s="16" t="s">
        <v>139</v>
      </c>
      <c r="K37" s="14">
        <v>0</v>
      </c>
      <c r="L37" s="16">
        <v>0</v>
      </c>
      <c r="M37" s="14">
        <v>0</v>
      </c>
      <c r="N37" s="16">
        <v>0</v>
      </c>
      <c r="O37" s="14">
        <v>0</v>
      </c>
      <c r="P37" s="16">
        <v>0</v>
      </c>
      <c r="Q37" s="14">
        <v>0</v>
      </c>
      <c r="R37" s="16">
        <v>0</v>
      </c>
    </row>
    <row r="38" spans="1:18" x14ac:dyDescent="0.25">
      <c r="A38" s="11" t="s">
        <v>171</v>
      </c>
      <c r="B38" s="17" t="s">
        <v>154</v>
      </c>
      <c r="C38" s="17" t="s">
        <v>154</v>
      </c>
      <c r="D38" s="18" t="s">
        <v>154</v>
      </c>
      <c r="E38" s="17" t="s">
        <v>154</v>
      </c>
      <c r="F38" s="18" t="s">
        <v>154</v>
      </c>
      <c r="G38" s="17" t="s">
        <v>154</v>
      </c>
      <c r="H38" s="18" t="s">
        <v>154</v>
      </c>
      <c r="I38" s="17" t="s">
        <v>154</v>
      </c>
      <c r="J38" s="18" t="s">
        <v>154</v>
      </c>
      <c r="K38" s="17" t="s">
        <v>154</v>
      </c>
      <c r="L38" s="18" t="s">
        <v>154</v>
      </c>
      <c r="M38" s="17" t="s">
        <v>154</v>
      </c>
      <c r="N38" s="18" t="s">
        <v>154</v>
      </c>
      <c r="O38" s="17" t="s">
        <v>154</v>
      </c>
      <c r="P38" s="18" t="s">
        <v>154</v>
      </c>
      <c r="Q38" s="17" t="s">
        <v>154</v>
      </c>
      <c r="R38" s="18" t="s">
        <v>154</v>
      </c>
    </row>
    <row r="39" spans="1:18" x14ac:dyDescent="0.25">
      <c r="A39" s="11" t="s">
        <v>172</v>
      </c>
      <c r="B39" s="13">
        <v>5895</v>
      </c>
      <c r="C39" s="14">
        <f>(4865/B39*100)</f>
        <v>82.527565733672603</v>
      </c>
      <c r="D39" s="15">
        <v>1030</v>
      </c>
      <c r="E39" s="14">
        <v>65.355233620000007</v>
      </c>
      <c r="F39" s="16">
        <v>1.7300543399999999</v>
      </c>
      <c r="G39" s="14">
        <v>34.64476638</v>
      </c>
      <c r="H39" s="16">
        <v>1.7300543399999999</v>
      </c>
      <c r="I39" s="14" t="s">
        <v>139</v>
      </c>
      <c r="J39" s="16" t="s">
        <v>139</v>
      </c>
      <c r="K39" s="14">
        <v>0</v>
      </c>
      <c r="L39" s="16">
        <v>0</v>
      </c>
      <c r="M39" s="14">
        <v>0</v>
      </c>
      <c r="N39" s="16">
        <v>0</v>
      </c>
      <c r="O39" s="14">
        <v>0</v>
      </c>
      <c r="P39" s="16">
        <v>0</v>
      </c>
      <c r="Q39" s="14">
        <v>0</v>
      </c>
      <c r="R39" s="16">
        <v>0</v>
      </c>
    </row>
    <row r="40" spans="1:18" x14ac:dyDescent="0.25">
      <c r="A40" s="11" t="s">
        <v>173</v>
      </c>
      <c r="B40" s="13">
        <v>14157</v>
      </c>
      <c r="C40" s="14">
        <f>(11730/B40*100)</f>
        <v>82.856537401991943</v>
      </c>
      <c r="D40" s="15">
        <v>2427</v>
      </c>
      <c r="E40" s="14">
        <v>37.952704480000001</v>
      </c>
      <c r="F40" s="16">
        <v>1.39972805</v>
      </c>
      <c r="G40" s="14">
        <v>62.047295519999999</v>
      </c>
      <c r="H40" s="16">
        <v>1.39972805</v>
      </c>
      <c r="I40" s="14" t="s">
        <v>139</v>
      </c>
      <c r="J40" s="16" t="s">
        <v>139</v>
      </c>
      <c r="K40" s="14">
        <v>0</v>
      </c>
      <c r="L40" s="16">
        <v>0</v>
      </c>
      <c r="M40" s="14">
        <v>0</v>
      </c>
      <c r="N40" s="16">
        <v>0</v>
      </c>
      <c r="O40" s="14">
        <v>0</v>
      </c>
      <c r="P40" s="16">
        <v>0</v>
      </c>
      <c r="Q40" s="14">
        <v>0</v>
      </c>
      <c r="R40" s="16">
        <v>0</v>
      </c>
    </row>
    <row r="41" spans="1:18" x14ac:dyDescent="0.25">
      <c r="A41" s="11" t="s">
        <v>174</v>
      </c>
      <c r="B41" s="13">
        <v>5712</v>
      </c>
      <c r="C41" s="14">
        <f>(4814/B41*100)</f>
        <v>84.278711484593842</v>
      </c>
      <c r="D41" s="15">
        <v>898</v>
      </c>
      <c r="E41" s="14">
        <v>36.718608420000002</v>
      </c>
      <c r="F41" s="16">
        <v>1.78350272</v>
      </c>
      <c r="G41" s="14">
        <v>63.281391579999998</v>
      </c>
      <c r="H41" s="16">
        <v>1.78350272</v>
      </c>
      <c r="I41" s="14" t="s">
        <v>139</v>
      </c>
      <c r="J41" s="16" t="s">
        <v>139</v>
      </c>
      <c r="K41" s="14">
        <v>0</v>
      </c>
      <c r="L41" s="16">
        <v>0</v>
      </c>
      <c r="M41" s="14">
        <v>0</v>
      </c>
      <c r="N41" s="16">
        <v>0</v>
      </c>
      <c r="O41" s="14">
        <v>0</v>
      </c>
      <c r="P41" s="16">
        <v>0</v>
      </c>
      <c r="Q41" s="14">
        <v>0</v>
      </c>
      <c r="R41" s="16">
        <v>0</v>
      </c>
    </row>
    <row r="42" spans="1:18" x14ac:dyDescent="0.25">
      <c r="A42" s="11" t="s">
        <v>175</v>
      </c>
      <c r="B42" s="13">
        <f>IF(COUNT(B7:B41) &gt; 0, AVERAGE(B7:B41), "\u2014")</f>
        <v>7266.90625</v>
      </c>
      <c r="C42" s="14">
        <f>IF(COUNT(C7:C41) &gt; 0, AVERAGE(C7:C41), "—")</f>
        <v>84.026518828473272</v>
      </c>
      <c r="D42" s="15">
        <f>IF(COUNT(D7:D41) &gt; 0, AVERAGE(D7:D41), "—")</f>
        <v>1162.5625</v>
      </c>
      <c r="E42" s="14">
        <f>IF(COUNT(E7:E41) &gt; 0, AVERAGE(E7:E41), "—")</f>
        <v>43.003323504062507</v>
      </c>
      <c r="F42" s="16">
        <f>IF(COUNT(F7:F41) &gt; 0, SQRT(SUMSQ(F7:F41)/(COUNT(F7:F41)*COUNT(F7:F41)) ), "—")</f>
        <v>0.30410442453503927</v>
      </c>
      <c r="G42" s="14">
        <f>IF(COUNT(G7:G41) &gt; 0, AVERAGE(G7:G41), "—")</f>
        <v>56.9966764959375</v>
      </c>
      <c r="H42" s="16">
        <f>IF(COUNT(H7:H41) &gt; 0, SQRT(SUMSQ(H7:H41)/(COUNT(H7:H41)*COUNT(H7:H41)) ), "—")</f>
        <v>0.30410442453503927</v>
      </c>
      <c r="I42" s="14" t="str">
        <f>IF(COUNT(I7:I41) &gt; 0, AVERAGE(I7:I41), "—")</f>
        <v>—</v>
      </c>
      <c r="J42" s="16" t="str">
        <f>IF(COUNT(J7:J41) &gt; 0, SQRT(SUMSQ(J7:J41)/(COUNT(J7:J41)*COUNT(J7:J41)) ), "—")</f>
        <v>—</v>
      </c>
      <c r="K42" s="14">
        <f>IF(COUNT(K7:K41) &gt; 0, AVERAGE(K7:K41), "—")</f>
        <v>0</v>
      </c>
      <c r="L42" s="16">
        <f>IF(COUNT(L7:L41) &gt; 0, SQRT(SUMSQ(L7:L41)/(COUNT(L7:L41)*COUNT(L7:L41)) ), "—")</f>
        <v>0</v>
      </c>
      <c r="M42" s="14">
        <f>IF(COUNT(M7:M41) &gt; 0, AVERAGE(M7:M41), "—")</f>
        <v>0</v>
      </c>
      <c r="N42" s="16">
        <f>IF(COUNT(N7:N41) &gt; 0, SQRT(SUMSQ(N7:N41)/(COUNT(N7:N41)*COUNT(N7:N41)) ), "—")</f>
        <v>0</v>
      </c>
      <c r="O42" s="14">
        <f>IF(COUNT(O7:O41) &gt; 0, AVERAGE(O7:O41), "—")</f>
        <v>0</v>
      </c>
      <c r="P42" s="16">
        <f>IF(COUNT(P7:P41) &gt; 0, SQRT(SUMSQ(P7:P41)/(COUNT(P7:P41)*COUNT(P7:P41)) ), "—")</f>
        <v>0</v>
      </c>
      <c r="Q42" s="14">
        <f>IF(COUNT(Q7:Q41) &gt; 0, AVERAGE(Q7:Q41), "—")</f>
        <v>0</v>
      </c>
      <c r="R42" s="16">
        <f>IF(COUNT(R7:R41) &gt; 0, SQRT(SUMSQ(R7:R41)/(COUNT(R7:R41)*COUNT(R7:R41)) ), "—")</f>
        <v>0</v>
      </c>
    </row>
    <row r="43" spans="1:18" x14ac:dyDescent="0.25">
      <c r="A43" s="9" t="s">
        <v>176</v>
      </c>
      <c r="B43" s="10"/>
      <c r="C43" s="10"/>
      <c r="D43" s="11"/>
      <c r="E43" s="10"/>
      <c r="F43" s="11"/>
      <c r="G43" s="10"/>
      <c r="H43" s="11"/>
      <c r="I43" s="10"/>
      <c r="J43" s="11"/>
      <c r="K43" s="10"/>
      <c r="L43" s="11"/>
      <c r="M43" s="10"/>
      <c r="N43" s="11"/>
      <c r="O43" s="10"/>
      <c r="P43" s="11"/>
      <c r="Q43" s="10"/>
      <c r="R43" s="12"/>
    </row>
    <row r="44" spans="1:18" x14ac:dyDescent="0.25">
      <c r="A44" s="11" t="s">
        <v>177</v>
      </c>
      <c r="B44" s="17" t="s">
        <v>154</v>
      </c>
      <c r="C44" s="17" t="s">
        <v>154</v>
      </c>
      <c r="D44" s="18" t="s">
        <v>154</v>
      </c>
      <c r="E44" s="17" t="s">
        <v>154</v>
      </c>
      <c r="F44" s="18" t="s">
        <v>154</v>
      </c>
      <c r="G44" s="17" t="s">
        <v>154</v>
      </c>
      <c r="H44" s="18" t="s">
        <v>154</v>
      </c>
      <c r="I44" s="17" t="s">
        <v>154</v>
      </c>
      <c r="J44" s="18" t="s">
        <v>154</v>
      </c>
      <c r="K44" s="17" t="s">
        <v>154</v>
      </c>
      <c r="L44" s="18" t="s">
        <v>154</v>
      </c>
      <c r="M44" s="17" t="s">
        <v>154</v>
      </c>
      <c r="N44" s="18" t="s">
        <v>154</v>
      </c>
      <c r="O44" s="17" t="s">
        <v>154</v>
      </c>
      <c r="P44" s="18" t="s">
        <v>154</v>
      </c>
      <c r="Q44" s="17" t="s">
        <v>154</v>
      </c>
      <c r="R44" s="18" t="s">
        <v>154</v>
      </c>
    </row>
    <row r="45" spans="1:18" x14ac:dyDescent="0.25">
      <c r="A45" s="11" t="s">
        <v>178</v>
      </c>
      <c r="B45" s="17" t="s">
        <v>154</v>
      </c>
      <c r="C45" s="17" t="s">
        <v>154</v>
      </c>
      <c r="D45" s="18" t="s">
        <v>154</v>
      </c>
      <c r="E45" s="17" t="s">
        <v>154</v>
      </c>
      <c r="F45" s="18" t="s">
        <v>154</v>
      </c>
      <c r="G45" s="17" t="s">
        <v>154</v>
      </c>
      <c r="H45" s="18" t="s">
        <v>154</v>
      </c>
      <c r="I45" s="17" t="s">
        <v>154</v>
      </c>
      <c r="J45" s="18" t="s">
        <v>154</v>
      </c>
      <c r="K45" s="17" t="s">
        <v>154</v>
      </c>
      <c r="L45" s="18" t="s">
        <v>154</v>
      </c>
      <c r="M45" s="17" t="s">
        <v>154</v>
      </c>
      <c r="N45" s="18" t="s">
        <v>154</v>
      </c>
      <c r="O45" s="17" t="s">
        <v>154</v>
      </c>
      <c r="P45" s="18" t="s">
        <v>154</v>
      </c>
      <c r="Q45" s="17" t="s">
        <v>154</v>
      </c>
      <c r="R45" s="18" t="s">
        <v>154</v>
      </c>
    </row>
    <row r="46" spans="1:18" x14ac:dyDescent="0.25">
      <c r="A46" s="11" t="s">
        <v>179</v>
      </c>
      <c r="B46" s="13">
        <v>23141</v>
      </c>
      <c r="C46" s="14">
        <f>(20644/B46*100)</f>
        <v>89.209627933105736</v>
      </c>
      <c r="D46" s="15">
        <v>2497</v>
      </c>
      <c r="E46" s="14">
        <v>61.567407549999999</v>
      </c>
      <c r="F46" s="16">
        <v>1.1906480399999999</v>
      </c>
      <c r="G46" s="14">
        <v>38.432592450000001</v>
      </c>
      <c r="H46" s="16">
        <v>1.1906480399999999</v>
      </c>
      <c r="I46" s="14" t="s">
        <v>139</v>
      </c>
      <c r="J46" s="16" t="s">
        <v>139</v>
      </c>
      <c r="K46" s="14">
        <v>0</v>
      </c>
      <c r="L46" s="16">
        <v>0</v>
      </c>
      <c r="M46" s="14">
        <v>0</v>
      </c>
      <c r="N46" s="16">
        <v>0</v>
      </c>
      <c r="O46" s="14">
        <v>0</v>
      </c>
      <c r="P46" s="16">
        <v>0</v>
      </c>
      <c r="Q46" s="14">
        <v>0</v>
      </c>
      <c r="R46" s="16">
        <v>0</v>
      </c>
    </row>
    <row r="47" spans="1:18" x14ac:dyDescent="0.25">
      <c r="A47" s="11" t="s">
        <v>180</v>
      </c>
      <c r="B47" s="13">
        <v>5928</v>
      </c>
      <c r="C47" s="14">
        <f>(5035/B47*100)</f>
        <v>84.935897435897431</v>
      </c>
      <c r="D47" s="15">
        <v>893</v>
      </c>
      <c r="E47" s="14">
        <v>56.55084171</v>
      </c>
      <c r="F47" s="16">
        <v>1.76898238</v>
      </c>
      <c r="G47" s="14">
        <v>43.44915829</v>
      </c>
      <c r="H47" s="16">
        <v>1.76898238</v>
      </c>
      <c r="I47" s="14" t="s">
        <v>139</v>
      </c>
      <c r="J47" s="16" t="s">
        <v>139</v>
      </c>
      <c r="K47" s="14">
        <v>0</v>
      </c>
      <c r="L47" s="16">
        <v>0</v>
      </c>
      <c r="M47" s="14">
        <v>0</v>
      </c>
      <c r="N47" s="16">
        <v>0</v>
      </c>
      <c r="O47" s="14">
        <v>0</v>
      </c>
      <c r="P47" s="16">
        <v>0</v>
      </c>
      <c r="Q47" s="14">
        <v>0</v>
      </c>
      <c r="R47" s="16">
        <v>0</v>
      </c>
    </row>
    <row r="48" spans="1:18" x14ac:dyDescent="0.25">
      <c r="A48" s="11" t="s">
        <v>181</v>
      </c>
      <c r="B48" s="13">
        <v>9841</v>
      </c>
      <c r="C48" s="14">
        <f>(8177/B48*100)</f>
        <v>83.091149273447812</v>
      </c>
      <c r="D48" s="15">
        <v>1664</v>
      </c>
      <c r="E48" s="14">
        <v>43.398174820000001</v>
      </c>
      <c r="F48" s="16">
        <v>1.5882219200000001</v>
      </c>
      <c r="G48" s="14">
        <v>56.601825179999999</v>
      </c>
      <c r="H48" s="16">
        <v>1.5882219200000001</v>
      </c>
      <c r="I48" s="14" t="s">
        <v>139</v>
      </c>
      <c r="J48" s="16" t="s">
        <v>139</v>
      </c>
      <c r="K48" s="14">
        <v>0</v>
      </c>
      <c r="L48" s="16">
        <v>0</v>
      </c>
      <c r="M48" s="14">
        <v>0</v>
      </c>
      <c r="N48" s="16">
        <v>0</v>
      </c>
      <c r="O48" s="14">
        <v>0</v>
      </c>
      <c r="P48" s="16">
        <v>0</v>
      </c>
      <c r="Q48" s="14">
        <v>0</v>
      </c>
      <c r="R48" s="16">
        <v>0</v>
      </c>
    </row>
    <row r="49" spans="1:18" x14ac:dyDescent="0.25">
      <c r="A49" s="11" t="s">
        <v>182</v>
      </c>
      <c r="B49" s="17" t="s">
        <v>154</v>
      </c>
      <c r="C49" s="17" t="s">
        <v>154</v>
      </c>
      <c r="D49" s="18" t="s">
        <v>154</v>
      </c>
      <c r="E49" s="17" t="s">
        <v>154</v>
      </c>
      <c r="F49" s="18" t="s">
        <v>154</v>
      </c>
      <c r="G49" s="17" t="s">
        <v>154</v>
      </c>
      <c r="H49" s="18" t="s">
        <v>154</v>
      </c>
      <c r="I49" s="17" t="s">
        <v>154</v>
      </c>
      <c r="J49" s="18" t="s">
        <v>154</v>
      </c>
      <c r="K49" s="17" t="s">
        <v>154</v>
      </c>
      <c r="L49" s="18" t="s">
        <v>154</v>
      </c>
      <c r="M49" s="17" t="s">
        <v>154</v>
      </c>
      <c r="N49" s="18" t="s">
        <v>154</v>
      </c>
      <c r="O49" s="17" t="s">
        <v>154</v>
      </c>
      <c r="P49" s="18" t="s">
        <v>154</v>
      </c>
      <c r="Q49" s="17" t="s">
        <v>154</v>
      </c>
      <c r="R49" s="18" t="s">
        <v>154</v>
      </c>
    </row>
    <row r="50" spans="1:18" x14ac:dyDescent="0.25">
      <c r="A50" s="11" t="s">
        <v>183</v>
      </c>
      <c r="B50" s="13">
        <v>11795</v>
      </c>
      <c r="C50" s="14">
        <f>(10030/B50*100)</f>
        <v>85.036032217041125</v>
      </c>
      <c r="D50" s="15">
        <v>1765</v>
      </c>
      <c r="E50" s="14">
        <v>63.346274399999999</v>
      </c>
      <c r="F50" s="16">
        <v>1.70034946</v>
      </c>
      <c r="G50" s="14">
        <v>36.653725600000001</v>
      </c>
      <c r="H50" s="16">
        <v>1.70034946</v>
      </c>
      <c r="I50" s="14" t="s">
        <v>139</v>
      </c>
      <c r="J50" s="16" t="s">
        <v>139</v>
      </c>
      <c r="K50" s="14">
        <v>0</v>
      </c>
      <c r="L50" s="16">
        <v>0</v>
      </c>
      <c r="M50" s="14">
        <v>0</v>
      </c>
      <c r="N50" s="16">
        <v>0</v>
      </c>
      <c r="O50" s="14">
        <v>0</v>
      </c>
      <c r="P50" s="16">
        <v>0</v>
      </c>
      <c r="Q50" s="14">
        <v>0</v>
      </c>
      <c r="R50" s="16">
        <v>0</v>
      </c>
    </row>
    <row r="51" spans="1:18" x14ac:dyDescent="0.25">
      <c r="A51" s="11" t="s">
        <v>184</v>
      </c>
      <c r="B51" s="13">
        <v>6866</v>
      </c>
      <c r="C51" s="14">
        <f>(5964/B51*100)</f>
        <v>86.862802213807171</v>
      </c>
      <c r="D51" s="15">
        <v>902</v>
      </c>
      <c r="E51" s="14">
        <v>64.905865789999993</v>
      </c>
      <c r="F51" s="16">
        <v>1.64632402</v>
      </c>
      <c r="G51" s="14">
        <v>35.09413421</v>
      </c>
      <c r="H51" s="16">
        <v>1.64632402</v>
      </c>
      <c r="I51" s="14" t="s">
        <v>139</v>
      </c>
      <c r="J51" s="16" t="s">
        <v>139</v>
      </c>
      <c r="K51" s="14">
        <v>0</v>
      </c>
      <c r="L51" s="16">
        <v>0</v>
      </c>
      <c r="M51" s="14">
        <v>0</v>
      </c>
      <c r="N51" s="16">
        <v>0</v>
      </c>
      <c r="O51" s="14">
        <v>0</v>
      </c>
      <c r="P51" s="16">
        <v>0</v>
      </c>
      <c r="Q51" s="14">
        <v>0</v>
      </c>
      <c r="R51" s="16">
        <v>0</v>
      </c>
    </row>
    <row r="52" spans="1:18" x14ac:dyDescent="0.25">
      <c r="A52" s="11" t="s">
        <v>185</v>
      </c>
      <c r="B52" s="13">
        <v>5809</v>
      </c>
      <c r="C52" s="14">
        <f>(4863/B52*100)</f>
        <v>83.714925116198998</v>
      </c>
      <c r="D52" s="15">
        <v>946</v>
      </c>
      <c r="E52" s="14">
        <v>49.416287730000001</v>
      </c>
      <c r="F52" s="16">
        <v>2.0383844</v>
      </c>
      <c r="G52" s="14">
        <v>50.583712269999999</v>
      </c>
      <c r="H52" s="16">
        <v>2.0383844</v>
      </c>
      <c r="I52" s="14" t="s">
        <v>139</v>
      </c>
      <c r="J52" s="16" t="s">
        <v>139</v>
      </c>
      <c r="K52" s="14">
        <v>0</v>
      </c>
      <c r="L52" s="16">
        <v>0</v>
      </c>
      <c r="M52" s="14">
        <v>0</v>
      </c>
      <c r="N52" s="16">
        <v>0</v>
      </c>
      <c r="O52" s="14">
        <v>0</v>
      </c>
      <c r="P52" s="16">
        <v>0</v>
      </c>
      <c r="Q52" s="14">
        <v>0</v>
      </c>
      <c r="R52" s="16">
        <v>0</v>
      </c>
    </row>
    <row r="53" spans="1:18" x14ac:dyDescent="0.25">
      <c r="A53" s="11" t="s">
        <v>186</v>
      </c>
      <c r="B53" s="13">
        <v>5571</v>
      </c>
      <c r="C53" s="14">
        <f>(4653/B53*100)</f>
        <v>83.521809369951541</v>
      </c>
      <c r="D53" s="15">
        <v>918</v>
      </c>
      <c r="E53" s="14">
        <v>54.596938739999999</v>
      </c>
      <c r="F53" s="16">
        <v>1.75081383</v>
      </c>
      <c r="G53" s="14">
        <v>45.403061260000001</v>
      </c>
      <c r="H53" s="16">
        <v>1.75081383</v>
      </c>
      <c r="I53" s="14" t="s">
        <v>139</v>
      </c>
      <c r="J53" s="16" t="s">
        <v>139</v>
      </c>
      <c r="K53" s="14">
        <v>0</v>
      </c>
      <c r="L53" s="16">
        <v>0</v>
      </c>
      <c r="M53" s="14">
        <v>0</v>
      </c>
      <c r="N53" s="16">
        <v>0</v>
      </c>
      <c r="O53" s="14">
        <v>0</v>
      </c>
      <c r="P53" s="16">
        <v>0</v>
      </c>
      <c r="Q53" s="14">
        <v>0</v>
      </c>
      <c r="R53" s="16">
        <v>0</v>
      </c>
    </row>
    <row r="54" spans="1:18" x14ac:dyDescent="0.25">
      <c r="A54" s="11" t="s">
        <v>187</v>
      </c>
      <c r="B54" s="17" t="s">
        <v>154</v>
      </c>
      <c r="C54" s="17" t="s">
        <v>154</v>
      </c>
      <c r="D54" s="18" t="s">
        <v>154</v>
      </c>
      <c r="E54" s="17" t="s">
        <v>154</v>
      </c>
      <c r="F54" s="18" t="s">
        <v>154</v>
      </c>
      <c r="G54" s="17" t="s">
        <v>154</v>
      </c>
      <c r="H54" s="18" t="s">
        <v>154</v>
      </c>
      <c r="I54" s="17" t="s">
        <v>154</v>
      </c>
      <c r="J54" s="18" t="s">
        <v>154</v>
      </c>
      <c r="K54" s="17" t="s">
        <v>154</v>
      </c>
      <c r="L54" s="18" t="s">
        <v>154</v>
      </c>
      <c r="M54" s="17" t="s">
        <v>154</v>
      </c>
      <c r="N54" s="18" t="s">
        <v>154</v>
      </c>
      <c r="O54" s="17" t="s">
        <v>154</v>
      </c>
      <c r="P54" s="18" t="s">
        <v>154</v>
      </c>
      <c r="Q54" s="17" t="s">
        <v>154</v>
      </c>
      <c r="R54" s="18" t="s">
        <v>154</v>
      </c>
    </row>
    <row r="55" spans="1:18" x14ac:dyDescent="0.25">
      <c r="A55" s="11" t="s">
        <v>188</v>
      </c>
      <c r="B55" s="17" t="s">
        <v>154</v>
      </c>
      <c r="C55" s="17" t="s">
        <v>154</v>
      </c>
      <c r="D55" s="18" t="s">
        <v>154</v>
      </c>
      <c r="E55" s="17" t="s">
        <v>154</v>
      </c>
      <c r="F55" s="18" t="s">
        <v>154</v>
      </c>
      <c r="G55" s="17" t="s">
        <v>154</v>
      </c>
      <c r="H55" s="18" t="s">
        <v>154</v>
      </c>
      <c r="I55" s="17" t="s">
        <v>154</v>
      </c>
      <c r="J55" s="18" t="s">
        <v>154</v>
      </c>
      <c r="K55" s="17" t="s">
        <v>154</v>
      </c>
      <c r="L55" s="18" t="s">
        <v>154</v>
      </c>
      <c r="M55" s="17" t="s">
        <v>154</v>
      </c>
      <c r="N55" s="18" t="s">
        <v>154</v>
      </c>
      <c r="O55" s="17" t="s">
        <v>154</v>
      </c>
      <c r="P55" s="18" t="s">
        <v>154</v>
      </c>
      <c r="Q55" s="17" t="s">
        <v>154</v>
      </c>
      <c r="R55" s="18" t="s">
        <v>154</v>
      </c>
    </row>
    <row r="56" spans="1:18" x14ac:dyDescent="0.25">
      <c r="A56" s="11" t="s">
        <v>189</v>
      </c>
      <c r="B56" s="13">
        <v>5359</v>
      </c>
      <c r="C56" s="14">
        <f>(4430/B56*100)</f>
        <v>82.664676245568202</v>
      </c>
      <c r="D56" s="15">
        <v>929</v>
      </c>
      <c r="E56" s="14">
        <v>25.8623233</v>
      </c>
      <c r="F56" s="16">
        <v>1.7996425899999999</v>
      </c>
      <c r="G56" s="14">
        <v>74.1376767</v>
      </c>
      <c r="H56" s="16">
        <v>1.7996425899999999</v>
      </c>
      <c r="I56" s="14" t="s">
        <v>139</v>
      </c>
      <c r="J56" s="16" t="s">
        <v>139</v>
      </c>
      <c r="K56" s="14">
        <v>0</v>
      </c>
      <c r="L56" s="16">
        <v>0</v>
      </c>
      <c r="M56" s="14">
        <v>0</v>
      </c>
      <c r="N56" s="16">
        <v>0</v>
      </c>
      <c r="O56" s="14">
        <v>0</v>
      </c>
      <c r="P56" s="16">
        <v>0</v>
      </c>
      <c r="Q56" s="14">
        <v>0</v>
      </c>
      <c r="R56" s="16">
        <v>0</v>
      </c>
    </row>
    <row r="57" spans="1:18" x14ac:dyDescent="0.25">
      <c r="A57" s="11" t="s">
        <v>190</v>
      </c>
      <c r="B57" s="17" t="s">
        <v>154</v>
      </c>
      <c r="C57" s="17" t="s">
        <v>154</v>
      </c>
      <c r="D57" s="18" t="s">
        <v>154</v>
      </c>
      <c r="E57" s="17" t="s">
        <v>154</v>
      </c>
      <c r="F57" s="18" t="s">
        <v>154</v>
      </c>
      <c r="G57" s="17" t="s">
        <v>154</v>
      </c>
      <c r="H57" s="18" t="s">
        <v>154</v>
      </c>
      <c r="I57" s="17" t="s">
        <v>154</v>
      </c>
      <c r="J57" s="18" t="s">
        <v>154</v>
      </c>
      <c r="K57" s="17" t="s">
        <v>154</v>
      </c>
      <c r="L57" s="18" t="s">
        <v>154</v>
      </c>
      <c r="M57" s="17" t="s">
        <v>154</v>
      </c>
      <c r="N57" s="18" t="s">
        <v>154</v>
      </c>
      <c r="O57" s="17" t="s">
        <v>154</v>
      </c>
      <c r="P57" s="18" t="s">
        <v>154</v>
      </c>
      <c r="Q57" s="17" t="s">
        <v>154</v>
      </c>
      <c r="R57" s="18" t="s">
        <v>154</v>
      </c>
    </row>
    <row r="58" spans="1:18" x14ac:dyDescent="0.25">
      <c r="A58" s="11" t="s">
        <v>191</v>
      </c>
      <c r="B58" s="17" t="s">
        <v>154</v>
      </c>
      <c r="C58" s="17" t="s">
        <v>154</v>
      </c>
      <c r="D58" s="18" t="s">
        <v>154</v>
      </c>
      <c r="E58" s="17" t="s">
        <v>154</v>
      </c>
      <c r="F58" s="18" t="s">
        <v>154</v>
      </c>
      <c r="G58" s="17" t="s">
        <v>154</v>
      </c>
      <c r="H58" s="18" t="s">
        <v>154</v>
      </c>
      <c r="I58" s="17" t="s">
        <v>154</v>
      </c>
      <c r="J58" s="18" t="s">
        <v>154</v>
      </c>
      <c r="K58" s="17" t="s">
        <v>154</v>
      </c>
      <c r="L58" s="18" t="s">
        <v>154</v>
      </c>
      <c r="M58" s="17" t="s">
        <v>154</v>
      </c>
      <c r="N58" s="18" t="s">
        <v>154</v>
      </c>
      <c r="O58" s="17" t="s">
        <v>154</v>
      </c>
      <c r="P58" s="18" t="s">
        <v>154</v>
      </c>
      <c r="Q58" s="17" t="s">
        <v>154</v>
      </c>
      <c r="R58" s="18" t="s">
        <v>154</v>
      </c>
    </row>
    <row r="59" spans="1:18" x14ac:dyDescent="0.25">
      <c r="A59" s="11" t="s">
        <v>192</v>
      </c>
      <c r="B59" s="17" t="s">
        <v>154</v>
      </c>
      <c r="C59" s="17" t="s">
        <v>154</v>
      </c>
      <c r="D59" s="18" t="s">
        <v>154</v>
      </c>
      <c r="E59" s="17" t="s">
        <v>154</v>
      </c>
      <c r="F59" s="18" t="s">
        <v>154</v>
      </c>
      <c r="G59" s="17" t="s">
        <v>154</v>
      </c>
      <c r="H59" s="18" t="s">
        <v>154</v>
      </c>
      <c r="I59" s="17" t="s">
        <v>154</v>
      </c>
      <c r="J59" s="18" t="s">
        <v>154</v>
      </c>
      <c r="K59" s="17" t="s">
        <v>154</v>
      </c>
      <c r="L59" s="18" t="s">
        <v>154</v>
      </c>
      <c r="M59" s="17" t="s">
        <v>154</v>
      </c>
      <c r="N59" s="18" t="s">
        <v>154</v>
      </c>
      <c r="O59" s="17" t="s">
        <v>154</v>
      </c>
      <c r="P59" s="18" t="s">
        <v>154</v>
      </c>
      <c r="Q59" s="17" t="s">
        <v>154</v>
      </c>
      <c r="R59" s="18" t="s">
        <v>154</v>
      </c>
    </row>
    <row r="60" spans="1:18" x14ac:dyDescent="0.25">
      <c r="A60" s="11" t="s">
        <v>193</v>
      </c>
      <c r="B60" s="17" t="s">
        <v>154</v>
      </c>
      <c r="C60" s="17" t="s">
        <v>154</v>
      </c>
      <c r="D60" s="18" t="s">
        <v>154</v>
      </c>
      <c r="E60" s="17" t="s">
        <v>154</v>
      </c>
      <c r="F60" s="18" t="s">
        <v>154</v>
      </c>
      <c r="G60" s="17" t="s">
        <v>154</v>
      </c>
      <c r="H60" s="18" t="s">
        <v>154</v>
      </c>
      <c r="I60" s="17" t="s">
        <v>154</v>
      </c>
      <c r="J60" s="18" t="s">
        <v>154</v>
      </c>
      <c r="K60" s="17" t="s">
        <v>154</v>
      </c>
      <c r="L60" s="18" t="s">
        <v>154</v>
      </c>
      <c r="M60" s="17" t="s">
        <v>154</v>
      </c>
      <c r="N60" s="18" t="s">
        <v>154</v>
      </c>
      <c r="O60" s="17" t="s">
        <v>154</v>
      </c>
      <c r="P60" s="18" t="s">
        <v>154</v>
      </c>
      <c r="Q60" s="17" t="s">
        <v>154</v>
      </c>
      <c r="R60" s="18" t="s">
        <v>154</v>
      </c>
    </row>
    <row r="61" spans="1:18" x14ac:dyDescent="0.25">
      <c r="A61" s="11" t="s">
        <v>194</v>
      </c>
      <c r="B61" s="13">
        <v>6525</v>
      </c>
      <c r="C61" s="14">
        <f>(5465/B61*100)</f>
        <v>83.754789272030649</v>
      </c>
      <c r="D61" s="15">
        <v>1060</v>
      </c>
      <c r="E61" s="14">
        <v>53.879469630000003</v>
      </c>
      <c r="F61" s="16">
        <v>1.80584894</v>
      </c>
      <c r="G61" s="14">
        <v>46.120530369999997</v>
      </c>
      <c r="H61" s="16">
        <v>1.80584894</v>
      </c>
      <c r="I61" s="14" t="s">
        <v>139</v>
      </c>
      <c r="J61" s="16" t="s">
        <v>139</v>
      </c>
      <c r="K61" s="14">
        <v>0</v>
      </c>
      <c r="L61" s="16">
        <v>0</v>
      </c>
      <c r="M61" s="14">
        <v>0</v>
      </c>
      <c r="N61" s="16">
        <v>0</v>
      </c>
      <c r="O61" s="14">
        <v>0</v>
      </c>
      <c r="P61" s="16">
        <v>0</v>
      </c>
      <c r="Q61" s="14">
        <v>0</v>
      </c>
      <c r="R61" s="16">
        <v>0</v>
      </c>
    </row>
    <row r="62" spans="1:18" x14ac:dyDescent="0.25">
      <c r="A62" s="11" t="s">
        <v>195</v>
      </c>
      <c r="B62" s="13">
        <v>4476</v>
      </c>
      <c r="C62" s="14">
        <f>(3763/B62*100)</f>
        <v>84.070598748882929</v>
      </c>
      <c r="D62" s="15">
        <v>713</v>
      </c>
      <c r="E62" s="14">
        <v>25.99215474</v>
      </c>
      <c r="F62" s="16">
        <v>1.52196145</v>
      </c>
      <c r="G62" s="14">
        <v>74.007845259999996</v>
      </c>
      <c r="H62" s="16">
        <v>1.52196145</v>
      </c>
      <c r="I62" s="14" t="s">
        <v>139</v>
      </c>
      <c r="J62" s="16" t="s">
        <v>139</v>
      </c>
      <c r="K62" s="14">
        <v>0</v>
      </c>
      <c r="L62" s="16">
        <v>0</v>
      </c>
      <c r="M62" s="14">
        <v>0</v>
      </c>
      <c r="N62" s="16">
        <v>0</v>
      </c>
      <c r="O62" s="14">
        <v>0</v>
      </c>
      <c r="P62" s="16">
        <v>0</v>
      </c>
      <c r="Q62" s="14">
        <v>0</v>
      </c>
      <c r="R62" s="16">
        <v>0</v>
      </c>
    </row>
    <row r="63" spans="1:18" x14ac:dyDescent="0.25">
      <c r="A63" s="11" t="s">
        <v>196</v>
      </c>
      <c r="B63" s="17" t="s">
        <v>154</v>
      </c>
      <c r="C63" s="17" t="s">
        <v>154</v>
      </c>
      <c r="D63" s="18" t="s">
        <v>154</v>
      </c>
      <c r="E63" s="17" t="s">
        <v>154</v>
      </c>
      <c r="F63" s="18" t="s">
        <v>154</v>
      </c>
      <c r="G63" s="17" t="s">
        <v>154</v>
      </c>
      <c r="H63" s="18" t="s">
        <v>154</v>
      </c>
      <c r="I63" s="17" t="s">
        <v>154</v>
      </c>
      <c r="J63" s="18" t="s">
        <v>154</v>
      </c>
      <c r="K63" s="17" t="s">
        <v>154</v>
      </c>
      <c r="L63" s="18" t="s">
        <v>154</v>
      </c>
      <c r="M63" s="17" t="s">
        <v>154</v>
      </c>
      <c r="N63" s="18" t="s">
        <v>154</v>
      </c>
      <c r="O63" s="17" t="s">
        <v>154</v>
      </c>
      <c r="P63" s="18" t="s">
        <v>154</v>
      </c>
      <c r="Q63" s="17" t="s">
        <v>154</v>
      </c>
      <c r="R63" s="18" t="s">
        <v>154</v>
      </c>
    </row>
    <row r="64" spans="1:18" x14ac:dyDescent="0.25">
      <c r="A64" s="11" t="s">
        <v>197</v>
      </c>
      <c r="B64" s="17" t="s">
        <v>154</v>
      </c>
      <c r="C64" s="17" t="s">
        <v>154</v>
      </c>
      <c r="D64" s="18" t="s">
        <v>154</v>
      </c>
      <c r="E64" s="17" t="s">
        <v>154</v>
      </c>
      <c r="F64" s="18" t="s">
        <v>154</v>
      </c>
      <c r="G64" s="17" t="s">
        <v>154</v>
      </c>
      <c r="H64" s="18" t="s">
        <v>154</v>
      </c>
      <c r="I64" s="17" t="s">
        <v>154</v>
      </c>
      <c r="J64" s="18" t="s">
        <v>154</v>
      </c>
      <c r="K64" s="17" t="s">
        <v>154</v>
      </c>
      <c r="L64" s="18" t="s">
        <v>154</v>
      </c>
      <c r="M64" s="17" t="s">
        <v>154</v>
      </c>
      <c r="N64" s="18" t="s">
        <v>154</v>
      </c>
      <c r="O64" s="17" t="s">
        <v>154</v>
      </c>
      <c r="P64" s="18" t="s">
        <v>154</v>
      </c>
      <c r="Q64" s="17" t="s">
        <v>154</v>
      </c>
      <c r="R64" s="18" t="s">
        <v>154</v>
      </c>
    </row>
    <row r="65" spans="1:18" x14ac:dyDescent="0.25">
      <c r="A65" s="11" t="s">
        <v>198</v>
      </c>
      <c r="B65" s="17" t="s">
        <v>154</v>
      </c>
      <c r="C65" s="17" t="s">
        <v>154</v>
      </c>
      <c r="D65" s="18" t="s">
        <v>154</v>
      </c>
      <c r="E65" s="17" t="s">
        <v>154</v>
      </c>
      <c r="F65" s="18" t="s">
        <v>154</v>
      </c>
      <c r="G65" s="17" t="s">
        <v>154</v>
      </c>
      <c r="H65" s="18" t="s">
        <v>154</v>
      </c>
      <c r="I65" s="17" t="s">
        <v>154</v>
      </c>
      <c r="J65" s="18" t="s">
        <v>154</v>
      </c>
      <c r="K65" s="17" t="s">
        <v>154</v>
      </c>
      <c r="L65" s="18" t="s">
        <v>154</v>
      </c>
      <c r="M65" s="17" t="s">
        <v>154</v>
      </c>
      <c r="N65" s="18" t="s">
        <v>154</v>
      </c>
      <c r="O65" s="17" t="s">
        <v>154</v>
      </c>
      <c r="P65" s="18" t="s">
        <v>154</v>
      </c>
      <c r="Q65" s="17" t="s">
        <v>154</v>
      </c>
      <c r="R65" s="18" t="s">
        <v>154</v>
      </c>
    </row>
    <row r="66" spans="1:18" x14ac:dyDescent="0.25">
      <c r="A66" s="11" t="s">
        <v>199</v>
      </c>
      <c r="B66" s="13">
        <v>5665</v>
      </c>
      <c r="C66" s="14">
        <f>(4776/B66*100)</f>
        <v>84.307149161518097</v>
      </c>
      <c r="D66" s="15">
        <v>889</v>
      </c>
      <c r="E66" s="14">
        <v>65.314575719999993</v>
      </c>
      <c r="F66" s="16">
        <v>1.5021658499999999</v>
      </c>
      <c r="G66" s="14">
        <v>34.685424279999999</v>
      </c>
      <c r="H66" s="16">
        <v>1.5021658499999999</v>
      </c>
      <c r="I66" s="14" t="s">
        <v>139</v>
      </c>
      <c r="J66" s="16" t="s">
        <v>139</v>
      </c>
      <c r="K66" s="14">
        <v>0</v>
      </c>
      <c r="L66" s="16">
        <v>0</v>
      </c>
      <c r="M66" s="14">
        <v>0</v>
      </c>
      <c r="N66" s="16">
        <v>0</v>
      </c>
      <c r="O66" s="14">
        <v>0</v>
      </c>
      <c r="P66" s="16">
        <v>0</v>
      </c>
      <c r="Q66" s="14">
        <v>0</v>
      </c>
      <c r="R66" s="16">
        <v>0</v>
      </c>
    </row>
    <row r="67" spans="1:18" x14ac:dyDescent="0.25">
      <c r="A67" s="11" t="s">
        <v>200</v>
      </c>
      <c r="B67" s="13">
        <v>6971</v>
      </c>
      <c r="C67" s="14">
        <f>(6110/B67*100)</f>
        <v>87.648830870750245</v>
      </c>
      <c r="D67" s="15">
        <v>861</v>
      </c>
      <c r="E67" s="14">
        <v>63.76125639</v>
      </c>
      <c r="F67" s="16">
        <v>1.75280674</v>
      </c>
      <c r="G67" s="14">
        <v>36.23874361</v>
      </c>
      <c r="H67" s="16">
        <v>1.75280674</v>
      </c>
      <c r="I67" s="14" t="s">
        <v>139</v>
      </c>
      <c r="J67" s="16" t="s">
        <v>139</v>
      </c>
      <c r="K67" s="14">
        <v>0</v>
      </c>
      <c r="L67" s="16">
        <v>0</v>
      </c>
      <c r="M67" s="14">
        <v>0</v>
      </c>
      <c r="N67" s="16">
        <v>0</v>
      </c>
      <c r="O67" s="14">
        <v>0</v>
      </c>
      <c r="P67" s="16">
        <v>0</v>
      </c>
      <c r="Q67" s="14">
        <v>0</v>
      </c>
      <c r="R67" s="16">
        <v>0</v>
      </c>
    </row>
    <row r="68" spans="1:18" x14ac:dyDescent="0.25">
      <c r="A68" s="11" t="s">
        <v>201</v>
      </c>
      <c r="B68" s="17" t="s">
        <v>154</v>
      </c>
      <c r="C68" s="17" t="s">
        <v>154</v>
      </c>
      <c r="D68" s="18" t="s">
        <v>154</v>
      </c>
      <c r="E68" s="17" t="s">
        <v>154</v>
      </c>
      <c r="F68" s="18" t="s">
        <v>154</v>
      </c>
      <c r="G68" s="17" t="s">
        <v>154</v>
      </c>
      <c r="H68" s="18" t="s">
        <v>154</v>
      </c>
      <c r="I68" s="17" t="s">
        <v>154</v>
      </c>
      <c r="J68" s="18" t="s">
        <v>154</v>
      </c>
      <c r="K68" s="17" t="s">
        <v>154</v>
      </c>
      <c r="L68" s="18" t="s">
        <v>154</v>
      </c>
      <c r="M68" s="17" t="s">
        <v>154</v>
      </c>
      <c r="N68" s="18" t="s">
        <v>154</v>
      </c>
      <c r="O68" s="17" t="s">
        <v>154</v>
      </c>
      <c r="P68" s="18" t="s">
        <v>154</v>
      </c>
      <c r="Q68" s="17" t="s">
        <v>154</v>
      </c>
      <c r="R68" s="18" t="s">
        <v>154</v>
      </c>
    </row>
    <row r="69" spans="1:18" x14ac:dyDescent="0.25">
      <c r="A69" s="11" t="s">
        <v>202</v>
      </c>
      <c r="B69" s="17" t="s">
        <v>154</v>
      </c>
      <c r="C69" s="17" t="s">
        <v>154</v>
      </c>
      <c r="D69" s="18" t="s">
        <v>154</v>
      </c>
      <c r="E69" s="17" t="s">
        <v>154</v>
      </c>
      <c r="F69" s="18" t="s">
        <v>154</v>
      </c>
      <c r="G69" s="17" t="s">
        <v>154</v>
      </c>
      <c r="H69" s="18" t="s">
        <v>154</v>
      </c>
      <c r="I69" s="17" t="s">
        <v>154</v>
      </c>
      <c r="J69" s="18" t="s">
        <v>154</v>
      </c>
      <c r="K69" s="17" t="s">
        <v>154</v>
      </c>
      <c r="L69" s="18" t="s">
        <v>154</v>
      </c>
      <c r="M69" s="17" t="s">
        <v>154</v>
      </c>
      <c r="N69" s="18" t="s">
        <v>154</v>
      </c>
      <c r="O69" s="17" t="s">
        <v>154</v>
      </c>
      <c r="P69" s="18" t="s">
        <v>154</v>
      </c>
      <c r="Q69" s="17" t="s">
        <v>154</v>
      </c>
      <c r="R69" s="18" t="s">
        <v>154</v>
      </c>
    </row>
    <row r="70" spans="1:18" x14ac:dyDescent="0.25">
      <c r="A70" s="11" t="s">
        <v>203</v>
      </c>
      <c r="B70" s="13">
        <v>6036</v>
      </c>
      <c r="C70" s="14">
        <f>(5082/B70*100)</f>
        <v>84.194831013916499</v>
      </c>
      <c r="D70" s="15">
        <v>954</v>
      </c>
      <c r="E70" s="14">
        <v>54.904967829999997</v>
      </c>
      <c r="F70" s="16">
        <v>1.9210176800000001</v>
      </c>
      <c r="G70" s="14">
        <v>45.095032170000003</v>
      </c>
      <c r="H70" s="16">
        <v>1.9210176800000001</v>
      </c>
      <c r="I70" s="14" t="s">
        <v>139</v>
      </c>
      <c r="J70" s="16" t="s">
        <v>139</v>
      </c>
      <c r="K70" s="14">
        <v>0</v>
      </c>
      <c r="L70" s="16">
        <v>0</v>
      </c>
      <c r="M70" s="14">
        <v>0</v>
      </c>
      <c r="N70" s="16">
        <v>0</v>
      </c>
      <c r="O70" s="14">
        <v>0</v>
      </c>
      <c r="P70" s="16">
        <v>0</v>
      </c>
      <c r="Q70" s="14">
        <v>0</v>
      </c>
      <c r="R70" s="16">
        <v>0</v>
      </c>
    </row>
    <row r="71" spans="1:18" x14ac:dyDescent="0.25">
      <c r="A71" s="11" t="s">
        <v>204</v>
      </c>
      <c r="B71" s="17" t="s">
        <v>154</v>
      </c>
      <c r="C71" s="17" t="s">
        <v>154</v>
      </c>
      <c r="D71" s="18" t="s">
        <v>154</v>
      </c>
      <c r="E71" s="17" t="s">
        <v>154</v>
      </c>
      <c r="F71" s="18" t="s">
        <v>154</v>
      </c>
      <c r="G71" s="17" t="s">
        <v>154</v>
      </c>
      <c r="H71" s="18" t="s">
        <v>154</v>
      </c>
      <c r="I71" s="17" t="s">
        <v>154</v>
      </c>
      <c r="J71" s="18" t="s">
        <v>154</v>
      </c>
      <c r="K71" s="17" t="s">
        <v>154</v>
      </c>
      <c r="L71" s="18" t="s">
        <v>154</v>
      </c>
      <c r="M71" s="17" t="s">
        <v>154</v>
      </c>
      <c r="N71" s="18" t="s">
        <v>154</v>
      </c>
      <c r="O71" s="17" t="s">
        <v>154</v>
      </c>
      <c r="P71" s="18" t="s">
        <v>154</v>
      </c>
      <c r="Q71" s="17" t="s">
        <v>154</v>
      </c>
      <c r="R71" s="18" t="s">
        <v>154</v>
      </c>
    </row>
    <row r="72" spans="1:18" x14ac:dyDescent="0.25">
      <c r="A72" s="11" t="s">
        <v>205</v>
      </c>
      <c r="B72" s="13">
        <v>7708</v>
      </c>
      <c r="C72" s="14">
        <f>(6398/B72*100)</f>
        <v>83.00467047223664</v>
      </c>
      <c r="D72" s="15">
        <v>1310</v>
      </c>
      <c r="E72" s="14">
        <v>25.634843020000002</v>
      </c>
      <c r="F72" s="16">
        <v>1.2397946500000001</v>
      </c>
      <c r="G72" s="14">
        <v>74.365156979999995</v>
      </c>
      <c r="H72" s="16">
        <v>1.2397946500000001</v>
      </c>
      <c r="I72" s="14" t="s">
        <v>139</v>
      </c>
      <c r="J72" s="16" t="s">
        <v>139</v>
      </c>
      <c r="K72" s="14">
        <v>0</v>
      </c>
      <c r="L72" s="16">
        <v>0</v>
      </c>
      <c r="M72" s="14">
        <v>0</v>
      </c>
      <c r="N72" s="16">
        <v>0</v>
      </c>
      <c r="O72" s="14">
        <v>0</v>
      </c>
      <c r="P72" s="16">
        <v>0</v>
      </c>
      <c r="Q72" s="14">
        <v>0</v>
      </c>
      <c r="R72" s="16">
        <v>0</v>
      </c>
    </row>
    <row r="73" spans="1:18" x14ac:dyDescent="0.25">
      <c r="A73" s="11" t="s">
        <v>206</v>
      </c>
      <c r="B73" s="13">
        <v>8249</v>
      </c>
      <c r="C73" s="14">
        <f>(7012/B73*100)</f>
        <v>85.004242938537999</v>
      </c>
      <c r="D73" s="15">
        <v>1237</v>
      </c>
      <c r="E73" s="14">
        <v>63.474405400000002</v>
      </c>
      <c r="F73" s="16">
        <v>1.8414216800000001</v>
      </c>
      <c r="G73" s="14">
        <v>36.525594599999998</v>
      </c>
      <c r="H73" s="16">
        <v>1.8414216800000001</v>
      </c>
      <c r="I73" s="14" t="s">
        <v>139</v>
      </c>
      <c r="J73" s="16" t="s">
        <v>139</v>
      </c>
      <c r="K73" s="14">
        <v>0</v>
      </c>
      <c r="L73" s="16">
        <v>0</v>
      </c>
      <c r="M73" s="14">
        <v>0</v>
      </c>
      <c r="N73" s="16">
        <v>0</v>
      </c>
      <c r="O73" s="14">
        <v>0</v>
      </c>
      <c r="P73" s="16">
        <v>0</v>
      </c>
      <c r="Q73" s="14">
        <v>0</v>
      </c>
      <c r="R73" s="16">
        <v>0</v>
      </c>
    </row>
    <row r="74" spans="1:18" x14ac:dyDescent="0.25">
      <c r="A74" s="11" t="s">
        <v>207</v>
      </c>
      <c r="B74" s="17" t="s">
        <v>154</v>
      </c>
      <c r="C74" s="17" t="s">
        <v>154</v>
      </c>
      <c r="D74" s="18" t="s">
        <v>154</v>
      </c>
      <c r="E74" s="17" t="s">
        <v>154</v>
      </c>
      <c r="F74" s="18" t="s">
        <v>154</v>
      </c>
      <c r="G74" s="17" t="s">
        <v>154</v>
      </c>
      <c r="H74" s="18" t="s">
        <v>154</v>
      </c>
      <c r="I74" s="17" t="s">
        <v>154</v>
      </c>
      <c r="J74" s="18" t="s">
        <v>154</v>
      </c>
      <c r="K74" s="17" t="s">
        <v>154</v>
      </c>
      <c r="L74" s="18" t="s">
        <v>154</v>
      </c>
      <c r="M74" s="17" t="s">
        <v>154</v>
      </c>
      <c r="N74" s="18" t="s">
        <v>154</v>
      </c>
      <c r="O74" s="17" t="s">
        <v>154</v>
      </c>
      <c r="P74" s="18" t="s">
        <v>154</v>
      </c>
      <c r="Q74" s="17" t="s">
        <v>154</v>
      </c>
      <c r="R74" s="18" t="s">
        <v>154</v>
      </c>
    </row>
    <row r="75" spans="1:18" x14ac:dyDescent="0.25">
      <c r="A75" s="11" t="s">
        <v>208</v>
      </c>
      <c r="B75" s="13">
        <v>5375</v>
      </c>
      <c r="C75" s="14">
        <f>(4627/B75*100)</f>
        <v>86.083720930232559</v>
      </c>
      <c r="D75" s="15">
        <v>748</v>
      </c>
      <c r="E75" s="14">
        <v>81.343818970000001</v>
      </c>
      <c r="F75" s="16">
        <v>1.3180302800000001</v>
      </c>
      <c r="G75" s="14">
        <v>18.656181029999999</v>
      </c>
      <c r="H75" s="16">
        <v>1.3180302800000001</v>
      </c>
      <c r="I75" s="14" t="s">
        <v>139</v>
      </c>
      <c r="J75" s="16" t="s">
        <v>139</v>
      </c>
      <c r="K75" s="14">
        <v>0</v>
      </c>
      <c r="L75" s="16">
        <v>0</v>
      </c>
      <c r="M75" s="14">
        <v>0</v>
      </c>
      <c r="N75" s="16">
        <v>0</v>
      </c>
      <c r="O75" s="14">
        <v>0</v>
      </c>
      <c r="P75" s="16">
        <v>0</v>
      </c>
      <c r="Q75" s="14">
        <v>0</v>
      </c>
      <c r="R75" s="16">
        <v>0</v>
      </c>
    </row>
    <row r="76" spans="1:18" x14ac:dyDescent="0.25">
      <c r="A76" s="11" t="s">
        <v>209</v>
      </c>
      <c r="B76" s="13">
        <v>14167</v>
      </c>
      <c r="C76" s="14">
        <f>(11765/B76*100)</f>
        <v>83.045104821063035</v>
      </c>
      <c r="D76" s="15">
        <v>2402</v>
      </c>
      <c r="E76" s="14">
        <v>64.216373270000005</v>
      </c>
      <c r="F76" s="16">
        <v>1.20870166</v>
      </c>
      <c r="G76" s="14">
        <v>35.783626730000002</v>
      </c>
      <c r="H76" s="16">
        <v>1.20870166</v>
      </c>
      <c r="I76" s="14" t="s">
        <v>139</v>
      </c>
      <c r="J76" s="16" t="s">
        <v>139</v>
      </c>
      <c r="K76" s="14">
        <v>0</v>
      </c>
      <c r="L76" s="16">
        <v>0</v>
      </c>
      <c r="M76" s="14">
        <v>0</v>
      </c>
      <c r="N76" s="16">
        <v>0</v>
      </c>
      <c r="O76" s="14">
        <v>0</v>
      </c>
      <c r="P76" s="16">
        <v>0</v>
      </c>
      <c r="Q76" s="14">
        <v>0</v>
      </c>
      <c r="R76" s="16">
        <v>0</v>
      </c>
    </row>
    <row r="77" spans="1:18" x14ac:dyDescent="0.25">
      <c r="A77" s="11" t="s">
        <v>210</v>
      </c>
      <c r="B77" s="13">
        <v>6062</v>
      </c>
      <c r="C77" s="14">
        <f>(5128/B77*100)</f>
        <v>84.592543714945563</v>
      </c>
      <c r="D77" s="15">
        <v>934</v>
      </c>
      <c r="E77" s="14">
        <v>55.0048575</v>
      </c>
      <c r="F77" s="16">
        <v>1.8797968700000001</v>
      </c>
      <c r="G77" s="14">
        <v>44.9951425</v>
      </c>
      <c r="H77" s="16">
        <v>1.8797968700000001</v>
      </c>
      <c r="I77" s="14" t="s">
        <v>139</v>
      </c>
      <c r="J77" s="16" t="s">
        <v>139</v>
      </c>
      <c r="K77" s="14">
        <v>0</v>
      </c>
      <c r="L77" s="16">
        <v>0</v>
      </c>
      <c r="M77" s="14">
        <v>0</v>
      </c>
      <c r="N77" s="16">
        <v>0</v>
      </c>
      <c r="O77" s="14">
        <v>0</v>
      </c>
      <c r="P77" s="16">
        <v>0</v>
      </c>
      <c r="Q77" s="14">
        <v>0</v>
      </c>
      <c r="R77" s="16">
        <v>0</v>
      </c>
    </row>
    <row r="78" spans="1:18" x14ac:dyDescent="0.25">
      <c r="A78" s="11" t="s">
        <v>211</v>
      </c>
      <c r="B78" s="17" t="s">
        <v>154</v>
      </c>
      <c r="C78" s="17" t="s">
        <v>154</v>
      </c>
      <c r="D78" s="18" t="s">
        <v>154</v>
      </c>
      <c r="E78" s="17" t="s">
        <v>154</v>
      </c>
      <c r="F78" s="18" t="s">
        <v>154</v>
      </c>
      <c r="G78" s="17" t="s">
        <v>154</v>
      </c>
      <c r="H78" s="18" t="s">
        <v>154</v>
      </c>
      <c r="I78" s="17" t="s">
        <v>154</v>
      </c>
      <c r="J78" s="18" t="s">
        <v>154</v>
      </c>
      <c r="K78" s="17" t="s">
        <v>154</v>
      </c>
      <c r="L78" s="18" t="s">
        <v>154</v>
      </c>
      <c r="M78" s="17" t="s">
        <v>154</v>
      </c>
      <c r="N78" s="18" t="s">
        <v>154</v>
      </c>
      <c r="O78" s="17" t="s">
        <v>154</v>
      </c>
      <c r="P78" s="18" t="s">
        <v>154</v>
      </c>
      <c r="Q78" s="17" t="s">
        <v>154</v>
      </c>
      <c r="R78" s="18" t="s">
        <v>154</v>
      </c>
    </row>
    <row r="79" spans="1:18" ht="24.95" customHeight="1" x14ac:dyDescent="0.25">
      <c r="A79" s="11" t="s">
        <v>212</v>
      </c>
      <c r="B79" s="17" t="s">
        <v>154</v>
      </c>
      <c r="C79" s="17" t="s">
        <v>154</v>
      </c>
      <c r="D79" s="18" t="s">
        <v>154</v>
      </c>
      <c r="E79" s="17" t="s">
        <v>154</v>
      </c>
      <c r="F79" s="18" t="s">
        <v>154</v>
      </c>
      <c r="G79" s="17" t="s">
        <v>154</v>
      </c>
      <c r="H79" s="18" t="s">
        <v>154</v>
      </c>
      <c r="I79" s="17" t="s">
        <v>154</v>
      </c>
      <c r="J79" s="18" t="s">
        <v>154</v>
      </c>
      <c r="K79" s="17" t="s">
        <v>154</v>
      </c>
      <c r="L79" s="18" t="s">
        <v>154</v>
      </c>
      <c r="M79" s="17" t="s">
        <v>154</v>
      </c>
      <c r="N79" s="18" t="s">
        <v>154</v>
      </c>
      <c r="O79" s="17" t="s">
        <v>154</v>
      </c>
      <c r="P79" s="18" t="s">
        <v>154</v>
      </c>
      <c r="Q79" s="17" t="s">
        <v>154</v>
      </c>
      <c r="R79" s="18" t="s">
        <v>154</v>
      </c>
    </row>
    <row r="80" spans="1:18" x14ac:dyDescent="0.25">
      <c r="A80" s="11" t="s">
        <v>213</v>
      </c>
      <c r="B80" s="17" t="s">
        <v>154</v>
      </c>
      <c r="C80" s="17" t="s">
        <v>154</v>
      </c>
      <c r="D80" s="18" t="s">
        <v>154</v>
      </c>
      <c r="E80" s="17" t="s">
        <v>154</v>
      </c>
      <c r="F80" s="18" t="s">
        <v>154</v>
      </c>
      <c r="G80" s="17" t="s">
        <v>154</v>
      </c>
      <c r="H80" s="18" t="s">
        <v>154</v>
      </c>
      <c r="I80" s="17" t="s">
        <v>154</v>
      </c>
      <c r="J80" s="18" t="s">
        <v>154</v>
      </c>
      <c r="K80" s="17" t="s">
        <v>154</v>
      </c>
      <c r="L80" s="18" t="s">
        <v>154</v>
      </c>
      <c r="M80" s="17" t="s">
        <v>154</v>
      </c>
      <c r="N80" s="18" t="s">
        <v>154</v>
      </c>
      <c r="O80" s="17" t="s">
        <v>154</v>
      </c>
      <c r="P80" s="18" t="s">
        <v>154</v>
      </c>
      <c r="Q80" s="17" t="s">
        <v>154</v>
      </c>
      <c r="R80" s="18" t="s">
        <v>154</v>
      </c>
    </row>
    <row r="81" spans="1:18" x14ac:dyDescent="0.25">
      <c r="A81" s="19" t="s">
        <v>214</v>
      </c>
      <c r="B81" s="13">
        <v>8861</v>
      </c>
      <c r="C81" s="14">
        <f>(7408/B81*100)</f>
        <v>83.602302223225365</v>
      </c>
      <c r="D81" s="15">
        <v>1453</v>
      </c>
      <c r="E81" s="14">
        <v>60.861153180000002</v>
      </c>
      <c r="F81" s="16">
        <v>1.7946767400000001</v>
      </c>
      <c r="G81" s="14">
        <v>39.138846819999998</v>
      </c>
      <c r="H81" s="16">
        <v>1.7946767400000001</v>
      </c>
      <c r="I81" s="14" t="s">
        <v>139</v>
      </c>
      <c r="J81" s="16" t="s">
        <v>139</v>
      </c>
      <c r="K81" s="14">
        <v>0</v>
      </c>
      <c r="L81" s="16">
        <v>0</v>
      </c>
      <c r="M81" s="14">
        <v>0</v>
      </c>
      <c r="N81" s="16">
        <v>0</v>
      </c>
      <c r="O81" s="14">
        <v>0</v>
      </c>
      <c r="P81" s="16">
        <v>0</v>
      </c>
      <c r="Q81" s="14">
        <v>0</v>
      </c>
      <c r="R81" s="16">
        <v>0</v>
      </c>
    </row>
    <row r="82" spans="1:18" x14ac:dyDescent="0.25">
      <c r="A82" s="20"/>
      <c r="B82" s="20" t="s">
        <v>215</v>
      </c>
      <c r="C82" s="20" t="s">
        <v>215</v>
      </c>
      <c r="D82" s="20" t="s">
        <v>215</v>
      </c>
      <c r="E82" s="20" t="s">
        <v>215</v>
      </c>
      <c r="F82" s="20" t="s">
        <v>215</v>
      </c>
      <c r="G82" s="20" t="s">
        <v>215</v>
      </c>
      <c r="H82" s="20" t="s">
        <v>215</v>
      </c>
      <c r="I82" s="20" t="s">
        <v>215</v>
      </c>
      <c r="J82" s="20" t="s">
        <v>215</v>
      </c>
      <c r="K82" s="20" t="s">
        <v>215</v>
      </c>
      <c r="L82" s="20" t="s">
        <v>215</v>
      </c>
      <c r="M82" s="20" t="s">
        <v>215</v>
      </c>
      <c r="N82" s="20" t="s">
        <v>215</v>
      </c>
      <c r="O82" s="20" t="s">
        <v>215</v>
      </c>
      <c r="P82" s="20" t="s">
        <v>215</v>
      </c>
      <c r="Q82" s="20" t="s">
        <v>215</v>
      </c>
      <c r="R82" s="20" t="s">
        <v>215</v>
      </c>
    </row>
    <row r="83" spans="1:18" x14ac:dyDescent="0.25">
      <c r="A83" s="3" t="s">
        <v>216</v>
      </c>
    </row>
    <row r="84" spans="1:18" x14ac:dyDescent="0.25">
      <c r="A84" s="22" t="s">
        <v>217</v>
      </c>
      <c r="B84" s="23"/>
      <c r="C84" s="23"/>
      <c r="D84" s="23"/>
      <c r="E84" s="23"/>
      <c r="F84" s="23"/>
      <c r="G84" s="23"/>
      <c r="H84" s="23"/>
      <c r="I84" s="23"/>
      <c r="J84" s="23"/>
      <c r="K84" s="23"/>
      <c r="L84" s="23"/>
      <c r="M84" s="23"/>
      <c r="N84" s="23"/>
      <c r="O84" s="23"/>
      <c r="P84" s="23"/>
      <c r="Q84" s="23"/>
      <c r="R84" s="23"/>
    </row>
    <row r="85" spans="1:18" x14ac:dyDescent="0.25">
      <c r="A85" s="22" t="s">
        <v>218</v>
      </c>
      <c r="B85" s="23"/>
      <c r="C85" s="23"/>
      <c r="D85" s="23"/>
      <c r="E85" s="23"/>
      <c r="F85" s="23"/>
      <c r="G85" s="23"/>
      <c r="H85" s="23"/>
      <c r="I85" s="23"/>
      <c r="J85" s="23"/>
      <c r="K85" s="23"/>
      <c r="L85" s="23"/>
      <c r="M85" s="23"/>
      <c r="N85" s="23"/>
      <c r="O85" s="23"/>
      <c r="P85" s="23"/>
      <c r="Q85" s="23"/>
      <c r="R85" s="23"/>
    </row>
    <row r="86" spans="1:18" ht="30" customHeight="1" x14ac:dyDescent="0.25">
      <c r="A86" s="22" t="s">
        <v>219</v>
      </c>
      <c r="B86" s="23"/>
      <c r="C86" s="23"/>
      <c r="D86" s="23"/>
      <c r="E86" s="23"/>
      <c r="F86" s="23"/>
      <c r="G86" s="23"/>
      <c r="H86" s="23"/>
      <c r="I86" s="23"/>
      <c r="J86" s="23"/>
      <c r="K86" s="23"/>
      <c r="L86" s="23"/>
      <c r="M86" s="23"/>
      <c r="N86" s="23"/>
      <c r="O86" s="23"/>
      <c r="P86" s="23"/>
      <c r="Q86" s="23"/>
      <c r="R86" s="23"/>
    </row>
    <row r="87" spans="1:18" ht="30" customHeight="1" x14ac:dyDescent="0.25">
      <c r="A87" s="22" t="s">
        <v>215</v>
      </c>
      <c r="B87" s="23"/>
      <c r="C87" s="23"/>
      <c r="D87" s="23"/>
      <c r="E87" s="23"/>
      <c r="F87" s="23"/>
      <c r="G87" s="23"/>
      <c r="H87" s="23"/>
      <c r="I87" s="23"/>
      <c r="J87" s="23"/>
      <c r="K87" s="23"/>
      <c r="L87" s="23"/>
      <c r="M87" s="23"/>
      <c r="N87" s="23"/>
      <c r="O87" s="23"/>
      <c r="P87" s="23"/>
      <c r="Q87" s="23"/>
      <c r="R87" s="23"/>
    </row>
    <row r="88" spans="1:18" ht="30" customHeight="1" x14ac:dyDescent="0.25">
      <c r="A88" s="22" t="s">
        <v>220</v>
      </c>
      <c r="B88" s="23"/>
      <c r="C88" s="23"/>
      <c r="D88" s="23"/>
      <c r="E88" s="23"/>
      <c r="F88" s="23"/>
      <c r="G88" s="23"/>
      <c r="H88" s="23"/>
      <c r="I88" s="23"/>
      <c r="J88" s="23"/>
      <c r="K88" s="23"/>
      <c r="L88" s="23"/>
      <c r="M88" s="23"/>
      <c r="N88" s="23"/>
      <c r="O88" s="23"/>
      <c r="P88" s="23"/>
      <c r="Q88" s="23"/>
      <c r="R88" s="23"/>
    </row>
    <row r="89" spans="1:18" ht="30" customHeight="1" x14ac:dyDescent="0.25">
      <c r="A89" s="22" t="s">
        <v>221</v>
      </c>
      <c r="B89" s="23"/>
      <c r="C89" s="23"/>
      <c r="D89" s="23"/>
      <c r="E89" s="23"/>
      <c r="F89" s="23"/>
      <c r="G89" s="23"/>
      <c r="H89" s="23"/>
      <c r="I89" s="23"/>
      <c r="J89" s="23"/>
      <c r="K89" s="23"/>
      <c r="L89" s="23"/>
      <c r="M89" s="23"/>
      <c r="N89" s="23"/>
      <c r="O89" s="23"/>
      <c r="P89" s="23"/>
      <c r="Q89" s="23"/>
      <c r="R89" s="23"/>
    </row>
    <row r="90" spans="1:18" ht="30" customHeight="1" x14ac:dyDescent="0.25">
      <c r="A90" s="22" t="s">
        <v>222</v>
      </c>
      <c r="B90" s="23"/>
      <c r="C90" s="23"/>
      <c r="D90" s="23"/>
      <c r="E90" s="23"/>
      <c r="F90" s="23"/>
      <c r="G90" s="23"/>
      <c r="H90" s="23"/>
      <c r="I90" s="23"/>
      <c r="J90" s="23"/>
      <c r="K90" s="23"/>
      <c r="L90" s="23"/>
      <c r="M90" s="23"/>
      <c r="N90" s="23"/>
      <c r="O90" s="23"/>
      <c r="P90" s="23"/>
      <c r="Q90" s="23"/>
      <c r="R90" s="23"/>
    </row>
    <row r="91" spans="1:18" ht="30" customHeight="1" x14ac:dyDescent="0.25">
      <c r="A91" s="22" t="s">
        <v>223</v>
      </c>
      <c r="B91" s="23"/>
      <c r="C91" s="23"/>
      <c r="D91" s="23"/>
      <c r="E91" s="23"/>
      <c r="F91" s="23"/>
      <c r="G91" s="23"/>
      <c r="H91" s="23"/>
      <c r="I91" s="23"/>
      <c r="J91" s="23"/>
      <c r="K91" s="23"/>
      <c r="L91" s="23"/>
      <c r="M91" s="23"/>
      <c r="N91" s="23"/>
      <c r="O91" s="23"/>
      <c r="P91" s="23"/>
      <c r="Q91" s="23"/>
      <c r="R91" s="23"/>
    </row>
    <row r="92" spans="1:18" ht="30" customHeight="1" x14ac:dyDescent="0.25">
      <c r="A92" s="22" t="s">
        <v>224</v>
      </c>
      <c r="B92" s="23"/>
      <c r="C92" s="23"/>
      <c r="D92" s="23"/>
      <c r="E92" s="23"/>
      <c r="F92" s="23"/>
      <c r="G92" s="23"/>
      <c r="H92" s="23"/>
      <c r="I92" s="23"/>
      <c r="J92" s="23"/>
      <c r="K92" s="23"/>
      <c r="L92" s="23"/>
      <c r="M92" s="23"/>
      <c r="N92" s="23"/>
      <c r="O92" s="23"/>
      <c r="P92" s="23"/>
      <c r="Q92" s="23"/>
      <c r="R92" s="23"/>
    </row>
    <row r="93" spans="1:18" ht="30" customHeight="1" x14ac:dyDescent="0.25">
      <c r="A93" s="22" t="s">
        <v>225</v>
      </c>
      <c r="B93" s="23"/>
      <c r="C93" s="23"/>
      <c r="D93" s="23"/>
      <c r="E93" s="23"/>
      <c r="F93" s="23"/>
      <c r="G93" s="23"/>
      <c r="H93" s="23"/>
      <c r="I93" s="23"/>
      <c r="J93" s="23"/>
      <c r="K93" s="23"/>
      <c r="L93" s="23"/>
      <c r="M93" s="23"/>
      <c r="N93" s="23"/>
      <c r="O93" s="23"/>
      <c r="P93" s="23"/>
      <c r="Q93" s="23"/>
      <c r="R93" s="23"/>
    </row>
    <row r="94" spans="1:18" ht="30" customHeight="1" x14ac:dyDescent="0.25">
      <c r="A94" s="22" t="s">
        <v>226</v>
      </c>
      <c r="B94" s="23"/>
      <c r="C94" s="23"/>
      <c r="D94" s="23"/>
      <c r="E94" s="23"/>
      <c r="F94" s="23"/>
      <c r="G94" s="23"/>
      <c r="H94" s="23"/>
      <c r="I94" s="23"/>
      <c r="J94" s="23"/>
      <c r="K94" s="23"/>
      <c r="L94" s="23"/>
      <c r="M94" s="23"/>
      <c r="N94" s="23"/>
      <c r="O94" s="23"/>
      <c r="P94" s="23"/>
      <c r="Q94" s="23"/>
      <c r="R94" s="23"/>
    </row>
    <row r="95" spans="1:18" ht="30" customHeight="1" x14ac:dyDescent="0.25">
      <c r="A95" s="22" t="s">
        <v>227</v>
      </c>
      <c r="B95" s="23"/>
      <c r="C95" s="23"/>
      <c r="D95" s="23"/>
      <c r="E95" s="23"/>
      <c r="F95" s="23"/>
      <c r="G95" s="23"/>
      <c r="H95" s="23"/>
      <c r="I95" s="23"/>
      <c r="J95" s="23"/>
      <c r="K95" s="23"/>
      <c r="L95" s="23"/>
      <c r="M95" s="23"/>
      <c r="N95" s="23"/>
      <c r="O95" s="23"/>
      <c r="P95" s="23"/>
      <c r="Q95" s="23"/>
      <c r="R95" s="23"/>
    </row>
    <row r="96" spans="1:18" ht="30" customHeight="1" x14ac:dyDescent="0.25">
      <c r="A96" s="22" t="s">
        <v>228</v>
      </c>
      <c r="B96" s="23"/>
      <c r="C96" s="23"/>
      <c r="D96" s="23"/>
      <c r="E96" s="23"/>
      <c r="F96" s="23"/>
      <c r="G96" s="23"/>
      <c r="H96" s="23"/>
      <c r="I96" s="23"/>
      <c r="J96" s="23"/>
      <c r="K96" s="23"/>
      <c r="L96" s="23"/>
      <c r="M96" s="23"/>
      <c r="N96" s="23"/>
      <c r="O96" s="23"/>
      <c r="P96" s="23"/>
      <c r="Q96" s="23"/>
      <c r="R96" s="23"/>
    </row>
  </sheetData>
  <mergeCells count="22">
    <mergeCell ref="O4:P4"/>
    <mergeCell ref="Q4:R4"/>
    <mergeCell ref="A1:R1"/>
    <mergeCell ref="A2:R2"/>
    <mergeCell ref="A84:R84"/>
    <mergeCell ref="E4:F4"/>
    <mergeCell ref="G4:H4"/>
    <mergeCell ref="I4:J4"/>
    <mergeCell ref="K4:L4"/>
    <mergeCell ref="M4:N4"/>
    <mergeCell ref="A85:R85"/>
    <mergeCell ref="A86:R86"/>
    <mergeCell ref="A87:R87"/>
    <mergeCell ref="A88:R88"/>
    <mergeCell ref="A89:R89"/>
    <mergeCell ref="A95:R95"/>
    <mergeCell ref="A96:R96"/>
    <mergeCell ref="A90:R90"/>
    <mergeCell ref="A91:R91"/>
    <mergeCell ref="A92:R92"/>
    <mergeCell ref="A93:R93"/>
    <mergeCell ref="A94:R94"/>
  </mergeCells>
  <pageMargins left="0.75" right="0.75" top="1" bottom="1" header="0.5" footer="0.5"/>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9"/>
  <dimension ref="A1:R96"/>
  <sheetViews>
    <sheetView zoomScale="80" workbookViewId="0">
      <pane xSplit="4" topLeftCell="E1" activePane="topRight" state="frozen"/>
      <selection sqref="A1:R1"/>
      <selection pane="topRight" sqref="A1:R1"/>
    </sheetView>
  </sheetViews>
  <sheetFormatPr defaultColWidth="11.42578125" defaultRowHeight="15" x14ac:dyDescent="0.25"/>
  <cols>
    <col min="1" max="1" width="50" customWidth="1"/>
  </cols>
  <sheetData>
    <row r="1" spans="1:18" x14ac:dyDescent="0.25">
      <c r="A1" s="26" t="s">
        <v>122</v>
      </c>
      <c r="B1" s="23"/>
      <c r="C1" s="23"/>
      <c r="D1" s="23"/>
      <c r="E1" s="23"/>
      <c r="F1" s="23"/>
      <c r="G1" s="23"/>
      <c r="H1" s="23"/>
      <c r="I1" s="23"/>
      <c r="J1" s="23"/>
      <c r="K1" s="23"/>
      <c r="L1" s="23"/>
      <c r="M1" s="23"/>
      <c r="N1" s="23"/>
      <c r="O1" s="23"/>
      <c r="P1" s="23"/>
      <c r="Q1" s="23"/>
      <c r="R1" s="23"/>
    </row>
    <row r="2" spans="1:18" x14ac:dyDescent="0.25">
      <c r="A2" s="27" t="s">
        <v>315</v>
      </c>
      <c r="B2" s="23"/>
      <c r="C2" s="23"/>
      <c r="D2" s="23"/>
      <c r="E2" s="23"/>
      <c r="F2" s="23"/>
      <c r="G2" s="23"/>
      <c r="H2" s="23"/>
      <c r="I2" s="23"/>
      <c r="J2" s="23"/>
      <c r="K2" s="23"/>
      <c r="L2" s="23"/>
      <c r="M2" s="23"/>
      <c r="N2" s="23"/>
      <c r="O2" s="23"/>
      <c r="P2" s="23"/>
      <c r="Q2" s="23"/>
      <c r="R2" s="23"/>
    </row>
    <row r="4" spans="1:18" ht="30" customHeight="1" x14ac:dyDescent="0.25">
      <c r="A4" s="4"/>
      <c r="B4" s="5" t="s">
        <v>123</v>
      </c>
      <c r="C4" s="5" t="s">
        <v>124</v>
      </c>
      <c r="D4" s="6" t="s">
        <v>123</v>
      </c>
      <c r="E4" s="24" t="s">
        <v>125</v>
      </c>
      <c r="F4" s="25"/>
      <c r="G4" s="24" t="s">
        <v>126</v>
      </c>
      <c r="H4" s="25"/>
      <c r="I4" s="24" t="s">
        <v>127</v>
      </c>
      <c r="J4" s="25"/>
      <c r="K4" s="24" t="s">
        <v>128</v>
      </c>
      <c r="L4" s="25"/>
      <c r="M4" s="24" t="s">
        <v>129</v>
      </c>
      <c r="N4" s="25"/>
      <c r="O4" s="24" t="s">
        <v>130</v>
      </c>
      <c r="P4" s="25"/>
      <c r="Q4" s="24" t="s">
        <v>131</v>
      </c>
      <c r="R4" s="25"/>
    </row>
    <row r="5" spans="1:18" x14ac:dyDescent="0.25">
      <c r="A5" s="7"/>
      <c r="B5" s="8" t="s">
        <v>132</v>
      </c>
      <c r="C5" s="8" t="s">
        <v>133</v>
      </c>
      <c r="D5" s="7" t="s">
        <v>134</v>
      </c>
      <c r="E5" s="8" t="s">
        <v>135</v>
      </c>
      <c r="F5" s="7" t="s">
        <v>136</v>
      </c>
      <c r="G5" s="8" t="s">
        <v>135</v>
      </c>
      <c r="H5" s="7" t="s">
        <v>136</v>
      </c>
      <c r="I5" s="8" t="s">
        <v>135</v>
      </c>
      <c r="J5" s="7" t="s">
        <v>136</v>
      </c>
      <c r="K5" s="8" t="s">
        <v>135</v>
      </c>
      <c r="L5" s="7" t="s">
        <v>136</v>
      </c>
      <c r="M5" s="8" t="s">
        <v>135</v>
      </c>
      <c r="N5" s="7" t="s">
        <v>136</v>
      </c>
      <c r="O5" s="8" t="s">
        <v>135</v>
      </c>
      <c r="P5" s="7" t="s">
        <v>136</v>
      </c>
      <c r="Q5" s="8" t="s">
        <v>135</v>
      </c>
      <c r="R5" s="7" t="s">
        <v>136</v>
      </c>
    </row>
    <row r="6" spans="1:18" x14ac:dyDescent="0.25">
      <c r="A6" s="9" t="s">
        <v>137</v>
      </c>
      <c r="B6" s="10"/>
      <c r="C6" s="10"/>
      <c r="D6" s="11"/>
      <c r="E6" s="10"/>
      <c r="F6" s="11"/>
      <c r="G6" s="10"/>
      <c r="H6" s="11"/>
      <c r="I6" s="10"/>
      <c r="J6" s="11"/>
      <c r="K6" s="10"/>
      <c r="L6" s="11"/>
      <c r="M6" s="10"/>
      <c r="N6" s="11"/>
      <c r="O6" s="10"/>
      <c r="P6" s="11"/>
      <c r="Q6" s="10"/>
      <c r="R6" s="12"/>
    </row>
    <row r="7" spans="1:18" x14ac:dyDescent="0.25">
      <c r="A7" s="11" t="s">
        <v>138</v>
      </c>
      <c r="B7" s="13">
        <v>14530</v>
      </c>
      <c r="C7" s="14">
        <f>(12273/B7*100)</f>
        <v>84.466620784583625</v>
      </c>
      <c r="D7" s="15">
        <v>2257</v>
      </c>
      <c r="E7" s="14">
        <v>26.131360789999999</v>
      </c>
      <c r="F7" s="16">
        <v>0.93365343999999995</v>
      </c>
      <c r="G7" s="14">
        <v>73.868639209999998</v>
      </c>
      <c r="H7" s="16">
        <v>0.93365343999999995</v>
      </c>
      <c r="I7" s="14" t="s">
        <v>139</v>
      </c>
      <c r="J7" s="16" t="s">
        <v>139</v>
      </c>
      <c r="K7" s="14">
        <v>0</v>
      </c>
      <c r="L7" s="16">
        <v>0</v>
      </c>
      <c r="M7" s="14">
        <v>0</v>
      </c>
      <c r="N7" s="16">
        <v>0</v>
      </c>
      <c r="O7" s="14">
        <v>0</v>
      </c>
      <c r="P7" s="16">
        <v>0</v>
      </c>
      <c r="Q7" s="14">
        <v>0</v>
      </c>
      <c r="R7" s="16">
        <v>0</v>
      </c>
    </row>
    <row r="8" spans="1:18" x14ac:dyDescent="0.25">
      <c r="A8" s="11" t="s">
        <v>140</v>
      </c>
      <c r="B8" s="13">
        <v>7007</v>
      </c>
      <c r="C8" s="14">
        <f>(5877/B8*100)</f>
        <v>83.873269587555299</v>
      </c>
      <c r="D8" s="15">
        <v>1130</v>
      </c>
      <c r="E8" s="14">
        <v>23.525218580000001</v>
      </c>
      <c r="F8" s="16">
        <v>1.5269422699999999</v>
      </c>
      <c r="G8" s="14">
        <v>76.474781419999999</v>
      </c>
      <c r="H8" s="16">
        <v>1.5269422699999999</v>
      </c>
      <c r="I8" s="14" t="s">
        <v>139</v>
      </c>
      <c r="J8" s="16" t="s">
        <v>139</v>
      </c>
      <c r="K8" s="14">
        <v>0</v>
      </c>
      <c r="L8" s="16">
        <v>0</v>
      </c>
      <c r="M8" s="14">
        <v>0</v>
      </c>
      <c r="N8" s="16">
        <v>0</v>
      </c>
      <c r="O8" s="14">
        <v>0</v>
      </c>
      <c r="P8" s="16">
        <v>0</v>
      </c>
      <c r="Q8" s="14">
        <v>0</v>
      </c>
      <c r="R8" s="16">
        <v>0</v>
      </c>
    </row>
    <row r="9" spans="1:18" x14ac:dyDescent="0.25">
      <c r="A9" s="11" t="s">
        <v>141</v>
      </c>
      <c r="B9" s="13">
        <v>9651</v>
      </c>
      <c r="C9" s="14">
        <f>(8191/B9*100)</f>
        <v>84.872033986115426</v>
      </c>
      <c r="D9" s="15">
        <v>1460</v>
      </c>
      <c r="E9" s="14">
        <v>25.494732970000001</v>
      </c>
      <c r="F9" s="16">
        <v>1.1851662199999999</v>
      </c>
      <c r="G9" s="14">
        <v>74.505267029999999</v>
      </c>
      <c r="H9" s="16">
        <v>1.1851662199999999</v>
      </c>
      <c r="I9" s="14" t="s">
        <v>139</v>
      </c>
      <c r="J9" s="16" t="s">
        <v>139</v>
      </c>
      <c r="K9" s="14">
        <v>0</v>
      </c>
      <c r="L9" s="16">
        <v>0</v>
      </c>
      <c r="M9" s="14">
        <v>0</v>
      </c>
      <c r="N9" s="16">
        <v>0</v>
      </c>
      <c r="O9" s="14">
        <v>0</v>
      </c>
      <c r="P9" s="16">
        <v>0</v>
      </c>
      <c r="Q9" s="14">
        <v>0</v>
      </c>
      <c r="R9" s="16">
        <v>0</v>
      </c>
    </row>
    <row r="10" spans="1:18" x14ac:dyDescent="0.25">
      <c r="A10" s="11" t="s">
        <v>142</v>
      </c>
      <c r="B10" s="13">
        <v>20058</v>
      </c>
      <c r="C10" s="14">
        <f>(16744/B10*100)</f>
        <v>83.477914049257151</v>
      </c>
      <c r="D10" s="15">
        <v>3314</v>
      </c>
      <c r="E10" s="14">
        <v>21.664792510000002</v>
      </c>
      <c r="F10" s="16">
        <v>1.08625555</v>
      </c>
      <c r="G10" s="14">
        <v>78.335207490000002</v>
      </c>
      <c r="H10" s="16">
        <v>1.08625555</v>
      </c>
      <c r="I10" s="14" t="s">
        <v>139</v>
      </c>
      <c r="J10" s="16" t="s">
        <v>139</v>
      </c>
      <c r="K10" s="14">
        <v>0</v>
      </c>
      <c r="L10" s="16">
        <v>0</v>
      </c>
      <c r="M10" s="14">
        <v>0</v>
      </c>
      <c r="N10" s="16">
        <v>0</v>
      </c>
      <c r="O10" s="14">
        <v>0</v>
      </c>
      <c r="P10" s="16">
        <v>0</v>
      </c>
      <c r="Q10" s="14">
        <v>0</v>
      </c>
      <c r="R10" s="16">
        <v>0</v>
      </c>
    </row>
    <row r="11" spans="1:18" x14ac:dyDescent="0.25">
      <c r="A11" s="11" t="s">
        <v>143</v>
      </c>
      <c r="B11" s="13">
        <v>7053</v>
      </c>
      <c r="C11" s="14">
        <f>(5950/B11*100)</f>
        <v>84.361264710052467</v>
      </c>
      <c r="D11" s="15">
        <v>1103</v>
      </c>
      <c r="E11" s="14">
        <v>24.409509450000002</v>
      </c>
      <c r="F11" s="16">
        <v>1.6176875100000001</v>
      </c>
      <c r="G11" s="14">
        <v>75.590490549999998</v>
      </c>
      <c r="H11" s="16">
        <v>1.6176875100000001</v>
      </c>
      <c r="I11" s="14" t="s">
        <v>139</v>
      </c>
      <c r="J11" s="16" t="s">
        <v>139</v>
      </c>
      <c r="K11" s="14">
        <v>0</v>
      </c>
      <c r="L11" s="16">
        <v>0</v>
      </c>
      <c r="M11" s="14">
        <v>0</v>
      </c>
      <c r="N11" s="16">
        <v>0</v>
      </c>
      <c r="O11" s="14">
        <v>0</v>
      </c>
      <c r="P11" s="16">
        <v>0</v>
      </c>
      <c r="Q11" s="14">
        <v>0</v>
      </c>
      <c r="R11" s="16">
        <v>0</v>
      </c>
    </row>
    <row r="12" spans="1:18" x14ac:dyDescent="0.25">
      <c r="A12" s="11" t="s">
        <v>144</v>
      </c>
      <c r="B12" s="13">
        <v>6894</v>
      </c>
      <c r="C12" s="14">
        <f>(5796/B12*100)</f>
        <v>84.073107049608353</v>
      </c>
      <c r="D12" s="15">
        <v>1098</v>
      </c>
      <c r="E12" s="14">
        <v>26.3574521</v>
      </c>
      <c r="F12" s="16">
        <v>1.5896054100000001</v>
      </c>
      <c r="G12" s="14">
        <v>73.642547899999997</v>
      </c>
      <c r="H12" s="16">
        <v>1.5896054100000001</v>
      </c>
      <c r="I12" s="14" t="s">
        <v>139</v>
      </c>
      <c r="J12" s="16" t="s">
        <v>139</v>
      </c>
      <c r="K12" s="14">
        <v>0</v>
      </c>
      <c r="L12" s="16">
        <v>0</v>
      </c>
      <c r="M12" s="14">
        <v>0</v>
      </c>
      <c r="N12" s="16">
        <v>0</v>
      </c>
      <c r="O12" s="14">
        <v>0</v>
      </c>
      <c r="P12" s="16">
        <v>0</v>
      </c>
      <c r="Q12" s="14">
        <v>0</v>
      </c>
      <c r="R12" s="16">
        <v>0</v>
      </c>
    </row>
    <row r="13" spans="1:18" x14ac:dyDescent="0.25">
      <c r="A13" s="11" t="s">
        <v>145</v>
      </c>
      <c r="B13" s="13">
        <v>7161</v>
      </c>
      <c r="C13" s="14">
        <f>(6096/B13*100)</f>
        <v>85.127775450356097</v>
      </c>
      <c r="D13" s="15">
        <v>1065</v>
      </c>
      <c r="E13" s="14">
        <v>16.921988039999999</v>
      </c>
      <c r="F13" s="16">
        <v>1.2931213800000001</v>
      </c>
      <c r="G13" s="14">
        <v>83.078011959999998</v>
      </c>
      <c r="H13" s="16">
        <v>1.2931213800000001</v>
      </c>
      <c r="I13" s="14" t="s">
        <v>139</v>
      </c>
      <c r="J13" s="16" t="s">
        <v>139</v>
      </c>
      <c r="K13" s="14">
        <v>0</v>
      </c>
      <c r="L13" s="16">
        <v>0</v>
      </c>
      <c r="M13" s="14">
        <v>0</v>
      </c>
      <c r="N13" s="16">
        <v>0</v>
      </c>
      <c r="O13" s="14">
        <v>0</v>
      </c>
      <c r="P13" s="16">
        <v>0</v>
      </c>
      <c r="Q13" s="14">
        <v>0</v>
      </c>
      <c r="R13" s="16">
        <v>0</v>
      </c>
    </row>
    <row r="14" spans="1:18" x14ac:dyDescent="0.25">
      <c r="A14" s="11" t="s">
        <v>146</v>
      </c>
      <c r="B14" s="13">
        <v>5587</v>
      </c>
      <c r="C14" s="14">
        <f>(4671/B14*100)</f>
        <v>83.604796849829967</v>
      </c>
      <c r="D14" s="15">
        <v>916</v>
      </c>
      <c r="E14" s="14">
        <v>19.013947569999999</v>
      </c>
      <c r="F14" s="16">
        <v>1.50676415</v>
      </c>
      <c r="G14" s="14">
        <v>80.986052430000001</v>
      </c>
      <c r="H14" s="16">
        <v>1.50676415</v>
      </c>
      <c r="I14" s="14" t="s">
        <v>139</v>
      </c>
      <c r="J14" s="16" t="s">
        <v>139</v>
      </c>
      <c r="K14" s="14">
        <v>0</v>
      </c>
      <c r="L14" s="16">
        <v>0</v>
      </c>
      <c r="M14" s="14">
        <v>0</v>
      </c>
      <c r="N14" s="16">
        <v>0</v>
      </c>
      <c r="O14" s="14">
        <v>0</v>
      </c>
      <c r="P14" s="16">
        <v>0</v>
      </c>
      <c r="Q14" s="14">
        <v>0</v>
      </c>
      <c r="R14" s="16">
        <v>0</v>
      </c>
    </row>
    <row r="15" spans="1:18" x14ac:dyDescent="0.25">
      <c r="A15" s="11" t="s">
        <v>147</v>
      </c>
      <c r="B15" s="13">
        <v>5882</v>
      </c>
      <c r="C15" s="14">
        <f>(4907/B15*100)</f>
        <v>83.424005440326425</v>
      </c>
      <c r="D15" s="15">
        <v>975</v>
      </c>
      <c r="E15" s="14">
        <v>16.423001790000001</v>
      </c>
      <c r="F15" s="16">
        <v>1.2467905399999999</v>
      </c>
      <c r="G15" s="14">
        <v>83.576998209999999</v>
      </c>
      <c r="H15" s="16">
        <v>1.2467905399999999</v>
      </c>
      <c r="I15" s="14" t="s">
        <v>139</v>
      </c>
      <c r="J15" s="16" t="s">
        <v>139</v>
      </c>
      <c r="K15" s="14">
        <v>0</v>
      </c>
      <c r="L15" s="16">
        <v>0</v>
      </c>
      <c r="M15" s="14">
        <v>0</v>
      </c>
      <c r="N15" s="16">
        <v>0</v>
      </c>
      <c r="O15" s="14">
        <v>0</v>
      </c>
      <c r="P15" s="16">
        <v>0</v>
      </c>
      <c r="Q15" s="14">
        <v>0</v>
      </c>
      <c r="R15" s="16">
        <v>0</v>
      </c>
    </row>
    <row r="16" spans="1:18" x14ac:dyDescent="0.25">
      <c r="A16" s="11" t="s">
        <v>148</v>
      </c>
      <c r="B16" s="13">
        <v>6108</v>
      </c>
      <c r="C16" s="14">
        <f>(5106/B16*100)</f>
        <v>83.59528487229862</v>
      </c>
      <c r="D16" s="15">
        <v>1002</v>
      </c>
      <c r="E16" s="14">
        <v>22.519168029999999</v>
      </c>
      <c r="F16" s="16">
        <v>1.4091468899999999</v>
      </c>
      <c r="G16" s="14">
        <v>77.480831969999997</v>
      </c>
      <c r="H16" s="16">
        <v>1.4091468899999999</v>
      </c>
      <c r="I16" s="14" t="s">
        <v>139</v>
      </c>
      <c r="J16" s="16" t="s">
        <v>139</v>
      </c>
      <c r="K16" s="14">
        <v>0</v>
      </c>
      <c r="L16" s="16">
        <v>0</v>
      </c>
      <c r="M16" s="14">
        <v>0</v>
      </c>
      <c r="N16" s="16">
        <v>0</v>
      </c>
      <c r="O16" s="14">
        <v>0</v>
      </c>
      <c r="P16" s="16">
        <v>0</v>
      </c>
      <c r="Q16" s="14">
        <v>0</v>
      </c>
      <c r="R16" s="16">
        <v>0</v>
      </c>
    </row>
    <row r="17" spans="1:18" x14ac:dyDescent="0.25">
      <c r="A17" s="11" t="s">
        <v>149</v>
      </c>
      <c r="B17" s="13">
        <v>6504</v>
      </c>
      <c r="C17" s="14">
        <f>(5484/B17*100)</f>
        <v>84.317343173431738</v>
      </c>
      <c r="D17" s="15">
        <v>1020</v>
      </c>
      <c r="E17" s="14">
        <v>18.863867249999998</v>
      </c>
      <c r="F17" s="16">
        <v>1.5902458100000001</v>
      </c>
      <c r="G17" s="14">
        <v>81.136132750000002</v>
      </c>
      <c r="H17" s="16">
        <v>1.5902458100000001</v>
      </c>
      <c r="I17" s="14" t="s">
        <v>139</v>
      </c>
      <c r="J17" s="16" t="s">
        <v>139</v>
      </c>
      <c r="K17" s="14">
        <v>0</v>
      </c>
      <c r="L17" s="16">
        <v>0</v>
      </c>
      <c r="M17" s="14">
        <v>0</v>
      </c>
      <c r="N17" s="16">
        <v>0</v>
      </c>
      <c r="O17" s="14">
        <v>0</v>
      </c>
      <c r="P17" s="16">
        <v>0</v>
      </c>
      <c r="Q17" s="14">
        <v>0</v>
      </c>
      <c r="R17" s="16">
        <v>0</v>
      </c>
    </row>
    <row r="18" spans="1:18" x14ac:dyDescent="0.25">
      <c r="A18" s="11" t="s">
        <v>150</v>
      </c>
      <c r="B18" s="13">
        <v>5532</v>
      </c>
      <c r="C18" s="14">
        <f>(4644/B18*100)</f>
        <v>83.947939262472886</v>
      </c>
      <c r="D18" s="15">
        <v>888</v>
      </c>
      <c r="E18" s="14">
        <v>30.104389600000001</v>
      </c>
      <c r="F18" s="16">
        <v>1.4962024599999999</v>
      </c>
      <c r="G18" s="14">
        <v>69.895610399999995</v>
      </c>
      <c r="H18" s="16">
        <v>1.4962024599999999</v>
      </c>
      <c r="I18" s="14" t="s">
        <v>139</v>
      </c>
      <c r="J18" s="16" t="s">
        <v>139</v>
      </c>
      <c r="K18" s="14">
        <v>0</v>
      </c>
      <c r="L18" s="16">
        <v>0</v>
      </c>
      <c r="M18" s="14">
        <v>0</v>
      </c>
      <c r="N18" s="16">
        <v>0</v>
      </c>
      <c r="O18" s="14">
        <v>0</v>
      </c>
      <c r="P18" s="16">
        <v>0</v>
      </c>
      <c r="Q18" s="14">
        <v>0</v>
      </c>
      <c r="R18" s="16">
        <v>0</v>
      </c>
    </row>
    <row r="19" spans="1:18" x14ac:dyDescent="0.25">
      <c r="A19" s="11" t="s">
        <v>151</v>
      </c>
      <c r="B19" s="13">
        <v>5658</v>
      </c>
      <c r="C19" s="14">
        <f>(4776/B19*100)</f>
        <v>84.411452810180279</v>
      </c>
      <c r="D19" s="15">
        <v>882</v>
      </c>
      <c r="E19" s="14">
        <v>22.939081300000002</v>
      </c>
      <c r="F19" s="16">
        <v>1.5171087999999999</v>
      </c>
      <c r="G19" s="14">
        <v>77.060918700000002</v>
      </c>
      <c r="H19" s="16">
        <v>1.5171087999999999</v>
      </c>
      <c r="I19" s="14" t="s">
        <v>139</v>
      </c>
      <c r="J19" s="16" t="s">
        <v>139</v>
      </c>
      <c r="K19" s="14">
        <v>0</v>
      </c>
      <c r="L19" s="16">
        <v>0</v>
      </c>
      <c r="M19" s="14">
        <v>0</v>
      </c>
      <c r="N19" s="16">
        <v>0</v>
      </c>
      <c r="O19" s="14">
        <v>0</v>
      </c>
      <c r="P19" s="16">
        <v>0</v>
      </c>
      <c r="Q19" s="14">
        <v>0</v>
      </c>
      <c r="R19" s="16">
        <v>0</v>
      </c>
    </row>
    <row r="20" spans="1:18" x14ac:dyDescent="0.25">
      <c r="A20" s="11" t="s">
        <v>152</v>
      </c>
      <c r="B20" s="13">
        <v>3371</v>
      </c>
      <c r="C20" s="14">
        <f>(2854/B20*100)</f>
        <v>84.663304657371697</v>
      </c>
      <c r="D20" s="15">
        <v>517</v>
      </c>
      <c r="E20" s="14">
        <v>20.936419489999999</v>
      </c>
      <c r="F20" s="16">
        <v>1.98581845</v>
      </c>
      <c r="G20" s="14">
        <v>79.063580509999994</v>
      </c>
      <c r="H20" s="16">
        <v>1.98581845</v>
      </c>
      <c r="I20" s="14" t="s">
        <v>139</v>
      </c>
      <c r="J20" s="16" t="s">
        <v>139</v>
      </c>
      <c r="K20" s="14">
        <v>0</v>
      </c>
      <c r="L20" s="16">
        <v>0</v>
      </c>
      <c r="M20" s="14">
        <v>0</v>
      </c>
      <c r="N20" s="16">
        <v>0</v>
      </c>
      <c r="O20" s="14">
        <v>0</v>
      </c>
      <c r="P20" s="16">
        <v>0</v>
      </c>
      <c r="Q20" s="14">
        <v>0</v>
      </c>
      <c r="R20" s="16">
        <v>0</v>
      </c>
    </row>
    <row r="21" spans="1:18" x14ac:dyDescent="0.25">
      <c r="A21" s="11" t="s">
        <v>153</v>
      </c>
      <c r="B21" s="17" t="s">
        <v>154</v>
      </c>
      <c r="C21" s="17" t="s">
        <v>154</v>
      </c>
      <c r="D21" s="18" t="s">
        <v>154</v>
      </c>
      <c r="E21" s="17" t="s">
        <v>154</v>
      </c>
      <c r="F21" s="18" t="s">
        <v>154</v>
      </c>
      <c r="G21" s="17" t="s">
        <v>154</v>
      </c>
      <c r="H21" s="18" t="s">
        <v>154</v>
      </c>
      <c r="I21" s="17" t="s">
        <v>154</v>
      </c>
      <c r="J21" s="18" t="s">
        <v>154</v>
      </c>
      <c r="K21" s="17" t="s">
        <v>154</v>
      </c>
      <c r="L21" s="18" t="s">
        <v>154</v>
      </c>
      <c r="M21" s="17" t="s">
        <v>154</v>
      </c>
      <c r="N21" s="18" t="s">
        <v>154</v>
      </c>
      <c r="O21" s="17" t="s">
        <v>154</v>
      </c>
      <c r="P21" s="18" t="s">
        <v>154</v>
      </c>
      <c r="Q21" s="17" t="s">
        <v>154</v>
      </c>
      <c r="R21" s="18" t="s">
        <v>154</v>
      </c>
    </row>
    <row r="22" spans="1:18" x14ac:dyDescent="0.25">
      <c r="A22" s="11" t="s">
        <v>155</v>
      </c>
      <c r="B22" s="13">
        <v>6598</v>
      </c>
      <c r="C22" s="14">
        <f>(5614/B22*100)</f>
        <v>85.086389815095487</v>
      </c>
      <c r="D22" s="15">
        <v>984</v>
      </c>
      <c r="E22" s="14">
        <v>32.20916656</v>
      </c>
      <c r="F22" s="16">
        <v>1.72968374</v>
      </c>
      <c r="G22" s="14">
        <v>67.79083344</v>
      </c>
      <c r="H22" s="16">
        <v>1.72968374</v>
      </c>
      <c r="I22" s="14" t="s">
        <v>139</v>
      </c>
      <c r="J22" s="16" t="s">
        <v>139</v>
      </c>
      <c r="K22" s="14">
        <v>0</v>
      </c>
      <c r="L22" s="16">
        <v>0</v>
      </c>
      <c r="M22" s="14">
        <v>0</v>
      </c>
      <c r="N22" s="16">
        <v>0</v>
      </c>
      <c r="O22" s="14">
        <v>0</v>
      </c>
      <c r="P22" s="16">
        <v>0</v>
      </c>
      <c r="Q22" s="14">
        <v>0</v>
      </c>
      <c r="R22" s="16">
        <v>0</v>
      </c>
    </row>
    <row r="23" spans="1:18" x14ac:dyDescent="0.25">
      <c r="A23" s="11" t="s">
        <v>156</v>
      </c>
      <c r="B23" s="13">
        <v>11583</v>
      </c>
      <c r="C23" s="14">
        <f>(9708/B23*100)</f>
        <v>83.812483812483819</v>
      </c>
      <c r="D23" s="15">
        <v>1875</v>
      </c>
      <c r="E23" s="14">
        <v>25.29306536</v>
      </c>
      <c r="F23" s="16">
        <v>1.7477876699999999</v>
      </c>
      <c r="G23" s="14">
        <v>74.70693464</v>
      </c>
      <c r="H23" s="16">
        <v>1.7477876699999999</v>
      </c>
      <c r="I23" s="14" t="s">
        <v>139</v>
      </c>
      <c r="J23" s="16" t="s">
        <v>139</v>
      </c>
      <c r="K23" s="14">
        <v>0</v>
      </c>
      <c r="L23" s="16">
        <v>0</v>
      </c>
      <c r="M23" s="14">
        <v>0</v>
      </c>
      <c r="N23" s="16">
        <v>0</v>
      </c>
      <c r="O23" s="14">
        <v>0</v>
      </c>
      <c r="P23" s="16">
        <v>0</v>
      </c>
      <c r="Q23" s="14">
        <v>0</v>
      </c>
      <c r="R23" s="16">
        <v>0</v>
      </c>
    </row>
    <row r="24" spans="1:18" x14ac:dyDescent="0.25">
      <c r="A24" s="11" t="s">
        <v>157</v>
      </c>
      <c r="B24" s="13">
        <v>6647</v>
      </c>
      <c r="C24" s="14">
        <f>(5510/B24*100)</f>
        <v>82.894538889724686</v>
      </c>
      <c r="D24" s="15">
        <v>1137</v>
      </c>
      <c r="E24" s="14">
        <v>19.427003599999999</v>
      </c>
      <c r="F24" s="16">
        <v>1.2677495000000001</v>
      </c>
      <c r="G24" s="14">
        <v>80.572996399999994</v>
      </c>
      <c r="H24" s="16">
        <v>1.2677495000000001</v>
      </c>
      <c r="I24" s="14" t="s">
        <v>139</v>
      </c>
      <c r="J24" s="16" t="s">
        <v>139</v>
      </c>
      <c r="K24" s="14">
        <v>0</v>
      </c>
      <c r="L24" s="16">
        <v>0</v>
      </c>
      <c r="M24" s="14">
        <v>0</v>
      </c>
      <c r="N24" s="16">
        <v>0</v>
      </c>
      <c r="O24" s="14">
        <v>0</v>
      </c>
      <c r="P24" s="16">
        <v>0</v>
      </c>
      <c r="Q24" s="14">
        <v>0</v>
      </c>
      <c r="R24" s="16">
        <v>0</v>
      </c>
    </row>
    <row r="25" spans="1:18" x14ac:dyDescent="0.25">
      <c r="A25" s="11" t="s">
        <v>158</v>
      </c>
      <c r="B25" s="13">
        <v>5581</v>
      </c>
      <c r="C25" s="14">
        <f>(4606/B25*100)</f>
        <v>82.530012542555099</v>
      </c>
      <c r="D25" s="15">
        <v>975</v>
      </c>
      <c r="E25" s="14">
        <v>30.723121460000002</v>
      </c>
      <c r="F25" s="16">
        <v>1.3908971299999999</v>
      </c>
      <c r="G25" s="14">
        <v>69.276878539999998</v>
      </c>
      <c r="H25" s="16">
        <v>1.3908971299999999</v>
      </c>
      <c r="I25" s="14" t="s">
        <v>139</v>
      </c>
      <c r="J25" s="16" t="s">
        <v>139</v>
      </c>
      <c r="K25" s="14">
        <v>0</v>
      </c>
      <c r="L25" s="16">
        <v>0</v>
      </c>
      <c r="M25" s="14">
        <v>0</v>
      </c>
      <c r="N25" s="16">
        <v>0</v>
      </c>
      <c r="O25" s="14">
        <v>0</v>
      </c>
      <c r="P25" s="16">
        <v>0</v>
      </c>
      <c r="Q25" s="14">
        <v>0</v>
      </c>
      <c r="R25" s="16">
        <v>0</v>
      </c>
    </row>
    <row r="26" spans="1:18" x14ac:dyDescent="0.25">
      <c r="A26" s="11" t="s">
        <v>159</v>
      </c>
      <c r="B26" s="13">
        <v>4869</v>
      </c>
      <c r="C26" s="14">
        <f>(4059/B26*100)</f>
        <v>83.364140480591502</v>
      </c>
      <c r="D26" s="15">
        <v>810</v>
      </c>
      <c r="E26" s="14">
        <v>20.7341981</v>
      </c>
      <c r="F26" s="16">
        <v>1.53275965</v>
      </c>
      <c r="G26" s="14">
        <v>79.2658019</v>
      </c>
      <c r="H26" s="16">
        <v>1.53275965</v>
      </c>
      <c r="I26" s="14" t="s">
        <v>139</v>
      </c>
      <c r="J26" s="16" t="s">
        <v>139</v>
      </c>
      <c r="K26" s="14">
        <v>0</v>
      </c>
      <c r="L26" s="16">
        <v>0</v>
      </c>
      <c r="M26" s="14">
        <v>0</v>
      </c>
      <c r="N26" s="16">
        <v>0</v>
      </c>
      <c r="O26" s="14">
        <v>0</v>
      </c>
      <c r="P26" s="16">
        <v>0</v>
      </c>
      <c r="Q26" s="14">
        <v>0</v>
      </c>
      <c r="R26" s="16">
        <v>0</v>
      </c>
    </row>
    <row r="27" spans="1:18" x14ac:dyDescent="0.25">
      <c r="A27" s="11" t="s">
        <v>160</v>
      </c>
      <c r="B27" s="13">
        <v>5299</v>
      </c>
      <c r="C27" s="14">
        <f>(4491/B27*100)</f>
        <v>84.751839969805616</v>
      </c>
      <c r="D27" s="15">
        <v>808</v>
      </c>
      <c r="E27" s="14">
        <v>24.641514919999999</v>
      </c>
      <c r="F27" s="16">
        <v>1.4793411299999999</v>
      </c>
      <c r="G27" s="14">
        <v>75.358485079999994</v>
      </c>
      <c r="H27" s="16">
        <v>1.4793411299999999</v>
      </c>
      <c r="I27" s="14" t="s">
        <v>139</v>
      </c>
      <c r="J27" s="16" t="s">
        <v>139</v>
      </c>
      <c r="K27" s="14">
        <v>0</v>
      </c>
      <c r="L27" s="16">
        <v>0</v>
      </c>
      <c r="M27" s="14">
        <v>0</v>
      </c>
      <c r="N27" s="16">
        <v>0</v>
      </c>
      <c r="O27" s="14">
        <v>0</v>
      </c>
      <c r="P27" s="16">
        <v>0</v>
      </c>
      <c r="Q27" s="14">
        <v>0</v>
      </c>
      <c r="R27" s="16">
        <v>0</v>
      </c>
    </row>
    <row r="28" spans="1:18" x14ac:dyDescent="0.25">
      <c r="A28" s="11" t="s">
        <v>161</v>
      </c>
      <c r="B28" s="13">
        <v>7568</v>
      </c>
      <c r="C28" s="14">
        <f>(6520/B28*100)</f>
        <v>86.152219873150102</v>
      </c>
      <c r="D28" s="15">
        <v>1048</v>
      </c>
      <c r="E28" s="14">
        <v>29.121209</v>
      </c>
      <c r="F28" s="16">
        <v>1.57813018</v>
      </c>
      <c r="G28" s="14">
        <v>70.878791000000007</v>
      </c>
      <c r="H28" s="16">
        <v>1.57813018</v>
      </c>
      <c r="I28" s="14" t="s">
        <v>139</v>
      </c>
      <c r="J28" s="16" t="s">
        <v>139</v>
      </c>
      <c r="K28" s="14">
        <v>0</v>
      </c>
      <c r="L28" s="16">
        <v>0</v>
      </c>
      <c r="M28" s="14">
        <v>0</v>
      </c>
      <c r="N28" s="16">
        <v>0</v>
      </c>
      <c r="O28" s="14">
        <v>0</v>
      </c>
      <c r="P28" s="16">
        <v>0</v>
      </c>
      <c r="Q28" s="14">
        <v>0</v>
      </c>
      <c r="R28" s="16">
        <v>0</v>
      </c>
    </row>
    <row r="29" spans="1:18" x14ac:dyDescent="0.25">
      <c r="A29" s="11" t="s">
        <v>162</v>
      </c>
      <c r="B29" s="13">
        <v>5385</v>
      </c>
      <c r="C29" s="14">
        <f>(4468/B29*100)</f>
        <v>82.971216341689882</v>
      </c>
      <c r="D29" s="15">
        <v>917</v>
      </c>
      <c r="E29" s="14">
        <v>27.042481179999999</v>
      </c>
      <c r="F29" s="16">
        <v>1.59309064</v>
      </c>
      <c r="G29" s="14">
        <v>72.957518820000004</v>
      </c>
      <c r="H29" s="16">
        <v>1.59309064</v>
      </c>
      <c r="I29" s="14" t="s">
        <v>139</v>
      </c>
      <c r="J29" s="16" t="s">
        <v>139</v>
      </c>
      <c r="K29" s="14">
        <v>0</v>
      </c>
      <c r="L29" s="16">
        <v>0</v>
      </c>
      <c r="M29" s="14">
        <v>0</v>
      </c>
      <c r="N29" s="16">
        <v>0</v>
      </c>
      <c r="O29" s="14">
        <v>0</v>
      </c>
      <c r="P29" s="16">
        <v>0</v>
      </c>
      <c r="Q29" s="14">
        <v>0</v>
      </c>
      <c r="R29" s="16">
        <v>0</v>
      </c>
    </row>
    <row r="30" spans="1:18" x14ac:dyDescent="0.25">
      <c r="A30" s="11" t="s">
        <v>163</v>
      </c>
      <c r="B30" s="13">
        <v>4520</v>
      </c>
      <c r="C30" s="14">
        <f>(3818/B30*100)</f>
        <v>84.469026548672559</v>
      </c>
      <c r="D30" s="15">
        <v>702</v>
      </c>
      <c r="E30" s="14">
        <v>22.508369729999998</v>
      </c>
      <c r="F30" s="16">
        <v>1.4351251599999999</v>
      </c>
      <c r="G30" s="14">
        <v>77.491630270000002</v>
      </c>
      <c r="H30" s="16">
        <v>1.4351251599999999</v>
      </c>
      <c r="I30" s="14" t="s">
        <v>139</v>
      </c>
      <c r="J30" s="16" t="s">
        <v>139</v>
      </c>
      <c r="K30" s="14">
        <v>0</v>
      </c>
      <c r="L30" s="16">
        <v>0</v>
      </c>
      <c r="M30" s="14">
        <v>0</v>
      </c>
      <c r="N30" s="16">
        <v>0</v>
      </c>
      <c r="O30" s="14">
        <v>0</v>
      </c>
      <c r="P30" s="16">
        <v>0</v>
      </c>
      <c r="Q30" s="14">
        <v>0</v>
      </c>
      <c r="R30" s="16">
        <v>0</v>
      </c>
    </row>
    <row r="31" spans="1:18" x14ac:dyDescent="0.25">
      <c r="A31" s="11" t="s">
        <v>164</v>
      </c>
      <c r="B31" s="13">
        <v>5456</v>
      </c>
      <c r="C31" s="14">
        <f>(4537/B31*100)</f>
        <v>83.156158357771261</v>
      </c>
      <c r="D31" s="15">
        <v>919</v>
      </c>
      <c r="E31" s="14">
        <v>18.726141120000001</v>
      </c>
      <c r="F31" s="16">
        <v>1.34999892</v>
      </c>
      <c r="G31" s="14">
        <v>81.273858880000006</v>
      </c>
      <c r="H31" s="16">
        <v>1.34999892</v>
      </c>
      <c r="I31" s="14" t="s">
        <v>139</v>
      </c>
      <c r="J31" s="16" t="s">
        <v>139</v>
      </c>
      <c r="K31" s="14">
        <v>0</v>
      </c>
      <c r="L31" s="16">
        <v>0</v>
      </c>
      <c r="M31" s="14">
        <v>0</v>
      </c>
      <c r="N31" s="16">
        <v>0</v>
      </c>
      <c r="O31" s="14">
        <v>0</v>
      </c>
      <c r="P31" s="16">
        <v>0</v>
      </c>
      <c r="Q31" s="14">
        <v>0</v>
      </c>
      <c r="R31" s="16">
        <v>0</v>
      </c>
    </row>
    <row r="32" spans="1:18" x14ac:dyDescent="0.25">
      <c r="A32" s="11" t="s">
        <v>165</v>
      </c>
      <c r="B32" s="17" t="s">
        <v>154</v>
      </c>
      <c r="C32" s="17" t="s">
        <v>154</v>
      </c>
      <c r="D32" s="18" t="s">
        <v>154</v>
      </c>
      <c r="E32" s="17" t="s">
        <v>154</v>
      </c>
      <c r="F32" s="18" t="s">
        <v>154</v>
      </c>
      <c r="G32" s="17" t="s">
        <v>154</v>
      </c>
      <c r="H32" s="18" t="s">
        <v>154</v>
      </c>
      <c r="I32" s="17" t="s">
        <v>154</v>
      </c>
      <c r="J32" s="18" t="s">
        <v>154</v>
      </c>
      <c r="K32" s="17" t="s">
        <v>154</v>
      </c>
      <c r="L32" s="18" t="s">
        <v>154</v>
      </c>
      <c r="M32" s="17" t="s">
        <v>154</v>
      </c>
      <c r="N32" s="18" t="s">
        <v>154</v>
      </c>
      <c r="O32" s="17" t="s">
        <v>154</v>
      </c>
      <c r="P32" s="18" t="s">
        <v>154</v>
      </c>
      <c r="Q32" s="17" t="s">
        <v>154</v>
      </c>
      <c r="R32" s="18" t="s">
        <v>154</v>
      </c>
    </row>
    <row r="33" spans="1:18" x14ac:dyDescent="0.25">
      <c r="A33" s="11" t="s">
        <v>166</v>
      </c>
      <c r="B33" s="13">
        <v>7325</v>
      </c>
      <c r="C33" s="14">
        <f>(6183/B33*100)</f>
        <v>84.409556313993178</v>
      </c>
      <c r="D33" s="15">
        <v>1142</v>
      </c>
      <c r="E33" s="14">
        <v>19.844627280000001</v>
      </c>
      <c r="F33" s="16">
        <v>1.2111139799999999</v>
      </c>
      <c r="G33" s="14">
        <v>80.155372720000003</v>
      </c>
      <c r="H33" s="16">
        <v>1.2111139799999999</v>
      </c>
      <c r="I33" s="14" t="s">
        <v>139</v>
      </c>
      <c r="J33" s="16" t="s">
        <v>139</v>
      </c>
      <c r="K33" s="14">
        <v>0</v>
      </c>
      <c r="L33" s="16">
        <v>0</v>
      </c>
      <c r="M33" s="14">
        <v>0</v>
      </c>
      <c r="N33" s="16">
        <v>0</v>
      </c>
      <c r="O33" s="14">
        <v>0</v>
      </c>
      <c r="P33" s="16">
        <v>0</v>
      </c>
      <c r="Q33" s="14">
        <v>0</v>
      </c>
      <c r="R33" s="16">
        <v>0</v>
      </c>
    </row>
    <row r="34" spans="1:18" x14ac:dyDescent="0.25">
      <c r="A34" s="11" t="s">
        <v>167</v>
      </c>
      <c r="B34" s="13">
        <v>6350</v>
      </c>
      <c r="C34" s="14">
        <f>(5404/B34*100)</f>
        <v>85.102362204724415</v>
      </c>
      <c r="D34" s="15">
        <v>946</v>
      </c>
      <c r="E34" s="14">
        <v>28.297414100000001</v>
      </c>
      <c r="F34" s="16">
        <v>1.58386202</v>
      </c>
      <c r="G34" s="14">
        <v>71.702585900000003</v>
      </c>
      <c r="H34" s="16">
        <v>1.58386202</v>
      </c>
      <c r="I34" s="14" t="s">
        <v>139</v>
      </c>
      <c r="J34" s="16" t="s">
        <v>139</v>
      </c>
      <c r="K34" s="14">
        <v>0</v>
      </c>
      <c r="L34" s="16">
        <v>0</v>
      </c>
      <c r="M34" s="14">
        <v>0</v>
      </c>
      <c r="N34" s="16">
        <v>0</v>
      </c>
      <c r="O34" s="14">
        <v>0</v>
      </c>
      <c r="P34" s="16">
        <v>0</v>
      </c>
      <c r="Q34" s="14">
        <v>0</v>
      </c>
      <c r="R34" s="16">
        <v>0</v>
      </c>
    </row>
    <row r="35" spans="1:18" x14ac:dyDescent="0.25">
      <c r="A35" s="11" t="s">
        <v>168</v>
      </c>
      <c r="B35" s="13">
        <v>6406</v>
      </c>
      <c r="C35" s="14">
        <f>(5350/B35*100)</f>
        <v>83.515454261629714</v>
      </c>
      <c r="D35" s="15">
        <v>1056</v>
      </c>
      <c r="E35" s="14">
        <v>28.257717499999998</v>
      </c>
      <c r="F35" s="16">
        <v>1.61722279</v>
      </c>
      <c r="G35" s="14">
        <v>71.742282500000002</v>
      </c>
      <c r="H35" s="16">
        <v>1.61722279</v>
      </c>
      <c r="I35" s="14" t="s">
        <v>139</v>
      </c>
      <c r="J35" s="16" t="s">
        <v>139</v>
      </c>
      <c r="K35" s="14">
        <v>0</v>
      </c>
      <c r="L35" s="16">
        <v>0</v>
      </c>
      <c r="M35" s="14">
        <v>0</v>
      </c>
      <c r="N35" s="16">
        <v>0</v>
      </c>
      <c r="O35" s="14">
        <v>0</v>
      </c>
      <c r="P35" s="16">
        <v>0</v>
      </c>
      <c r="Q35" s="14">
        <v>0</v>
      </c>
      <c r="R35" s="16">
        <v>0</v>
      </c>
    </row>
    <row r="36" spans="1:18" x14ac:dyDescent="0.25">
      <c r="A36" s="11" t="s">
        <v>169</v>
      </c>
      <c r="B36" s="13">
        <v>6736</v>
      </c>
      <c r="C36" s="14">
        <f>(5705/B36*100)</f>
        <v>84.694180522565318</v>
      </c>
      <c r="D36" s="15">
        <v>1031</v>
      </c>
      <c r="E36" s="14">
        <v>21.35088279</v>
      </c>
      <c r="F36" s="16">
        <v>1.3193483399999999</v>
      </c>
      <c r="G36" s="14">
        <v>78.64911721</v>
      </c>
      <c r="H36" s="16">
        <v>1.3193483399999999</v>
      </c>
      <c r="I36" s="14" t="s">
        <v>139</v>
      </c>
      <c r="J36" s="16" t="s">
        <v>139</v>
      </c>
      <c r="K36" s="14">
        <v>0</v>
      </c>
      <c r="L36" s="16">
        <v>0</v>
      </c>
      <c r="M36" s="14">
        <v>0</v>
      </c>
      <c r="N36" s="16">
        <v>0</v>
      </c>
      <c r="O36" s="14">
        <v>0</v>
      </c>
      <c r="P36" s="16">
        <v>0</v>
      </c>
      <c r="Q36" s="14">
        <v>0</v>
      </c>
      <c r="R36" s="16">
        <v>0</v>
      </c>
    </row>
    <row r="37" spans="1:18" x14ac:dyDescent="0.25">
      <c r="A37" s="11" t="s">
        <v>170</v>
      </c>
      <c r="B37" s="13">
        <v>5458</v>
      </c>
      <c r="C37" s="14">
        <f>(4588/B37*100)</f>
        <v>84.060095272993777</v>
      </c>
      <c r="D37" s="15">
        <v>870</v>
      </c>
      <c r="E37" s="14">
        <v>22.732253700000001</v>
      </c>
      <c r="F37" s="16">
        <v>1.6522107399999999</v>
      </c>
      <c r="G37" s="14">
        <v>77.267746299999999</v>
      </c>
      <c r="H37" s="16">
        <v>1.6522107399999999</v>
      </c>
      <c r="I37" s="14" t="s">
        <v>139</v>
      </c>
      <c r="J37" s="16" t="s">
        <v>139</v>
      </c>
      <c r="K37" s="14">
        <v>0</v>
      </c>
      <c r="L37" s="16">
        <v>0</v>
      </c>
      <c r="M37" s="14">
        <v>0</v>
      </c>
      <c r="N37" s="16">
        <v>0</v>
      </c>
      <c r="O37" s="14">
        <v>0</v>
      </c>
      <c r="P37" s="16">
        <v>0</v>
      </c>
      <c r="Q37" s="14">
        <v>0</v>
      </c>
      <c r="R37" s="16">
        <v>0</v>
      </c>
    </row>
    <row r="38" spans="1:18" x14ac:dyDescent="0.25">
      <c r="A38" s="11" t="s">
        <v>171</v>
      </c>
      <c r="B38" s="17" t="s">
        <v>154</v>
      </c>
      <c r="C38" s="17" t="s">
        <v>154</v>
      </c>
      <c r="D38" s="18" t="s">
        <v>154</v>
      </c>
      <c r="E38" s="17" t="s">
        <v>154</v>
      </c>
      <c r="F38" s="18" t="s">
        <v>154</v>
      </c>
      <c r="G38" s="17" t="s">
        <v>154</v>
      </c>
      <c r="H38" s="18" t="s">
        <v>154</v>
      </c>
      <c r="I38" s="17" t="s">
        <v>154</v>
      </c>
      <c r="J38" s="18" t="s">
        <v>154</v>
      </c>
      <c r="K38" s="17" t="s">
        <v>154</v>
      </c>
      <c r="L38" s="18" t="s">
        <v>154</v>
      </c>
      <c r="M38" s="17" t="s">
        <v>154</v>
      </c>
      <c r="N38" s="18" t="s">
        <v>154</v>
      </c>
      <c r="O38" s="17" t="s">
        <v>154</v>
      </c>
      <c r="P38" s="18" t="s">
        <v>154</v>
      </c>
      <c r="Q38" s="17" t="s">
        <v>154</v>
      </c>
      <c r="R38" s="18" t="s">
        <v>154</v>
      </c>
    </row>
    <row r="39" spans="1:18" x14ac:dyDescent="0.25">
      <c r="A39" s="11" t="s">
        <v>172</v>
      </c>
      <c r="B39" s="13">
        <v>5895</v>
      </c>
      <c r="C39" s="14">
        <f>(4865/B39*100)</f>
        <v>82.527565733672603</v>
      </c>
      <c r="D39" s="15">
        <v>1030</v>
      </c>
      <c r="E39" s="14">
        <v>0</v>
      </c>
      <c r="F39" s="16">
        <v>0</v>
      </c>
      <c r="G39" s="14">
        <v>0</v>
      </c>
      <c r="H39" s="16">
        <v>0</v>
      </c>
      <c r="I39" s="14" t="s">
        <v>139</v>
      </c>
      <c r="J39" s="16" t="s">
        <v>139</v>
      </c>
      <c r="K39" s="14">
        <v>0</v>
      </c>
      <c r="L39" s="16">
        <v>0</v>
      </c>
      <c r="M39" s="14">
        <v>100</v>
      </c>
      <c r="N39" s="16">
        <v>0</v>
      </c>
      <c r="O39" s="14">
        <v>0</v>
      </c>
      <c r="P39" s="16">
        <v>0</v>
      </c>
      <c r="Q39" s="14">
        <v>0</v>
      </c>
      <c r="R39" s="16">
        <v>0</v>
      </c>
    </row>
    <row r="40" spans="1:18" x14ac:dyDescent="0.25">
      <c r="A40" s="11" t="s">
        <v>173</v>
      </c>
      <c r="B40" s="13">
        <v>14157</v>
      </c>
      <c r="C40" s="14">
        <f>(11730/B40*100)</f>
        <v>82.856537401991943</v>
      </c>
      <c r="D40" s="15">
        <v>2427</v>
      </c>
      <c r="E40" s="14">
        <v>24.02337838</v>
      </c>
      <c r="F40" s="16">
        <v>1.17179214</v>
      </c>
      <c r="G40" s="14">
        <v>75.976621620000003</v>
      </c>
      <c r="H40" s="16">
        <v>1.17179214</v>
      </c>
      <c r="I40" s="14" t="s">
        <v>139</v>
      </c>
      <c r="J40" s="16" t="s">
        <v>139</v>
      </c>
      <c r="K40" s="14">
        <v>0</v>
      </c>
      <c r="L40" s="16">
        <v>0</v>
      </c>
      <c r="M40" s="14">
        <v>0</v>
      </c>
      <c r="N40" s="16">
        <v>0</v>
      </c>
      <c r="O40" s="14">
        <v>0</v>
      </c>
      <c r="P40" s="16">
        <v>0</v>
      </c>
      <c r="Q40" s="14">
        <v>0</v>
      </c>
      <c r="R40" s="16">
        <v>0</v>
      </c>
    </row>
    <row r="41" spans="1:18" x14ac:dyDescent="0.25">
      <c r="A41" s="11" t="s">
        <v>174</v>
      </c>
      <c r="B41" s="13">
        <v>5712</v>
      </c>
      <c r="C41" s="14">
        <f>(4814/B41*100)</f>
        <v>84.278711484593842</v>
      </c>
      <c r="D41" s="15">
        <v>898</v>
      </c>
      <c r="E41" s="14">
        <v>23.719595030000001</v>
      </c>
      <c r="F41" s="16">
        <v>1.5597447799999999</v>
      </c>
      <c r="G41" s="14">
        <v>76.280404970000006</v>
      </c>
      <c r="H41" s="16">
        <v>1.5597447799999999</v>
      </c>
      <c r="I41" s="14" t="s">
        <v>139</v>
      </c>
      <c r="J41" s="16" t="s">
        <v>139</v>
      </c>
      <c r="K41" s="14">
        <v>0</v>
      </c>
      <c r="L41" s="16">
        <v>0</v>
      </c>
      <c r="M41" s="14">
        <v>0</v>
      </c>
      <c r="N41" s="16">
        <v>0</v>
      </c>
      <c r="O41" s="14">
        <v>0</v>
      </c>
      <c r="P41" s="16">
        <v>0</v>
      </c>
      <c r="Q41" s="14">
        <v>0</v>
      </c>
      <c r="R41" s="16">
        <v>0</v>
      </c>
    </row>
    <row r="42" spans="1:18" x14ac:dyDescent="0.25">
      <c r="A42" s="11" t="s">
        <v>175</v>
      </c>
      <c r="B42" s="13">
        <f>IF(COUNT(B7:B41) &gt; 0, AVERAGE(B7:B41), "\u2014")</f>
        <v>7266.90625</v>
      </c>
      <c r="C42" s="14">
        <f>IF(COUNT(C7:C41) &gt; 0, AVERAGE(C7:C41), "—")</f>
        <v>84.026518828473272</v>
      </c>
      <c r="D42" s="15">
        <f>IF(COUNT(D7:D41) &gt; 0, AVERAGE(D7:D41), "—")</f>
        <v>1162.5625</v>
      </c>
      <c r="E42" s="14">
        <f>IF(COUNT(E7:E41) &gt; 0, AVERAGE(E7:E41), "—")</f>
        <v>22.936158415000008</v>
      </c>
      <c r="F42" s="16">
        <f>IF(COUNT(F7:F41) &gt; 0, SQRT(SUMSQ(F7:F41)/(COUNT(F7:F41)*COUNT(F7:F41)) ), "—")</f>
        <v>0.25642285334231874</v>
      </c>
      <c r="G42" s="14">
        <f>IF(COUNT(G7:G41) &gt; 0, AVERAGE(G7:G41), "—")</f>
        <v>73.938841585000006</v>
      </c>
      <c r="H42" s="16">
        <f>IF(COUNT(H7:H41) &gt; 0, SQRT(SUMSQ(H7:H41)/(COUNT(H7:H41)*COUNT(H7:H41)) ), "—")</f>
        <v>0.25642285334231874</v>
      </c>
      <c r="I42" s="14" t="str">
        <f>IF(COUNT(I7:I41) &gt; 0, AVERAGE(I7:I41), "—")</f>
        <v>—</v>
      </c>
      <c r="J42" s="16" t="str">
        <f>IF(COUNT(J7:J41) &gt; 0, SQRT(SUMSQ(J7:J41)/(COUNT(J7:J41)*COUNT(J7:J41)) ), "—")</f>
        <v>—</v>
      </c>
      <c r="K42" s="14">
        <f>IF(COUNT(K7:K41) &gt; 0, AVERAGE(K7:K41), "—")</f>
        <v>0</v>
      </c>
      <c r="L42" s="16">
        <f>IF(COUNT(L7:L41) &gt; 0, SQRT(SUMSQ(L7:L41)/(COUNT(L7:L41)*COUNT(L7:L41)) ), "—")</f>
        <v>0</v>
      </c>
      <c r="M42" s="14">
        <f>IF(COUNT(M7:M41) &gt; 0, AVERAGE(M7:M41), "—")</f>
        <v>3.125</v>
      </c>
      <c r="N42" s="16">
        <f>IF(COUNT(N7:N41) &gt; 0, SQRT(SUMSQ(N7:N41)/(COUNT(N7:N41)*COUNT(N7:N41)) ), "—")</f>
        <v>0</v>
      </c>
      <c r="O42" s="14">
        <f>IF(COUNT(O7:O41) &gt; 0, AVERAGE(O7:O41), "—")</f>
        <v>0</v>
      </c>
      <c r="P42" s="16">
        <f>IF(COUNT(P7:P41) &gt; 0, SQRT(SUMSQ(P7:P41)/(COUNT(P7:P41)*COUNT(P7:P41)) ), "—")</f>
        <v>0</v>
      </c>
      <c r="Q42" s="14">
        <f>IF(COUNT(Q7:Q41) &gt; 0, AVERAGE(Q7:Q41), "—")</f>
        <v>0</v>
      </c>
      <c r="R42" s="16">
        <f>IF(COUNT(R7:R41) &gt; 0, SQRT(SUMSQ(R7:R41)/(COUNT(R7:R41)*COUNT(R7:R41)) ), "—")</f>
        <v>0</v>
      </c>
    </row>
    <row r="43" spans="1:18" x14ac:dyDescent="0.25">
      <c r="A43" s="9" t="s">
        <v>176</v>
      </c>
      <c r="B43" s="10"/>
      <c r="C43" s="10"/>
      <c r="D43" s="11"/>
      <c r="E43" s="10"/>
      <c r="F43" s="11"/>
      <c r="G43" s="10"/>
      <c r="H43" s="11"/>
      <c r="I43" s="10"/>
      <c r="J43" s="11"/>
      <c r="K43" s="10"/>
      <c r="L43" s="11"/>
      <c r="M43" s="10"/>
      <c r="N43" s="11"/>
      <c r="O43" s="10"/>
      <c r="P43" s="11"/>
      <c r="Q43" s="10"/>
      <c r="R43" s="12"/>
    </row>
    <row r="44" spans="1:18" x14ac:dyDescent="0.25">
      <c r="A44" s="11" t="s">
        <v>177</v>
      </c>
      <c r="B44" s="17" t="s">
        <v>154</v>
      </c>
      <c r="C44" s="17" t="s">
        <v>154</v>
      </c>
      <c r="D44" s="18" t="s">
        <v>154</v>
      </c>
      <c r="E44" s="17" t="s">
        <v>154</v>
      </c>
      <c r="F44" s="18" t="s">
        <v>154</v>
      </c>
      <c r="G44" s="17" t="s">
        <v>154</v>
      </c>
      <c r="H44" s="18" t="s">
        <v>154</v>
      </c>
      <c r="I44" s="17" t="s">
        <v>154</v>
      </c>
      <c r="J44" s="18" t="s">
        <v>154</v>
      </c>
      <c r="K44" s="17" t="s">
        <v>154</v>
      </c>
      <c r="L44" s="18" t="s">
        <v>154</v>
      </c>
      <c r="M44" s="17" t="s">
        <v>154</v>
      </c>
      <c r="N44" s="18" t="s">
        <v>154</v>
      </c>
      <c r="O44" s="17" t="s">
        <v>154</v>
      </c>
      <c r="P44" s="18" t="s">
        <v>154</v>
      </c>
      <c r="Q44" s="17" t="s">
        <v>154</v>
      </c>
      <c r="R44" s="18" t="s">
        <v>154</v>
      </c>
    </row>
    <row r="45" spans="1:18" x14ac:dyDescent="0.25">
      <c r="A45" s="11" t="s">
        <v>178</v>
      </c>
      <c r="B45" s="17" t="s">
        <v>154</v>
      </c>
      <c r="C45" s="17" t="s">
        <v>154</v>
      </c>
      <c r="D45" s="18" t="s">
        <v>154</v>
      </c>
      <c r="E45" s="17" t="s">
        <v>154</v>
      </c>
      <c r="F45" s="18" t="s">
        <v>154</v>
      </c>
      <c r="G45" s="17" t="s">
        <v>154</v>
      </c>
      <c r="H45" s="18" t="s">
        <v>154</v>
      </c>
      <c r="I45" s="17" t="s">
        <v>154</v>
      </c>
      <c r="J45" s="18" t="s">
        <v>154</v>
      </c>
      <c r="K45" s="17" t="s">
        <v>154</v>
      </c>
      <c r="L45" s="18" t="s">
        <v>154</v>
      </c>
      <c r="M45" s="17" t="s">
        <v>154</v>
      </c>
      <c r="N45" s="18" t="s">
        <v>154</v>
      </c>
      <c r="O45" s="17" t="s">
        <v>154</v>
      </c>
      <c r="P45" s="18" t="s">
        <v>154</v>
      </c>
      <c r="Q45" s="17" t="s">
        <v>154</v>
      </c>
      <c r="R45" s="18" t="s">
        <v>154</v>
      </c>
    </row>
    <row r="46" spans="1:18" x14ac:dyDescent="0.25">
      <c r="A46" s="11" t="s">
        <v>179</v>
      </c>
      <c r="B46" s="13">
        <v>23141</v>
      </c>
      <c r="C46" s="14">
        <f>(20644/B46*100)</f>
        <v>89.209627933105736</v>
      </c>
      <c r="D46" s="15">
        <v>2497</v>
      </c>
      <c r="E46" s="14">
        <v>36.314158290000002</v>
      </c>
      <c r="F46" s="16">
        <v>1.2306846499999999</v>
      </c>
      <c r="G46" s="14">
        <v>63.685841709999998</v>
      </c>
      <c r="H46" s="16">
        <v>1.2306846499999999</v>
      </c>
      <c r="I46" s="14" t="s">
        <v>139</v>
      </c>
      <c r="J46" s="16" t="s">
        <v>139</v>
      </c>
      <c r="K46" s="14">
        <v>0</v>
      </c>
      <c r="L46" s="16">
        <v>0</v>
      </c>
      <c r="M46" s="14">
        <v>0</v>
      </c>
      <c r="N46" s="16">
        <v>0</v>
      </c>
      <c r="O46" s="14">
        <v>0</v>
      </c>
      <c r="P46" s="16">
        <v>0</v>
      </c>
      <c r="Q46" s="14">
        <v>0</v>
      </c>
      <c r="R46" s="16">
        <v>0</v>
      </c>
    </row>
    <row r="47" spans="1:18" x14ac:dyDescent="0.25">
      <c r="A47" s="11" t="s">
        <v>180</v>
      </c>
      <c r="B47" s="13">
        <v>5928</v>
      </c>
      <c r="C47" s="14">
        <f>(5035/B47*100)</f>
        <v>84.935897435897431</v>
      </c>
      <c r="D47" s="15">
        <v>893</v>
      </c>
      <c r="E47" s="14">
        <v>36.35325435</v>
      </c>
      <c r="F47" s="16">
        <v>1.65858967</v>
      </c>
      <c r="G47" s="14">
        <v>63.64674565</v>
      </c>
      <c r="H47" s="16">
        <v>1.65858967</v>
      </c>
      <c r="I47" s="14" t="s">
        <v>139</v>
      </c>
      <c r="J47" s="16" t="s">
        <v>139</v>
      </c>
      <c r="K47" s="14">
        <v>0</v>
      </c>
      <c r="L47" s="16">
        <v>0</v>
      </c>
      <c r="M47" s="14">
        <v>0</v>
      </c>
      <c r="N47" s="16">
        <v>0</v>
      </c>
      <c r="O47" s="14">
        <v>0</v>
      </c>
      <c r="P47" s="16">
        <v>0</v>
      </c>
      <c r="Q47" s="14">
        <v>0</v>
      </c>
      <c r="R47" s="16">
        <v>0</v>
      </c>
    </row>
    <row r="48" spans="1:18" x14ac:dyDescent="0.25">
      <c r="A48" s="11" t="s">
        <v>181</v>
      </c>
      <c r="B48" s="13">
        <v>9841</v>
      </c>
      <c r="C48" s="14">
        <f>(8177/B48*100)</f>
        <v>83.091149273447812</v>
      </c>
      <c r="D48" s="15">
        <v>1664</v>
      </c>
      <c r="E48" s="14">
        <v>23.957211019999999</v>
      </c>
      <c r="F48" s="16">
        <v>1.5174606100000001</v>
      </c>
      <c r="G48" s="14">
        <v>76.042788979999997</v>
      </c>
      <c r="H48" s="16">
        <v>1.5174606100000001</v>
      </c>
      <c r="I48" s="14" t="s">
        <v>139</v>
      </c>
      <c r="J48" s="16" t="s">
        <v>139</v>
      </c>
      <c r="K48" s="14">
        <v>0</v>
      </c>
      <c r="L48" s="16">
        <v>0</v>
      </c>
      <c r="M48" s="14">
        <v>0</v>
      </c>
      <c r="N48" s="16">
        <v>0</v>
      </c>
      <c r="O48" s="14">
        <v>0</v>
      </c>
      <c r="P48" s="16">
        <v>0</v>
      </c>
      <c r="Q48" s="14">
        <v>0</v>
      </c>
      <c r="R48" s="16">
        <v>0</v>
      </c>
    </row>
    <row r="49" spans="1:18" x14ac:dyDescent="0.25">
      <c r="A49" s="11" t="s">
        <v>182</v>
      </c>
      <c r="B49" s="17" t="s">
        <v>154</v>
      </c>
      <c r="C49" s="17" t="s">
        <v>154</v>
      </c>
      <c r="D49" s="18" t="s">
        <v>154</v>
      </c>
      <c r="E49" s="17" t="s">
        <v>154</v>
      </c>
      <c r="F49" s="18" t="s">
        <v>154</v>
      </c>
      <c r="G49" s="17" t="s">
        <v>154</v>
      </c>
      <c r="H49" s="18" t="s">
        <v>154</v>
      </c>
      <c r="I49" s="17" t="s">
        <v>154</v>
      </c>
      <c r="J49" s="18" t="s">
        <v>154</v>
      </c>
      <c r="K49" s="17" t="s">
        <v>154</v>
      </c>
      <c r="L49" s="18" t="s">
        <v>154</v>
      </c>
      <c r="M49" s="17" t="s">
        <v>154</v>
      </c>
      <c r="N49" s="18" t="s">
        <v>154</v>
      </c>
      <c r="O49" s="17" t="s">
        <v>154</v>
      </c>
      <c r="P49" s="18" t="s">
        <v>154</v>
      </c>
      <c r="Q49" s="17" t="s">
        <v>154</v>
      </c>
      <c r="R49" s="18" t="s">
        <v>154</v>
      </c>
    </row>
    <row r="50" spans="1:18" x14ac:dyDescent="0.25">
      <c r="A50" s="11" t="s">
        <v>183</v>
      </c>
      <c r="B50" s="13">
        <v>11795</v>
      </c>
      <c r="C50" s="14">
        <f>(10030/B50*100)</f>
        <v>85.036032217041125</v>
      </c>
      <c r="D50" s="15">
        <v>1765</v>
      </c>
      <c r="E50" s="14">
        <v>29.59620215</v>
      </c>
      <c r="F50" s="16">
        <v>1.4111560299999999</v>
      </c>
      <c r="G50" s="14">
        <v>70.403797850000004</v>
      </c>
      <c r="H50" s="16">
        <v>1.4111560299999999</v>
      </c>
      <c r="I50" s="14" t="s">
        <v>139</v>
      </c>
      <c r="J50" s="16" t="s">
        <v>139</v>
      </c>
      <c r="K50" s="14">
        <v>0</v>
      </c>
      <c r="L50" s="16">
        <v>0</v>
      </c>
      <c r="M50" s="14">
        <v>0</v>
      </c>
      <c r="N50" s="16">
        <v>0</v>
      </c>
      <c r="O50" s="14">
        <v>0</v>
      </c>
      <c r="P50" s="16">
        <v>0</v>
      </c>
      <c r="Q50" s="14">
        <v>0</v>
      </c>
      <c r="R50" s="16">
        <v>0</v>
      </c>
    </row>
    <row r="51" spans="1:18" x14ac:dyDescent="0.25">
      <c r="A51" s="11" t="s">
        <v>184</v>
      </c>
      <c r="B51" s="13">
        <v>6866</v>
      </c>
      <c r="C51" s="14">
        <f>(5964/B51*100)</f>
        <v>86.862802213807171</v>
      </c>
      <c r="D51" s="15">
        <v>902</v>
      </c>
      <c r="E51" s="14">
        <v>25.047277650000002</v>
      </c>
      <c r="F51" s="16">
        <v>1.5012929399999999</v>
      </c>
      <c r="G51" s="14">
        <v>74.952722350000002</v>
      </c>
      <c r="H51" s="16">
        <v>1.5012929399999999</v>
      </c>
      <c r="I51" s="14" t="s">
        <v>139</v>
      </c>
      <c r="J51" s="16" t="s">
        <v>139</v>
      </c>
      <c r="K51" s="14">
        <v>0</v>
      </c>
      <c r="L51" s="16">
        <v>0</v>
      </c>
      <c r="M51" s="14">
        <v>0</v>
      </c>
      <c r="N51" s="16">
        <v>0</v>
      </c>
      <c r="O51" s="14">
        <v>0</v>
      </c>
      <c r="P51" s="16">
        <v>0</v>
      </c>
      <c r="Q51" s="14">
        <v>0</v>
      </c>
      <c r="R51" s="16">
        <v>0</v>
      </c>
    </row>
    <row r="52" spans="1:18" x14ac:dyDescent="0.25">
      <c r="A52" s="11" t="s">
        <v>185</v>
      </c>
      <c r="B52" s="13">
        <v>5809</v>
      </c>
      <c r="C52" s="14">
        <f>(4863/B52*100)</f>
        <v>83.714925116198998</v>
      </c>
      <c r="D52" s="15">
        <v>946</v>
      </c>
      <c r="E52" s="14">
        <v>25.761838220000001</v>
      </c>
      <c r="F52" s="16">
        <v>1.34934333</v>
      </c>
      <c r="G52" s="14">
        <v>74.238161779999999</v>
      </c>
      <c r="H52" s="16">
        <v>1.34934333</v>
      </c>
      <c r="I52" s="14" t="s">
        <v>139</v>
      </c>
      <c r="J52" s="16" t="s">
        <v>139</v>
      </c>
      <c r="K52" s="14">
        <v>0</v>
      </c>
      <c r="L52" s="16">
        <v>0</v>
      </c>
      <c r="M52" s="14">
        <v>0</v>
      </c>
      <c r="N52" s="16">
        <v>0</v>
      </c>
      <c r="O52" s="14">
        <v>0</v>
      </c>
      <c r="P52" s="16">
        <v>0</v>
      </c>
      <c r="Q52" s="14">
        <v>0</v>
      </c>
      <c r="R52" s="16">
        <v>0</v>
      </c>
    </row>
    <row r="53" spans="1:18" x14ac:dyDescent="0.25">
      <c r="A53" s="11" t="s">
        <v>186</v>
      </c>
      <c r="B53" s="13">
        <v>5571</v>
      </c>
      <c r="C53" s="14">
        <f>(4653/B53*100)</f>
        <v>83.521809369951541</v>
      </c>
      <c r="D53" s="15">
        <v>918</v>
      </c>
      <c r="E53" s="14">
        <v>39.601005120000004</v>
      </c>
      <c r="F53" s="16">
        <v>1.65228095</v>
      </c>
      <c r="G53" s="14">
        <v>60.398994879999996</v>
      </c>
      <c r="H53" s="16">
        <v>1.65228095</v>
      </c>
      <c r="I53" s="14" t="s">
        <v>139</v>
      </c>
      <c r="J53" s="16" t="s">
        <v>139</v>
      </c>
      <c r="K53" s="14">
        <v>0</v>
      </c>
      <c r="L53" s="16">
        <v>0</v>
      </c>
      <c r="M53" s="14">
        <v>0</v>
      </c>
      <c r="N53" s="16">
        <v>0</v>
      </c>
      <c r="O53" s="14">
        <v>0</v>
      </c>
      <c r="P53" s="16">
        <v>0</v>
      </c>
      <c r="Q53" s="14">
        <v>0</v>
      </c>
      <c r="R53" s="16">
        <v>0</v>
      </c>
    </row>
    <row r="54" spans="1:18" x14ac:dyDescent="0.25">
      <c r="A54" s="11" t="s">
        <v>187</v>
      </c>
      <c r="B54" s="17" t="s">
        <v>154</v>
      </c>
      <c r="C54" s="17" t="s">
        <v>154</v>
      </c>
      <c r="D54" s="18" t="s">
        <v>154</v>
      </c>
      <c r="E54" s="17" t="s">
        <v>154</v>
      </c>
      <c r="F54" s="18" t="s">
        <v>154</v>
      </c>
      <c r="G54" s="17" t="s">
        <v>154</v>
      </c>
      <c r="H54" s="18" t="s">
        <v>154</v>
      </c>
      <c r="I54" s="17" t="s">
        <v>154</v>
      </c>
      <c r="J54" s="18" t="s">
        <v>154</v>
      </c>
      <c r="K54" s="17" t="s">
        <v>154</v>
      </c>
      <c r="L54" s="18" t="s">
        <v>154</v>
      </c>
      <c r="M54" s="17" t="s">
        <v>154</v>
      </c>
      <c r="N54" s="18" t="s">
        <v>154</v>
      </c>
      <c r="O54" s="17" t="s">
        <v>154</v>
      </c>
      <c r="P54" s="18" t="s">
        <v>154</v>
      </c>
      <c r="Q54" s="17" t="s">
        <v>154</v>
      </c>
      <c r="R54" s="18" t="s">
        <v>154</v>
      </c>
    </row>
    <row r="55" spans="1:18" x14ac:dyDescent="0.25">
      <c r="A55" s="11" t="s">
        <v>188</v>
      </c>
      <c r="B55" s="17" t="s">
        <v>154</v>
      </c>
      <c r="C55" s="17" t="s">
        <v>154</v>
      </c>
      <c r="D55" s="18" t="s">
        <v>154</v>
      </c>
      <c r="E55" s="17" t="s">
        <v>154</v>
      </c>
      <c r="F55" s="18" t="s">
        <v>154</v>
      </c>
      <c r="G55" s="17" t="s">
        <v>154</v>
      </c>
      <c r="H55" s="18" t="s">
        <v>154</v>
      </c>
      <c r="I55" s="17" t="s">
        <v>154</v>
      </c>
      <c r="J55" s="18" t="s">
        <v>154</v>
      </c>
      <c r="K55" s="17" t="s">
        <v>154</v>
      </c>
      <c r="L55" s="18" t="s">
        <v>154</v>
      </c>
      <c r="M55" s="17" t="s">
        <v>154</v>
      </c>
      <c r="N55" s="18" t="s">
        <v>154</v>
      </c>
      <c r="O55" s="17" t="s">
        <v>154</v>
      </c>
      <c r="P55" s="18" t="s">
        <v>154</v>
      </c>
      <c r="Q55" s="17" t="s">
        <v>154</v>
      </c>
      <c r="R55" s="18" t="s">
        <v>154</v>
      </c>
    </row>
    <row r="56" spans="1:18" x14ac:dyDescent="0.25">
      <c r="A56" s="11" t="s">
        <v>189</v>
      </c>
      <c r="B56" s="13">
        <v>5359</v>
      </c>
      <c r="C56" s="14">
        <f>(4430/B56*100)</f>
        <v>82.664676245568202</v>
      </c>
      <c r="D56" s="15">
        <v>929</v>
      </c>
      <c r="E56" s="14">
        <v>20.994280629999999</v>
      </c>
      <c r="F56" s="16">
        <v>1.5120952999999999</v>
      </c>
      <c r="G56" s="14">
        <v>79.005719369999994</v>
      </c>
      <c r="H56" s="16">
        <v>1.5120952999999999</v>
      </c>
      <c r="I56" s="14" t="s">
        <v>139</v>
      </c>
      <c r="J56" s="16" t="s">
        <v>139</v>
      </c>
      <c r="K56" s="14">
        <v>0</v>
      </c>
      <c r="L56" s="16">
        <v>0</v>
      </c>
      <c r="M56" s="14">
        <v>0</v>
      </c>
      <c r="N56" s="16">
        <v>0</v>
      </c>
      <c r="O56" s="14">
        <v>0</v>
      </c>
      <c r="P56" s="16">
        <v>0</v>
      </c>
      <c r="Q56" s="14">
        <v>0</v>
      </c>
      <c r="R56" s="16">
        <v>0</v>
      </c>
    </row>
    <row r="57" spans="1:18" x14ac:dyDescent="0.25">
      <c r="A57" s="11" t="s">
        <v>190</v>
      </c>
      <c r="B57" s="17" t="s">
        <v>154</v>
      </c>
      <c r="C57" s="17" t="s">
        <v>154</v>
      </c>
      <c r="D57" s="18" t="s">
        <v>154</v>
      </c>
      <c r="E57" s="17" t="s">
        <v>154</v>
      </c>
      <c r="F57" s="18" t="s">
        <v>154</v>
      </c>
      <c r="G57" s="17" t="s">
        <v>154</v>
      </c>
      <c r="H57" s="18" t="s">
        <v>154</v>
      </c>
      <c r="I57" s="17" t="s">
        <v>154</v>
      </c>
      <c r="J57" s="18" t="s">
        <v>154</v>
      </c>
      <c r="K57" s="17" t="s">
        <v>154</v>
      </c>
      <c r="L57" s="18" t="s">
        <v>154</v>
      </c>
      <c r="M57" s="17" t="s">
        <v>154</v>
      </c>
      <c r="N57" s="18" t="s">
        <v>154</v>
      </c>
      <c r="O57" s="17" t="s">
        <v>154</v>
      </c>
      <c r="P57" s="18" t="s">
        <v>154</v>
      </c>
      <c r="Q57" s="17" t="s">
        <v>154</v>
      </c>
      <c r="R57" s="18" t="s">
        <v>154</v>
      </c>
    </row>
    <row r="58" spans="1:18" x14ac:dyDescent="0.25">
      <c r="A58" s="11" t="s">
        <v>191</v>
      </c>
      <c r="B58" s="17" t="s">
        <v>154</v>
      </c>
      <c r="C58" s="17" t="s">
        <v>154</v>
      </c>
      <c r="D58" s="18" t="s">
        <v>154</v>
      </c>
      <c r="E58" s="17" t="s">
        <v>154</v>
      </c>
      <c r="F58" s="18" t="s">
        <v>154</v>
      </c>
      <c r="G58" s="17" t="s">
        <v>154</v>
      </c>
      <c r="H58" s="18" t="s">
        <v>154</v>
      </c>
      <c r="I58" s="17" t="s">
        <v>154</v>
      </c>
      <c r="J58" s="18" t="s">
        <v>154</v>
      </c>
      <c r="K58" s="17" t="s">
        <v>154</v>
      </c>
      <c r="L58" s="18" t="s">
        <v>154</v>
      </c>
      <c r="M58" s="17" t="s">
        <v>154</v>
      </c>
      <c r="N58" s="18" t="s">
        <v>154</v>
      </c>
      <c r="O58" s="17" t="s">
        <v>154</v>
      </c>
      <c r="P58" s="18" t="s">
        <v>154</v>
      </c>
      <c r="Q58" s="17" t="s">
        <v>154</v>
      </c>
      <c r="R58" s="18" t="s">
        <v>154</v>
      </c>
    </row>
    <row r="59" spans="1:18" x14ac:dyDescent="0.25">
      <c r="A59" s="11" t="s">
        <v>192</v>
      </c>
      <c r="B59" s="17" t="s">
        <v>154</v>
      </c>
      <c r="C59" s="17" t="s">
        <v>154</v>
      </c>
      <c r="D59" s="18" t="s">
        <v>154</v>
      </c>
      <c r="E59" s="17" t="s">
        <v>154</v>
      </c>
      <c r="F59" s="18" t="s">
        <v>154</v>
      </c>
      <c r="G59" s="17" t="s">
        <v>154</v>
      </c>
      <c r="H59" s="18" t="s">
        <v>154</v>
      </c>
      <c r="I59" s="17" t="s">
        <v>154</v>
      </c>
      <c r="J59" s="18" t="s">
        <v>154</v>
      </c>
      <c r="K59" s="17" t="s">
        <v>154</v>
      </c>
      <c r="L59" s="18" t="s">
        <v>154</v>
      </c>
      <c r="M59" s="17" t="s">
        <v>154</v>
      </c>
      <c r="N59" s="18" t="s">
        <v>154</v>
      </c>
      <c r="O59" s="17" t="s">
        <v>154</v>
      </c>
      <c r="P59" s="18" t="s">
        <v>154</v>
      </c>
      <c r="Q59" s="17" t="s">
        <v>154</v>
      </c>
      <c r="R59" s="18" t="s">
        <v>154</v>
      </c>
    </row>
    <row r="60" spans="1:18" x14ac:dyDescent="0.25">
      <c r="A60" s="11" t="s">
        <v>193</v>
      </c>
      <c r="B60" s="17" t="s">
        <v>154</v>
      </c>
      <c r="C60" s="17" t="s">
        <v>154</v>
      </c>
      <c r="D60" s="18" t="s">
        <v>154</v>
      </c>
      <c r="E60" s="17" t="s">
        <v>154</v>
      </c>
      <c r="F60" s="18" t="s">
        <v>154</v>
      </c>
      <c r="G60" s="17" t="s">
        <v>154</v>
      </c>
      <c r="H60" s="18" t="s">
        <v>154</v>
      </c>
      <c r="I60" s="17" t="s">
        <v>154</v>
      </c>
      <c r="J60" s="18" t="s">
        <v>154</v>
      </c>
      <c r="K60" s="17" t="s">
        <v>154</v>
      </c>
      <c r="L60" s="18" t="s">
        <v>154</v>
      </c>
      <c r="M60" s="17" t="s">
        <v>154</v>
      </c>
      <c r="N60" s="18" t="s">
        <v>154</v>
      </c>
      <c r="O60" s="17" t="s">
        <v>154</v>
      </c>
      <c r="P60" s="18" t="s">
        <v>154</v>
      </c>
      <c r="Q60" s="17" t="s">
        <v>154</v>
      </c>
      <c r="R60" s="18" t="s">
        <v>154</v>
      </c>
    </row>
    <row r="61" spans="1:18" x14ac:dyDescent="0.25">
      <c r="A61" s="11" t="s">
        <v>194</v>
      </c>
      <c r="B61" s="13">
        <v>6525</v>
      </c>
      <c r="C61" s="14">
        <f>(5465/B61*100)</f>
        <v>83.754789272030649</v>
      </c>
      <c r="D61" s="15">
        <v>1060</v>
      </c>
      <c r="E61" s="14">
        <v>28.231228380000001</v>
      </c>
      <c r="F61" s="16">
        <v>1.4690552699999999</v>
      </c>
      <c r="G61" s="14">
        <v>71.768771619999995</v>
      </c>
      <c r="H61" s="16">
        <v>1.4690552699999999</v>
      </c>
      <c r="I61" s="14" t="s">
        <v>139</v>
      </c>
      <c r="J61" s="16" t="s">
        <v>139</v>
      </c>
      <c r="K61" s="14">
        <v>0</v>
      </c>
      <c r="L61" s="16">
        <v>0</v>
      </c>
      <c r="M61" s="14">
        <v>0</v>
      </c>
      <c r="N61" s="16">
        <v>0</v>
      </c>
      <c r="O61" s="14">
        <v>0</v>
      </c>
      <c r="P61" s="16">
        <v>0</v>
      </c>
      <c r="Q61" s="14">
        <v>0</v>
      </c>
      <c r="R61" s="16">
        <v>0</v>
      </c>
    </row>
    <row r="62" spans="1:18" x14ac:dyDescent="0.25">
      <c r="A62" s="11" t="s">
        <v>195</v>
      </c>
      <c r="B62" s="13">
        <v>4476</v>
      </c>
      <c r="C62" s="14">
        <f>(3763/B62*100)</f>
        <v>84.070598748882929</v>
      </c>
      <c r="D62" s="15">
        <v>713</v>
      </c>
      <c r="E62" s="14">
        <v>21.437866840000002</v>
      </c>
      <c r="F62" s="16">
        <v>1.5177035000000001</v>
      </c>
      <c r="G62" s="14">
        <v>78.562133160000002</v>
      </c>
      <c r="H62" s="16">
        <v>1.5177035000000001</v>
      </c>
      <c r="I62" s="14" t="s">
        <v>139</v>
      </c>
      <c r="J62" s="16" t="s">
        <v>139</v>
      </c>
      <c r="K62" s="14">
        <v>0</v>
      </c>
      <c r="L62" s="16">
        <v>0</v>
      </c>
      <c r="M62" s="14">
        <v>0</v>
      </c>
      <c r="N62" s="16">
        <v>0</v>
      </c>
      <c r="O62" s="14">
        <v>0</v>
      </c>
      <c r="P62" s="16">
        <v>0</v>
      </c>
      <c r="Q62" s="14">
        <v>0</v>
      </c>
      <c r="R62" s="16">
        <v>0</v>
      </c>
    </row>
    <row r="63" spans="1:18" x14ac:dyDescent="0.25">
      <c r="A63" s="11" t="s">
        <v>196</v>
      </c>
      <c r="B63" s="17" t="s">
        <v>154</v>
      </c>
      <c r="C63" s="17" t="s">
        <v>154</v>
      </c>
      <c r="D63" s="18" t="s">
        <v>154</v>
      </c>
      <c r="E63" s="17" t="s">
        <v>154</v>
      </c>
      <c r="F63" s="18" t="s">
        <v>154</v>
      </c>
      <c r="G63" s="17" t="s">
        <v>154</v>
      </c>
      <c r="H63" s="18" t="s">
        <v>154</v>
      </c>
      <c r="I63" s="17" t="s">
        <v>154</v>
      </c>
      <c r="J63" s="18" t="s">
        <v>154</v>
      </c>
      <c r="K63" s="17" t="s">
        <v>154</v>
      </c>
      <c r="L63" s="18" t="s">
        <v>154</v>
      </c>
      <c r="M63" s="17" t="s">
        <v>154</v>
      </c>
      <c r="N63" s="18" t="s">
        <v>154</v>
      </c>
      <c r="O63" s="17" t="s">
        <v>154</v>
      </c>
      <c r="P63" s="18" t="s">
        <v>154</v>
      </c>
      <c r="Q63" s="17" t="s">
        <v>154</v>
      </c>
      <c r="R63" s="18" t="s">
        <v>154</v>
      </c>
    </row>
    <row r="64" spans="1:18" x14ac:dyDescent="0.25">
      <c r="A64" s="11" t="s">
        <v>197</v>
      </c>
      <c r="B64" s="17" t="s">
        <v>154</v>
      </c>
      <c r="C64" s="17" t="s">
        <v>154</v>
      </c>
      <c r="D64" s="18" t="s">
        <v>154</v>
      </c>
      <c r="E64" s="17" t="s">
        <v>154</v>
      </c>
      <c r="F64" s="18" t="s">
        <v>154</v>
      </c>
      <c r="G64" s="17" t="s">
        <v>154</v>
      </c>
      <c r="H64" s="18" t="s">
        <v>154</v>
      </c>
      <c r="I64" s="17" t="s">
        <v>154</v>
      </c>
      <c r="J64" s="18" t="s">
        <v>154</v>
      </c>
      <c r="K64" s="17" t="s">
        <v>154</v>
      </c>
      <c r="L64" s="18" t="s">
        <v>154</v>
      </c>
      <c r="M64" s="17" t="s">
        <v>154</v>
      </c>
      <c r="N64" s="18" t="s">
        <v>154</v>
      </c>
      <c r="O64" s="17" t="s">
        <v>154</v>
      </c>
      <c r="P64" s="18" t="s">
        <v>154</v>
      </c>
      <c r="Q64" s="17" t="s">
        <v>154</v>
      </c>
      <c r="R64" s="18" t="s">
        <v>154</v>
      </c>
    </row>
    <row r="65" spans="1:18" x14ac:dyDescent="0.25">
      <c r="A65" s="11" t="s">
        <v>198</v>
      </c>
      <c r="B65" s="17" t="s">
        <v>154</v>
      </c>
      <c r="C65" s="17" t="s">
        <v>154</v>
      </c>
      <c r="D65" s="18" t="s">
        <v>154</v>
      </c>
      <c r="E65" s="17" t="s">
        <v>154</v>
      </c>
      <c r="F65" s="18" t="s">
        <v>154</v>
      </c>
      <c r="G65" s="17" t="s">
        <v>154</v>
      </c>
      <c r="H65" s="18" t="s">
        <v>154</v>
      </c>
      <c r="I65" s="17" t="s">
        <v>154</v>
      </c>
      <c r="J65" s="18" t="s">
        <v>154</v>
      </c>
      <c r="K65" s="17" t="s">
        <v>154</v>
      </c>
      <c r="L65" s="18" t="s">
        <v>154</v>
      </c>
      <c r="M65" s="17" t="s">
        <v>154</v>
      </c>
      <c r="N65" s="18" t="s">
        <v>154</v>
      </c>
      <c r="O65" s="17" t="s">
        <v>154</v>
      </c>
      <c r="P65" s="18" t="s">
        <v>154</v>
      </c>
      <c r="Q65" s="17" t="s">
        <v>154</v>
      </c>
      <c r="R65" s="18" t="s">
        <v>154</v>
      </c>
    </row>
    <row r="66" spans="1:18" x14ac:dyDescent="0.25">
      <c r="A66" s="11" t="s">
        <v>199</v>
      </c>
      <c r="B66" s="13">
        <v>5665</v>
      </c>
      <c r="C66" s="14">
        <f>(4776/B66*100)</f>
        <v>84.307149161518097</v>
      </c>
      <c r="D66" s="15">
        <v>889</v>
      </c>
      <c r="E66" s="14">
        <v>38.367846640000003</v>
      </c>
      <c r="F66" s="16">
        <v>1.62216439</v>
      </c>
      <c r="G66" s="14">
        <v>61.632153359999997</v>
      </c>
      <c r="H66" s="16">
        <v>1.62216439</v>
      </c>
      <c r="I66" s="14" t="s">
        <v>139</v>
      </c>
      <c r="J66" s="16" t="s">
        <v>139</v>
      </c>
      <c r="K66" s="14">
        <v>0</v>
      </c>
      <c r="L66" s="16">
        <v>0</v>
      </c>
      <c r="M66" s="14">
        <v>0</v>
      </c>
      <c r="N66" s="16">
        <v>0</v>
      </c>
      <c r="O66" s="14">
        <v>0</v>
      </c>
      <c r="P66" s="16">
        <v>0</v>
      </c>
      <c r="Q66" s="14">
        <v>0</v>
      </c>
      <c r="R66" s="16">
        <v>0</v>
      </c>
    </row>
    <row r="67" spans="1:18" x14ac:dyDescent="0.25">
      <c r="A67" s="11" t="s">
        <v>200</v>
      </c>
      <c r="B67" s="13">
        <v>6971</v>
      </c>
      <c r="C67" s="14">
        <f>(6110/B67*100)</f>
        <v>87.648830870750245</v>
      </c>
      <c r="D67" s="15">
        <v>861</v>
      </c>
      <c r="E67" s="14">
        <v>28.44958097</v>
      </c>
      <c r="F67" s="16">
        <v>1.4442448999999999</v>
      </c>
      <c r="G67" s="14">
        <v>71.55041903</v>
      </c>
      <c r="H67" s="16">
        <v>1.4442448999999999</v>
      </c>
      <c r="I67" s="14" t="s">
        <v>139</v>
      </c>
      <c r="J67" s="16" t="s">
        <v>139</v>
      </c>
      <c r="K67" s="14">
        <v>0</v>
      </c>
      <c r="L67" s="16">
        <v>0</v>
      </c>
      <c r="M67" s="14">
        <v>0</v>
      </c>
      <c r="N67" s="16">
        <v>0</v>
      </c>
      <c r="O67" s="14">
        <v>0</v>
      </c>
      <c r="P67" s="16">
        <v>0</v>
      </c>
      <c r="Q67" s="14">
        <v>0</v>
      </c>
      <c r="R67" s="16">
        <v>0</v>
      </c>
    </row>
    <row r="68" spans="1:18" x14ac:dyDescent="0.25">
      <c r="A68" s="11" t="s">
        <v>201</v>
      </c>
      <c r="B68" s="17" t="s">
        <v>154</v>
      </c>
      <c r="C68" s="17" t="s">
        <v>154</v>
      </c>
      <c r="D68" s="18" t="s">
        <v>154</v>
      </c>
      <c r="E68" s="17" t="s">
        <v>154</v>
      </c>
      <c r="F68" s="18" t="s">
        <v>154</v>
      </c>
      <c r="G68" s="17" t="s">
        <v>154</v>
      </c>
      <c r="H68" s="18" t="s">
        <v>154</v>
      </c>
      <c r="I68" s="17" t="s">
        <v>154</v>
      </c>
      <c r="J68" s="18" t="s">
        <v>154</v>
      </c>
      <c r="K68" s="17" t="s">
        <v>154</v>
      </c>
      <c r="L68" s="18" t="s">
        <v>154</v>
      </c>
      <c r="M68" s="17" t="s">
        <v>154</v>
      </c>
      <c r="N68" s="18" t="s">
        <v>154</v>
      </c>
      <c r="O68" s="17" t="s">
        <v>154</v>
      </c>
      <c r="P68" s="18" t="s">
        <v>154</v>
      </c>
      <c r="Q68" s="17" t="s">
        <v>154</v>
      </c>
      <c r="R68" s="18" t="s">
        <v>154</v>
      </c>
    </row>
    <row r="69" spans="1:18" x14ac:dyDescent="0.25">
      <c r="A69" s="11" t="s">
        <v>202</v>
      </c>
      <c r="B69" s="17" t="s">
        <v>154</v>
      </c>
      <c r="C69" s="17" t="s">
        <v>154</v>
      </c>
      <c r="D69" s="18" t="s">
        <v>154</v>
      </c>
      <c r="E69" s="17" t="s">
        <v>154</v>
      </c>
      <c r="F69" s="18" t="s">
        <v>154</v>
      </c>
      <c r="G69" s="17" t="s">
        <v>154</v>
      </c>
      <c r="H69" s="18" t="s">
        <v>154</v>
      </c>
      <c r="I69" s="17" t="s">
        <v>154</v>
      </c>
      <c r="J69" s="18" t="s">
        <v>154</v>
      </c>
      <c r="K69" s="17" t="s">
        <v>154</v>
      </c>
      <c r="L69" s="18" t="s">
        <v>154</v>
      </c>
      <c r="M69" s="17" t="s">
        <v>154</v>
      </c>
      <c r="N69" s="18" t="s">
        <v>154</v>
      </c>
      <c r="O69" s="17" t="s">
        <v>154</v>
      </c>
      <c r="P69" s="18" t="s">
        <v>154</v>
      </c>
      <c r="Q69" s="17" t="s">
        <v>154</v>
      </c>
      <c r="R69" s="18" t="s">
        <v>154</v>
      </c>
    </row>
    <row r="70" spans="1:18" x14ac:dyDescent="0.25">
      <c r="A70" s="11" t="s">
        <v>203</v>
      </c>
      <c r="B70" s="13">
        <v>6036</v>
      </c>
      <c r="C70" s="14">
        <f>(5082/B70*100)</f>
        <v>84.194831013916499</v>
      </c>
      <c r="D70" s="15">
        <v>954</v>
      </c>
      <c r="E70" s="14">
        <v>24.581169899999999</v>
      </c>
      <c r="F70" s="16">
        <v>1.7974710700000001</v>
      </c>
      <c r="G70" s="14">
        <v>75.418830099999994</v>
      </c>
      <c r="H70" s="16">
        <v>1.7974710700000001</v>
      </c>
      <c r="I70" s="14" t="s">
        <v>139</v>
      </c>
      <c r="J70" s="16" t="s">
        <v>139</v>
      </c>
      <c r="K70" s="14">
        <v>0</v>
      </c>
      <c r="L70" s="16">
        <v>0</v>
      </c>
      <c r="M70" s="14">
        <v>0</v>
      </c>
      <c r="N70" s="16">
        <v>0</v>
      </c>
      <c r="O70" s="14">
        <v>0</v>
      </c>
      <c r="P70" s="16">
        <v>0</v>
      </c>
      <c r="Q70" s="14">
        <v>0</v>
      </c>
      <c r="R70" s="16">
        <v>0</v>
      </c>
    </row>
    <row r="71" spans="1:18" x14ac:dyDescent="0.25">
      <c r="A71" s="11" t="s">
        <v>204</v>
      </c>
      <c r="B71" s="17" t="s">
        <v>154</v>
      </c>
      <c r="C71" s="17" t="s">
        <v>154</v>
      </c>
      <c r="D71" s="18" t="s">
        <v>154</v>
      </c>
      <c r="E71" s="17" t="s">
        <v>154</v>
      </c>
      <c r="F71" s="18" t="s">
        <v>154</v>
      </c>
      <c r="G71" s="17" t="s">
        <v>154</v>
      </c>
      <c r="H71" s="18" t="s">
        <v>154</v>
      </c>
      <c r="I71" s="17" t="s">
        <v>154</v>
      </c>
      <c r="J71" s="18" t="s">
        <v>154</v>
      </c>
      <c r="K71" s="17" t="s">
        <v>154</v>
      </c>
      <c r="L71" s="18" t="s">
        <v>154</v>
      </c>
      <c r="M71" s="17" t="s">
        <v>154</v>
      </c>
      <c r="N71" s="18" t="s">
        <v>154</v>
      </c>
      <c r="O71" s="17" t="s">
        <v>154</v>
      </c>
      <c r="P71" s="18" t="s">
        <v>154</v>
      </c>
      <c r="Q71" s="17" t="s">
        <v>154</v>
      </c>
      <c r="R71" s="18" t="s">
        <v>154</v>
      </c>
    </row>
    <row r="72" spans="1:18" x14ac:dyDescent="0.25">
      <c r="A72" s="11" t="s">
        <v>205</v>
      </c>
      <c r="B72" s="13">
        <v>7708</v>
      </c>
      <c r="C72" s="14">
        <f>(6398/B72*100)</f>
        <v>83.00467047223664</v>
      </c>
      <c r="D72" s="15">
        <v>1310</v>
      </c>
      <c r="E72" s="14">
        <v>22.797996829999999</v>
      </c>
      <c r="F72" s="16">
        <v>1.3321036799999999</v>
      </c>
      <c r="G72" s="14">
        <v>77.202003169999998</v>
      </c>
      <c r="H72" s="16">
        <v>1.3321036799999999</v>
      </c>
      <c r="I72" s="14" t="s">
        <v>139</v>
      </c>
      <c r="J72" s="16" t="s">
        <v>139</v>
      </c>
      <c r="K72" s="14">
        <v>0</v>
      </c>
      <c r="L72" s="16">
        <v>0</v>
      </c>
      <c r="M72" s="14">
        <v>0</v>
      </c>
      <c r="N72" s="16">
        <v>0</v>
      </c>
      <c r="O72" s="14">
        <v>0</v>
      </c>
      <c r="P72" s="16">
        <v>0</v>
      </c>
      <c r="Q72" s="14">
        <v>0</v>
      </c>
      <c r="R72" s="16">
        <v>0</v>
      </c>
    </row>
    <row r="73" spans="1:18" x14ac:dyDescent="0.25">
      <c r="A73" s="11" t="s">
        <v>206</v>
      </c>
      <c r="B73" s="13">
        <v>8249</v>
      </c>
      <c r="C73" s="14">
        <f>(7012/B73*100)</f>
        <v>85.004242938537999</v>
      </c>
      <c r="D73" s="15">
        <v>1237</v>
      </c>
      <c r="E73" s="14">
        <v>42.666505059999999</v>
      </c>
      <c r="F73" s="16">
        <v>1.8188251099999999</v>
      </c>
      <c r="G73" s="14">
        <v>57.333494940000001</v>
      </c>
      <c r="H73" s="16">
        <v>1.8188251099999999</v>
      </c>
      <c r="I73" s="14" t="s">
        <v>139</v>
      </c>
      <c r="J73" s="16" t="s">
        <v>139</v>
      </c>
      <c r="K73" s="14">
        <v>0</v>
      </c>
      <c r="L73" s="16">
        <v>0</v>
      </c>
      <c r="M73" s="14">
        <v>0</v>
      </c>
      <c r="N73" s="16">
        <v>0</v>
      </c>
      <c r="O73" s="14">
        <v>0</v>
      </c>
      <c r="P73" s="16">
        <v>0</v>
      </c>
      <c r="Q73" s="14">
        <v>0</v>
      </c>
      <c r="R73" s="16">
        <v>0</v>
      </c>
    </row>
    <row r="74" spans="1:18" x14ac:dyDescent="0.25">
      <c r="A74" s="11" t="s">
        <v>207</v>
      </c>
      <c r="B74" s="17" t="s">
        <v>154</v>
      </c>
      <c r="C74" s="17" t="s">
        <v>154</v>
      </c>
      <c r="D74" s="18" t="s">
        <v>154</v>
      </c>
      <c r="E74" s="17" t="s">
        <v>154</v>
      </c>
      <c r="F74" s="18" t="s">
        <v>154</v>
      </c>
      <c r="G74" s="17" t="s">
        <v>154</v>
      </c>
      <c r="H74" s="18" t="s">
        <v>154</v>
      </c>
      <c r="I74" s="17" t="s">
        <v>154</v>
      </c>
      <c r="J74" s="18" t="s">
        <v>154</v>
      </c>
      <c r="K74" s="17" t="s">
        <v>154</v>
      </c>
      <c r="L74" s="18" t="s">
        <v>154</v>
      </c>
      <c r="M74" s="17" t="s">
        <v>154</v>
      </c>
      <c r="N74" s="18" t="s">
        <v>154</v>
      </c>
      <c r="O74" s="17" t="s">
        <v>154</v>
      </c>
      <c r="P74" s="18" t="s">
        <v>154</v>
      </c>
      <c r="Q74" s="17" t="s">
        <v>154</v>
      </c>
      <c r="R74" s="18" t="s">
        <v>154</v>
      </c>
    </row>
    <row r="75" spans="1:18" x14ac:dyDescent="0.25">
      <c r="A75" s="11" t="s">
        <v>208</v>
      </c>
      <c r="B75" s="13">
        <v>5375</v>
      </c>
      <c r="C75" s="14">
        <f>(4627/B75*100)</f>
        <v>86.083720930232559</v>
      </c>
      <c r="D75" s="15">
        <v>748</v>
      </c>
      <c r="E75" s="14">
        <v>46.673794379999997</v>
      </c>
      <c r="F75" s="16">
        <v>1.94267995</v>
      </c>
      <c r="G75" s="14">
        <v>53.326205620000003</v>
      </c>
      <c r="H75" s="16">
        <v>1.94267995</v>
      </c>
      <c r="I75" s="14" t="s">
        <v>139</v>
      </c>
      <c r="J75" s="16" t="s">
        <v>139</v>
      </c>
      <c r="K75" s="14">
        <v>0</v>
      </c>
      <c r="L75" s="16">
        <v>0</v>
      </c>
      <c r="M75" s="14">
        <v>0</v>
      </c>
      <c r="N75" s="16">
        <v>0</v>
      </c>
      <c r="O75" s="14">
        <v>0</v>
      </c>
      <c r="P75" s="16">
        <v>0</v>
      </c>
      <c r="Q75" s="14">
        <v>0</v>
      </c>
      <c r="R75" s="16">
        <v>0</v>
      </c>
    </row>
    <row r="76" spans="1:18" x14ac:dyDescent="0.25">
      <c r="A76" s="11" t="s">
        <v>209</v>
      </c>
      <c r="B76" s="13">
        <v>14167</v>
      </c>
      <c r="C76" s="14">
        <f>(11765/B76*100)</f>
        <v>83.045104821063035</v>
      </c>
      <c r="D76" s="15">
        <v>2402</v>
      </c>
      <c r="E76" s="14">
        <v>39.561926990000003</v>
      </c>
      <c r="F76" s="16">
        <v>1.48425242</v>
      </c>
      <c r="G76" s="14">
        <v>60.438073009999997</v>
      </c>
      <c r="H76" s="16">
        <v>1.48425242</v>
      </c>
      <c r="I76" s="14" t="s">
        <v>139</v>
      </c>
      <c r="J76" s="16" t="s">
        <v>139</v>
      </c>
      <c r="K76" s="14">
        <v>0</v>
      </c>
      <c r="L76" s="16">
        <v>0</v>
      </c>
      <c r="M76" s="14">
        <v>0</v>
      </c>
      <c r="N76" s="16">
        <v>0</v>
      </c>
      <c r="O76" s="14">
        <v>0</v>
      </c>
      <c r="P76" s="16">
        <v>0</v>
      </c>
      <c r="Q76" s="14">
        <v>0</v>
      </c>
      <c r="R76" s="16">
        <v>0</v>
      </c>
    </row>
    <row r="77" spans="1:18" x14ac:dyDescent="0.25">
      <c r="A77" s="11" t="s">
        <v>210</v>
      </c>
      <c r="B77" s="13">
        <v>6062</v>
      </c>
      <c r="C77" s="14">
        <f>(5128/B77*100)</f>
        <v>84.592543714945563</v>
      </c>
      <c r="D77" s="15">
        <v>934</v>
      </c>
      <c r="E77" s="14">
        <v>32.432184489999997</v>
      </c>
      <c r="F77" s="16">
        <v>1.53013569</v>
      </c>
      <c r="G77" s="14">
        <v>67.567815510000003</v>
      </c>
      <c r="H77" s="16">
        <v>1.53013569</v>
      </c>
      <c r="I77" s="14" t="s">
        <v>139</v>
      </c>
      <c r="J77" s="16" t="s">
        <v>139</v>
      </c>
      <c r="K77" s="14">
        <v>0</v>
      </c>
      <c r="L77" s="16">
        <v>0</v>
      </c>
      <c r="M77" s="14">
        <v>0</v>
      </c>
      <c r="N77" s="16">
        <v>0</v>
      </c>
      <c r="O77" s="14">
        <v>0</v>
      </c>
      <c r="P77" s="16">
        <v>0</v>
      </c>
      <c r="Q77" s="14">
        <v>0</v>
      </c>
      <c r="R77" s="16">
        <v>0</v>
      </c>
    </row>
    <row r="78" spans="1:18" x14ac:dyDescent="0.25">
      <c r="A78" s="11" t="s">
        <v>211</v>
      </c>
      <c r="B78" s="17" t="s">
        <v>154</v>
      </c>
      <c r="C78" s="17" t="s">
        <v>154</v>
      </c>
      <c r="D78" s="18" t="s">
        <v>154</v>
      </c>
      <c r="E78" s="17" t="s">
        <v>154</v>
      </c>
      <c r="F78" s="18" t="s">
        <v>154</v>
      </c>
      <c r="G78" s="17" t="s">
        <v>154</v>
      </c>
      <c r="H78" s="18" t="s">
        <v>154</v>
      </c>
      <c r="I78" s="17" t="s">
        <v>154</v>
      </c>
      <c r="J78" s="18" t="s">
        <v>154</v>
      </c>
      <c r="K78" s="17" t="s">
        <v>154</v>
      </c>
      <c r="L78" s="18" t="s">
        <v>154</v>
      </c>
      <c r="M78" s="17" t="s">
        <v>154</v>
      </c>
      <c r="N78" s="18" t="s">
        <v>154</v>
      </c>
      <c r="O78" s="17" t="s">
        <v>154</v>
      </c>
      <c r="P78" s="18" t="s">
        <v>154</v>
      </c>
      <c r="Q78" s="17" t="s">
        <v>154</v>
      </c>
      <c r="R78" s="18" t="s">
        <v>154</v>
      </c>
    </row>
    <row r="79" spans="1:18" ht="24.95" customHeight="1" x14ac:dyDescent="0.25">
      <c r="A79" s="11" t="s">
        <v>212</v>
      </c>
      <c r="B79" s="17" t="s">
        <v>154</v>
      </c>
      <c r="C79" s="17" t="s">
        <v>154</v>
      </c>
      <c r="D79" s="18" t="s">
        <v>154</v>
      </c>
      <c r="E79" s="17" t="s">
        <v>154</v>
      </c>
      <c r="F79" s="18" t="s">
        <v>154</v>
      </c>
      <c r="G79" s="17" t="s">
        <v>154</v>
      </c>
      <c r="H79" s="18" t="s">
        <v>154</v>
      </c>
      <c r="I79" s="17" t="s">
        <v>154</v>
      </c>
      <c r="J79" s="18" t="s">
        <v>154</v>
      </c>
      <c r="K79" s="17" t="s">
        <v>154</v>
      </c>
      <c r="L79" s="18" t="s">
        <v>154</v>
      </c>
      <c r="M79" s="17" t="s">
        <v>154</v>
      </c>
      <c r="N79" s="18" t="s">
        <v>154</v>
      </c>
      <c r="O79" s="17" t="s">
        <v>154</v>
      </c>
      <c r="P79" s="18" t="s">
        <v>154</v>
      </c>
      <c r="Q79" s="17" t="s">
        <v>154</v>
      </c>
      <c r="R79" s="18" t="s">
        <v>154</v>
      </c>
    </row>
    <row r="80" spans="1:18" x14ac:dyDescent="0.25">
      <c r="A80" s="11" t="s">
        <v>213</v>
      </c>
      <c r="B80" s="17" t="s">
        <v>154</v>
      </c>
      <c r="C80" s="17" t="s">
        <v>154</v>
      </c>
      <c r="D80" s="18" t="s">
        <v>154</v>
      </c>
      <c r="E80" s="17" t="s">
        <v>154</v>
      </c>
      <c r="F80" s="18" t="s">
        <v>154</v>
      </c>
      <c r="G80" s="17" t="s">
        <v>154</v>
      </c>
      <c r="H80" s="18" t="s">
        <v>154</v>
      </c>
      <c r="I80" s="17" t="s">
        <v>154</v>
      </c>
      <c r="J80" s="18" t="s">
        <v>154</v>
      </c>
      <c r="K80" s="17" t="s">
        <v>154</v>
      </c>
      <c r="L80" s="18" t="s">
        <v>154</v>
      </c>
      <c r="M80" s="17" t="s">
        <v>154</v>
      </c>
      <c r="N80" s="18" t="s">
        <v>154</v>
      </c>
      <c r="O80" s="17" t="s">
        <v>154</v>
      </c>
      <c r="P80" s="18" t="s">
        <v>154</v>
      </c>
      <c r="Q80" s="17" t="s">
        <v>154</v>
      </c>
      <c r="R80" s="18" t="s">
        <v>154</v>
      </c>
    </row>
    <row r="81" spans="1:18" x14ac:dyDescent="0.25">
      <c r="A81" s="19" t="s">
        <v>214</v>
      </c>
      <c r="B81" s="13">
        <v>8861</v>
      </c>
      <c r="C81" s="14">
        <f>(7408/B81*100)</f>
        <v>83.602302223225365</v>
      </c>
      <c r="D81" s="15">
        <v>1453</v>
      </c>
      <c r="E81" s="14">
        <v>36.167839149999999</v>
      </c>
      <c r="F81" s="16">
        <v>1.62420963</v>
      </c>
      <c r="G81" s="14">
        <v>63.832160850000001</v>
      </c>
      <c r="H81" s="16">
        <v>1.62420963</v>
      </c>
      <c r="I81" s="14" t="s">
        <v>139</v>
      </c>
      <c r="J81" s="16" t="s">
        <v>139</v>
      </c>
      <c r="K81" s="14">
        <v>0</v>
      </c>
      <c r="L81" s="16">
        <v>0</v>
      </c>
      <c r="M81" s="14">
        <v>0</v>
      </c>
      <c r="N81" s="16">
        <v>0</v>
      </c>
      <c r="O81" s="14">
        <v>0</v>
      </c>
      <c r="P81" s="16">
        <v>0</v>
      </c>
      <c r="Q81" s="14">
        <v>0</v>
      </c>
      <c r="R81" s="16">
        <v>0</v>
      </c>
    </row>
    <row r="82" spans="1:18" x14ac:dyDescent="0.25">
      <c r="A82" s="20"/>
      <c r="B82" s="20" t="s">
        <v>215</v>
      </c>
      <c r="C82" s="20" t="s">
        <v>215</v>
      </c>
      <c r="D82" s="20" t="s">
        <v>215</v>
      </c>
      <c r="E82" s="20" t="s">
        <v>215</v>
      </c>
      <c r="F82" s="20" t="s">
        <v>215</v>
      </c>
      <c r="G82" s="20" t="s">
        <v>215</v>
      </c>
      <c r="H82" s="20" t="s">
        <v>215</v>
      </c>
      <c r="I82" s="20" t="s">
        <v>215</v>
      </c>
      <c r="J82" s="20" t="s">
        <v>215</v>
      </c>
      <c r="K82" s="20" t="s">
        <v>215</v>
      </c>
      <c r="L82" s="20" t="s">
        <v>215</v>
      </c>
      <c r="M82" s="20" t="s">
        <v>215</v>
      </c>
      <c r="N82" s="20" t="s">
        <v>215</v>
      </c>
      <c r="O82" s="20" t="s">
        <v>215</v>
      </c>
      <c r="P82" s="20" t="s">
        <v>215</v>
      </c>
      <c r="Q82" s="20" t="s">
        <v>215</v>
      </c>
      <c r="R82" s="20" t="s">
        <v>215</v>
      </c>
    </row>
    <row r="83" spans="1:18" x14ac:dyDescent="0.25">
      <c r="A83" s="3" t="s">
        <v>216</v>
      </c>
    </row>
    <row r="84" spans="1:18" x14ac:dyDescent="0.25">
      <c r="A84" s="22" t="s">
        <v>217</v>
      </c>
      <c r="B84" s="23"/>
      <c r="C84" s="23"/>
      <c r="D84" s="23"/>
      <c r="E84" s="23"/>
      <c r="F84" s="23"/>
      <c r="G84" s="23"/>
      <c r="H84" s="23"/>
      <c r="I84" s="23"/>
      <c r="J84" s="23"/>
      <c r="K84" s="23"/>
      <c r="L84" s="23"/>
      <c r="M84" s="23"/>
      <c r="N84" s="23"/>
      <c r="O84" s="23"/>
      <c r="P84" s="23"/>
      <c r="Q84" s="23"/>
      <c r="R84" s="23"/>
    </row>
    <row r="85" spans="1:18" x14ac:dyDescent="0.25">
      <c r="A85" s="22" t="s">
        <v>218</v>
      </c>
      <c r="B85" s="23"/>
      <c r="C85" s="23"/>
      <c r="D85" s="23"/>
      <c r="E85" s="23"/>
      <c r="F85" s="23"/>
      <c r="G85" s="23"/>
      <c r="H85" s="23"/>
      <c r="I85" s="23"/>
      <c r="J85" s="23"/>
      <c r="K85" s="23"/>
      <c r="L85" s="23"/>
      <c r="M85" s="23"/>
      <c r="N85" s="23"/>
      <c r="O85" s="23"/>
      <c r="P85" s="23"/>
      <c r="Q85" s="23"/>
      <c r="R85" s="23"/>
    </row>
    <row r="86" spans="1:18" ht="30" customHeight="1" x14ac:dyDescent="0.25">
      <c r="A86" s="22" t="s">
        <v>219</v>
      </c>
      <c r="B86" s="23"/>
      <c r="C86" s="23"/>
      <c r="D86" s="23"/>
      <c r="E86" s="23"/>
      <c r="F86" s="23"/>
      <c r="G86" s="23"/>
      <c r="H86" s="23"/>
      <c r="I86" s="23"/>
      <c r="J86" s="23"/>
      <c r="K86" s="23"/>
      <c r="L86" s="23"/>
      <c r="M86" s="23"/>
      <c r="N86" s="23"/>
      <c r="O86" s="23"/>
      <c r="P86" s="23"/>
      <c r="Q86" s="23"/>
      <c r="R86" s="23"/>
    </row>
    <row r="87" spans="1:18" ht="30" customHeight="1" x14ac:dyDescent="0.25">
      <c r="A87" s="22" t="s">
        <v>215</v>
      </c>
      <c r="B87" s="23"/>
      <c r="C87" s="23"/>
      <c r="D87" s="23"/>
      <c r="E87" s="23"/>
      <c r="F87" s="23"/>
      <c r="G87" s="23"/>
      <c r="H87" s="23"/>
      <c r="I87" s="23"/>
      <c r="J87" s="23"/>
      <c r="K87" s="23"/>
      <c r="L87" s="23"/>
      <c r="M87" s="23"/>
      <c r="N87" s="23"/>
      <c r="O87" s="23"/>
      <c r="P87" s="23"/>
      <c r="Q87" s="23"/>
      <c r="R87" s="23"/>
    </row>
    <row r="88" spans="1:18" ht="30" customHeight="1" x14ac:dyDescent="0.25">
      <c r="A88" s="22" t="s">
        <v>220</v>
      </c>
      <c r="B88" s="23"/>
      <c r="C88" s="23"/>
      <c r="D88" s="23"/>
      <c r="E88" s="23"/>
      <c r="F88" s="23"/>
      <c r="G88" s="23"/>
      <c r="H88" s="23"/>
      <c r="I88" s="23"/>
      <c r="J88" s="23"/>
      <c r="K88" s="23"/>
      <c r="L88" s="23"/>
      <c r="M88" s="23"/>
      <c r="N88" s="23"/>
      <c r="O88" s="23"/>
      <c r="P88" s="23"/>
      <c r="Q88" s="23"/>
      <c r="R88" s="23"/>
    </row>
    <row r="89" spans="1:18" ht="30" customHeight="1" x14ac:dyDescent="0.25">
      <c r="A89" s="22" t="s">
        <v>221</v>
      </c>
      <c r="B89" s="23"/>
      <c r="C89" s="23"/>
      <c r="D89" s="23"/>
      <c r="E89" s="23"/>
      <c r="F89" s="23"/>
      <c r="G89" s="23"/>
      <c r="H89" s="23"/>
      <c r="I89" s="23"/>
      <c r="J89" s="23"/>
      <c r="K89" s="23"/>
      <c r="L89" s="23"/>
      <c r="M89" s="23"/>
      <c r="N89" s="23"/>
      <c r="O89" s="23"/>
      <c r="P89" s="23"/>
      <c r="Q89" s="23"/>
      <c r="R89" s="23"/>
    </row>
    <row r="90" spans="1:18" ht="30" customHeight="1" x14ac:dyDescent="0.25">
      <c r="A90" s="22" t="s">
        <v>222</v>
      </c>
      <c r="B90" s="23"/>
      <c r="C90" s="23"/>
      <c r="D90" s="23"/>
      <c r="E90" s="23"/>
      <c r="F90" s="23"/>
      <c r="G90" s="23"/>
      <c r="H90" s="23"/>
      <c r="I90" s="23"/>
      <c r="J90" s="23"/>
      <c r="K90" s="23"/>
      <c r="L90" s="23"/>
      <c r="M90" s="23"/>
      <c r="N90" s="23"/>
      <c r="O90" s="23"/>
      <c r="P90" s="23"/>
      <c r="Q90" s="23"/>
      <c r="R90" s="23"/>
    </row>
    <row r="91" spans="1:18" ht="30" customHeight="1" x14ac:dyDescent="0.25">
      <c r="A91" s="22" t="s">
        <v>223</v>
      </c>
      <c r="B91" s="23"/>
      <c r="C91" s="23"/>
      <c r="D91" s="23"/>
      <c r="E91" s="23"/>
      <c r="F91" s="23"/>
      <c r="G91" s="23"/>
      <c r="H91" s="23"/>
      <c r="I91" s="23"/>
      <c r="J91" s="23"/>
      <c r="K91" s="23"/>
      <c r="L91" s="23"/>
      <c r="M91" s="23"/>
      <c r="N91" s="23"/>
      <c r="O91" s="23"/>
      <c r="P91" s="23"/>
      <c r="Q91" s="23"/>
      <c r="R91" s="23"/>
    </row>
    <row r="92" spans="1:18" ht="30" customHeight="1" x14ac:dyDescent="0.25">
      <c r="A92" s="22" t="s">
        <v>224</v>
      </c>
      <c r="B92" s="23"/>
      <c r="C92" s="23"/>
      <c r="D92" s="23"/>
      <c r="E92" s="23"/>
      <c r="F92" s="23"/>
      <c r="G92" s="23"/>
      <c r="H92" s="23"/>
      <c r="I92" s="23"/>
      <c r="J92" s="23"/>
      <c r="K92" s="23"/>
      <c r="L92" s="23"/>
      <c r="M92" s="23"/>
      <c r="N92" s="23"/>
      <c r="O92" s="23"/>
      <c r="P92" s="23"/>
      <c r="Q92" s="23"/>
      <c r="R92" s="23"/>
    </row>
    <row r="93" spans="1:18" ht="30" customHeight="1" x14ac:dyDescent="0.25">
      <c r="A93" s="22" t="s">
        <v>225</v>
      </c>
      <c r="B93" s="23"/>
      <c r="C93" s="23"/>
      <c r="D93" s="23"/>
      <c r="E93" s="23"/>
      <c r="F93" s="23"/>
      <c r="G93" s="23"/>
      <c r="H93" s="23"/>
      <c r="I93" s="23"/>
      <c r="J93" s="23"/>
      <c r="K93" s="23"/>
      <c r="L93" s="23"/>
      <c r="M93" s="23"/>
      <c r="N93" s="23"/>
      <c r="O93" s="23"/>
      <c r="P93" s="23"/>
      <c r="Q93" s="23"/>
      <c r="R93" s="23"/>
    </row>
    <row r="94" spans="1:18" ht="30" customHeight="1" x14ac:dyDescent="0.25">
      <c r="A94" s="22" t="s">
        <v>226</v>
      </c>
      <c r="B94" s="23"/>
      <c r="C94" s="23"/>
      <c r="D94" s="23"/>
      <c r="E94" s="23"/>
      <c r="F94" s="23"/>
      <c r="G94" s="23"/>
      <c r="H94" s="23"/>
      <c r="I94" s="23"/>
      <c r="J94" s="23"/>
      <c r="K94" s="23"/>
      <c r="L94" s="23"/>
      <c r="M94" s="23"/>
      <c r="N94" s="23"/>
      <c r="O94" s="23"/>
      <c r="P94" s="23"/>
      <c r="Q94" s="23"/>
      <c r="R94" s="23"/>
    </row>
    <row r="95" spans="1:18" ht="30" customHeight="1" x14ac:dyDescent="0.25">
      <c r="A95" s="22" t="s">
        <v>227</v>
      </c>
      <c r="B95" s="23"/>
      <c r="C95" s="23"/>
      <c r="D95" s="23"/>
      <c r="E95" s="23"/>
      <c r="F95" s="23"/>
      <c r="G95" s="23"/>
      <c r="H95" s="23"/>
      <c r="I95" s="23"/>
      <c r="J95" s="23"/>
      <c r="K95" s="23"/>
      <c r="L95" s="23"/>
      <c r="M95" s="23"/>
      <c r="N95" s="23"/>
      <c r="O95" s="23"/>
      <c r="P95" s="23"/>
      <c r="Q95" s="23"/>
      <c r="R95" s="23"/>
    </row>
    <row r="96" spans="1:18" ht="30" customHeight="1" x14ac:dyDescent="0.25">
      <c r="A96" s="22" t="s">
        <v>228</v>
      </c>
      <c r="B96" s="23"/>
      <c r="C96" s="23"/>
      <c r="D96" s="23"/>
      <c r="E96" s="23"/>
      <c r="F96" s="23"/>
      <c r="G96" s="23"/>
      <c r="H96" s="23"/>
      <c r="I96" s="23"/>
      <c r="J96" s="23"/>
      <c r="K96" s="23"/>
      <c r="L96" s="23"/>
      <c r="M96" s="23"/>
      <c r="N96" s="23"/>
      <c r="O96" s="23"/>
      <c r="P96" s="23"/>
      <c r="Q96" s="23"/>
      <c r="R96" s="23"/>
    </row>
  </sheetData>
  <mergeCells count="22">
    <mergeCell ref="O4:P4"/>
    <mergeCell ref="Q4:R4"/>
    <mergeCell ref="A1:R1"/>
    <mergeCell ref="A2:R2"/>
    <mergeCell ref="A84:R84"/>
    <mergeCell ref="E4:F4"/>
    <mergeCell ref="G4:H4"/>
    <mergeCell ref="I4:J4"/>
    <mergeCell ref="K4:L4"/>
    <mergeCell ref="M4:N4"/>
    <mergeCell ref="A85:R85"/>
    <mergeCell ref="A86:R86"/>
    <mergeCell ref="A87:R87"/>
    <mergeCell ref="A88:R88"/>
    <mergeCell ref="A89:R89"/>
    <mergeCell ref="A95:R95"/>
    <mergeCell ref="A96:R96"/>
    <mergeCell ref="A90:R90"/>
    <mergeCell ref="A91:R91"/>
    <mergeCell ref="A92:R92"/>
    <mergeCell ref="A93:R93"/>
    <mergeCell ref="A94:R94"/>
  </mergeCells>
  <pageMargins left="0.75" right="0.75" top="1" bottom="1" header="0.5" footer="0.5"/>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0"/>
  <dimension ref="A1:R96"/>
  <sheetViews>
    <sheetView zoomScale="80" workbookViewId="0">
      <pane xSplit="4" topLeftCell="E1" activePane="topRight" state="frozen"/>
      <selection sqref="A1:R1"/>
      <selection pane="topRight" sqref="A1:R1"/>
    </sheetView>
  </sheetViews>
  <sheetFormatPr defaultColWidth="11.42578125" defaultRowHeight="15" x14ac:dyDescent="0.25"/>
  <cols>
    <col min="1" max="1" width="50" customWidth="1"/>
  </cols>
  <sheetData>
    <row r="1" spans="1:18" x14ac:dyDescent="0.25">
      <c r="A1" s="26" t="s">
        <v>122</v>
      </c>
      <c r="B1" s="23"/>
      <c r="C1" s="23"/>
      <c r="D1" s="23"/>
      <c r="E1" s="23"/>
      <c r="F1" s="23"/>
      <c r="G1" s="23"/>
      <c r="H1" s="23"/>
      <c r="I1" s="23"/>
      <c r="J1" s="23"/>
      <c r="K1" s="23"/>
      <c r="L1" s="23"/>
      <c r="M1" s="23"/>
      <c r="N1" s="23"/>
      <c r="O1" s="23"/>
      <c r="P1" s="23"/>
      <c r="Q1" s="23"/>
      <c r="R1" s="23"/>
    </row>
    <row r="2" spans="1:18" x14ac:dyDescent="0.25">
      <c r="A2" s="27" t="s">
        <v>316</v>
      </c>
      <c r="B2" s="23"/>
      <c r="C2" s="23"/>
      <c r="D2" s="23"/>
      <c r="E2" s="23"/>
      <c r="F2" s="23"/>
      <c r="G2" s="23"/>
      <c r="H2" s="23"/>
      <c r="I2" s="23"/>
      <c r="J2" s="23"/>
      <c r="K2" s="23"/>
      <c r="L2" s="23"/>
      <c r="M2" s="23"/>
      <c r="N2" s="23"/>
      <c r="O2" s="23"/>
      <c r="P2" s="23"/>
      <c r="Q2" s="23"/>
      <c r="R2" s="23"/>
    </row>
    <row r="4" spans="1:18" ht="30" customHeight="1" x14ac:dyDescent="0.25">
      <c r="A4" s="4"/>
      <c r="B4" s="5" t="s">
        <v>123</v>
      </c>
      <c r="C4" s="5" t="s">
        <v>124</v>
      </c>
      <c r="D4" s="6" t="s">
        <v>123</v>
      </c>
      <c r="E4" s="24" t="s">
        <v>125</v>
      </c>
      <c r="F4" s="25"/>
      <c r="G4" s="24" t="s">
        <v>126</v>
      </c>
      <c r="H4" s="25"/>
      <c r="I4" s="24" t="s">
        <v>127</v>
      </c>
      <c r="J4" s="25"/>
      <c r="K4" s="24" t="s">
        <v>128</v>
      </c>
      <c r="L4" s="25"/>
      <c r="M4" s="24" t="s">
        <v>129</v>
      </c>
      <c r="N4" s="25"/>
      <c r="O4" s="24" t="s">
        <v>130</v>
      </c>
      <c r="P4" s="25"/>
      <c r="Q4" s="24" t="s">
        <v>131</v>
      </c>
      <c r="R4" s="25"/>
    </row>
    <row r="5" spans="1:18" x14ac:dyDescent="0.25">
      <c r="A5" s="7"/>
      <c r="B5" s="8" t="s">
        <v>132</v>
      </c>
      <c r="C5" s="8" t="s">
        <v>133</v>
      </c>
      <c r="D5" s="7" t="s">
        <v>134</v>
      </c>
      <c r="E5" s="8" t="s">
        <v>135</v>
      </c>
      <c r="F5" s="7" t="s">
        <v>136</v>
      </c>
      <c r="G5" s="8" t="s">
        <v>135</v>
      </c>
      <c r="H5" s="7" t="s">
        <v>136</v>
      </c>
      <c r="I5" s="8" t="s">
        <v>135</v>
      </c>
      <c r="J5" s="7" t="s">
        <v>136</v>
      </c>
      <c r="K5" s="8" t="s">
        <v>135</v>
      </c>
      <c r="L5" s="7" t="s">
        <v>136</v>
      </c>
      <c r="M5" s="8" t="s">
        <v>135</v>
      </c>
      <c r="N5" s="7" t="s">
        <v>136</v>
      </c>
      <c r="O5" s="8" t="s">
        <v>135</v>
      </c>
      <c r="P5" s="7" t="s">
        <v>136</v>
      </c>
      <c r="Q5" s="8" t="s">
        <v>135</v>
      </c>
      <c r="R5" s="7" t="s">
        <v>136</v>
      </c>
    </row>
    <row r="6" spans="1:18" x14ac:dyDescent="0.25">
      <c r="A6" s="9" t="s">
        <v>137</v>
      </c>
      <c r="B6" s="10"/>
      <c r="C6" s="10"/>
      <c r="D6" s="11"/>
      <c r="E6" s="10"/>
      <c r="F6" s="11"/>
      <c r="G6" s="10"/>
      <c r="H6" s="11"/>
      <c r="I6" s="10"/>
      <c r="J6" s="11"/>
      <c r="K6" s="10"/>
      <c r="L6" s="11"/>
      <c r="M6" s="10"/>
      <c r="N6" s="11"/>
      <c r="O6" s="10"/>
      <c r="P6" s="11"/>
      <c r="Q6" s="10"/>
      <c r="R6" s="12"/>
    </row>
    <row r="7" spans="1:18" x14ac:dyDescent="0.25">
      <c r="A7" s="11" t="s">
        <v>138</v>
      </c>
      <c r="B7" s="13">
        <v>14530</v>
      </c>
      <c r="C7" s="14">
        <f>(12273/B7*100)</f>
        <v>84.466620784583625</v>
      </c>
      <c r="D7" s="15">
        <v>2257</v>
      </c>
      <c r="E7" s="14">
        <v>53.451942029999998</v>
      </c>
      <c r="F7" s="16">
        <v>1.1937863399999999</v>
      </c>
      <c r="G7" s="14">
        <v>46.548057970000002</v>
      </c>
      <c r="H7" s="16">
        <v>1.1937863399999999</v>
      </c>
      <c r="I7" s="14" t="s">
        <v>139</v>
      </c>
      <c r="J7" s="16" t="s">
        <v>139</v>
      </c>
      <c r="K7" s="14">
        <v>0</v>
      </c>
      <c r="L7" s="16">
        <v>0</v>
      </c>
      <c r="M7" s="14">
        <v>0</v>
      </c>
      <c r="N7" s="16">
        <v>0</v>
      </c>
      <c r="O7" s="14">
        <v>0</v>
      </c>
      <c r="P7" s="16">
        <v>0</v>
      </c>
      <c r="Q7" s="14">
        <v>0</v>
      </c>
      <c r="R7" s="16">
        <v>0</v>
      </c>
    </row>
    <row r="8" spans="1:18" x14ac:dyDescent="0.25">
      <c r="A8" s="11" t="s">
        <v>140</v>
      </c>
      <c r="B8" s="13">
        <v>7007</v>
      </c>
      <c r="C8" s="14">
        <f>(5877/B8*100)</f>
        <v>83.873269587555299</v>
      </c>
      <c r="D8" s="15">
        <v>1130</v>
      </c>
      <c r="E8" s="14">
        <v>57.65482969</v>
      </c>
      <c r="F8" s="16">
        <v>1.4797112400000001</v>
      </c>
      <c r="G8" s="14">
        <v>42.34517031</v>
      </c>
      <c r="H8" s="16">
        <v>1.4797112400000001</v>
      </c>
      <c r="I8" s="14" t="s">
        <v>139</v>
      </c>
      <c r="J8" s="16" t="s">
        <v>139</v>
      </c>
      <c r="K8" s="14">
        <v>0</v>
      </c>
      <c r="L8" s="16">
        <v>0</v>
      </c>
      <c r="M8" s="14">
        <v>0</v>
      </c>
      <c r="N8" s="16">
        <v>0</v>
      </c>
      <c r="O8" s="14">
        <v>0</v>
      </c>
      <c r="P8" s="16">
        <v>0</v>
      </c>
      <c r="Q8" s="14">
        <v>0</v>
      </c>
      <c r="R8" s="16">
        <v>0</v>
      </c>
    </row>
    <row r="9" spans="1:18" x14ac:dyDescent="0.25">
      <c r="A9" s="11" t="s">
        <v>141</v>
      </c>
      <c r="B9" s="13">
        <v>9651</v>
      </c>
      <c r="C9" s="14">
        <f>(8191/B9*100)</f>
        <v>84.872033986115426</v>
      </c>
      <c r="D9" s="15">
        <v>1460</v>
      </c>
      <c r="E9" s="14">
        <v>51.395305049999997</v>
      </c>
      <c r="F9" s="16">
        <v>1.4266677699999999</v>
      </c>
      <c r="G9" s="14">
        <v>48.604694950000003</v>
      </c>
      <c r="H9" s="16">
        <v>1.4266677699999999</v>
      </c>
      <c r="I9" s="14" t="s">
        <v>139</v>
      </c>
      <c r="J9" s="16" t="s">
        <v>139</v>
      </c>
      <c r="K9" s="14">
        <v>0</v>
      </c>
      <c r="L9" s="16">
        <v>0</v>
      </c>
      <c r="M9" s="14">
        <v>0</v>
      </c>
      <c r="N9" s="16">
        <v>0</v>
      </c>
      <c r="O9" s="14">
        <v>0</v>
      </c>
      <c r="P9" s="16">
        <v>0</v>
      </c>
      <c r="Q9" s="14">
        <v>0</v>
      </c>
      <c r="R9" s="16">
        <v>0</v>
      </c>
    </row>
    <row r="10" spans="1:18" x14ac:dyDescent="0.25">
      <c r="A10" s="11" t="s">
        <v>142</v>
      </c>
      <c r="B10" s="13">
        <v>20058</v>
      </c>
      <c r="C10" s="14">
        <f>(16744/B10*100)</f>
        <v>83.477914049257151</v>
      </c>
      <c r="D10" s="15">
        <v>3314</v>
      </c>
      <c r="E10" s="14">
        <v>48.62942048</v>
      </c>
      <c r="F10" s="16">
        <v>1.1019896899999999</v>
      </c>
      <c r="G10" s="14">
        <v>51.37057952</v>
      </c>
      <c r="H10" s="16">
        <v>1.1019896899999999</v>
      </c>
      <c r="I10" s="14" t="s">
        <v>139</v>
      </c>
      <c r="J10" s="16" t="s">
        <v>139</v>
      </c>
      <c r="K10" s="14">
        <v>0</v>
      </c>
      <c r="L10" s="16">
        <v>0</v>
      </c>
      <c r="M10" s="14">
        <v>0</v>
      </c>
      <c r="N10" s="16">
        <v>0</v>
      </c>
      <c r="O10" s="14">
        <v>0</v>
      </c>
      <c r="P10" s="16">
        <v>0</v>
      </c>
      <c r="Q10" s="14">
        <v>0</v>
      </c>
      <c r="R10" s="16">
        <v>0</v>
      </c>
    </row>
    <row r="11" spans="1:18" x14ac:dyDescent="0.25">
      <c r="A11" s="11" t="s">
        <v>143</v>
      </c>
      <c r="B11" s="13">
        <v>7053</v>
      </c>
      <c r="C11" s="14">
        <f>(5950/B11*100)</f>
        <v>84.361264710052467</v>
      </c>
      <c r="D11" s="15">
        <v>1103</v>
      </c>
      <c r="E11" s="14">
        <v>62.224212010000002</v>
      </c>
      <c r="F11" s="16">
        <v>1.7032757000000001</v>
      </c>
      <c r="G11" s="14">
        <v>37.775787989999998</v>
      </c>
      <c r="H11" s="16">
        <v>1.7032757000000001</v>
      </c>
      <c r="I11" s="14" t="s">
        <v>139</v>
      </c>
      <c r="J11" s="16" t="s">
        <v>139</v>
      </c>
      <c r="K11" s="14">
        <v>0</v>
      </c>
      <c r="L11" s="16">
        <v>0</v>
      </c>
      <c r="M11" s="14">
        <v>0</v>
      </c>
      <c r="N11" s="16">
        <v>0</v>
      </c>
      <c r="O11" s="14">
        <v>0</v>
      </c>
      <c r="P11" s="16">
        <v>0</v>
      </c>
      <c r="Q11" s="14">
        <v>0</v>
      </c>
      <c r="R11" s="16">
        <v>0</v>
      </c>
    </row>
    <row r="12" spans="1:18" x14ac:dyDescent="0.25">
      <c r="A12" s="11" t="s">
        <v>144</v>
      </c>
      <c r="B12" s="13">
        <v>6894</v>
      </c>
      <c r="C12" s="14">
        <f>(5796/B12*100)</f>
        <v>84.073107049608353</v>
      </c>
      <c r="D12" s="15">
        <v>1098</v>
      </c>
      <c r="E12" s="14">
        <v>60.783931039999999</v>
      </c>
      <c r="F12" s="16">
        <v>1.6461376599999999</v>
      </c>
      <c r="G12" s="14">
        <v>39.216068960000001</v>
      </c>
      <c r="H12" s="16">
        <v>1.6461376599999999</v>
      </c>
      <c r="I12" s="14" t="s">
        <v>139</v>
      </c>
      <c r="J12" s="16" t="s">
        <v>139</v>
      </c>
      <c r="K12" s="14">
        <v>0</v>
      </c>
      <c r="L12" s="16">
        <v>0</v>
      </c>
      <c r="M12" s="14">
        <v>0</v>
      </c>
      <c r="N12" s="16">
        <v>0</v>
      </c>
      <c r="O12" s="14">
        <v>0</v>
      </c>
      <c r="P12" s="16">
        <v>0</v>
      </c>
      <c r="Q12" s="14">
        <v>0</v>
      </c>
      <c r="R12" s="16">
        <v>0</v>
      </c>
    </row>
    <row r="13" spans="1:18" x14ac:dyDescent="0.25">
      <c r="A13" s="11" t="s">
        <v>145</v>
      </c>
      <c r="B13" s="13">
        <v>7161</v>
      </c>
      <c r="C13" s="14">
        <f>(6096/B13*100)</f>
        <v>85.127775450356097</v>
      </c>
      <c r="D13" s="15">
        <v>1065</v>
      </c>
      <c r="E13" s="14">
        <v>55.596753769999999</v>
      </c>
      <c r="F13" s="16">
        <v>2.0365805799999999</v>
      </c>
      <c r="G13" s="14">
        <v>44.403246230000001</v>
      </c>
      <c r="H13" s="16">
        <v>2.0365805799999999</v>
      </c>
      <c r="I13" s="14" t="s">
        <v>139</v>
      </c>
      <c r="J13" s="16" t="s">
        <v>139</v>
      </c>
      <c r="K13" s="14">
        <v>0</v>
      </c>
      <c r="L13" s="16">
        <v>0</v>
      </c>
      <c r="M13" s="14">
        <v>0</v>
      </c>
      <c r="N13" s="16">
        <v>0</v>
      </c>
      <c r="O13" s="14">
        <v>0</v>
      </c>
      <c r="P13" s="16">
        <v>0</v>
      </c>
      <c r="Q13" s="14">
        <v>0</v>
      </c>
      <c r="R13" s="16">
        <v>0</v>
      </c>
    </row>
    <row r="14" spans="1:18" x14ac:dyDescent="0.25">
      <c r="A14" s="11" t="s">
        <v>146</v>
      </c>
      <c r="B14" s="13">
        <v>5587</v>
      </c>
      <c r="C14" s="14">
        <f>(4671/B14*100)</f>
        <v>83.604796849829967</v>
      </c>
      <c r="D14" s="15">
        <v>916</v>
      </c>
      <c r="E14" s="14">
        <v>49.183201660000002</v>
      </c>
      <c r="F14" s="16">
        <v>1.9606186400000001</v>
      </c>
      <c r="G14" s="14">
        <v>50.816798339999998</v>
      </c>
      <c r="H14" s="16">
        <v>1.9606186400000001</v>
      </c>
      <c r="I14" s="14" t="s">
        <v>139</v>
      </c>
      <c r="J14" s="16" t="s">
        <v>139</v>
      </c>
      <c r="K14" s="14">
        <v>0</v>
      </c>
      <c r="L14" s="16">
        <v>0</v>
      </c>
      <c r="M14" s="14">
        <v>0</v>
      </c>
      <c r="N14" s="16">
        <v>0</v>
      </c>
      <c r="O14" s="14">
        <v>0</v>
      </c>
      <c r="P14" s="16">
        <v>0</v>
      </c>
      <c r="Q14" s="14">
        <v>0</v>
      </c>
      <c r="R14" s="16">
        <v>0</v>
      </c>
    </row>
    <row r="15" spans="1:18" x14ac:dyDescent="0.25">
      <c r="A15" s="11" t="s">
        <v>147</v>
      </c>
      <c r="B15" s="13">
        <v>5882</v>
      </c>
      <c r="C15" s="14">
        <f>(4907/B15*100)</f>
        <v>83.424005440326425</v>
      </c>
      <c r="D15" s="15">
        <v>975</v>
      </c>
      <c r="E15" s="14">
        <v>45.996686959999998</v>
      </c>
      <c r="F15" s="16">
        <v>1.6813017400000001</v>
      </c>
      <c r="G15" s="14">
        <v>54.003313040000002</v>
      </c>
      <c r="H15" s="16">
        <v>1.6813017400000001</v>
      </c>
      <c r="I15" s="14" t="s">
        <v>139</v>
      </c>
      <c r="J15" s="16" t="s">
        <v>139</v>
      </c>
      <c r="K15" s="14">
        <v>0</v>
      </c>
      <c r="L15" s="16">
        <v>0</v>
      </c>
      <c r="M15" s="14">
        <v>0</v>
      </c>
      <c r="N15" s="16">
        <v>0</v>
      </c>
      <c r="O15" s="14">
        <v>0</v>
      </c>
      <c r="P15" s="16">
        <v>0</v>
      </c>
      <c r="Q15" s="14">
        <v>0</v>
      </c>
      <c r="R15" s="16">
        <v>0</v>
      </c>
    </row>
    <row r="16" spans="1:18" x14ac:dyDescent="0.25">
      <c r="A16" s="11" t="s">
        <v>148</v>
      </c>
      <c r="B16" s="13">
        <v>6108</v>
      </c>
      <c r="C16" s="14">
        <f>(5106/B16*100)</f>
        <v>83.59528487229862</v>
      </c>
      <c r="D16" s="15">
        <v>1002</v>
      </c>
      <c r="E16" s="14">
        <v>53.427879769999997</v>
      </c>
      <c r="F16" s="16">
        <v>1.8691945999999999</v>
      </c>
      <c r="G16" s="14">
        <v>46.572120230000003</v>
      </c>
      <c r="H16" s="16">
        <v>1.8691945999999999</v>
      </c>
      <c r="I16" s="14" t="s">
        <v>139</v>
      </c>
      <c r="J16" s="16" t="s">
        <v>139</v>
      </c>
      <c r="K16" s="14">
        <v>0</v>
      </c>
      <c r="L16" s="16">
        <v>0</v>
      </c>
      <c r="M16" s="14">
        <v>0</v>
      </c>
      <c r="N16" s="16">
        <v>0</v>
      </c>
      <c r="O16" s="14">
        <v>0</v>
      </c>
      <c r="P16" s="16">
        <v>0</v>
      </c>
      <c r="Q16" s="14">
        <v>0</v>
      </c>
      <c r="R16" s="16">
        <v>0</v>
      </c>
    </row>
    <row r="17" spans="1:18" x14ac:dyDescent="0.25">
      <c r="A17" s="11" t="s">
        <v>149</v>
      </c>
      <c r="B17" s="13">
        <v>6504</v>
      </c>
      <c r="C17" s="14">
        <f>(5484/B17*100)</f>
        <v>84.317343173431738</v>
      </c>
      <c r="D17" s="15">
        <v>1020</v>
      </c>
      <c r="E17" s="14">
        <v>48.685552880000003</v>
      </c>
      <c r="F17" s="16">
        <v>1.6847285000000001</v>
      </c>
      <c r="G17" s="14">
        <v>51.314447119999997</v>
      </c>
      <c r="H17" s="16">
        <v>1.6847285000000001</v>
      </c>
      <c r="I17" s="14" t="s">
        <v>139</v>
      </c>
      <c r="J17" s="16" t="s">
        <v>139</v>
      </c>
      <c r="K17" s="14">
        <v>0</v>
      </c>
      <c r="L17" s="16">
        <v>0</v>
      </c>
      <c r="M17" s="14">
        <v>0</v>
      </c>
      <c r="N17" s="16">
        <v>0</v>
      </c>
      <c r="O17" s="14">
        <v>0</v>
      </c>
      <c r="P17" s="16">
        <v>0</v>
      </c>
      <c r="Q17" s="14">
        <v>0</v>
      </c>
      <c r="R17" s="16">
        <v>0</v>
      </c>
    </row>
    <row r="18" spans="1:18" x14ac:dyDescent="0.25">
      <c r="A18" s="11" t="s">
        <v>150</v>
      </c>
      <c r="B18" s="13">
        <v>5532</v>
      </c>
      <c r="C18" s="14">
        <f>(4644/B18*100)</f>
        <v>83.947939262472886</v>
      </c>
      <c r="D18" s="15">
        <v>888</v>
      </c>
      <c r="E18" s="14">
        <v>68.841564890000001</v>
      </c>
      <c r="F18" s="16">
        <v>1.5032691600000001</v>
      </c>
      <c r="G18" s="14">
        <v>31.158435109999999</v>
      </c>
      <c r="H18" s="16">
        <v>1.5032691600000001</v>
      </c>
      <c r="I18" s="14" t="s">
        <v>139</v>
      </c>
      <c r="J18" s="16" t="s">
        <v>139</v>
      </c>
      <c r="K18" s="14">
        <v>0</v>
      </c>
      <c r="L18" s="16">
        <v>0</v>
      </c>
      <c r="M18" s="14">
        <v>0</v>
      </c>
      <c r="N18" s="16">
        <v>0</v>
      </c>
      <c r="O18" s="14">
        <v>0</v>
      </c>
      <c r="P18" s="16">
        <v>0</v>
      </c>
      <c r="Q18" s="14">
        <v>0</v>
      </c>
      <c r="R18" s="16">
        <v>0</v>
      </c>
    </row>
    <row r="19" spans="1:18" x14ac:dyDescent="0.25">
      <c r="A19" s="11" t="s">
        <v>151</v>
      </c>
      <c r="B19" s="13">
        <v>5658</v>
      </c>
      <c r="C19" s="14">
        <f>(4776/B19*100)</f>
        <v>84.411452810180279</v>
      </c>
      <c r="D19" s="15">
        <v>882</v>
      </c>
      <c r="E19" s="14">
        <v>65.248265340000003</v>
      </c>
      <c r="F19" s="16">
        <v>1.74872614</v>
      </c>
      <c r="G19" s="14">
        <v>34.751734659999997</v>
      </c>
      <c r="H19" s="16">
        <v>1.74872614</v>
      </c>
      <c r="I19" s="14" t="s">
        <v>139</v>
      </c>
      <c r="J19" s="16" t="s">
        <v>139</v>
      </c>
      <c r="K19" s="14">
        <v>0</v>
      </c>
      <c r="L19" s="16">
        <v>0</v>
      </c>
      <c r="M19" s="14">
        <v>0</v>
      </c>
      <c r="N19" s="16">
        <v>0</v>
      </c>
      <c r="O19" s="14">
        <v>0</v>
      </c>
      <c r="P19" s="16">
        <v>0</v>
      </c>
      <c r="Q19" s="14">
        <v>0</v>
      </c>
      <c r="R19" s="16">
        <v>0</v>
      </c>
    </row>
    <row r="20" spans="1:18" x14ac:dyDescent="0.25">
      <c r="A20" s="11" t="s">
        <v>152</v>
      </c>
      <c r="B20" s="13">
        <v>3371</v>
      </c>
      <c r="C20" s="14">
        <f>(2854/B20*100)</f>
        <v>84.663304657371697</v>
      </c>
      <c r="D20" s="15">
        <v>517</v>
      </c>
      <c r="E20" s="14">
        <v>57.600012700000001</v>
      </c>
      <c r="F20" s="16">
        <v>2.3764149799999998</v>
      </c>
      <c r="G20" s="14">
        <v>42.399987299999999</v>
      </c>
      <c r="H20" s="16">
        <v>2.3764149799999998</v>
      </c>
      <c r="I20" s="14" t="s">
        <v>139</v>
      </c>
      <c r="J20" s="16" t="s">
        <v>139</v>
      </c>
      <c r="K20" s="14">
        <v>0</v>
      </c>
      <c r="L20" s="16">
        <v>0</v>
      </c>
      <c r="M20" s="14">
        <v>0</v>
      </c>
      <c r="N20" s="16">
        <v>0</v>
      </c>
      <c r="O20" s="14">
        <v>0</v>
      </c>
      <c r="P20" s="16">
        <v>0</v>
      </c>
      <c r="Q20" s="14">
        <v>0</v>
      </c>
      <c r="R20" s="16">
        <v>0</v>
      </c>
    </row>
    <row r="21" spans="1:18" x14ac:dyDescent="0.25">
      <c r="A21" s="11" t="s">
        <v>153</v>
      </c>
      <c r="B21" s="17" t="s">
        <v>154</v>
      </c>
      <c r="C21" s="17" t="s">
        <v>154</v>
      </c>
      <c r="D21" s="18" t="s">
        <v>154</v>
      </c>
      <c r="E21" s="17" t="s">
        <v>154</v>
      </c>
      <c r="F21" s="18" t="s">
        <v>154</v>
      </c>
      <c r="G21" s="17" t="s">
        <v>154</v>
      </c>
      <c r="H21" s="18" t="s">
        <v>154</v>
      </c>
      <c r="I21" s="17" t="s">
        <v>154</v>
      </c>
      <c r="J21" s="18" t="s">
        <v>154</v>
      </c>
      <c r="K21" s="17" t="s">
        <v>154</v>
      </c>
      <c r="L21" s="18" t="s">
        <v>154</v>
      </c>
      <c r="M21" s="17" t="s">
        <v>154</v>
      </c>
      <c r="N21" s="18" t="s">
        <v>154</v>
      </c>
      <c r="O21" s="17" t="s">
        <v>154</v>
      </c>
      <c r="P21" s="18" t="s">
        <v>154</v>
      </c>
      <c r="Q21" s="17" t="s">
        <v>154</v>
      </c>
      <c r="R21" s="18" t="s">
        <v>154</v>
      </c>
    </row>
    <row r="22" spans="1:18" x14ac:dyDescent="0.25">
      <c r="A22" s="11" t="s">
        <v>155</v>
      </c>
      <c r="B22" s="13">
        <v>6598</v>
      </c>
      <c r="C22" s="14">
        <f>(5614/B22*100)</f>
        <v>85.086389815095487</v>
      </c>
      <c r="D22" s="15">
        <v>984</v>
      </c>
      <c r="E22" s="14">
        <v>65.118016539999999</v>
      </c>
      <c r="F22" s="16">
        <v>1.72211695</v>
      </c>
      <c r="G22" s="14">
        <v>34.881983460000001</v>
      </c>
      <c r="H22" s="16">
        <v>1.72211695</v>
      </c>
      <c r="I22" s="14" t="s">
        <v>139</v>
      </c>
      <c r="J22" s="16" t="s">
        <v>139</v>
      </c>
      <c r="K22" s="14">
        <v>0</v>
      </c>
      <c r="L22" s="16">
        <v>0</v>
      </c>
      <c r="M22" s="14">
        <v>0</v>
      </c>
      <c r="N22" s="16">
        <v>0</v>
      </c>
      <c r="O22" s="14">
        <v>0</v>
      </c>
      <c r="P22" s="16">
        <v>0</v>
      </c>
      <c r="Q22" s="14">
        <v>0</v>
      </c>
      <c r="R22" s="16">
        <v>0</v>
      </c>
    </row>
    <row r="23" spans="1:18" x14ac:dyDescent="0.25">
      <c r="A23" s="11" t="s">
        <v>156</v>
      </c>
      <c r="B23" s="13">
        <v>11583</v>
      </c>
      <c r="C23" s="14">
        <f>(9708/B23*100)</f>
        <v>83.812483812483819</v>
      </c>
      <c r="D23" s="15">
        <v>1875</v>
      </c>
      <c r="E23" s="14">
        <v>54.132242189999999</v>
      </c>
      <c r="F23" s="16">
        <v>2.07804762</v>
      </c>
      <c r="G23" s="14">
        <v>45.867757810000001</v>
      </c>
      <c r="H23" s="16">
        <v>2.07804762</v>
      </c>
      <c r="I23" s="14" t="s">
        <v>139</v>
      </c>
      <c r="J23" s="16" t="s">
        <v>139</v>
      </c>
      <c r="K23" s="14">
        <v>0</v>
      </c>
      <c r="L23" s="16">
        <v>0</v>
      </c>
      <c r="M23" s="14">
        <v>0</v>
      </c>
      <c r="N23" s="16">
        <v>0</v>
      </c>
      <c r="O23" s="14">
        <v>0</v>
      </c>
      <c r="P23" s="16">
        <v>0</v>
      </c>
      <c r="Q23" s="14">
        <v>0</v>
      </c>
      <c r="R23" s="16">
        <v>0</v>
      </c>
    </row>
    <row r="24" spans="1:18" x14ac:dyDescent="0.25">
      <c r="A24" s="11" t="s">
        <v>157</v>
      </c>
      <c r="B24" s="13">
        <v>6647</v>
      </c>
      <c r="C24" s="14">
        <f>(5510/B24*100)</f>
        <v>82.894538889724686</v>
      </c>
      <c r="D24" s="15">
        <v>1137</v>
      </c>
      <c r="E24" s="14">
        <v>42.77305604</v>
      </c>
      <c r="F24" s="16">
        <v>1.64524592</v>
      </c>
      <c r="G24" s="14">
        <v>57.22694396</v>
      </c>
      <c r="H24" s="16">
        <v>1.64524592</v>
      </c>
      <c r="I24" s="14" t="s">
        <v>139</v>
      </c>
      <c r="J24" s="16" t="s">
        <v>139</v>
      </c>
      <c r="K24" s="14">
        <v>0</v>
      </c>
      <c r="L24" s="16">
        <v>0</v>
      </c>
      <c r="M24" s="14">
        <v>0</v>
      </c>
      <c r="N24" s="16">
        <v>0</v>
      </c>
      <c r="O24" s="14">
        <v>0</v>
      </c>
      <c r="P24" s="16">
        <v>0</v>
      </c>
      <c r="Q24" s="14">
        <v>0</v>
      </c>
      <c r="R24" s="16">
        <v>0</v>
      </c>
    </row>
    <row r="25" spans="1:18" x14ac:dyDescent="0.25">
      <c r="A25" s="11" t="s">
        <v>158</v>
      </c>
      <c r="B25" s="13">
        <v>5581</v>
      </c>
      <c r="C25" s="14">
        <f>(4606/B25*100)</f>
        <v>82.530012542555099</v>
      </c>
      <c r="D25" s="15">
        <v>975</v>
      </c>
      <c r="E25" s="14">
        <v>43.622748340000001</v>
      </c>
      <c r="F25" s="16">
        <v>1.8048357900000001</v>
      </c>
      <c r="G25" s="14">
        <v>56.377251659999999</v>
      </c>
      <c r="H25" s="16">
        <v>1.8048357900000001</v>
      </c>
      <c r="I25" s="14" t="s">
        <v>139</v>
      </c>
      <c r="J25" s="16" t="s">
        <v>139</v>
      </c>
      <c r="K25" s="14">
        <v>0</v>
      </c>
      <c r="L25" s="16">
        <v>0</v>
      </c>
      <c r="M25" s="14">
        <v>0</v>
      </c>
      <c r="N25" s="16">
        <v>0</v>
      </c>
      <c r="O25" s="14">
        <v>0</v>
      </c>
      <c r="P25" s="16">
        <v>0</v>
      </c>
      <c r="Q25" s="14">
        <v>0</v>
      </c>
      <c r="R25" s="16">
        <v>0</v>
      </c>
    </row>
    <row r="26" spans="1:18" x14ac:dyDescent="0.25">
      <c r="A26" s="11" t="s">
        <v>159</v>
      </c>
      <c r="B26" s="13">
        <v>4869</v>
      </c>
      <c r="C26" s="14">
        <f>(4059/B26*100)</f>
        <v>83.364140480591502</v>
      </c>
      <c r="D26" s="15">
        <v>810</v>
      </c>
      <c r="E26" s="14">
        <v>61.819361280000003</v>
      </c>
      <c r="F26" s="16">
        <v>1.71949292</v>
      </c>
      <c r="G26" s="14">
        <v>38.180638719999997</v>
      </c>
      <c r="H26" s="16">
        <v>1.71949292</v>
      </c>
      <c r="I26" s="14" t="s">
        <v>139</v>
      </c>
      <c r="J26" s="16" t="s">
        <v>139</v>
      </c>
      <c r="K26" s="14">
        <v>0</v>
      </c>
      <c r="L26" s="16">
        <v>0</v>
      </c>
      <c r="M26" s="14">
        <v>0</v>
      </c>
      <c r="N26" s="16">
        <v>0</v>
      </c>
      <c r="O26" s="14">
        <v>0</v>
      </c>
      <c r="P26" s="16">
        <v>0</v>
      </c>
      <c r="Q26" s="14">
        <v>0</v>
      </c>
      <c r="R26" s="16">
        <v>0</v>
      </c>
    </row>
    <row r="27" spans="1:18" x14ac:dyDescent="0.25">
      <c r="A27" s="11" t="s">
        <v>160</v>
      </c>
      <c r="B27" s="13">
        <v>5299</v>
      </c>
      <c r="C27" s="14">
        <f>(4491/B27*100)</f>
        <v>84.751839969805616</v>
      </c>
      <c r="D27" s="15">
        <v>808</v>
      </c>
      <c r="E27" s="14">
        <v>55.410716780000001</v>
      </c>
      <c r="F27" s="16">
        <v>1.78715647</v>
      </c>
      <c r="G27" s="14">
        <v>44.589283219999999</v>
      </c>
      <c r="H27" s="16">
        <v>1.78715647</v>
      </c>
      <c r="I27" s="14" t="s">
        <v>139</v>
      </c>
      <c r="J27" s="16" t="s">
        <v>139</v>
      </c>
      <c r="K27" s="14">
        <v>0</v>
      </c>
      <c r="L27" s="16">
        <v>0</v>
      </c>
      <c r="M27" s="14">
        <v>0</v>
      </c>
      <c r="N27" s="16">
        <v>0</v>
      </c>
      <c r="O27" s="14">
        <v>0</v>
      </c>
      <c r="P27" s="16">
        <v>0</v>
      </c>
      <c r="Q27" s="14">
        <v>0</v>
      </c>
      <c r="R27" s="16">
        <v>0</v>
      </c>
    </row>
    <row r="28" spans="1:18" x14ac:dyDescent="0.25">
      <c r="A28" s="11" t="s">
        <v>161</v>
      </c>
      <c r="B28" s="13">
        <v>7568</v>
      </c>
      <c r="C28" s="14">
        <f>(6520/B28*100)</f>
        <v>86.152219873150102</v>
      </c>
      <c r="D28" s="15">
        <v>1048</v>
      </c>
      <c r="E28" s="14">
        <v>77.050393700000001</v>
      </c>
      <c r="F28" s="16">
        <v>1.5395020699999999</v>
      </c>
      <c r="G28" s="14">
        <v>22.949606299999999</v>
      </c>
      <c r="H28" s="16">
        <v>1.5395020699999999</v>
      </c>
      <c r="I28" s="14" t="s">
        <v>139</v>
      </c>
      <c r="J28" s="16" t="s">
        <v>139</v>
      </c>
      <c r="K28" s="14">
        <v>0</v>
      </c>
      <c r="L28" s="16">
        <v>0</v>
      </c>
      <c r="M28" s="14">
        <v>0</v>
      </c>
      <c r="N28" s="16">
        <v>0</v>
      </c>
      <c r="O28" s="14">
        <v>0</v>
      </c>
      <c r="P28" s="16">
        <v>0</v>
      </c>
      <c r="Q28" s="14">
        <v>0</v>
      </c>
      <c r="R28" s="16">
        <v>0</v>
      </c>
    </row>
    <row r="29" spans="1:18" x14ac:dyDescent="0.25">
      <c r="A29" s="11" t="s">
        <v>162</v>
      </c>
      <c r="B29" s="13">
        <v>5385</v>
      </c>
      <c r="C29" s="14">
        <f>(4468/B29*100)</f>
        <v>82.971216341689882</v>
      </c>
      <c r="D29" s="15">
        <v>917</v>
      </c>
      <c r="E29" s="14">
        <v>47.417637669999998</v>
      </c>
      <c r="F29" s="16">
        <v>1.7320978300000001</v>
      </c>
      <c r="G29" s="14">
        <v>52.582362330000002</v>
      </c>
      <c r="H29" s="16">
        <v>1.7320978300000001</v>
      </c>
      <c r="I29" s="14" t="s">
        <v>139</v>
      </c>
      <c r="J29" s="16" t="s">
        <v>139</v>
      </c>
      <c r="K29" s="14">
        <v>0</v>
      </c>
      <c r="L29" s="16">
        <v>0</v>
      </c>
      <c r="M29" s="14">
        <v>0</v>
      </c>
      <c r="N29" s="16">
        <v>0</v>
      </c>
      <c r="O29" s="14">
        <v>0</v>
      </c>
      <c r="P29" s="16">
        <v>0</v>
      </c>
      <c r="Q29" s="14">
        <v>0</v>
      </c>
      <c r="R29" s="16">
        <v>0</v>
      </c>
    </row>
    <row r="30" spans="1:18" x14ac:dyDescent="0.25">
      <c r="A30" s="11" t="s">
        <v>163</v>
      </c>
      <c r="B30" s="13">
        <v>4520</v>
      </c>
      <c r="C30" s="14">
        <f>(3818/B30*100)</f>
        <v>84.469026548672559</v>
      </c>
      <c r="D30" s="15">
        <v>702</v>
      </c>
      <c r="E30" s="14">
        <v>50.052418150000001</v>
      </c>
      <c r="F30" s="16">
        <v>1.8338160400000001</v>
      </c>
      <c r="G30" s="14">
        <v>49.947581849999999</v>
      </c>
      <c r="H30" s="16">
        <v>1.8338160400000001</v>
      </c>
      <c r="I30" s="14" t="s">
        <v>139</v>
      </c>
      <c r="J30" s="16" t="s">
        <v>139</v>
      </c>
      <c r="K30" s="14">
        <v>0</v>
      </c>
      <c r="L30" s="16">
        <v>0</v>
      </c>
      <c r="M30" s="14">
        <v>0</v>
      </c>
      <c r="N30" s="16">
        <v>0</v>
      </c>
      <c r="O30" s="14">
        <v>0</v>
      </c>
      <c r="P30" s="16">
        <v>0</v>
      </c>
      <c r="Q30" s="14">
        <v>0</v>
      </c>
      <c r="R30" s="16">
        <v>0</v>
      </c>
    </row>
    <row r="31" spans="1:18" x14ac:dyDescent="0.25">
      <c r="A31" s="11" t="s">
        <v>164</v>
      </c>
      <c r="B31" s="13">
        <v>5456</v>
      </c>
      <c r="C31" s="14">
        <f>(4537/B31*100)</f>
        <v>83.156158357771261</v>
      </c>
      <c r="D31" s="15">
        <v>919</v>
      </c>
      <c r="E31" s="14">
        <v>56.01673761</v>
      </c>
      <c r="F31" s="16">
        <v>1.6091994300000001</v>
      </c>
      <c r="G31" s="14">
        <v>43.98326239</v>
      </c>
      <c r="H31" s="16">
        <v>1.6091994300000001</v>
      </c>
      <c r="I31" s="14" t="s">
        <v>139</v>
      </c>
      <c r="J31" s="16" t="s">
        <v>139</v>
      </c>
      <c r="K31" s="14">
        <v>0</v>
      </c>
      <c r="L31" s="16">
        <v>0</v>
      </c>
      <c r="M31" s="14">
        <v>0</v>
      </c>
      <c r="N31" s="16">
        <v>0</v>
      </c>
      <c r="O31" s="14">
        <v>0</v>
      </c>
      <c r="P31" s="16">
        <v>0</v>
      </c>
      <c r="Q31" s="14">
        <v>0</v>
      </c>
      <c r="R31" s="16">
        <v>0</v>
      </c>
    </row>
    <row r="32" spans="1:18" x14ac:dyDescent="0.25">
      <c r="A32" s="11" t="s">
        <v>165</v>
      </c>
      <c r="B32" s="17" t="s">
        <v>154</v>
      </c>
      <c r="C32" s="17" t="s">
        <v>154</v>
      </c>
      <c r="D32" s="18" t="s">
        <v>154</v>
      </c>
      <c r="E32" s="17" t="s">
        <v>154</v>
      </c>
      <c r="F32" s="18" t="s">
        <v>154</v>
      </c>
      <c r="G32" s="17" t="s">
        <v>154</v>
      </c>
      <c r="H32" s="18" t="s">
        <v>154</v>
      </c>
      <c r="I32" s="17" t="s">
        <v>154</v>
      </c>
      <c r="J32" s="18" t="s">
        <v>154</v>
      </c>
      <c r="K32" s="17" t="s">
        <v>154</v>
      </c>
      <c r="L32" s="18" t="s">
        <v>154</v>
      </c>
      <c r="M32" s="17" t="s">
        <v>154</v>
      </c>
      <c r="N32" s="18" t="s">
        <v>154</v>
      </c>
      <c r="O32" s="17" t="s">
        <v>154</v>
      </c>
      <c r="P32" s="18" t="s">
        <v>154</v>
      </c>
      <c r="Q32" s="17" t="s">
        <v>154</v>
      </c>
      <c r="R32" s="18" t="s">
        <v>154</v>
      </c>
    </row>
    <row r="33" spans="1:18" x14ac:dyDescent="0.25">
      <c r="A33" s="11" t="s">
        <v>166</v>
      </c>
      <c r="B33" s="13">
        <v>7325</v>
      </c>
      <c r="C33" s="14">
        <f>(6183/B33*100)</f>
        <v>84.409556313993178</v>
      </c>
      <c r="D33" s="15">
        <v>1142</v>
      </c>
      <c r="E33" s="14">
        <v>54.771058029999999</v>
      </c>
      <c r="F33" s="16">
        <v>1.80872593</v>
      </c>
      <c r="G33" s="14">
        <v>45.228941970000001</v>
      </c>
      <c r="H33" s="16">
        <v>1.80872593</v>
      </c>
      <c r="I33" s="14" t="s">
        <v>139</v>
      </c>
      <c r="J33" s="16" t="s">
        <v>139</v>
      </c>
      <c r="K33" s="14">
        <v>0</v>
      </c>
      <c r="L33" s="16">
        <v>0</v>
      </c>
      <c r="M33" s="14">
        <v>0</v>
      </c>
      <c r="N33" s="16">
        <v>0</v>
      </c>
      <c r="O33" s="14">
        <v>0</v>
      </c>
      <c r="P33" s="16">
        <v>0</v>
      </c>
      <c r="Q33" s="14">
        <v>0</v>
      </c>
      <c r="R33" s="16">
        <v>0</v>
      </c>
    </row>
    <row r="34" spans="1:18" x14ac:dyDescent="0.25">
      <c r="A34" s="11" t="s">
        <v>167</v>
      </c>
      <c r="B34" s="13">
        <v>6350</v>
      </c>
      <c r="C34" s="14">
        <f>(5404/B34*100)</f>
        <v>85.102362204724415</v>
      </c>
      <c r="D34" s="15">
        <v>946</v>
      </c>
      <c r="E34" s="14">
        <v>71.850328820000001</v>
      </c>
      <c r="F34" s="16">
        <v>1.4045925100000001</v>
      </c>
      <c r="G34" s="14">
        <v>28.149671179999999</v>
      </c>
      <c r="H34" s="16">
        <v>1.4045925100000001</v>
      </c>
      <c r="I34" s="14" t="s">
        <v>139</v>
      </c>
      <c r="J34" s="16" t="s">
        <v>139</v>
      </c>
      <c r="K34" s="14">
        <v>0</v>
      </c>
      <c r="L34" s="16">
        <v>0</v>
      </c>
      <c r="M34" s="14">
        <v>0</v>
      </c>
      <c r="N34" s="16">
        <v>0</v>
      </c>
      <c r="O34" s="14">
        <v>0</v>
      </c>
      <c r="P34" s="16">
        <v>0</v>
      </c>
      <c r="Q34" s="14">
        <v>0</v>
      </c>
      <c r="R34" s="16">
        <v>0</v>
      </c>
    </row>
    <row r="35" spans="1:18" x14ac:dyDescent="0.25">
      <c r="A35" s="11" t="s">
        <v>168</v>
      </c>
      <c r="B35" s="13">
        <v>6406</v>
      </c>
      <c r="C35" s="14">
        <f>(5350/B35*100)</f>
        <v>83.515454261629714</v>
      </c>
      <c r="D35" s="15">
        <v>1056</v>
      </c>
      <c r="E35" s="14">
        <v>61.551767460000001</v>
      </c>
      <c r="F35" s="16">
        <v>1.88640418</v>
      </c>
      <c r="G35" s="14">
        <v>38.448232539999999</v>
      </c>
      <c r="H35" s="16">
        <v>1.88640418</v>
      </c>
      <c r="I35" s="14" t="s">
        <v>139</v>
      </c>
      <c r="J35" s="16" t="s">
        <v>139</v>
      </c>
      <c r="K35" s="14">
        <v>0</v>
      </c>
      <c r="L35" s="16">
        <v>0</v>
      </c>
      <c r="M35" s="14">
        <v>0</v>
      </c>
      <c r="N35" s="16">
        <v>0</v>
      </c>
      <c r="O35" s="14">
        <v>0</v>
      </c>
      <c r="P35" s="16">
        <v>0</v>
      </c>
      <c r="Q35" s="14">
        <v>0</v>
      </c>
      <c r="R35" s="16">
        <v>0</v>
      </c>
    </row>
    <row r="36" spans="1:18" x14ac:dyDescent="0.25">
      <c r="A36" s="11" t="s">
        <v>169</v>
      </c>
      <c r="B36" s="13">
        <v>6736</v>
      </c>
      <c r="C36" s="14">
        <f>(5705/B36*100)</f>
        <v>84.694180522565318</v>
      </c>
      <c r="D36" s="15">
        <v>1031</v>
      </c>
      <c r="E36" s="14">
        <v>51.175959419999998</v>
      </c>
      <c r="F36" s="16">
        <v>1.90240981</v>
      </c>
      <c r="G36" s="14">
        <v>48.824040580000002</v>
      </c>
      <c r="H36" s="16">
        <v>1.90240981</v>
      </c>
      <c r="I36" s="14" t="s">
        <v>139</v>
      </c>
      <c r="J36" s="16" t="s">
        <v>139</v>
      </c>
      <c r="K36" s="14">
        <v>0</v>
      </c>
      <c r="L36" s="16">
        <v>0</v>
      </c>
      <c r="M36" s="14">
        <v>0</v>
      </c>
      <c r="N36" s="16">
        <v>0</v>
      </c>
      <c r="O36" s="14">
        <v>0</v>
      </c>
      <c r="P36" s="16">
        <v>0</v>
      </c>
      <c r="Q36" s="14">
        <v>0</v>
      </c>
      <c r="R36" s="16">
        <v>0</v>
      </c>
    </row>
    <row r="37" spans="1:18" x14ac:dyDescent="0.25">
      <c r="A37" s="11" t="s">
        <v>170</v>
      </c>
      <c r="B37" s="13">
        <v>5458</v>
      </c>
      <c r="C37" s="14">
        <f>(4588/B37*100)</f>
        <v>84.060095272993777</v>
      </c>
      <c r="D37" s="15">
        <v>870</v>
      </c>
      <c r="E37" s="14">
        <v>55.707981760000003</v>
      </c>
      <c r="F37" s="16">
        <v>1.84887245</v>
      </c>
      <c r="G37" s="14">
        <v>44.292018239999997</v>
      </c>
      <c r="H37" s="16">
        <v>1.84887245</v>
      </c>
      <c r="I37" s="14" t="s">
        <v>139</v>
      </c>
      <c r="J37" s="16" t="s">
        <v>139</v>
      </c>
      <c r="K37" s="14">
        <v>0</v>
      </c>
      <c r="L37" s="16">
        <v>0</v>
      </c>
      <c r="M37" s="14">
        <v>0</v>
      </c>
      <c r="N37" s="16">
        <v>0</v>
      </c>
      <c r="O37" s="14">
        <v>0</v>
      </c>
      <c r="P37" s="16">
        <v>0</v>
      </c>
      <c r="Q37" s="14">
        <v>0</v>
      </c>
      <c r="R37" s="16">
        <v>0</v>
      </c>
    </row>
    <row r="38" spans="1:18" x14ac:dyDescent="0.25">
      <c r="A38" s="11" t="s">
        <v>171</v>
      </c>
      <c r="B38" s="17" t="s">
        <v>154</v>
      </c>
      <c r="C38" s="17" t="s">
        <v>154</v>
      </c>
      <c r="D38" s="18" t="s">
        <v>154</v>
      </c>
      <c r="E38" s="17" t="s">
        <v>154</v>
      </c>
      <c r="F38" s="18" t="s">
        <v>154</v>
      </c>
      <c r="G38" s="17" t="s">
        <v>154</v>
      </c>
      <c r="H38" s="18" t="s">
        <v>154</v>
      </c>
      <c r="I38" s="17" t="s">
        <v>154</v>
      </c>
      <c r="J38" s="18" t="s">
        <v>154</v>
      </c>
      <c r="K38" s="17" t="s">
        <v>154</v>
      </c>
      <c r="L38" s="18" t="s">
        <v>154</v>
      </c>
      <c r="M38" s="17" t="s">
        <v>154</v>
      </c>
      <c r="N38" s="18" t="s">
        <v>154</v>
      </c>
      <c r="O38" s="17" t="s">
        <v>154</v>
      </c>
      <c r="P38" s="18" t="s">
        <v>154</v>
      </c>
      <c r="Q38" s="17" t="s">
        <v>154</v>
      </c>
      <c r="R38" s="18" t="s">
        <v>154</v>
      </c>
    </row>
    <row r="39" spans="1:18" x14ac:dyDescent="0.25">
      <c r="A39" s="11" t="s">
        <v>172</v>
      </c>
      <c r="B39" s="13">
        <v>5895</v>
      </c>
      <c r="C39" s="14">
        <f>(4865/B39*100)</f>
        <v>82.527565733672603</v>
      </c>
      <c r="D39" s="15">
        <v>1030</v>
      </c>
      <c r="E39" s="14">
        <v>84.761043639999997</v>
      </c>
      <c r="F39" s="16">
        <v>1.1575756699999999</v>
      </c>
      <c r="G39" s="14">
        <v>15.23895636</v>
      </c>
      <c r="H39" s="16">
        <v>1.1575756699999999</v>
      </c>
      <c r="I39" s="14" t="s">
        <v>139</v>
      </c>
      <c r="J39" s="16" t="s">
        <v>139</v>
      </c>
      <c r="K39" s="14">
        <v>0</v>
      </c>
      <c r="L39" s="16">
        <v>0</v>
      </c>
      <c r="M39" s="14">
        <v>0</v>
      </c>
      <c r="N39" s="16">
        <v>0</v>
      </c>
      <c r="O39" s="14">
        <v>0</v>
      </c>
      <c r="P39" s="16">
        <v>0</v>
      </c>
      <c r="Q39" s="14">
        <v>0</v>
      </c>
      <c r="R39" s="16">
        <v>0</v>
      </c>
    </row>
    <row r="40" spans="1:18" x14ac:dyDescent="0.25">
      <c r="A40" s="11" t="s">
        <v>173</v>
      </c>
      <c r="B40" s="13">
        <v>14157</v>
      </c>
      <c r="C40" s="14">
        <f>(11730/B40*100)</f>
        <v>82.856537401991943</v>
      </c>
      <c r="D40" s="15">
        <v>2427</v>
      </c>
      <c r="E40" s="14">
        <v>50.802511770000002</v>
      </c>
      <c r="F40" s="16">
        <v>1.63180266</v>
      </c>
      <c r="G40" s="14">
        <v>49.197488229999998</v>
      </c>
      <c r="H40" s="16">
        <v>1.63180266</v>
      </c>
      <c r="I40" s="14" t="s">
        <v>139</v>
      </c>
      <c r="J40" s="16" t="s">
        <v>139</v>
      </c>
      <c r="K40" s="14">
        <v>0</v>
      </c>
      <c r="L40" s="16">
        <v>0</v>
      </c>
      <c r="M40" s="14">
        <v>0</v>
      </c>
      <c r="N40" s="16">
        <v>0</v>
      </c>
      <c r="O40" s="14">
        <v>0</v>
      </c>
      <c r="P40" s="16">
        <v>0</v>
      </c>
      <c r="Q40" s="14">
        <v>0</v>
      </c>
      <c r="R40" s="16">
        <v>0</v>
      </c>
    </row>
    <row r="41" spans="1:18" x14ac:dyDescent="0.25">
      <c r="A41" s="11" t="s">
        <v>174</v>
      </c>
      <c r="B41" s="13">
        <v>5712</v>
      </c>
      <c r="C41" s="14">
        <f>(4814/B41*100)</f>
        <v>84.278711484593842</v>
      </c>
      <c r="D41" s="15">
        <v>898</v>
      </c>
      <c r="E41" s="14">
        <v>48.958954140000003</v>
      </c>
      <c r="F41" s="16">
        <v>1.8987224899999999</v>
      </c>
      <c r="G41" s="14">
        <v>51.041045859999997</v>
      </c>
      <c r="H41" s="16">
        <v>1.8987224899999999</v>
      </c>
      <c r="I41" s="14" t="s">
        <v>139</v>
      </c>
      <c r="J41" s="16" t="s">
        <v>139</v>
      </c>
      <c r="K41" s="14">
        <v>0</v>
      </c>
      <c r="L41" s="16">
        <v>0</v>
      </c>
      <c r="M41" s="14">
        <v>0</v>
      </c>
      <c r="N41" s="16">
        <v>0</v>
      </c>
      <c r="O41" s="14">
        <v>0</v>
      </c>
      <c r="P41" s="16">
        <v>0</v>
      </c>
      <c r="Q41" s="14">
        <v>0</v>
      </c>
      <c r="R41" s="16">
        <v>0</v>
      </c>
    </row>
    <row r="42" spans="1:18" x14ac:dyDescent="0.25">
      <c r="A42" s="11" t="s">
        <v>175</v>
      </c>
      <c r="B42" s="13">
        <f>IF(COUNT(B7:B41) &gt; 0, AVERAGE(B7:B41), "\u2014")</f>
        <v>7266.90625</v>
      </c>
      <c r="C42" s="14">
        <f>IF(COUNT(C7:C41) &gt; 0, AVERAGE(C7:C41), "—")</f>
        <v>84.026518828473272</v>
      </c>
      <c r="D42" s="15">
        <f>IF(COUNT(D7:D41) &gt; 0, AVERAGE(D7:D41), "—")</f>
        <v>1162.5625</v>
      </c>
      <c r="E42" s="14">
        <f>IF(COUNT(E7:E41) &gt; 0, AVERAGE(E7:E41), "—")</f>
        <v>56.616015362812504</v>
      </c>
      <c r="F42" s="16">
        <f>IF(COUNT(F7:F41) &gt; 0, SQRT(SUMSQ(F7:F41)/(COUNT(F7:F41)*COUNT(F7:F41)) ), "—")</f>
        <v>0.30420388568426437</v>
      </c>
      <c r="G42" s="14">
        <f>IF(COUNT(G7:G41) &gt; 0, AVERAGE(G7:G41), "—")</f>
        <v>43.383984637187503</v>
      </c>
      <c r="H42" s="16">
        <f>IF(COUNT(H7:H41) &gt; 0, SQRT(SUMSQ(H7:H41)/(COUNT(H7:H41)*COUNT(H7:H41)) ), "—")</f>
        <v>0.30420388568426437</v>
      </c>
      <c r="I42" s="14" t="str">
        <f>IF(COUNT(I7:I41) &gt; 0, AVERAGE(I7:I41), "—")</f>
        <v>—</v>
      </c>
      <c r="J42" s="16" t="str">
        <f>IF(COUNT(J7:J41) &gt; 0, SQRT(SUMSQ(J7:J41)/(COUNT(J7:J41)*COUNT(J7:J41)) ), "—")</f>
        <v>—</v>
      </c>
      <c r="K42" s="14">
        <f>IF(COUNT(K7:K41) &gt; 0, AVERAGE(K7:K41), "—")</f>
        <v>0</v>
      </c>
      <c r="L42" s="16">
        <f>IF(COUNT(L7:L41) &gt; 0, SQRT(SUMSQ(L7:L41)/(COUNT(L7:L41)*COUNT(L7:L41)) ), "—")</f>
        <v>0</v>
      </c>
      <c r="M42" s="14">
        <f>IF(COUNT(M7:M41) &gt; 0, AVERAGE(M7:M41), "—")</f>
        <v>0</v>
      </c>
      <c r="N42" s="16">
        <f>IF(COUNT(N7:N41) &gt; 0, SQRT(SUMSQ(N7:N41)/(COUNT(N7:N41)*COUNT(N7:N41)) ), "—")</f>
        <v>0</v>
      </c>
      <c r="O42" s="14">
        <f>IF(COUNT(O7:O41) &gt; 0, AVERAGE(O7:O41), "—")</f>
        <v>0</v>
      </c>
      <c r="P42" s="16">
        <f>IF(COUNT(P7:P41) &gt; 0, SQRT(SUMSQ(P7:P41)/(COUNT(P7:P41)*COUNT(P7:P41)) ), "—")</f>
        <v>0</v>
      </c>
      <c r="Q42" s="14">
        <f>IF(COUNT(Q7:Q41) &gt; 0, AVERAGE(Q7:Q41), "—")</f>
        <v>0</v>
      </c>
      <c r="R42" s="16">
        <f>IF(COUNT(R7:R41) &gt; 0, SQRT(SUMSQ(R7:R41)/(COUNT(R7:R41)*COUNT(R7:R41)) ), "—")</f>
        <v>0</v>
      </c>
    </row>
    <row r="43" spans="1:18" x14ac:dyDescent="0.25">
      <c r="A43" s="9" t="s">
        <v>176</v>
      </c>
      <c r="B43" s="10"/>
      <c r="C43" s="10"/>
      <c r="D43" s="11"/>
      <c r="E43" s="10"/>
      <c r="F43" s="11"/>
      <c r="G43" s="10"/>
      <c r="H43" s="11"/>
      <c r="I43" s="10"/>
      <c r="J43" s="11"/>
      <c r="K43" s="10"/>
      <c r="L43" s="11"/>
      <c r="M43" s="10"/>
      <c r="N43" s="11"/>
      <c r="O43" s="10"/>
      <c r="P43" s="11"/>
      <c r="Q43" s="10"/>
      <c r="R43" s="12"/>
    </row>
    <row r="44" spans="1:18" x14ac:dyDescent="0.25">
      <c r="A44" s="11" t="s">
        <v>177</v>
      </c>
      <c r="B44" s="17" t="s">
        <v>154</v>
      </c>
      <c r="C44" s="17" t="s">
        <v>154</v>
      </c>
      <c r="D44" s="18" t="s">
        <v>154</v>
      </c>
      <c r="E44" s="17" t="s">
        <v>154</v>
      </c>
      <c r="F44" s="18" t="s">
        <v>154</v>
      </c>
      <c r="G44" s="17" t="s">
        <v>154</v>
      </c>
      <c r="H44" s="18" t="s">
        <v>154</v>
      </c>
      <c r="I44" s="17" t="s">
        <v>154</v>
      </c>
      <c r="J44" s="18" t="s">
        <v>154</v>
      </c>
      <c r="K44" s="17" t="s">
        <v>154</v>
      </c>
      <c r="L44" s="18" t="s">
        <v>154</v>
      </c>
      <c r="M44" s="17" t="s">
        <v>154</v>
      </c>
      <c r="N44" s="18" t="s">
        <v>154</v>
      </c>
      <c r="O44" s="17" t="s">
        <v>154</v>
      </c>
      <c r="P44" s="18" t="s">
        <v>154</v>
      </c>
      <c r="Q44" s="17" t="s">
        <v>154</v>
      </c>
      <c r="R44" s="18" t="s">
        <v>154</v>
      </c>
    </row>
    <row r="45" spans="1:18" x14ac:dyDescent="0.25">
      <c r="A45" s="11" t="s">
        <v>178</v>
      </c>
      <c r="B45" s="17" t="s">
        <v>154</v>
      </c>
      <c r="C45" s="17" t="s">
        <v>154</v>
      </c>
      <c r="D45" s="18" t="s">
        <v>154</v>
      </c>
      <c r="E45" s="17" t="s">
        <v>154</v>
      </c>
      <c r="F45" s="18" t="s">
        <v>154</v>
      </c>
      <c r="G45" s="17" t="s">
        <v>154</v>
      </c>
      <c r="H45" s="18" t="s">
        <v>154</v>
      </c>
      <c r="I45" s="17" t="s">
        <v>154</v>
      </c>
      <c r="J45" s="18" t="s">
        <v>154</v>
      </c>
      <c r="K45" s="17" t="s">
        <v>154</v>
      </c>
      <c r="L45" s="18" t="s">
        <v>154</v>
      </c>
      <c r="M45" s="17" t="s">
        <v>154</v>
      </c>
      <c r="N45" s="18" t="s">
        <v>154</v>
      </c>
      <c r="O45" s="17" t="s">
        <v>154</v>
      </c>
      <c r="P45" s="18" t="s">
        <v>154</v>
      </c>
      <c r="Q45" s="17" t="s">
        <v>154</v>
      </c>
      <c r="R45" s="18" t="s">
        <v>154</v>
      </c>
    </row>
    <row r="46" spans="1:18" x14ac:dyDescent="0.25">
      <c r="A46" s="11" t="s">
        <v>179</v>
      </c>
      <c r="B46" s="13">
        <v>23141</v>
      </c>
      <c r="C46" s="14">
        <f>(20644/B46*100)</f>
        <v>89.209627933105736</v>
      </c>
      <c r="D46" s="15">
        <v>2497</v>
      </c>
      <c r="E46" s="14">
        <v>78.711016799999996</v>
      </c>
      <c r="F46" s="16">
        <v>1.10250464</v>
      </c>
      <c r="G46" s="14">
        <v>21.288983200000001</v>
      </c>
      <c r="H46" s="16">
        <v>1.10250464</v>
      </c>
      <c r="I46" s="14" t="s">
        <v>139</v>
      </c>
      <c r="J46" s="16" t="s">
        <v>139</v>
      </c>
      <c r="K46" s="14">
        <v>0</v>
      </c>
      <c r="L46" s="16">
        <v>0</v>
      </c>
      <c r="M46" s="14">
        <v>0</v>
      </c>
      <c r="N46" s="16">
        <v>0</v>
      </c>
      <c r="O46" s="14">
        <v>0</v>
      </c>
      <c r="P46" s="16">
        <v>0</v>
      </c>
      <c r="Q46" s="14">
        <v>0</v>
      </c>
      <c r="R46" s="16">
        <v>0</v>
      </c>
    </row>
    <row r="47" spans="1:18" x14ac:dyDescent="0.25">
      <c r="A47" s="11" t="s">
        <v>180</v>
      </c>
      <c r="B47" s="13">
        <v>5928</v>
      </c>
      <c r="C47" s="14">
        <f>(5035/B47*100)</f>
        <v>84.935897435897431</v>
      </c>
      <c r="D47" s="15">
        <v>893</v>
      </c>
      <c r="E47" s="14">
        <v>74.479099869999999</v>
      </c>
      <c r="F47" s="16">
        <v>1.73408747</v>
      </c>
      <c r="G47" s="14">
        <v>25.520900130000001</v>
      </c>
      <c r="H47" s="16">
        <v>1.73408747</v>
      </c>
      <c r="I47" s="14" t="s">
        <v>139</v>
      </c>
      <c r="J47" s="16" t="s">
        <v>139</v>
      </c>
      <c r="K47" s="14">
        <v>0</v>
      </c>
      <c r="L47" s="16">
        <v>0</v>
      </c>
      <c r="M47" s="14">
        <v>0</v>
      </c>
      <c r="N47" s="16">
        <v>0</v>
      </c>
      <c r="O47" s="14">
        <v>0</v>
      </c>
      <c r="P47" s="16">
        <v>0</v>
      </c>
      <c r="Q47" s="14">
        <v>0</v>
      </c>
      <c r="R47" s="16">
        <v>0</v>
      </c>
    </row>
    <row r="48" spans="1:18" x14ac:dyDescent="0.25">
      <c r="A48" s="11" t="s">
        <v>181</v>
      </c>
      <c r="B48" s="13">
        <v>9841</v>
      </c>
      <c r="C48" s="14">
        <f>(8177/B48*100)</f>
        <v>83.091149273447812</v>
      </c>
      <c r="D48" s="15">
        <v>1664</v>
      </c>
      <c r="E48" s="14">
        <v>57.48847627</v>
      </c>
      <c r="F48" s="16">
        <v>1.53515409</v>
      </c>
      <c r="G48" s="14">
        <v>42.51152373</v>
      </c>
      <c r="H48" s="16">
        <v>1.53515409</v>
      </c>
      <c r="I48" s="14" t="s">
        <v>139</v>
      </c>
      <c r="J48" s="16" t="s">
        <v>139</v>
      </c>
      <c r="K48" s="14">
        <v>0</v>
      </c>
      <c r="L48" s="16">
        <v>0</v>
      </c>
      <c r="M48" s="14">
        <v>0</v>
      </c>
      <c r="N48" s="16">
        <v>0</v>
      </c>
      <c r="O48" s="14">
        <v>0</v>
      </c>
      <c r="P48" s="16">
        <v>0</v>
      </c>
      <c r="Q48" s="14">
        <v>0</v>
      </c>
      <c r="R48" s="16">
        <v>0</v>
      </c>
    </row>
    <row r="49" spans="1:18" x14ac:dyDescent="0.25">
      <c r="A49" s="11" t="s">
        <v>182</v>
      </c>
      <c r="B49" s="17" t="s">
        <v>154</v>
      </c>
      <c r="C49" s="17" t="s">
        <v>154</v>
      </c>
      <c r="D49" s="18" t="s">
        <v>154</v>
      </c>
      <c r="E49" s="17" t="s">
        <v>154</v>
      </c>
      <c r="F49" s="18" t="s">
        <v>154</v>
      </c>
      <c r="G49" s="17" t="s">
        <v>154</v>
      </c>
      <c r="H49" s="18" t="s">
        <v>154</v>
      </c>
      <c r="I49" s="17" t="s">
        <v>154</v>
      </c>
      <c r="J49" s="18" t="s">
        <v>154</v>
      </c>
      <c r="K49" s="17" t="s">
        <v>154</v>
      </c>
      <c r="L49" s="18" t="s">
        <v>154</v>
      </c>
      <c r="M49" s="17" t="s">
        <v>154</v>
      </c>
      <c r="N49" s="18" t="s">
        <v>154</v>
      </c>
      <c r="O49" s="17" t="s">
        <v>154</v>
      </c>
      <c r="P49" s="18" t="s">
        <v>154</v>
      </c>
      <c r="Q49" s="17" t="s">
        <v>154</v>
      </c>
      <c r="R49" s="18" t="s">
        <v>154</v>
      </c>
    </row>
    <row r="50" spans="1:18" x14ac:dyDescent="0.25">
      <c r="A50" s="11" t="s">
        <v>183</v>
      </c>
      <c r="B50" s="13">
        <v>11795</v>
      </c>
      <c r="C50" s="14">
        <f>(10030/B50*100)</f>
        <v>85.036032217041125</v>
      </c>
      <c r="D50" s="15">
        <v>1765</v>
      </c>
      <c r="E50" s="14">
        <v>78.153340720000003</v>
      </c>
      <c r="F50" s="16">
        <v>1.29043105</v>
      </c>
      <c r="G50" s="14">
        <v>21.846659280000001</v>
      </c>
      <c r="H50" s="16">
        <v>1.29043105</v>
      </c>
      <c r="I50" s="14" t="s">
        <v>139</v>
      </c>
      <c r="J50" s="16" t="s">
        <v>139</v>
      </c>
      <c r="K50" s="14">
        <v>0</v>
      </c>
      <c r="L50" s="16">
        <v>0</v>
      </c>
      <c r="M50" s="14">
        <v>0</v>
      </c>
      <c r="N50" s="16">
        <v>0</v>
      </c>
      <c r="O50" s="14">
        <v>0</v>
      </c>
      <c r="P50" s="16">
        <v>0</v>
      </c>
      <c r="Q50" s="14">
        <v>0</v>
      </c>
      <c r="R50" s="16">
        <v>0</v>
      </c>
    </row>
    <row r="51" spans="1:18" x14ac:dyDescent="0.25">
      <c r="A51" s="11" t="s">
        <v>184</v>
      </c>
      <c r="B51" s="13">
        <v>6866</v>
      </c>
      <c r="C51" s="14">
        <f>(5964/B51*100)</f>
        <v>86.862802213807171</v>
      </c>
      <c r="D51" s="15">
        <v>902</v>
      </c>
      <c r="E51" s="14">
        <v>70.72693271</v>
      </c>
      <c r="F51" s="16">
        <v>1.7188963399999999</v>
      </c>
      <c r="G51" s="14">
        <v>29.27306729</v>
      </c>
      <c r="H51" s="16">
        <v>1.7188963399999999</v>
      </c>
      <c r="I51" s="14" t="s">
        <v>139</v>
      </c>
      <c r="J51" s="16" t="s">
        <v>139</v>
      </c>
      <c r="K51" s="14">
        <v>0</v>
      </c>
      <c r="L51" s="16">
        <v>0</v>
      </c>
      <c r="M51" s="14">
        <v>0</v>
      </c>
      <c r="N51" s="16">
        <v>0</v>
      </c>
      <c r="O51" s="14">
        <v>0</v>
      </c>
      <c r="P51" s="16">
        <v>0</v>
      </c>
      <c r="Q51" s="14">
        <v>0</v>
      </c>
      <c r="R51" s="16">
        <v>0</v>
      </c>
    </row>
    <row r="52" spans="1:18" x14ac:dyDescent="0.25">
      <c r="A52" s="11" t="s">
        <v>185</v>
      </c>
      <c r="B52" s="13">
        <v>5809</v>
      </c>
      <c r="C52" s="14">
        <f>(4863/B52*100)</f>
        <v>83.714925116198998</v>
      </c>
      <c r="D52" s="15">
        <v>946</v>
      </c>
      <c r="E52" s="14">
        <v>68.835737690000002</v>
      </c>
      <c r="F52" s="16">
        <v>1.75035615</v>
      </c>
      <c r="G52" s="14">
        <v>31.164262310000002</v>
      </c>
      <c r="H52" s="16">
        <v>1.75035615</v>
      </c>
      <c r="I52" s="14" t="s">
        <v>139</v>
      </c>
      <c r="J52" s="16" t="s">
        <v>139</v>
      </c>
      <c r="K52" s="14">
        <v>0</v>
      </c>
      <c r="L52" s="16">
        <v>0</v>
      </c>
      <c r="M52" s="14">
        <v>0</v>
      </c>
      <c r="N52" s="16">
        <v>0</v>
      </c>
      <c r="O52" s="14">
        <v>0</v>
      </c>
      <c r="P52" s="16">
        <v>0</v>
      </c>
      <c r="Q52" s="14">
        <v>0</v>
      </c>
      <c r="R52" s="16">
        <v>0</v>
      </c>
    </row>
    <row r="53" spans="1:18" x14ac:dyDescent="0.25">
      <c r="A53" s="11" t="s">
        <v>186</v>
      </c>
      <c r="B53" s="13">
        <v>5571</v>
      </c>
      <c r="C53" s="14">
        <f>(4653/B53*100)</f>
        <v>83.521809369951541</v>
      </c>
      <c r="D53" s="15">
        <v>918</v>
      </c>
      <c r="E53" s="14">
        <v>71.480508360000002</v>
      </c>
      <c r="F53" s="16">
        <v>1.7276876999999999</v>
      </c>
      <c r="G53" s="14">
        <v>28.519491639999998</v>
      </c>
      <c r="H53" s="16">
        <v>1.7276876999999999</v>
      </c>
      <c r="I53" s="14" t="s">
        <v>139</v>
      </c>
      <c r="J53" s="16" t="s">
        <v>139</v>
      </c>
      <c r="K53" s="14">
        <v>0</v>
      </c>
      <c r="L53" s="16">
        <v>0</v>
      </c>
      <c r="M53" s="14">
        <v>0</v>
      </c>
      <c r="N53" s="16">
        <v>0</v>
      </c>
      <c r="O53" s="14">
        <v>0</v>
      </c>
      <c r="P53" s="16">
        <v>0</v>
      </c>
      <c r="Q53" s="14">
        <v>0</v>
      </c>
      <c r="R53" s="16">
        <v>0</v>
      </c>
    </row>
    <row r="54" spans="1:18" x14ac:dyDescent="0.25">
      <c r="A54" s="11" t="s">
        <v>187</v>
      </c>
      <c r="B54" s="17" t="s">
        <v>154</v>
      </c>
      <c r="C54" s="17" t="s">
        <v>154</v>
      </c>
      <c r="D54" s="18" t="s">
        <v>154</v>
      </c>
      <c r="E54" s="17" t="s">
        <v>154</v>
      </c>
      <c r="F54" s="18" t="s">
        <v>154</v>
      </c>
      <c r="G54" s="17" t="s">
        <v>154</v>
      </c>
      <c r="H54" s="18" t="s">
        <v>154</v>
      </c>
      <c r="I54" s="17" t="s">
        <v>154</v>
      </c>
      <c r="J54" s="18" t="s">
        <v>154</v>
      </c>
      <c r="K54" s="17" t="s">
        <v>154</v>
      </c>
      <c r="L54" s="18" t="s">
        <v>154</v>
      </c>
      <c r="M54" s="17" t="s">
        <v>154</v>
      </c>
      <c r="N54" s="18" t="s">
        <v>154</v>
      </c>
      <c r="O54" s="17" t="s">
        <v>154</v>
      </c>
      <c r="P54" s="18" t="s">
        <v>154</v>
      </c>
      <c r="Q54" s="17" t="s">
        <v>154</v>
      </c>
      <c r="R54" s="18" t="s">
        <v>154</v>
      </c>
    </row>
    <row r="55" spans="1:18" x14ac:dyDescent="0.25">
      <c r="A55" s="11" t="s">
        <v>188</v>
      </c>
      <c r="B55" s="17" t="s">
        <v>154</v>
      </c>
      <c r="C55" s="17" t="s">
        <v>154</v>
      </c>
      <c r="D55" s="18" t="s">
        <v>154</v>
      </c>
      <c r="E55" s="17" t="s">
        <v>154</v>
      </c>
      <c r="F55" s="18" t="s">
        <v>154</v>
      </c>
      <c r="G55" s="17" t="s">
        <v>154</v>
      </c>
      <c r="H55" s="18" t="s">
        <v>154</v>
      </c>
      <c r="I55" s="17" t="s">
        <v>154</v>
      </c>
      <c r="J55" s="18" t="s">
        <v>154</v>
      </c>
      <c r="K55" s="17" t="s">
        <v>154</v>
      </c>
      <c r="L55" s="18" t="s">
        <v>154</v>
      </c>
      <c r="M55" s="17" t="s">
        <v>154</v>
      </c>
      <c r="N55" s="18" t="s">
        <v>154</v>
      </c>
      <c r="O55" s="17" t="s">
        <v>154</v>
      </c>
      <c r="P55" s="18" t="s">
        <v>154</v>
      </c>
      <c r="Q55" s="17" t="s">
        <v>154</v>
      </c>
      <c r="R55" s="18" t="s">
        <v>154</v>
      </c>
    </row>
    <row r="56" spans="1:18" x14ac:dyDescent="0.25">
      <c r="A56" s="11" t="s">
        <v>189</v>
      </c>
      <c r="B56" s="13">
        <v>5359</v>
      </c>
      <c r="C56" s="14">
        <f>(4430/B56*100)</f>
        <v>82.664676245568202</v>
      </c>
      <c r="D56" s="15">
        <v>929</v>
      </c>
      <c r="E56" s="14">
        <v>38.323593799999998</v>
      </c>
      <c r="F56" s="16">
        <v>1.4130469299999999</v>
      </c>
      <c r="G56" s="14">
        <v>61.676406200000002</v>
      </c>
      <c r="H56" s="16">
        <v>1.4130469299999999</v>
      </c>
      <c r="I56" s="14" t="s">
        <v>139</v>
      </c>
      <c r="J56" s="16" t="s">
        <v>139</v>
      </c>
      <c r="K56" s="14">
        <v>0</v>
      </c>
      <c r="L56" s="16">
        <v>0</v>
      </c>
      <c r="M56" s="14">
        <v>0</v>
      </c>
      <c r="N56" s="16">
        <v>0</v>
      </c>
      <c r="O56" s="14">
        <v>0</v>
      </c>
      <c r="P56" s="16">
        <v>0</v>
      </c>
      <c r="Q56" s="14">
        <v>0</v>
      </c>
      <c r="R56" s="16">
        <v>0</v>
      </c>
    </row>
    <row r="57" spans="1:18" x14ac:dyDescent="0.25">
      <c r="A57" s="11" t="s">
        <v>190</v>
      </c>
      <c r="B57" s="17" t="s">
        <v>154</v>
      </c>
      <c r="C57" s="17" t="s">
        <v>154</v>
      </c>
      <c r="D57" s="18" t="s">
        <v>154</v>
      </c>
      <c r="E57" s="17" t="s">
        <v>154</v>
      </c>
      <c r="F57" s="18" t="s">
        <v>154</v>
      </c>
      <c r="G57" s="17" t="s">
        <v>154</v>
      </c>
      <c r="H57" s="18" t="s">
        <v>154</v>
      </c>
      <c r="I57" s="17" t="s">
        <v>154</v>
      </c>
      <c r="J57" s="18" t="s">
        <v>154</v>
      </c>
      <c r="K57" s="17" t="s">
        <v>154</v>
      </c>
      <c r="L57" s="18" t="s">
        <v>154</v>
      </c>
      <c r="M57" s="17" t="s">
        <v>154</v>
      </c>
      <c r="N57" s="18" t="s">
        <v>154</v>
      </c>
      <c r="O57" s="17" t="s">
        <v>154</v>
      </c>
      <c r="P57" s="18" t="s">
        <v>154</v>
      </c>
      <c r="Q57" s="17" t="s">
        <v>154</v>
      </c>
      <c r="R57" s="18" t="s">
        <v>154</v>
      </c>
    </row>
    <row r="58" spans="1:18" x14ac:dyDescent="0.25">
      <c r="A58" s="11" t="s">
        <v>191</v>
      </c>
      <c r="B58" s="17" t="s">
        <v>154</v>
      </c>
      <c r="C58" s="17" t="s">
        <v>154</v>
      </c>
      <c r="D58" s="18" t="s">
        <v>154</v>
      </c>
      <c r="E58" s="17" t="s">
        <v>154</v>
      </c>
      <c r="F58" s="18" t="s">
        <v>154</v>
      </c>
      <c r="G58" s="17" t="s">
        <v>154</v>
      </c>
      <c r="H58" s="18" t="s">
        <v>154</v>
      </c>
      <c r="I58" s="17" t="s">
        <v>154</v>
      </c>
      <c r="J58" s="18" t="s">
        <v>154</v>
      </c>
      <c r="K58" s="17" t="s">
        <v>154</v>
      </c>
      <c r="L58" s="18" t="s">
        <v>154</v>
      </c>
      <c r="M58" s="17" t="s">
        <v>154</v>
      </c>
      <c r="N58" s="18" t="s">
        <v>154</v>
      </c>
      <c r="O58" s="17" t="s">
        <v>154</v>
      </c>
      <c r="P58" s="18" t="s">
        <v>154</v>
      </c>
      <c r="Q58" s="17" t="s">
        <v>154</v>
      </c>
      <c r="R58" s="18" t="s">
        <v>154</v>
      </c>
    </row>
    <row r="59" spans="1:18" x14ac:dyDescent="0.25">
      <c r="A59" s="11" t="s">
        <v>192</v>
      </c>
      <c r="B59" s="17" t="s">
        <v>154</v>
      </c>
      <c r="C59" s="17" t="s">
        <v>154</v>
      </c>
      <c r="D59" s="18" t="s">
        <v>154</v>
      </c>
      <c r="E59" s="17" t="s">
        <v>154</v>
      </c>
      <c r="F59" s="18" t="s">
        <v>154</v>
      </c>
      <c r="G59" s="17" t="s">
        <v>154</v>
      </c>
      <c r="H59" s="18" t="s">
        <v>154</v>
      </c>
      <c r="I59" s="17" t="s">
        <v>154</v>
      </c>
      <c r="J59" s="18" t="s">
        <v>154</v>
      </c>
      <c r="K59" s="17" t="s">
        <v>154</v>
      </c>
      <c r="L59" s="18" t="s">
        <v>154</v>
      </c>
      <c r="M59" s="17" t="s">
        <v>154</v>
      </c>
      <c r="N59" s="18" t="s">
        <v>154</v>
      </c>
      <c r="O59" s="17" t="s">
        <v>154</v>
      </c>
      <c r="P59" s="18" t="s">
        <v>154</v>
      </c>
      <c r="Q59" s="17" t="s">
        <v>154</v>
      </c>
      <c r="R59" s="18" t="s">
        <v>154</v>
      </c>
    </row>
    <row r="60" spans="1:18" x14ac:dyDescent="0.25">
      <c r="A60" s="11" t="s">
        <v>193</v>
      </c>
      <c r="B60" s="17" t="s">
        <v>154</v>
      </c>
      <c r="C60" s="17" t="s">
        <v>154</v>
      </c>
      <c r="D60" s="18" t="s">
        <v>154</v>
      </c>
      <c r="E60" s="17" t="s">
        <v>154</v>
      </c>
      <c r="F60" s="18" t="s">
        <v>154</v>
      </c>
      <c r="G60" s="17" t="s">
        <v>154</v>
      </c>
      <c r="H60" s="18" t="s">
        <v>154</v>
      </c>
      <c r="I60" s="17" t="s">
        <v>154</v>
      </c>
      <c r="J60" s="18" t="s">
        <v>154</v>
      </c>
      <c r="K60" s="17" t="s">
        <v>154</v>
      </c>
      <c r="L60" s="18" t="s">
        <v>154</v>
      </c>
      <c r="M60" s="17" t="s">
        <v>154</v>
      </c>
      <c r="N60" s="18" t="s">
        <v>154</v>
      </c>
      <c r="O60" s="17" t="s">
        <v>154</v>
      </c>
      <c r="P60" s="18" t="s">
        <v>154</v>
      </c>
      <c r="Q60" s="17" t="s">
        <v>154</v>
      </c>
      <c r="R60" s="18" t="s">
        <v>154</v>
      </c>
    </row>
    <row r="61" spans="1:18" x14ac:dyDescent="0.25">
      <c r="A61" s="11" t="s">
        <v>194</v>
      </c>
      <c r="B61" s="13">
        <v>6525</v>
      </c>
      <c r="C61" s="14">
        <f>(5465/B61*100)</f>
        <v>83.754789272030649</v>
      </c>
      <c r="D61" s="15">
        <v>1060</v>
      </c>
      <c r="E61" s="14">
        <v>66.585699199999993</v>
      </c>
      <c r="F61" s="16">
        <v>1.6637244200000001</v>
      </c>
      <c r="G61" s="14">
        <v>33.414300799999999</v>
      </c>
      <c r="H61" s="16">
        <v>1.6637244200000001</v>
      </c>
      <c r="I61" s="14" t="s">
        <v>139</v>
      </c>
      <c r="J61" s="16" t="s">
        <v>139</v>
      </c>
      <c r="K61" s="14">
        <v>0</v>
      </c>
      <c r="L61" s="16">
        <v>0</v>
      </c>
      <c r="M61" s="14">
        <v>0</v>
      </c>
      <c r="N61" s="16">
        <v>0</v>
      </c>
      <c r="O61" s="14">
        <v>0</v>
      </c>
      <c r="P61" s="16">
        <v>0</v>
      </c>
      <c r="Q61" s="14">
        <v>0</v>
      </c>
      <c r="R61" s="16">
        <v>0</v>
      </c>
    </row>
    <row r="62" spans="1:18" x14ac:dyDescent="0.25">
      <c r="A62" s="11" t="s">
        <v>195</v>
      </c>
      <c r="B62" s="13">
        <v>4476</v>
      </c>
      <c r="C62" s="14">
        <f>(3763/B62*100)</f>
        <v>84.070598748882929</v>
      </c>
      <c r="D62" s="15">
        <v>713</v>
      </c>
      <c r="E62" s="14">
        <v>42.957145709999999</v>
      </c>
      <c r="F62" s="16">
        <v>1.8835179399999999</v>
      </c>
      <c r="G62" s="14">
        <v>57.042854290000001</v>
      </c>
      <c r="H62" s="16">
        <v>1.8835179399999999</v>
      </c>
      <c r="I62" s="14" t="s">
        <v>139</v>
      </c>
      <c r="J62" s="16" t="s">
        <v>139</v>
      </c>
      <c r="K62" s="14">
        <v>0</v>
      </c>
      <c r="L62" s="16">
        <v>0</v>
      </c>
      <c r="M62" s="14">
        <v>0</v>
      </c>
      <c r="N62" s="16">
        <v>0</v>
      </c>
      <c r="O62" s="14">
        <v>0</v>
      </c>
      <c r="P62" s="16">
        <v>0</v>
      </c>
      <c r="Q62" s="14">
        <v>0</v>
      </c>
      <c r="R62" s="16">
        <v>0</v>
      </c>
    </row>
    <row r="63" spans="1:18" x14ac:dyDescent="0.25">
      <c r="A63" s="11" t="s">
        <v>196</v>
      </c>
      <c r="B63" s="17" t="s">
        <v>154</v>
      </c>
      <c r="C63" s="17" t="s">
        <v>154</v>
      </c>
      <c r="D63" s="18" t="s">
        <v>154</v>
      </c>
      <c r="E63" s="17" t="s">
        <v>154</v>
      </c>
      <c r="F63" s="18" t="s">
        <v>154</v>
      </c>
      <c r="G63" s="17" t="s">
        <v>154</v>
      </c>
      <c r="H63" s="18" t="s">
        <v>154</v>
      </c>
      <c r="I63" s="17" t="s">
        <v>154</v>
      </c>
      <c r="J63" s="18" t="s">
        <v>154</v>
      </c>
      <c r="K63" s="17" t="s">
        <v>154</v>
      </c>
      <c r="L63" s="18" t="s">
        <v>154</v>
      </c>
      <c r="M63" s="17" t="s">
        <v>154</v>
      </c>
      <c r="N63" s="18" t="s">
        <v>154</v>
      </c>
      <c r="O63" s="17" t="s">
        <v>154</v>
      </c>
      <c r="P63" s="18" t="s">
        <v>154</v>
      </c>
      <c r="Q63" s="17" t="s">
        <v>154</v>
      </c>
      <c r="R63" s="18" t="s">
        <v>154</v>
      </c>
    </row>
    <row r="64" spans="1:18" x14ac:dyDescent="0.25">
      <c r="A64" s="11" t="s">
        <v>197</v>
      </c>
      <c r="B64" s="17" t="s">
        <v>154</v>
      </c>
      <c r="C64" s="17" t="s">
        <v>154</v>
      </c>
      <c r="D64" s="18" t="s">
        <v>154</v>
      </c>
      <c r="E64" s="17" t="s">
        <v>154</v>
      </c>
      <c r="F64" s="18" t="s">
        <v>154</v>
      </c>
      <c r="G64" s="17" t="s">
        <v>154</v>
      </c>
      <c r="H64" s="18" t="s">
        <v>154</v>
      </c>
      <c r="I64" s="17" t="s">
        <v>154</v>
      </c>
      <c r="J64" s="18" t="s">
        <v>154</v>
      </c>
      <c r="K64" s="17" t="s">
        <v>154</v>
      </c>
      <c r="L64" s="18" t="s">
        <v>154</v>
      </c>
      <c r="M64" s="17" t="s">
        <v>154</v>
      </c>
      <c r="N64" s="18" t="s">
        <v>154</v>
      </c>
      <c r="O64" s="17" t="s">
        <v>154</v>
      </c>
      <c r="P64" s="18" t="s">
        <v>154</v>
      </c>
      <c r="Q64" s="17" t="s">
        <v>154</v>
      </c>
      <c r="R64" s="18" t="s">
        <v>154</v>
      </c>
    </row>
    <row r="65" spans="1:18" x14ac:dyDescent="0.25">
      <c r="A65" s="11" t="s">
        <v>198</v>
      </c>
      <c r="B65" s="17" t="s">
        <v>154</v>
      </c>
      <c r="C65" s="17" t="s">
        <v>154</v>
      </c>
      <c r="D65" s="18" t="s">
        <v>154</v>
      </c>
      <c r="E65" s="17" t="s">
        <v>154</v>
      </c>
      <c r="F65" s="18" t="s">
        <v>154</v>
      </c>
      <c r="G65" s="17" t="s">
        <v>154</v>
      </c>
      <c r="H65" s="18" t="s">
        <v>154</v>
      </c>
      <c r="I65" s="17" t="s">
        <v>154</v>
      </c>
      <c r="J65" s="18" t="s">
        <v>154</v>
      </c>
      <c r="K65" s="17" t="s">
        <v>154</v>
      </c>
      <c r="L65" s="18" t="s">
        <v>154</v>
      </c>
      <c r="M65" s="17" t="s">
        <v>154</v>
      </c>
      <c r="N65" s="18" t="s">
        <v>154</v>
      </c>
      <c r="O65" s="17" t="s">
        <v>154</v>
      </c>
      <c r="P65" s="18" t="s">
        <v>154</v>
      </c>
      <c r="Q65" s="17" t="s">
        <v>154</v>
      </c>
      <c r="R65" s="18" t="s">
        <v>154</v>
      </c>
    </row>
    <row r="66" spans="1:18" x14ac:dyDescent="0.25">
      <c r="A66" s="11" t="s">
        <v>199</v>
      </c>
      <c r="B66" s="13">
        <v>5665</v>
      </c>
      <c r="C66" s="14">
        <f>(4776/B66*100)</f>
        <v>84.307149161518097</v>
      </c>
      <c r="D66" s="15">
        <v>889</v>
      </c>
      <c r="E66" s="14">
        <v>83.596719730000004</v>
      </c>
      <c r="F66" s="16">
        <v>1.3798859999999999</v>
      </c>
      <c r="G66" s="14">
        <v>16.40328027</v>
      </c>
      <c r="H66" s="16">
        <v>1.3798859999999999</v>
      </c>
      <c r="I66" s="14" t="s">
        <v>139</v>
      </c>
      <c r="J66" s="16" t="s">
        <v>139</v>
      </c>
      <c r="K66" s="14">
        <v>0</v>
      </c>
      <c r="L66" s="16">
        <v>0</v>
      </c>
      <c r="M66" s="14">
        <v>0</v>
      </c>
      <c r="N66" s="16">
        <v>0</v>
      </c>
      <c r="O66" s="14">
        <v>0</v>
      </c>
      <c r="P66" s="16">
        <v>0</v>
      </c>
      <c r="Q66" s="14">
        <v>0</v>
      </c>
      <c r="R66" s="16">
        <v>0</v>
      </c>
    </row>
    <row r="67" spans="1:18" x14ac:dyDescent="0.25">
      <c r="A67" s="11" t="s">
        <v>200</v>
      </c>
      <c r="B67" s="13">
        <v>6971</v>
      </c>
      <c r="C67" s="14">
        <f>(6110/B67*100)</f>
        <v>87.648830870750245</v>
      </c>
      <c r="D67" s="15">
        <v>861</v>
      </c>
      <c r="E67" s="14">
        <v>74.575413670000003</v>
      </c>
      <c r="F67" s="16">
        <v>1.62684674</v>
      </c>
      <c r="G67" s="14">
        <v>25.42458633</v>
      </c>
      <c r="H67" s="16">
        <v>1.62684674</v>
      </c>
      <c r="I67" s="14" t="s">
        <v>139</v>
      </c>
      <c r="J67" s="16" t="s">
        <v>139</v>
      </c>
      <c r="K67" s="14">
        <v>0</v>
      </c>
      <c r="L67" s="16">
        <v>0</v>
      </c>
      <c r="M67" s="14">
        <v>0</v>
      </c>
      <c r="N67" s="16">
        <v>0</v>
      </c>
      <c r="O67" s="14">
        <v>0</v>
      </c>
      <c r="P67" s="16">
        <v>0</v>
      </c>
      <c r="Q67" s="14">
        <v>0</v>
      </c>
      <c r="R67" s="16">
        <v>0</v>
      </c>
    </row>
    <row r="68" spans="1:18" x14ac:dyDescent="0.25">
      <c r="A68" s="11" t="s">
        <v>201</v>
      </c>
      <c r="B68" s="17" t="s">
        <v>154</v>
      </c>
      <c r="C68" s="17" t="s">
        <v>154</v>
      </c>
      <c r="D68" s="18" t="s">
        <v>154</v>
      </c>
      <c r="E68" s="17" t="s">
        <v>154</v>
      </c>
      <c r="F68" s="18" t="s">
        <v>154</v>
      </c>
      <c r="G68" s="17" t="s">
        <v>154</v>
      </c>
      <c r="H68" s="18" t="s">
        <v>154</v>
      </c>
      <c r="I68" s="17" t="s">
        <v>154</v>
      </c>
      <c r="J68" s="18" t="s">
        <v>154</v>
      </c>
      <c r="K68" s="17" t="s">
        <v>154</v>
      </c>
      <c r="L68" s="18" t="s">
        <v>154</v>
      </c>
      <c r="M68" s="17" t="s">
        <v>154</v>
      </c>
      <c r="N68" s="18" t="s">
        <v>154</v>
      </c>
      <c r="O68" s="17" t="s">
        <v>154</v>
      </c>
      <c r="P68" s="18" t="s">
        <v>154</v>
      </c>
      <c r="Q68" s="17" t="s">
        <v>154</v>
      </c>
      <c r="R68" s="18" t="s">
        <v>154</v>
      </c>
    </row>
    <row r="69" spans="1:18" x14ac:dyDescent="0.25">
      <c r="A69" s="11" t="s">
        <v>202</v>
      </c>
      <c r="B69" s="17" t="s">
        <v>154</v>
      </c>
      <c r="C69" s="17" t="s">
        <v>154</v>
      </c>
      <c r="D69" s="18" t="s">
        <v>154</v>
      </c>
      <c r="E69" s="17" t="s">
        <v>154</v>
      </c>
      <c r="F69" s="18" t="s">
        <v>154</v>
      </c>
      <c r="G69" s="17" t="s">
        <v>154</v>
      </c>
      <c r="H69" s="18" t="s">
        <v>154</v>
      </c>
      <c r="I69" s="17" t="s">
        <v>154</v>
      </c>
      <c r="J69" s="18" t="s">
        <v>154</v>
      </c>
      <c r="K69" s="17" t="s">
        <v>154</v>
      </c>
      <c r="L69" s="18" t="s">
        <v>154</v>
      </c>
      <c r="M69" s="17" t="s">
        <v>154</v>
      </c>
      <c r="N69" s="18" t="s">
        <v>154</v>
      </c>
      <c r="O69" s="17" t="s">
        <v>154</v>
      </c>
      <c r="P69" s="18" t="s">
        <v>154</v>
      </c>
      <c r="Q69" s="17" t="s">
        <v>154</v>
      </c>
      <c r="R69" s="18" t="s">
        <v>154</v>
      </c>
    </row>
    <row r="70" spans="1:18" x14ac:dyDescent="0.25">
      <c r="A70" s="11" t="s">
        <v>203</v>
      </c>
      <c r="B70" s="13">
        <v>6036</v>
      </c>
      <c r="C70" s="14">
        <f>(5082/B70*100)</f>
        <v>84.194831013916499</v>
      </c>
      <c r="D70" s="15">
        <v>954</v>
      </c>
      <c r="E70" s="14">
        <v>63.369157530000003</v>
      </c>
      <c r="F70" s="16">
        <v>1.5207401199999999</v>
      </c>
      <c r="G70" s="14">
        <v>36.630842469999997</v>
      </c>
      <c r="H70" s="16">
        <v>1.5207401199999999</v>
      </c>
      <c r="I70" s="14" t="s">
        <v>139</v>
      </c>
      <c r="J70" s="16" t="s">
        <v>139</v>
      </c>
      <c r="K70" s="14">
        <v>0</v>
      </c>
      <c r="L70" s="16">
        <v>0</v>
      </c>
      <c r="M70" s="14">
        <v>0</v>
      </c>
      <c r="N70" s="16">
        <v>0</v>
      </c>
      <c r="O70" s="14">
        <v>0</v>
      </c>
      <c r="P70" s="16">
        <v>0</v>
      </c>
      <c r="Q70" s="14">
        <v>0</v>
      </c>
      <c r="R70" s="16">
        <v>0</v>
      </c>
    </row>
    <row r="71" spans="1:18" x14ac:dyDescent="0.25">
      <c r="A71" s="11" t="s">
        <v>204</v>
      </c>
      <c r="B71" s="17" t="s">
        <v>154</v>
      </c>
      <c r="C71" s="17" t="s">
        <v>154</v>
      </c>
      <c r="D71" s="18" t="s">
        <v>154</v>
      </c>
      <c r="E71" s="17" t="s">
        <v>154</v>
      </c>
      <c r="F71" s="18" t="s">
        <v>154</v>
      </c>
      <c r="G71" s="17" t="s">
        <v>154</v>
      </c>
      <c r="H71" s="18" t="s">
        <v>154</v>
      </c>
      <c r="I71" s="17" t="s">
        <v>154</v>
      </c>
      <c r="J71" s="18" t="s">
        <v>154</v>
      </c>
      <c r="K71" s="17" t="s">
        <v>154</v>
      </c>
      <c r="L71" s="18" t="s">
        <v>154</v>
      </c>
      <c r="M71" s="17" t="s">
        <v>154</v>
      </c>
      <c r="N71" s="18" t="s">
        <v>154</v>
      </c>
      <c r="O71" s="17" t="s">
        <v>154</v>
      </c>
      <c r="P71" s="18" t="s">
        <v>154</v>
      </c>
      <c r="Q71" s="17" t="s">
        <v>154</v>
      </c>
      <c r="R71" s="18" t="s">
        <v>154</v>
      </c>
    </row>
    <row r="72" spans="1:18" x14ac:dyDescent="0.25">
      <c r="A72" s="11" t="s">
        <v>205</v>
      </c>
      <c r="B72" s="13">
        <v>7708</v>
      </c>
      <c r="C72" s="14">
        <f>(6398/B72*100)</f>
        <v>83.00467047223664</v>
      </c>
      <c r="D72" s="15">
        <v>1310</v>
      </c>
      <c r="E72" s="14">
        <v>45.507061929999999</v>
      </c>
      <c r="F72" s="16">
        <v>1.36392044</v>
      </c>
      <c r="G72" s="14">
        <v>54.492938070000001</v>
      </c>
      <c r="H72" s="16">
        <v>1.36392044</v>
      </c>
      <c r="I72" s="14" t="s">
        <v>139</v>
      </c>
      <c r="J72" s="16" t="s">
        <v>139</v>
      </c>
      <c r="K72" s="14">
        <v>0</v>
      </c>
      <c r="L72" s="16">
        <v>0</v>
      </c>
      <c r="M72" s="14">
        <v>0</v>
      </c>
      <c r="N72" s="16">
        <v>0</v>
      </c>
      <c r="O72" s="14">
        <v>0</v>
      </c>
      <c r="P72" s="16">
        <v>0</v>
      </c>
      <c r="Q72" s="14">
        <v>0</v>
      </c>
      <c r="R72" s="16">
        <v>0</v>
      </c>
    </row>
    <row r="73" spans="1:18" x14ac:dyDescent="0.25">
      <c r="A73" s="11" t="s">
        <v>206</v>
      </c>
      <c r="B73" s="13">
        <v>8249</v>
      </c>
      <c r="C73" s="14">
        <f>(7012/B73*100)</f>
        <v>85.004242938537999</v>
      </c>
      <c r="D73" s="15">
        <v>1237</v>
      </c>
      <c r="E73" s="14">
        <v>76.239087019999999</v>
      </c>
      <c r="F73" s="16">
        <v>1.7920004700000001</v>
      </c>
      <c r="G73" s="14">
        <v>23.760912980000001</v>
      </c>
      <c r="H73" s="16">
        <v>1.7920004700000001</v>
      </c>
      <c r="I73" s="14" t="s">
        <v>139</v>
      </c>
      <c r="J73" s="16" t="s">
        <v>139</v>
      </c>
      <c r="K73" s="14">
        <v>0</v>
      </c>
      <c r="L73" s="16">
        <v>0</v>
      </c>
      <c r="M73" s="14">
        <v>0</v>
      </c>
      <c r="N73" s="16">
        <v>0</v>
      </c>
      <c r="O73" s="14">
        <v>0</v>
      </c>
      <c r="P73" s="16">
        <v>0</v>
      </c>
      <c r="Q73" s="14">
        <v>0</v>
      </c>
      <c r="R73" s="16">
        <v>0</v>
      </c>
    </row>
    <row r="74" spans="1:18" x14ac:dyDescent="0.25">
      <c r="A74" s="11" t="s">
        <v>207</v>
      </c>
      <c r="B74" s="17" t="s">
        <v>154</v>
      </c>
      <c r="C74" s="17" t="s">
        <v>154</v>
      </c>
      <c r="D74" s="18" t="s">
        <v>154</v>
      </c>
      <c r="E74" s="17" t="s">
        <v>154</v>
      </c>
      <c r="F74" s="18" t="s">
        <v>154</v>
      </c>
      <c r="G74" s="17" t="s">
        <v>154</v>
      </c>
      <c r="H74" s="18" t="s">
        <v>154</v>
      </c>
      <c r="I74" s="17" t="s">
        <v>154</v>
      </c>
      <c r="J74" s="18" t="s">
        <v>154</v>
      </c>
      <c r="K74" s="17" t="s">
        <v>154</v>
      </c>
      <c r="L74" s="18" t="s">
        <v>154</v>
      </c>
      <c r="M74" s="17" t="s">
        <v>154</v>
      </c>
      <c r="N74" s="18" t="s">
        <v>154</v>
      </c>
      <c r="O74" s="17" t="s">
        <v>154</v>
      </c>
      <c r="P74" s="18" t="s">
        <v>154</v>
      </c>
      <c r="Q74" s="17" t="s">
        <v>154</v>
      </c>
      <c r="R74" s="18" t="s">
        <v>154</v>
      </c>
    </row>
    <row r="75" spans="1:18" x14ac:dyDescent="0.25">
      <c r="A75" s="11" t="s">
        <v>208</v>
      </c>
      <c r="B75" s="13">
        <v>5375</v>
      </c>
      <c r="C75" s="14">
        <f>(4627/B75*100)</f>
        <v>86.083720930232559</v>
      </c>
      <c r="D75" s="15">
        <v>748</v>
      </c>
      <c r="E75" s="14">
        <v>89.605838719999994</v>
      </c>
      <c r="F75" s="16">
        <v>0.88212493999999997</v>
      </c>
      <c r="G75" s="14">
        <v>10.394161280000001</v>
      </c>
      <c r="H75" s="16">
        <v>0.88212493999999997</v>
      </c>
      <c r="I75" s="14" t="s">
        <v>139</v>
      </c>
      <c r="J75" s="16" t="s">
        <v>139</v>
      </c>
      <c r="K75" s="14">
        <v>0</v>
      </c>
      <c r="L75" s="16">
        <v>0</v>
      </c>
      <c r="M75" s="14">
        <v>0</v>
      </c>
      <c r="N75" s="16">
        <v>0</v>
      </c>
      <c r="O75" s="14">
        <v>0</v>
      </c>
      <c r="P75" s="16">
        <v>0</v>
      </c>
      <c r="Q75" s="14">
        <v>0</v>
      </c>
      <c r="R75" s="16">
        <v>0</v>
      </c>
    </row>
    <row r="76" spans="1:18" x14ac:dyDescent="0.25">
      <c r="A76" s="11" t="s">
        <v>209</v>
      </c>
      <c r="B76" s="13">
        <v>14167</v>
      </c>
      <c r="C76" s="14">
        <f>(11765/B76*100)</f>
        <v>83.045104821063035</v>
      </c>
      <c r="D76" s="15">
        <v>2402</v>
      </c>
      <c r="E76" s="14">
        <v>79.776679090000002</v>
      </c>
      <c r="F76" s="16">
        <v>1.0696347500000001</v>
      </c>
      <c r="G76" s="14">
        <v>20.223320910000002</v>
      </c>
      <c r="H76" s="16">
        <v>1.0696347500000001</v>
      </c>
      <c r="I76" s="14" t="s">
        <v>139</v>
      </c>
      <c r="J76" s="16" t="s">
        <v>139</v>
      </c>
      <c r="K76" s="14">
        <v>0</v>
      </c>
      <c r="L76" s="16">
        <v>0</v>
      </c>
      <c r="M76" s="14">
        <v>0</v>
      </c>
      <c r="N76" s="16">
        <v>0</v>
      </c>
      <c r="O76" s="14">
        <v>0</v>
      </c>
      <c r="P76" s="16">
        <v>0</v>
      </c>
      <c r="Q76" s="14">
        <v>0</v>
      </c>
      <c r="R76" s="16">
        <v>0</v>
      </c>
    </row>
    <row r="77" spans="1:18" x14ac:dyDescent="0.25">
      <c r="A77" s="11" t="s">
        <v>210</v>
      </c>
      <c r="B77" s="13">
        <v>6062</v>
      </c>
      <c r="C77" s="14">
        <f>(5128/B77*100)</f>
        <v>84.592543714945563</v>
      </c>
      <c r="D77" s="15">
        <v>934</v>
      </c>
      <c r="E77" s="14">
        <v>67.883809600000006</v>
      </c>
      <c r="F77" s="16">
        <v>1.7240296900000001</v>
      </c>
      <c r="G77" s="14">
        <v>32.116190400000001</v>
      </c>
      <c r="H77" s="16">
        <v>1.7240296900000001</v>
      </c>
      <c r="I77" s="14" t="s">
        <v>139</v>
      </c>
      <c r="J77" s="16" t="s">
        <v>139</v>
      </c>
      <c r="K77" s="14">
        <v>0</v>
      </c>
      <c r="L77" s="16">
        <v>0</v>
      </c>
      <c r="M77" s="14">
        <v>0</v>
      </c>
      <c r="N77" s="16">
        <v>0</v>
      </c>
      <c r="O77" s="14">
        <v>0</v>
      </c>
      <c r="P77" s="16">
        <v>0</v>
      </c>
      <c r="Q77" s="14">
        <v>0</v>
      </c>
      <c r="R77" s="16">
        <v>0</v>
      </c>
    </row>
    <row r="78" spans="1:18" x14ac:dyDescent="0.25">
      <c r="A78" s="11" t="s">
        <v>211</v>
      </c>
      <c r="B78" s="17" t="s">
        <v>154</v>
      </c>
      <c r="C78" s="17" t="s">
        <v>154</v>
      </c>
      <c r="D78" s="18" t="s">
        <v>154</v>
      </c>
      <c r="E78" s="17" t="s">
        <v>154</v>
      </c>
      <c r="F78" s="18" t="s">
        <v>154</v>
      </c>
      <c r="G78" s="17" t="s">
        <v>154</v>
      </c>
      <c r="H78" s="18" t="s">
        <v>154</v>
      </c>
      <c r="I78" s="17" t="s">
        <v>154</v>
      </c>
      <c r="J78" s="18" t="s">
        <v>154</v>
      </c>
      <c r="K78" s="17" t="s">
        <v>154</v>
      </c>
      <c r="L78" s="18" t="s">
        <v>154</v>
      </c>
      <c r="M78" s="17" t="s">
        <v>154</v>
      </c>
      <c r="N78" s="18" t="s">
        <v>154</v>
      </c>
      <c r="O78" s="17" t="s">
        <v>154</v>
      </c>
      <c r="P78" s="18" t="s">
        <v>154</v>
      </c>
      <c r="Q78" s="17" t="s">
        <v>154</v>
      </c>
      <c r="R78" s="18" t="s">
        <v>154</v>
      </c>
    </row>
    <row r="79" spans="1:18" ht="24.95" customHeight="1" x14ac:dyDescent="0.25">
      <c r="A79" s="11" t="s">
        <v>212</v>
      </c>
      <c r="B79" s="17" t="s">
        <v>154</v>
      </c>
      <c r="C79" s="17" t="s">
        <v>154</v>
      </c>
      <c r="D79" s="18" t="s">
        <v>154</v>
      </c>
      <c r="E79" s="17" t="s">
        <v>154</v>
      </c>
      <c r="F79" s="18" t="s">
        <v>154</v>
      </c>
      <c r="G79" s="17" t="s">
        <v>154</v>
      </c>
      <c r="H79" s="18" t="s">
        <v>154</v>
      </c>
      <c r="I79" s="17" t="s">
        <v>154</v>
      </c>
      <c r="J79" s="18" t="s">
        <v>154</v>
      </c>
      <c r="K79" s="17" t="s">
        <v>154</v>
      </c>
      <c r="L79" s="18" t="s">
        <v>154</v>
      </c>
      <c r="M79" s="17" t="s">
        <v>154</v>
      </c>
      <c r="N79" s="18" t="s">
        <v>154</v>
      </c>
      <c r="O79" s="17" t="s">
        <v>154</v>
      </c>
      <c r="P79" s="18" t="s">
        <v>154</v>
      </c>
      <c r="Q79" s="17" t="s">
        <v>154</v>
      </c>
      <c r="R79" s="18" t="s">
        <v>154</v>
      </c>
    </row>
    <row r="80" spans="1:18" x14ac:dyDescent="0.25">
      <c r="A80" s="11" t="s">
        <v>213</v>
      </c>
      <c r="B80" s="17" t="s">
        <v>154</v>
      </c>
      <c r="C80" s="17" t="s">
        <v>154</v>
      </c>
      <c r="D80" s="18" t="s">
        <v>154</v>
      </c>
      <c r="E80" s="17" t="s">
        <v>154</v>
      </c>
      <c r="F80" s="18" t="s">
        <v>154</v>
      </c>
      <c r="G80" s="17" t="s">
        <v>154</v>
      </c>
      <c r="H80" s="18" t="s">
        <v>154</v>
      </c>
      <c r="I80" s="17" t="s">
        <v>154</v>
      </c>
      <c r="J80" s="18" t="s">
        <v>154</v>
      </c>
      <c r="K80" s="17" t="s">
        <v>154</v>
      </c>
      <c r="L80" s="18" t="s">
        <v>154</v>
      </c>
      <c r="M80" s="17" t="s">
        <v>154</v>
      </c>
      <c r="N80" s="18" t="s">
        <v>154</v>
      </c>
      <c r="O80" s="17" t="s">
        <v>154</v>
      </c>
      <c r="P80" s="18" t="s">
        <v>154</v>
      </c>
      <c r="Q80" s="17" t="s">
        <v>154</v>
      </c>
      <c r="R80" s="18" t="s">
        <v>154</v>
      </c>
    </row>
    <row r="81" spans="1:18" x14ac:dyDescent="0.25">
      <c r="A81" s="19" t="s">
        <v>214</v>
      </c>
      <c r="B81" s="13">
        <v>8861</v>
      </c>
      <c r="C81" s="14">
        <f>(7408/B81*100)</f>
        <v>83.602302223225365</v>
      </c>
      <c r="D81" s="15">
        <v>1453</v>
      </c>
      <c r="E81" s="14">
        <v>75.181181800000005</v>
      </c>
      <c r="F81" s="16">
        <v>1.58787039</v>
      </c>
      <c r="G81" s="14">
        <v>24.818818199999999</v>
      </c>
      <c r="H81" s="16">
        <v>1.58787039</v>
      </c>
      <c r="I81" s="14" t="s">
        <v>139</v>
      </c>
      <c r="J81" s="16" t="s">
        <v>139</v>
      </c>
      <c r="K81" s="14">
        <v>0</v>
      </c>
      <c r="L81" s="16">
        <v>0</v>
      </c>
      <c r="M81" s="14">
        <v>0</v>
      </c>
      <c r="N81" s="16">
        <v>0</v>
      </c>
      <c r="O81" s="14">
        <v>0</v>
      </c>
      <c r="P81" s="16">
        <v>0</v>
      </c>
      <c r="Q81" s="14">
        <v>0</v>
      </c>
      <c r="R81" s="16">
        <v>0</v>
      </c>
    </row>
    <row r="82" spans="1:18" x14ac:dyDescent="0.25">
      <c r="A82" s="20"/>
      <c r="B82" s="20" t="s">
        <v>215</v>
      </c>
      <c r="C82" s="20" t="s">
        <v>215</v>
      </c>
      <c r="D82" s="20" t="s">
        <v>215</v>
      </c>
      <c r="E82" s="20" t="s">
        <v>215</v>
      </c>
      <c r="F82" s="20" t="s">
        <v>215</v>
      </c>
      <c r="G82" s="20" t="s">
        <v>215</v>
      </c>
      <c r="H82" s="20" t="s">
        <v>215</v>
      </c>
      <c r="I82" s="20" t="s">
        <v>215</v>
      </c>
      <c r="J82" s="20" t="s">
        <v>215</v>
      </c>
      <c r="K82" s="20" t="s">
        <v>215</v>
      </c>
      <c r="L82" s="20" t="s">
        <v>215</v>
      </c>
      <c r="M82" s="20" t="s">
        <v>215</v>
      </c>
      <c r="N82" s="20" t="s">
        <v>215</v>
      </c>
      <c r="O82" s="20" t="s">
        <v>215</v>
      </c>
      <c r="P82" s="20" t="s">
        <v>215</v>
      </c>
      <c r="Q82" s="20" t="s">
        <v>215</v>
      </c>
      <c r="R82" s="20" t="s">
        <v>215</v>
      </c>
    </row>
    <row r="83" spans="1:18" x14ac:dyDescent="0.25">
      <c r="A83" s="3" t="s">
        <v>216</v>
      </c>
    </row>
    <row r="84" spans="1:18" x14ac:dyDescent="0.25">
      <c r="A84" s="22" t="s">
        <v>217</v>
      </c>
      <c r="B84" s="23"/>
      <c r="C84" s="23"/>
      <c r="D84" s="23"/>
      <c r="E84" s="23"/>
      <c r="F84" s="23"/>
      <c r="G84" s="23"/>
      <c r="H84" s="23"/>
      <c r="I84" s="23"/>
      <c r="J84" s="23"/>
      <c r="K84" s="23"/>
      <c r="L84" s="23"/>
      <c r="M84" s="23"/>
      <c r="N84" s="23"/>
      <c r="O84" s="23"/>
      <c r="P84" s="23"/>
      <c r="Q84" s="23"/>
      <c r="R84" s="23"/>
    </row>
    <row r="85" spans="1:18" x14ac:dyDescent="0.25">
      <c r="A85" s="22" t="s">
        <v>218</v>
      </c>
      <c r="B85" s="23"/>
      <c r="C85" s="23"/>
      <c r="D85" s="23"/>
      <c r="E85" s="23"/>
      <c r="F85" s="23"/>
      <c r="G85" s="23"/>
      <c r="H85" s="23"/>
      <c r="I85" s="23"/>
      <c r="J85" s="23"/>
      <c r="K85" s="23"/>
      <c r="L85" s="23"/>
      <c r="M85" s="23"/>
      <c r="N85" s="23"/>
      <c r="O85" s="23"/>
      <c r="P85" s="23"/>
      <c r="Q85" s="23"/>
      <c r="R85" s="23"/>
    </row>
    <row r="86" spans="1:18" ht="30" customHeight="1" x14ac:dyDescent="0.25">
      <c r="A86" s="22" t="s">
        <v>219</v>
      </c>
      <c r="B86" s="23"/>
      <c r="C86" s="23"/>
      <c r="D86" s="23"/>
      <c r="E86" s="23"/>
      <c r="F86" s="23"/>
      <c r="G86" s="23"/>
      <c r="H86" s="23"/>
      <c r="I86" s="23"/>
      <c r="J86" s="23"/>
      <c r="K86" s="23"/>
      <c r="L86" s="23"/>
      <c r="M86" s="23"/>
      <c r="N86" s="23"/>
      <c r="O86" s="23"/>
      <c r="P86" s="23"/>
      <c r="Q86" s="23"/>
      <c r="R86" s="23"/>
    </row>
    <row r="87" spans="1:18" ht="30" customHeight="1" x14ac:dyDescent="0.25">
      <c r="A87" s="22" t="s">
        <v>215</v>
      </c>
      <c r="B87" s="23"/>
      <c r="C87" s="23"/>
      <c r="D87" s="23"/>
      <c r="E87" s="23"/>
      <c r="F87" s="23"/>
      <c r="G87" s="23"/>
      <c r="H87" s="23"/>
      <c r="I87" s="23"/>
      <c r="J87" s="23"/>
      <c r="K87" s="23"/>
      <c r="L87" s="23"/>
      <c r="M87" s="23"/>
      <c r="N87" s="23"/>
      <c r="O87" s="23"/>
      <c r="P87" s="23"/>
      <c r="Q87" s="23"/>
      <c r="R87" s="23"/>
    </row>
    <row r="88" spans="1:18" ht="30" customHeight="1" x14ac:dyDescent="0.25">
      <c r="A88" s="22" t="s">
        <v>220</v>
      </c>
      <c r="B88" s="23"/>
      <c r="C88" s="23"/>
      <c r="D88" s="23"/>
      <c r="E88" s="23"/>
      <c r="F88" s="23"/>
      <c r="G88" s="23"/>
      <c r="H88" s="23"/>
      <c r="I88" s="23"/>
      <c r="J88" s="23"/>
      <c r="K88" s="23"/>
      <c r="L88" s="23"/>
      <c r="M88" s="23"/>
      <c r="N88" s="23"/>
      <c r="O88" s="23"/>
      <c r="P88" s="23"/>
      <c r="Q88" s="23"/>
      <c r="R88" s="23"/>
    </row>
    <row r="89" spans="1:18" ht="30" customHeight="1" x14ac:dyDescent="0.25">
      <c r="A89" s="22" t="s">
        <v>221</v>
      </c>
      <c r="B89" s="23"/>
      <c r="C89" s="23"/>
      <c r="D89" s="23"/>
      <c r="E89" s="23"/>
      <c r="F89" s="23"/>
      <c r="G89" s="23"/>
      <c r="H89" s="23"/>
      <c r="I89" s="23"/>
      <c r="J89" s="23"/>
      <c r="K89" s="23"/>
      <c r="L89" s="23"/>
      <c r="M89" s="23"/>
      <c r="N89" s="23"/>
      <c r="O89" s="23"/>
      <c r="P89" s="23"/>
      <c r="Q89" s="23"/>
      <c r="R89" s="23"/>
    </row>
    <row r="90" spans="1:18" ht="30" customHeight="1" x14ac:dyDescent="0.25">
      <c r="A90" s="22" t="s">
        <v>222</v>
      </c>
      <c r="B90" s="23"/>
      <c r="C90" s="23"/>
      <c r="D90" s="23"/>
      <c r="E90" s="23"/>
      <c r="F90" s="23"/>
      <c r="G90" s="23"/>
      <c r="H90" s="23"/>
      <c r="I90" s="23"/>
      <c r="J90" s="23"/>
      <c r="K90" s="23"/>
      <c r="L90" s="23"/>
      <c r="M90" s="23"/>
      <c r="N90" s="23"/>
      <c r="O90" s="23"/>
      <c r="P90" s="23"/>
      <c r="Q90" s="23"/>
      <c r="R90" s="23"/>
    </row>
    <row r="91" spans="1:18" ht="30" customHeight="1" x14ac:dyDescent="0.25">
      <c r="A91" s="22" t="s">
        <v>223</v>
      </c>
      <c r="B91" s="23"/>
      <c r="C91" s="23"/>
      <c r="D91" s="23"/>
      <c r="E91" s="23"/>
      <c r="F91" s="23"/>
      <c r="G91" s="23"/>
      <c r="H91" s="23"/>
      <c r="I91" s="23"/>
      <c r="J91" s="23"/>
      <c r="K91" s="23"/>
      <c r="L91" s="23"/>
      <c r="M91" s="23"/>
      <c r="N91" s="23"/>
      <c r="O91" s="23"/>
      <c r="P91" s="23"/>
      <c r="Q91" s="23"/>
      <c r="R91" s="23"/>
    </row>
    <row r="92" spans="1:18" ht="30" customHeight="1" x14ac:dyDescent="0.25">
      <c r="A92" s="22" t="s">
        <v>224</v>
      </c>
      <c r="B92" s="23"/>
      <c r="C92" s="23"/>
      <c r="D92" s="23"/>
      <c r="E92" s="23"/>
      <c r="F92" s="23"/>
      <c r="G92" s="23"/>
      <c r="H92" s="23"/>
      <c r="I92" s="23"/>
      <c r="J92" s="23"/>
      <c r="K92" s="23"/>
      <c r="L92" s="23"/>
      <c r="M92" s="23"/>
      <c r="N92" s="23"/>
      <c r="O92" s="23"/>
      <c r="P92" s="23"/>
      <c r="Q92" s="23"/>
      <c r="R92" s="23"/>
    </row>
    <row r="93" spans="1:18" ht="30" customHeight="1" x14ac:dyDescent="0.25">
      <c r="A93" s="22" t="s">
        <v>225</v>
      </c>
      <c r="B93" s="23"/>
      <c r="C93" s="23"/>
      <c r="D93" s="23"/>
      <c r="E93" s="23"/>
      <c r="F93" s="23"/>
      <c r="G93" s="23"/>
      <c r="H93" s="23"/>
      <c r="I93" s="23"/>
      <c r="J93" s="23"/>
      <c r="K93" s="23"/>
      <c r="L93" s="23"/>
      <c r="M93" s="23"/>
      <c r="N93" s="23"/>
      <c r="O93" s="23"/>
      <c r="P93" s="23"/>
      <c r="Q93" s="23"/>
      <c r="R93" s="23"/>
    </row>
    <row r="94" spans="1:18" ht="30" customHeight="1" x14ac:dyDescent="0.25">
      <c r="A94" s="22" t="s">
        <v>226</v>
      </c>
      <c r="B94" s="23"/>
      <c r="C94" s="23"/>
      <c r="D94" s="23"/>
      <c r="E94" s="23"/>
      <c r="F94" s="23"/>
      <c r="G94" s="23"/>
      <c r="H94" s="23"/>
      <c r="I94" s="23"/>
      <c r="J94" s="23"/>
      <c r="K94" s="23"/>
      <c r="L94" s="23"/>
      <c r="M94" s="23"/>
      <c r="N94" s="23"/>
      <c r="O94" s="23"/>
      <c r="P94" s="23"/>
      <c r="Q94" s="23"/>
      <c r="R94" s="23"/>
    </row>
    <row r="95" spans="1:18" ht="30" customHeight="1" x14ac:dyDescent="0.25">
      <c r="A95" s="22" t="s">
        <v>227</v>
      </c>
      <c r="B95" s="23"/>
      <c r="C95" s="23"/>
      <c r="D95" s="23"/>
      <c r="E95" s="23"/>
      <c r="F95" s="23"/>
      <c r="G95" s="23"/>
      <c r="H95" s="23"/>
      <c r="I95" s="23"/>
      <c r="J95" s="23"/>
      <c r="K95" s="23"/>
      <c r="L95" s="23"/>
      <c r="M95" s="23"/>
      <c r="N95" s="23"/>
      <c r="O95" s="23"/>
      <c r="P95" s="23"/>
      <c r="Q95" s="23"/>
      <c r="R95" s="23"/>
    </row>
    <row r="96" spans="1:18" ht="30" customHeight="1" x14ac:dyDescent="0.25">
      <c r="A96" s="22" t="s">
        <v>228</v>
      </c>
      <c r="B96" s="23"/>
      <c r="C96" s="23"/>
      <c r="D96" s="23"/>
      <c r="E96" s="23"/>
      <c r="F96" s="23"/>
      <c r="G96" s="23"/>
      <c r="H96" s="23"/>
      <c r="I96" s="23"/>
      <c r="J96" s="23"/>
      <c r="K96" s="23"/>
      <c r="L96" s="23"/>
      <c r="M96" s="23"/>
      <c r="N96" s="23"/>
      <c r="O96" s="23"/>
      <c r="P96" s="23"/>
      <c r="Q96" s="23"/>
      <c r="R96" s="23"/>
    </row>
  </sheetData>
  <mergeCells count="22">
    <mergeCell ref="O4:P4"/>
    <mergeCell ref="Q4:R4"/>
    <mergeCell ref="A1:R1"/>
    <mergeCell ref="A2:R2"/>
    <mergeCell ref="A84:R84"/>
    <mergeCell ref="E4:F4"/>
    <mergeCell ref="G4:H4"/>
    <mergeCell ref="I4:J4"/>
    <mergeCell ref="K4:L4"/>
    <mergeCell ref="M4:N4"/>
    <mergeCell ref="A85:R85"/>
    <mergeCell ref="A86:R86"/>
    <mergeCell ref="A87:R87"/>
    <mergeCell ref="A88:R88"/>
    <mergeCell ref="A89:R89"/>
    <mergeCell ref="A95:R95"/>
    <mergeCell ref="A96:R96"/>
    <mergeCell ref="A90:R90"/>
    <mergeCell ref="A91:R91"/>
    <mergeCell ref="A92:R92"/>
    <mergeCell ref="A93:R93"/>
    <mergeCell ref="A94:R94"/>
  </mergeCells>
  <pageMargins left="0.75" right="0.75" top="1" bottom="1" header="0.5" footer="0.5"/>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1"/>
  <dimension ref="A1:R96"/>
  <sheetViews>
    <sheetView zoomScale="80" workbookViewId="0">
      <pane xSplit="4" topLeftCell="E1" activePane="topRight" state="frozen"/>
      <selection sqref="A1:R1"/>
      <selection pane="topRight" sqref="A1:R1"/>
    </sheetView>
  </sheetViews>
  <sheetFormatPr defaultColWidth="11.42578125" defaultRowHeight="15" x14ac:dyDescent="0.25"/>
  <cols>
    <col min="1" max="1" width="50" customWidth="1"/>
  </cols>
  <sheetData>
    <row r="1" spans="1:18" x14ac:dyDescent="0.25">
      <c r="A1" s="26" t="s">
        <v>122</v>
      </c>
      <c r="B1" s="23"/>
      <c r="C1" s="23"/>
      <c r="D1" s="23"/>
      <c r="E1" s="23"/>
      <c r="F1" s="23"/>
      <c r="G1" s="23"/>
      <c r="H1" s="23"/>
      <c r="I1" s="23"/>
      <c r="J1" s="23"/>
      <c r="K1" s="23"/>
      <c r="L1" s="23"/>
      <c r="M1" s="23"/>
      <c r="N1" s="23"/>
      <c r="O1" s="23"/>
      <c r="P1" s="23"/>
      <c r="Q1" s="23"/>
      <c r="R1" s="23"/>
    </row>
    <row r="2" spans="1:18" x14ac:dyDescent="0.25">
      <c r="A2" s="27" t="s">
        <v>317</v>
      </c>
      <c r="B2" s="23"/>
      <c r="C2" s="23"/>
      <c r="D2" s="23"/>
      <c r="E2" s="23"/>
      <c r="F2" s="23"/>
      <c r="G2" s="23"/>
      <c r="H2" s="23"/>
      <c r="I2" s="23"/>
      <c r="J2" s="23"/>
      <c r="K2" s="23"/>
      <c r="L2" s="23"/>
      <c r="M2" s="23"/>
      <c r="N2" s="23"/>
      <c r="O2" s="23"/>
      <c r="P2" s="23"/>
      <c r="Q2" s="23"/>
      <c r="R2" s="23"/>
    </row>
    <row r="4" spans="1:18" ht="30" customHeight="1" x14ac:dyDescent="0.25">
      <c r="A4" s="4"/>
      <c r="B4" s="5" t="s">
        <v>123</v>
      </c>
      <c r="C4" s="5" t="s">
        <v>124</v>
      </c>
      <c r="D4" s="6" t="s">
        <v>123</v>
      </c>
      <c r="E4" s="24" t="s">
        <v>125</v>
      </c>
      <c r="F4" s="25"/>
      <c r="G4" s="24" t="s">
        <v>126</v>
      </c>
      <c r="H4" s="25"/>
      <c r="I4" s="24" t="s">
        <v>127</v>
      </c>
      <c r="J4" s="25"/>
      <c r="K4" s="24" t="s">
        <v>128</v>
      </c>
      <c r="L4" s="25"/>
      <c r="M4" s="24" t="s">
        <v>129</v>
      </c>
      <c r="N4" s="25"/>
      <c r="O4" s="24" t="s">
        <v>130</v>
      </c>
      <c r="P4" s="25"/>
      <c r="Q4" s="24" t="s">
        <v>131</v>
      </c>
      <c r="R4" s="25"/>
    </row>
    <row r="5" spans="1:18" x14ac:dyDescent="0.25">
      <c r="A5" s="7"/>
      <c r="B5" s="8" t="s">
        <v>132</v>
      </c>
      <c r="C5" s="8" t="s">
        <v>133</v>
      </c>
      <c r="D5" s="7" t="s">
        <v>134</v>
      </c>
      <c r="E5" s="8" t="s">
        <v>135</v>
      </c>
      <c r="F5" s="7" t="s">
        <v>136</v>
      </c>
      <c r="G5" s="8" t="s">
        <v>135</v>
      </c>
      <c r="H5" s="7" t="s">
        <v>136</v>
      </c>
      <c r="I5" s="8" t="s">
        <v>135</v>
      </c>
      <c r="J5" s="7" t="s">
        <v>136</v>
      </c>
      <c r="K5" s="8" t="s">
        <v>135</v>
      </c>
      <c r="L5" s="7" t="s">
        <v>136</v>
      </c>
      <c r="M5" s="8" t="s">
        <v>135</v>
      </c>
      <c r="N5" s="7" t="s">
        <v>136</v>
      </c>
      <c r="O5" s="8" t="s">
        <v>135</v>
      </c>
      <c r="P5" s="7" t="s">
        <v>136</v>
      </c>
      <c r="Q5" s="8" t="s">
        <v>135</v>
      </c>
      <c r="R5" s="7" t="s">
        <v>136</v>
      </c>
    </row>
    <row r="6" spans="1:18" x14ac:dyDescent="0.25">
      <c r="A6" s="9" t="s">
        <v>137</v>
      </c>
      <c r="B6" s="10"/>
      <c r="C6" s="10"/>
      <c r="D6" s="11"/>
      <c r="E6" s="10"/>
      <c r="F6" s="11"/>
      <c r="G6" s="10"/>
      <c r="H6" s="11"/>
      <c r="I6" s="10"/>
      <c r="J6" s="11"/>
      <c r="K6" s="10"/>
      <c r="L6" s="11"/>
      <c r="M6" s="10"/>
      <c r="N6" s="11"/>
      <c r="O6" s="10"/>
      <c r="P6" s="11"/>
      <c r="Q6" s="10"/>
      <c r="R6" s="12"/>
    </row>
    <row r="7" spans="1:18" x14ac:dyDescent="0.25">
      <c r="A7" s="11" t="s">
        <v>138</v>
      </c>
      <c r="B7" s="13">
        <v>14530</v>
      </c>
      <c r="C7" s="14">
        <f>(12273/B7*100)</f>
        <v>84.466620784583625</v>
      </c>
      <c r="D7" s="15">
        <v>2257</v>
      </c>
      <c r="E7" s="14">
        <v>24.739926610000001</v>
      </c>
      <c r="F7" s="16">
        <v>0.85889117999999998</v>
      </c>
      <c r="G7" s="14">
        <v>75.260073390000002</v>
      </c>
      <c r="H7" s="16">
        <v>0.85889117999999998</v>
      </c>
      <c r="I7" s="14" t="s">
        <v>139</v>
      </c>
      <c r="J7" s="16" t="s">
        <v>139</v>
      </c>
      <c r="K7" s="14">
        <v>0</v>
      </c>
      <c r="L7" s="16">
        <v>0</v>
      </c>
      <c r="M7" s="14">
        <v>0</v>
      </c>
      <c r="N7" s="16">
        <v>0</v>
      </c>
      <c r="O7" s="14">
        <v>0</v>
      </c>
      <c r="P7" s="16">
        <v>0</v>
      </c>
      <c r="Q7" s="14">
        <v>0</v>
      </c>
      <c r="R7" s="16">
        <v>0</v>
      </c>
    </row>
    <row r="8" spans="1:18" x14ac:dyDescent="0.25">
      <c r="A8" s="11" t="s">
        <v>140</v>
      </c>
      <c r="B8" s="13">
        <v>7007</v>
      </c>
      <c r="C8" s="14">
        <f>(5877/B8*100)</f>
        <v>83.873269587555299</v>
      </c>
      <c r="D8" s="15">
        <v>1130</v>
      </c>
      <c r="E8" s="14">
        <v>22.926284259999999</v>
      </c>
      <c r="F8" s="16">
        <v>1.39060838</v>
      </c>
      <c r="G8" s="14">
        <v>77.073715739999997</v>
      </c>
      <c r="H8" s="16">
        <v>1.39060838</v>
      </c>
      <c r="I8" s="14" t="s">
        <v>139</v>
      </c>
      <c r="J8" s="16" t="s">
        <v>139</v>
      </c>
      <c r="K8" s="14">
        <v>0</v>
      </c>
      <c r="L8" s="16">
        <v>0</v>
      </c>
      <c r="M8" s="14">
        <v>0</v>
      </c>
      <c r="N8" s="16">
        <v>0</v>
      </c>
      <c r="O8" s="14">
        <v>0</v>
      </c>
      <c r="P8" s="16">
        <v>0</v>
      </c>
      <c r="Q8" s="14">
        <v>0</v>
      </c>
      <c r="R8" s="16">
        <v>0</v>
      </c>
    </row>
    <row r="9" spans="1:18" x14ac:dyDescent="0.25">
      <c r="A9" s="11" t="s">
        <v>141</v>
      </c>
      <c r="B9" s="13">
        <v>9651</v>
      </c>
      <c r="C9" s="14">
        <f>(8191/B9*100)</f>
        <v>84.872033986115426</v>
      </c>
      <c r="D9" s="15">
        <v>1460</v>
      </c>
      <c r="E9" s="14">
        <v>25.017443140000001</v>
      </c>
      <c r="F9" s="16">
        <v>1.25537955</v>
      </c>
      <c r="G9" s="14">
        <v>74.982556860000003</v>
      </c>
      <c r="H9" s="16">
        <v>1.25537955</v>
      </c>
      <c r="I9" s="14" t="s">
        <v>139</v>
      </c>
      <c r="J9" s="16" t="s">
        <v>139</v>
      </c>
      <c r="K9" s="14">
        <v>0</v>
      </c>
      <c r="L9" s="16">
        <v>0</v>
      </c>
      <c r="M9" s="14">
        <v>0</v>
      </c>
      <c r="N9" s="16">
        <v>0</v>
      </c>
      <c r="O9" s="14">
        <v>0</v>
      </c>
      <c r="P9" s="16">
        <v>0</v>
      </c>
      <c r="Q9" s="14">
        <v>0</v>
      </c>
      <c r="R9" s="16">
        <v>0</v>
      </c>
    </row>
    <row r="10" spans="1:18" x14ac:dyDescent="0.25">
      <c r="A10" s="11" t="s">
        <v>142</v>
      </c>
      <c r="B10" s="13">
        <v>20058</v>
      </c>
      <c r="C10" s="14">
        <f>(16744/B10*100)</f>
        <v>83.477914049257151</v>
      </c>
      <c r="D10" s="15">
        <v>3314</v>
      </c>
      <c r="E10" s="14">
        <v>20.28764559</v>
      </c>
      <c r="F10" s="16">
        <v>0.93417565000000002</v>
      </c>
      <c r="G10" s="14">
        <v>79.712354410000003</v>
      </c>
      <c r="H10" s="16">
        <v>0.93417565000000002</v>
      </c>
      <c r="I10" s="14" t="s">
        <v>139</v>
      </c>
      <c r="J10" s="16" t="s">
        <v>139</v>
      </c>
      <c r="K10" s="14">
        <v>0</v>
      </c>
      <c r="L10" s="16">
        <v>0</v>
      </c>
      <c r="M10" s="14">
        <v>0</v>
      </c>
      <c r="N10" s="16">
        <v>0</v>
      </c>
      <c r="O10" s="14">
        <v>0</v>
      </c>
      <c r="P10" s="16">
        <v>0</v>
      </c>
      <c r="Q10" s="14">
        <v>0</v>
      </c>
      <c r="R10" s="16">
        <v>0</v>
      </c>
    </row>
    <row r="11" spans="1:18" x14ac:dyDescent="0.25">
      <c r="A11" s="11" t="s">
        <v>143</v>
      </c>
      <c r="B11" s="13">
        <v>7053</v>
      </c>
      <c r="C11" s="14">
        <f>(5950/B11*100)</f>
        <v>84.361264710052467</v>
      </c>
      <c r="D11" s="15">
        <v>1103</v>
      </c>
      <c r="E11" s="14">
        <v>36.15262577</v>
      </c>
      <c r="F11" s="16">
        <v>1.53384561</v>
      </c>
      <c r="G11" s="14">
        <v>63.84737423</v>
      </c>
      <c r="H11" s="16">
        <v>1.53384561</v>
      </c>
      <c r="I11" s="14" t="s">
        <v>139</v>
      </c>
      <c r="J11" s="16" t="s">
        <v>139</v>
      </c>
      <c r="K11" s="14">
        <v>0</v>
      </c>
      <c r="L11" s="16">
        <v>0</v>
      </c>
      <c r="M11" s="14">
        <v>0</v>
      </c>
      <c r="N11" s="16">
        <v>0</v>
      </c>
      <c r="O11" s="14">
        <v>0</v>
      </c>
      <c r="P11" s="16">
        <v>0</v>
      </c>
      <c r="Q11" s="14">
        <v>0</v>
      </c>
      <c r="R11" s="16">
        <v>0</v>
      </c>
    </row>
    <row r="12" spans="1:18" x14ac:dyDescent="0.25">
      <c r="A12" s="11" t="s">
        <v>144</v>
      </c>
      <c r="B12" s="13">
        <v>6894</v>
      </c>
      <c r="C12" s="14">
        <f>(5796/B12*100)</f>
        <v>84.073107049608353</v>
      </c>
      <c r="D12" s="15">
        <v>1098</v>
      </c>
      <c r="E12" s="14">
        <v>26.853491439999999</v>
      </c>
      <c r="F12" s="16">
        <v>1.5402931799999999</v>
      </c>
      <c r="G12" s="14">
        <v>73.146508560000001</v>
      </c>
      <c r="H12" s="16">
        <v>1.5402931799999999</v>
      </c>
      <c r="I12" s="14" t="s">
        <v>139</v>
      </c>
      <c r="J12" s="16" t="s">
        <v>139</v>
      </c>
      <c r="K12" s="14">
        <v>0</v>
      </c>
      <c r="L12" s="16">
        <v>0</v>
      </c>
      <c r="M12" s="14">
        <v>0</v>
      </c>
      <c r="N12" s="16">
        <v>0</v>
      </c>
      <c r="O12" s="14">
        <v>0</v>
      </c>
      <c r="P12" s="16">
        <v>0</v>
      </c>
      <c r="Q12" s="14">
        <v>0</v>
      </c>
      <c r="R12" s="16">
        <v>0</v>
      </c>
    </row>
    <row r="13" spans="1:18" x14ac:dyDescent="0.25">
      <c r="A13" s="11" t="s">
        <v>145</v>
      </c>
      <c r="B13" s="13">
        <v>7161</v>
      </c>
      <c r="C13" s="14">
        <f>(6096/B13*100)</f>
        <v>85.127775450356097</v>
      </c>
      <c r="D13" s="15">
        <v>1065</v>
      </c>
      <c r="E13" s="14">
        <v>15.094560270000001</v>
      </c>
      <c r="F13" s="16">
        <v>1.30648367</v>
      </c>
      <c r="G13" s="14">
        <v>84.905439729999998</v>
      </c>
      <c r="H13" s="16">
        <v>1.30648367</v>
      </c>
      <c r="I13" s="14" t="s">
        <v>139</v>
      </c>
      <c r="J13" s="16" t="s">
        <v>139</v>
      </c>
      <c r="K13" s="14">
        <v>0</v>
      </c>
      <c r="L13" s="16">
        <v>0</v>
      </c>
      <c r="M13" s="14">
        <v>0</v>
      </c>
      <c r="N13" s="16">
        <v>0</v>
      </c>
      <c r="O13" s="14">
        <v>0</v>
      </c>
      <c r="P13" s="16">
        <v>0</v>
      </c>
      <c r="Q13" s="14">
        <v>0</v>
      </c>
      <c r="R13" s="16">
        <v>0</v>
      </c>
    </row>
    <row r="14" spans="1:18" x14ac:dyDescent="0.25">
      <c r="A14" s="11" t="s">
        <v>146</v>
      </c>
      <c r="B14" s="13">
        <v>5587</v>
      </c>
      <c r="C14" s="14">
        <f>(4671/B14*100)</f>
        <v>83.604796849829967</v>
      </c>
      <c r="D14" s="15">
        <v>916</v>
      </c>
      <c r="E14" s="14">
        <v>16.447665050000001</v>
      </c>
      <c r="F14" s="16">
        <v>1.47430222</v>
      </c>
      <c r="G14" s="14">
        <v>83.552334950000002</v>
      </c>
      <c r="H14" s="16">
        <v>1.47430222</v>
      </c>
      <c r="I14" s="14" t="s">
        <v>139</v>
      </c>
      <c r="J14" s="16" t="s">
        <v>139</v>
      </c>
      <c r="K14" s="14">
        <v>0</v>
      </c>
      <c r="L14" s="16">
        <v>0</v>
      </c>
      <c r="M14" s="14">
        <v>0</v>
      </c>
      <c r="N14" s="16">
        <v>0</v>
      </c>
      <c r="O14" s="14">
        <v>0</v>
      </c>
      <c r="P14" s="16">
        <v>0</v>
      </c>
      <c r="Q14" s="14">
        <v>0</v>
      </c>
      <c r="R14" s="16">
        <v>0</v>
      </c>
    </row>
    <row r="15" spans="1:18" x14ac:dyDescent="0.25">
      <c r="A15" s="11" t="s">
        <v>147</v>
      </c>
      <c r="B15" s="13">
        <v>5882</v>
      </c>
      <c r="C15" s="14">
        <f>(4907/B15*100)</f>
        <v>83.424005440326425</v>
      </c>
      <c r="D15" s="15">
        <v>975</v>
      </c>
      <c r="E15" s="14">
        <v>13.366005339999999</v>
      </c>
      <c r="F15" s="16">
        <v>1.09365702</v>
      </c>
      <c r="G15" s="14">
        <v>86.633994659999999</v>
      </c>
      <c r="H15" s="16">
        <v>1.09365702</v>
      </c>
      <c r="I15" s="14" t="s">
        <v>139</v>
      </c>
      <c r="J15" s="16" t="s">
        <v>139</v>
      </c>
      <c r="K15" s="14">
        <v>0</v>
      </c>
      <c r="L15" s="16">
        <v>0</v>
      </c>
      <c r="M15" s="14">
        <v>0</v>
      </c>
      <c r="N15" s="16">
        <v>0</v>
      </c>
      <c r="O15" s="14">
        <v>0</v>
      </c>
      <c r="P15" s="16">
        <v>0</v>
      </c>
      <c r="Q15" s="14">
        <v>0</v>
      </c>
      <c r="R15" s="16">
        <v>0</v>
      </c>
    </row>
    <row r="16" spans="1:18" x14ac:dyDescent="0.25">
      <c r="A16" s="11" t="s">
        <v>148</v>
      </c>
      <c r="B16" s="13">
        <v>6108</v>
      </c>
      <c r="C16" s="14">
        <f>(5106/B16*100)</f>
        <v>83.59528487229862</v>
      </c>
      <c r="D16" s="15">
        <v>1002</v>
      </c>
      <c r="E16" s="14">
        <v>24.412753989999999</v>
      </c>
      <c r="F16" s="16">
        <v>1.5620584099999999</v>
      </c>
      <c r="G16" s="14">
        <v>75.587246010000001</v>
      </c>
      <c r="H16" s="16">
        <v>1.5620584099999999</v>
      </c>
      <c r="I16" s="14" t="s">
        <v>139</v>
      </c>
      <c r="J16" s="16" t="s">
        <v>139</v>
      </c>
      <c r="K16" s="14">
        <v>0</v>
      </c>
      <c r="L16" s="16">
        <v>0</v>
      </c>
      <c r="M16" s="14">
        <v>0</v>
      </c>
      <c r="N16" s="16">
        <v>0</v>
      </c>
      <c r="O16" s="14">
        <v>0</v>
      </c>
      <c r="P16" s="16">
        <v>0</v>
      </c>
      <c r="Q16" s="14">
        <v>0</v>
      </c>
      <c r="R16" s="16">
        <v>0</v>
      </c>
    </row>
    <row r="17" spans="1:18" x14ac:dyDescent="0.25">
      <c r="A17" s="11" t="s">
        <v>149</v>
      </c>
      <c r="B17" s="13">
        <v>6504</v>
      </c>
      <c r="C17" s="14">
        <f>(5484/B17*100)</f>
        <v>84.317343173431738</v>
      </c>
      <c r="D17" s="15">
        <v>1020</v>
      </c>
      <c r="E17" s="14">
        <v>18.93078822</v>
      </c>
      <c r="F17" s="16">
        <v>1.37745216</v>
      </c>
      <c r="G17" s="14">
        <v>81.069211780000003</v>
      </c>
      <c r="H17" s="16">
        <v>1.37745216</v>
      </c>
      <c r="I17" s="14" t="s">
        <v>139</v>
      </c>
      <c r="J17" s="16" t="s">
        <v>139</v>
      </c>
      <c r="K17" s="14">
        <v>0</v>
      </c>
      <c r="L17" s="16">
        <v>0</v>
      </c>
      <c r="M17" s="14">
        <v>0</v>
      </c>
      <c r="N17" s="16">
        <v>0</v>
      </c>
      <c r="O17" s="14">
        <v>0</v>
      </c>
      <c r="P17" s="16">
        <v>0</v>
      </c>
      <c r="Q17" s="14">
        <v>0</v>
      </c>
      <c r="R17" s="16">
        <v>0</v>
      </c>
    </row>
    <row r="18" spans="1:18" x14ac:dyDescent="0.25">
      <c r="A18" s="11" t="s">
        <v>150</v>
      </c>
      <c r="B18" s="13">
        <v>5532</v>
      </c>
      <c r="C18" s="14">
        <f>(4644/B18*100)</f>
        <v>83.947939262472886</v>
      </c>
      <c r="D18" s="15">
        <v>888</v>
      </c>
      <c r="E18" s="14">
        <v>36.774718419999999</v>
      </c>
      <c r="F18" s="16">
        <v>1.81026764</v>
      </c>
      <c r="G18" s="14">
        <v>63.225281580000001</v>
      </c>
      <c r="H18" s="16">
        <v>1.81026764</v>
      </c>
      <c r="I18" s="14" t="s">
        <v>139</v>
      </c>
      <c r="J18" s="16" t="s">
        <v>139</v>
      </c>
      <c r="K18" s="14">
        <v>0</v>
      </c>
      <c r="L18" s="16">
        <v>0</v>
      </c>
      <c r="M18" s="14">
        <v>0</v>
      </c>
      <c r="N18" s="16">
        <v>0</v>
      </c>
      <c r="O18" s="14">
        <v>0</v>
      </c>
      <c r="P18" s="16">
        <v>0</v>
      </c>
      <c r="Q18" s="14">
        <v>0</v>
      </c>
      <c r="R18" s="16">
        <v>0</v>
      </c>
    </row>
    <row r="19" spans="1:18" x14ac:dyDescent="0.25">
      <c r="A19" s="11" t="s">
        <v>151</v>
      </c>
      <c r="B19" s="13">
        <v>5658</v>
      </c>
      <c r="C19" s="14">
        <f>(4776/B19*100)</f>
        <v>84.411452810180279</v>
      </c>
      <c r="D19" s="15">
        <v>882</v>
      </c>
      <c r="E19" s="14">
        <v>28.064666809999999</v>
      </c>
      <c r="F19" s="16">
        <v>1.31229514</v>
      </c>
      <c r="G19" s="14">
        <v>71.935333189999994</v>
      </c>
      <c r="H19" s="16">
        <v>1.31229514</v>
      </c>
      <c r="I19" s="14" t="s">
        <v>139</v>
      </c>
      <c r="J19" s="16" t="s">
        <v>139</v>
      </c>
      <c r="K19" s="14">
        <v>0</v>
      </c>
      <c r="L19" s="16">
        <v>0</v>
      </c>
      <c r="M19" s="14">
        <v>0</v>
      </c>
      <c r="N19" s="16">
        <v>0</v>
      </c>
      <c r="O19" s="14">
        <v>0</v>
      </c>
      <c r="P19" s="16">
        <v>0</v>
      </c>
      <c r="Q19" s="14">
        <v>0</v>
      </c>
      <c r="R19" s="16">
        <v>0</v>
      </c>
    </row>
    <row r="20" spans="1:18" x14ac:dyDescent="0.25">
      <c r="A20" s="11" t="s">
        <v>152</v>
      </c>
      <c r="B20" s="13">
        <v>3371</v>
      </c>
      <c r="C20" s="14">
        <f>(2854/B20*100)</f>
        <v>84.663304657371697</v>
      </c>
      <c r="D20" s="15">
        <v>517</v>
      </c>
      <c r="E20" s="14">
        <v>23.892798519999999</v>
      </c>
      <c r="F20" s="16">
        <v>1.9074998400000001</v>
      </c>
      <c r="G20" s="14">
        <v>76.107201480000001</v>
      </c>
      <c r="H20" s="16">
        <v>1.9074998400000001</v>
      </c>
      <c r="I20" s="14" t="s">
        <v>139</v>
      </c>
      <c r="J20" s="16" t="s">
        <v>139</v>
      </c>
      <c r="K20" s="14">
        <v>0</v>
      </c>
      <c r="L20" s="16">
        <v>0</v>
      </c>
      <c r="M20" s="14">
        <v>0</v>
      </c>
      <c r="N20" s="16">
        <v>0</v>
      </c>
      <c r="O20" s="14">
        <v>0</v>
      </c>
      <c r="P20" s="16">
        <v>0</v>
      </c>
      <c r="Q20" s="14">
        <v>0</v>
      </c>
      <c r="R20" s="16">
        <v>0</v>
      </c>
    </row>
    <row r="21" spans="1:18" x14ac:dyDescent="0.25">
      <c r="A21" s="11" t="s">
        <v>153</v>
      </c>
      <c r="B21" s="17" t="s">
        <v>154</v>
      </c>
      <c r="C21" s="17" t="s">
        <v>154</v>
      </c>
      <c r="D21" s="18" t="s">
        <v>154</v>
      </c>
      <c r="E21" s="17" t="s">
        <v>154</v>
      </c>
      <c r="F21" s="18" t="s">
        <v>154</v>
      </c>
      <c r="G21" s="17" t="s">
        <v>154</v>
      </c>
      <c r="H21" s="18" t="s">
        <v>154</v>
      </c>
      <c r="I21" s="17" t="s">
        <v>154</v>
      </c>
      <c r="J21" s="18" t="s">
        <v>154</v>
      </c>
      <c r="K21" s="17" t="s">
        <v>154</v>
      </c>
      <c r="L21" s="18" t="s">
        <v>154</v>
      </c>
      <c r="M21" s="17" t="s">
        <v>154</v>
      </c>
      <c r="N21" s="18" t="s">
        <v>154</v>
      </c>
      <c r="O21" s="17" t="s">
        <v>154</v>
      </c>
      <c r="P21" s="18" t="s">
        <v>154</v>
      </c>
      <c r="Q21" s="17" t="s">
        <v>154</v>
      </c>
      <c r="R21" s="18" t="s">
        <v>154</v>
      </c>
    </row>
    <row r="22" spans="1:18" x14ac:dyDescent="0.25">
      <c r="A22" s="11" t="s">
        <v>155</v>
      </c>
      <c r="B22" s="13">
        <v>6598</v>
      </c>
      <c r="C22" s="14">
        <f>(5614/B22*100)</f>
        <v>85.086389815095487</v>
      </c>
      <c r="D22" s="15">
        <v>984</v>
      </c>
      <c r="E22" s="14">
        <v>39.928447920000004</v>
      </c>
      <c r="F22" s="16">
        <v>2.0943858500000001</v>
      </c>
      <c r="G22" s="14">
        <v>60.071552079999996</v>
      </c>
      <c r="H22" s="16">
        <v>2.0943858500000001</v>
      </c>
      <c r="I22" s="14" t="s">
        <v>139</v>
      </c>
      <c r="J22" s="16" t="s">
        <v>139</v>
      </c>
      <c r="K22" s="14">
        <v>0</v>
      </c>
      <c r="L22" s="16">
        <v>0</v>
      </c>
      <c r="M22" s="14">
        <v>0</v>
      </c>
      <c r="N22" s="16">
        <v>0</v>
      </c>
      <c r="O22" s="14">
        <v>0</v>
      </c>
      <c r="P22" s="16">
        <v>0</v>
      </c>
      <c r="Q22" s="14">
        <v>0</v>
      </c>
      <c r="R22" s="16">
        <v>0</v>
      </c>
    </row>
    <row r="23" spans="1:18" x14ac:dyDescent="0.25">
      <c r="A23" s="11" t="s">
        <v>156</v>
      </c>
      <c r="B23" s="13">
        <v>11583</v>
      </c>
      <c r="C23" s="14">
        <f>(9708/B23*100)</f>
        <v>83.812483812483819</v>
      </c>
      <c r="D23" s="15">
        <v>1875</v>
      </c>
      <c r="E23" s="14">
        <v>33.156857219999999</v>
      </c>
      <c r="F23" s="16">
        <v>1.8040400400000001</v>
      </c>
      <c r="G23" s="14">
        <v>66.843142779999994</v>
      </c>
      <c r="H23" s="16">
        <v>1.8040400400000001</v>
      </c>
      <c r="I23" s="14" t="s">
        <v>139</v>
      </c>
      <c r="J23" s="16" t="s">
        <v>139</v>
      </c>
      <c r="K23" s="14">
        <v>0</v>
      </c>
      <c r="L23" s="16">
        <v>0</v>
      </c>
      <c r="M23" s="14">
        <v>0</v>
      </c>
      <c r="N23" s="16">
        <v>0</v>
      </c>
      <c r="O23" s="14">
        <v>0</v>
      </c>
      <c r="P23" s="16">
        <v>0</v>
      </c>
      <c r="Q23" s="14">
        <v>0</v>
      </c>
      <c r="R23" s="16">
        <v>0</v>
      </c>
    </row>
    <row r="24" spans="1:18" x14ac:dyDescent="0.25">
      <c r="A24" s="11" t="s">
        <v>157</v>
      </c>
      <c r="B24" s="13">
        <v>6647</v>
      </c>
      <c r="C24" s="14">
        <f>(5510/B24*100)</f>
        <v>82.894538889724686</v>
      </c>
      <c r="D24" s="15">
        <v>1137</v>
      </c>
      <c r="E24" s="14">
        <v>16.740291249999999</v>
      </c>
      <c r="F24" s="16">
        <v>1.2828466599999999</v>
      </c>
      <c r="G24" s="14">
        <v>83.259708750000001</v>
      </c>
      <c r="H24" s="16">
        <v>1.2828466599999999</v>
      </c>
      <c r="I24" s="14" t="s">
        <v>139</v>
      </c>
      <c r="J24" s="16" t="s">
        <v>139</v>
      </c>
      <c r="K24" s="14">
        <v>0</v>
      </c>
      <c r="L24" s="16">
        <v>0</v>
      </c>
      <c r="M24" s="14">
        <v>0</v>
      </c>
      <c r="N24" s="16">
        <v>0</v>
      </c>
      <c r="O24" s="14">
        <v>0</v>
      </c>
      <c r="P24" s="16">
        <v>0</v>
      </c>
      <c r="Q24" s="14">
        <v>0</v>
      </c>
      <c r="R24" s="16">
        <v>0</v>
      </c>
    </row>
    <row r="25" spans="1:18" x14ac:dyDescent="0.25">
      <c r="A25" s="11" t="s">
        <v>158</v>
      </c>
      <c r="B25" s="13">
        <v>5581</v>
      </c>
      <c r="C25" s="14">
        <f>(4606/B25*100)</f>
        <v>82.530012542555099</v>
      </c>
      <c r="D25" s="15">
        <v>975</v>
      </c>
      <c r="E25" s="14">
        <v>22.290880130000001</v>
      </c>
      <c r="F25" s="16">
        <v>1.63992691</v>
      </c>
      <c r="G25" s="14">
        <v>77.709119869999995</v>
      </c>
      <c r="H25" s="16">
        <v>1.63992691</v>
      </c>
      <c r="I25" s="14" t="s">
        <v>139</v>
      </c>
      <c r="J25" s="16" t="s">
        <v>139</v>
      </c>
      <c r="K25" s="14">
        <v>0</v>
      </c>
      <c r="L25" s="16">
        <v>0</v>
      </c>
      <c r="M25" s="14">
        <v>0</v>
      </c>
      <c r="N25" s="16">
        <v>0</v>
      </c>
      <c r="O25" s="14">
        <v>0</v>
      </c>
      <c r="P25" s="16">
        <v>0</v>
      </c>
      <c r="Q25" s="14">
        <v>0</v>
      </c>
      <c r="R25" s="16">
        <v>0</v>
      </c>
    </row>
    <row r="26" spans="1:18" x14ac:dyDescent="0.25">
      <c r="A26" s="11" t="s">
        <v>159</v>
      </c>
      <c r="B26" s="13">
        <v>4869</v>
      </c>
      <c r="C26" s="14">
        <f>(4059/B26*100)</f>
        <v>83.364140480591502</v>
      </c>
      <c r="D26" s="15">
        <v>810</v>
      </c>
      <c r="E26" s="14">
        <v>23.95041311</v>
      </c>
      <c r="F26" s="16">
        <v>1.6537714800000001</v>
      </c>
      <c r="G26" s="14">
        <v>76.04958689</v>
      </c>
      <c r="H26" s="16">
        <v>1.6537714800000001</v>
      </c>
      <c r="I26" s="14" t="s">
        <v>139</v>
      </c>
      <c r="J26" s="16" t="s">
        <v>139</v>
      </c>
      <c r="K26" s="14">
        <v>0</v>
      </c>
      <c r="L26" s="16">
        <v>0</v>
      </c>
      <c r="M26" s="14">
        <v>0</v>
      </c>
      <c r="N26" s="16">
        <v>0</v>
      </c>
      <c r="O26" s="14">
        <v>0</v>
      </c>
      <c r="P26" s="16">
        <v>0</v>
      </c>
      <c r="Q26" s="14">
        <v>0</v>
      </c>
      <c r="R26" s="16">
        <v>0</v>
      </c>
    </row>
    <row r="27" spans="1:18" x14ac:dyDescent="0.25">
      <c r="A27" s="11" t="s">
        <v>160</v>
      </c>
      <c r="B27" s="13">
        <v>5299</v>
      </c>
      <c r="C27" s="14">
        <f>(4491/B27*100)</f>
        <v>84.751839969805616</v>
      </c>
      <c r="D27" s="15">
        <v>808</v>
      </c>
      <c r="E27" s="14">
        <v>22.401344640000001</v>
      </c>
      <c r="F27" s="16">
        <v>1.4890653300000001</v>
      </c>
      <c r="G27" s="14">
        <v>77.598655359999995</v>
      </c>
      <c r="H27" s="16">
        <v>1.4890653300000001</v>
      </c>
      <c r="I27" s="14" t="s">
        <v>139</v>
      </c>
      <c r="J27" s="16" t="s">
        <v>139</v>
      </c>
      <c r="K27" s="14">
        <v>0</v>
      </c>
      <c r="L27" s="16">
        <v>0</v>
      </c>
      <c r="M27" s="14">
        <v>0</v>
      </c>
      <c r="N27" s="16">
        <v>0</v>
      </c>
      <c r="O27" s="14">
        <v>0</v>
      </c>
      <c r="P27" s="16">
        <v>0</v>
      </c>
      <c r="Q27" s="14">
        <v>0</v>
      </c>
      <c r="R27" s="16">
        <v>0</v>
      </c>
    </row>
    <row r="28" spans="1:18" x14ac:dyDescent="0.25">
      <c r="A28" s="11" t="s">
        <v>161</v>
      </c>
      <c r="B28" s="13">
        <v>7568</v>
      </c>
      <c r="C28" s="14">
        <f>(6520/B28*100)</f>
        <v>86.152219873150102</v>
      </c>
      <c r="D28" s="15">
        <v>1048</v>
      </c>
      <c r="E28" s="14">
        <v>44.972552909999997</v>
      </c>
      <c r="F28" s="16">
        <v>1.7404745399999999</v>
      </c>
      <c r="G28" s="14">
        <v>55.027447090000003</v>
      </c>
      <c r="H28" s="16">
        <v>1.7404745399999999</v>
      </c>
      <c r="I28" s="14" t="s">
        <v>139</v>
      </c>
      <c r="J28" s="16" t="s">
        <v>139</v>
      </c>
      <c r="K28" s="14">
        <v>0</v>
      </c>
      <c r="L28" s="16">
        <v>0</v>
      </c>
      <c r="M28" s="14">
        <v>0</v>
      </c>
      <c r="N28" s="16">
        <v>0</v>
      </c>
      <c r="O28" s="14">
        <v>0</v>
      </c>
      <c r="P28" s="16">
        <v>0</v>
      </c>
      <c r="Q28" s="14">
        <v>0</v>
      </c>
      <c r="R28" s="16">
        <v>0</v>
      </c>
    </row>
    <row r="29" spans="1:18" x14ac:dyDescent="0.25">
      <c r="A29" s="11" t="s">
        <v>162</v>
      </c>
      <c r="B29" s="13">
        <v>5385</v>
      </c>
      <c r="C29" s="14">
        <f>(4468/B29*100)</f>
        <v>82.971216341689882</v>
      </c>
      <c r="D29" s="15">
        <v>917</v>
      </c>
      <c r="E29" s="14">
        <v>26.665616759999999</v>
      </c>
      <c r="F29" s="16">
        <v>1.40917048</v>
      </c>
      <c r="G29" s="14">
        <v>73.334383239999994</v>
      </c>
      <c r="H29" s="16">
        <v>1.40917048</v>
      </c>
      <c r="I29" s="14" t="s">
        <v>139</v>
      </c>
      <c r="J29" s="16" t="s">
        <v>139</v>
      </c>
      <c r="K29" s="14">
        <v>0</v>
      </c>
      <c r="L29" s="16">
        <v>0</v>
      </c>
      <c r="M29" s="14">
        <v>0</v>
      </c>
      <c r="N29" s="16">
        <v>0</v>
      </c>
      <c r="O29" s="14">
        <v>0</v>
      </c>
      <c r="P29" s="16">
        <v>0</v>
      </c>
      <c r="Q29" s="14">
        <v>0</v>
      </c>
      <c r="R29" s="16">
        <v>0</v>
      </c>
    </row>
    <row r="30" spans="1:18" x14ac:dyDescent="0.25">
      <c r="A30" s="11" t="s">
        <v>163</v>
      </c>
      <c r="B30" s="13">
        <v>4520</v>
      </c>
      <c r="C30" s="14">
        <f>(3818/B30*100)</f>
        <v>84.469026548672559</v>
      </c>
      <c r="D30" s="15">
        <v>702</v>
      </c>
      <c r="E30" s="14">
        <v>24.324143159999998</v>
      </c>
      <c r="F30" s="16">
        <v>1.72647376</v>
      </c>
      <c r="G30" s="14">
        <v>75.675856839999994</v>
      </c>
      <c r="H30" s="16">
        <v>1.72647376</v>
      </c>
      <c r="I30" s="14" t="s">
        <v>139</v>
      </c>
      <c r="J30" s="16" t="s">
        <v>139</v>
      </c>
      <c r="K30" s="14">
        <v>0</v>
      </c>
      <c r="L30" s="16">
        <v>0</v>
      </c>
      <c r="M30" s="14">
        <v>0</v>
      </c>
      <c r="N30" s="16">
        <v>0</v>
      </c>
      <c r="O30" s="14">
        <v>0</v>
      </c>
      <c r="P30" s="16">
        <v>0</v>
      </c>
      <c r="Q30" s="14">
        <v>0</v>
      </c>
      <c r="R30" s="16">
        <v>0</v>
      </c>
    </row>
    <row r="31" spans="1:18" x14ac:dyDescent="0.25">
      <c r="A31" s="11" t="s">
        <v>164</v>
      </c>
      <c r="B31" s="13">
        <v>5456</v>
      </c>
      <c r="C31" s="14">
        <f>(4537/B31*100)</f>
        <v>83.156158357771261</v>
      </c>
      <c r="D31" s="15">
        <v>919</v>
      </c>
      <c r="E31" s="14">
        <v>22.168716790000001</v>
      </c>
      <c r="F31" s="16">
        <v>1.37793151</v>
      </c>
      <c r="G31" s="14">
        <v>77.831283209999995</v>
      </c>
      <c r="H31" s="16">
        <v>1.37793151</v>
      </c>
      <c r="I31" s="14" t="s">
        <v>139</v>
      </c>
      <c r="J31" s="16" t="s">
        <v>139</v>
      </c>
      <c r="K31" s="14">
        <v>0</v>
      </c>
      <c r="L31" s="16">
        <v>0</v>
      </c>
      <c r="M31" s="14">
        <v>0</v>
      </c>
      <c r="N31" s="16">
        <v>0</v>
      </c>
      <c r="O31" s="14">
        <v>0</v>
      </c>
      <c r="P31" s="16">
        <v>0</v>
      </c>
      <c r="Q31" s="14">
        <v>0</v>
      </c>
      <c r="R31" s="16">
        <v>0</v>
      </c>
    </row>
    <row r="32" spans="1:18" x14ac:dyDescent="0.25">
      <c r="A32" s="11" t="s">
        <v>165</v>
      </c>
      <c r="B32" s="17" t="s">
        <v>154</v>
      </c>
      <c r="C32" s="17" t="s">
        <v>154</v>
      </c>
      <c r="D32" s="18" t="s">
        <v>154</v>
      </c>
      <c r="E32" s="17" t="s">
        <v>154</v>
      </c>
      <c r="F32" s="18" t="s">
        <v>154</v>
      </c>
      <c r="G32" s="17" t="s">
        <v>154</v>
      </c>
      <c r="H32" s="18" t="s">
        <v>154</v>
      </c>
      <c r="I32" s="17" t="s">
        <v>154</v>
      </c>
      <c r="J32" s="18" t="s">
        <v>154</v>
      </c>
      <c r="K32" s="17" t="s">
        <v>154</v>
      </c>
      <c r="L32" s="18" t="s">
        <v>154</v>
      </c>
      <c r="M32" s="17" t="s">
        <v>154</v>
      </c>
      <c r="N32" s="18" t="s">
        <v>154</v>
      </c>
      <c r="O32" s="17" t="s">
        <v>154</v>
      </c>
      <c r="P32" s="18" t="s">
        <v>154</v>
      </c>
      <c r="Q32" s="17" t="s">
        <v>154</v>
      </c>
      <c r="R32" s="18" t="s">
        <v>154</v>
      </c>
    </row>
    <row r="33" spans="1:18" x14ac:dyDescent="0.25">
      <c r="A33" s="11" t="s">
        <v>166</v>
      </c>
      <c r="B33" s="13">
        <v>7325</v>
      </c>
      <c r="C33" s="14">
        <f>(6183/B33*100)</f>
        <v>84.409556313993178</v>
      </c>
      <c r="D33" s="15">
        <v>1142</v>
      </c>
      <c r="E33" s="14">
        <v>21.56749005</v>
      </c>
      <c r="F33" s="16">
        <v>1.5576237500000001</v>
      </c>
      <c r="G33" s="14">
        <v>78.432509949999996</v>
      </c>
      <c r="H33" s="16">
        <v>1.5576237500000001</v>
      </c>
      <c r="I33" s="14" t="s">
        <v>139</v>
      </c>
      <c r="J33" s="16" t="s">
        <v>139</v>
      </c>
      <c r="K33" s="14">
        <v>0</v>
      </c>
      <c r="L33" s="16">
        <v>0</v>
      </c>
      <c r="M33" s="14">
        <v>0</v>
      </c>
      <c r="N33" s="16">
        <v>0</v>
      </c>
      <c r="O33" s="14">
        <v>0</v>
      </c>
      <c r="P33" s="16">
        <v>0</v>
      </c>
      <c r="Q33" s="14">
        <v>0</v>
      </c>
      <c r="R33" s="16">
        <v>0</v>
      </c>
    </row>
    <row r="34" spans="1:18" x14ac:dyDescent="0.25">
      <c r="A34" s="11" t="s">
        <v>167</v>
      </c>
      <c r="B34" s="13">
        <v>6350</v>
      </c>
      <c r="C34" s="14">
        <f>(5404/B34*100)</f>
        <v>85.102362204724415</v>
      </c>
      <c r="D34" s="15">
        <v>946</v>
      </c>
      <c r="E34" s="14">
        <v>32.00796888</v>
      </c>
      <c r="F34" s="16">
        <v>1.72261946</v>
      </c>
      <c r="G34" s="14">
        <v>67.992031119999993</v>
      </c>
      <c r="H34" s="16">
        <v>1.72261946</v>
      </c>
      <c r="I34" s="14" t="s">
        <v>139</v>
      </c>
      <c r="J34" s="16" t="s">
        <v>139</v>
      </c>
      <c r="K34" s="14">
        <v>0</v>
      </c>
      <c r="L34" s="16">
        <v>0</v>
      </c>
      <c r="M34" s="14">
        <v>0</v>
      </c>
      <c r="N34" s="16">
        <v>0</v>
      </c>
      <c r="O34" s="14">
        <v>0</v>
      </c>
      <c r="P34" s="16">
        <v>0</v>
      </c>
      <c r="Q34" s="14">
        <v>0</v>
      </c>
      <c r="R34" s="16">
        <v>0</v>
      </c>
    </row>
    <row r="35" spans="1:18" x14ac:dyDescent="0.25">
      <c r="A35" s="11" t="s">
        <v>168</v>
      </c>
      <c r="B35" s="13">
        <v>6406</v>
      </c>
      <c r="C35" s="14">
        <f>(5350/B35*100)</f>
        <v>83.515454261629714</v>
      </c>
      <c r="D35" s="15">
        <v>1056</v>
      </c>
      <c r="E35" s="14">
        <v>23.536210019999999</v>
      </c>
      <c r="F35" s="16">
        <v>1.61753222</v>
      </c>
      <c r="G35" s="14">
        <v>76.463789980000001</v>
      </c>
      <c r="H35" s="16">
        <v>1.61753222</v>
      </c>
      <c r="I35" s="14" t="s">
        <v>139</v>
      </c>
      <c r="J35" s="16" t="s">
        <v>139</v>
      </c>
      <c r="K35" s="14">
        <v>0</v>
      </c>
      <c r="L35" s="16">
        <v>0</v>
      </c>
      <c r="M35" s="14">
        <v>0</v>
      </c>
      <c r="N35" s="16">
        <v>0</v>
      </c>
      <c r="O35" s="14">
        <v>0</v>
      </c>
      <c r="P35" s="16">
        <v>0</v>
      </c>
      <c r="Q35" s="14">
        <v>0</v>
      </c>
      <c r="R35" s="16">
        <v>0</v>
      </c>
    </row>
    <row r="36" spans="1:18" x14ac:dyDescent="0.25">
      <c r="A36" s="11" t="s">
        <v>169</v>
      </c>
      <c r="B36" s="13">
        <v>6736</v>
      </c>
      <c r="C36" s="14">
        <f>(5705/B36*100)</f>
        <v>84.694180522565318</v>
      </c>
      <c r="D36" s="15">
        <v>1031</v>
      </c>
      <c r="E36" s="14">
        <v>22.87444326</v>
      </c>
      <c r="F36" s="16">
        <v>1.4824816199999999</v>
      </c>
      <c r="G36" s="14">
        <v>77.125556739999993</v>
      </c>
      <c r="H36" s="16">
        <v>1.4824816199999999</v>
      </c>
      <c r="I36" s="14" t="s">
        <v>139</v>
      </c>
      <c r="J36" s="16" t="s">
        <v>139</v>
      </c>
      <c r="K36" s="14">
        <v>0</v>
      </c>
      <c r="L36" s="16">
        <v>0</v>
      </c>
      <c r="M36" s="14">
        <v>0</v>
      </c>
      <c r="N36" s="16">
        <v>0</v>
      </c>
      <c r="O36" s="14">
        <v>0</v>
      </c>
      <c r="P36" s="16">
        <v>0</v>
      </c>
      <c r="Q36" s="14">
        <v>0</v>
      </c>
      <c r="R36" s="16">
        <v>0</v>
      </c>
    </row>
    <row r="37" spans="1:18" x14ac:dyDescent="0.25">
      <c r="A37" s="11" t="s">
        <v>170</v>
      </c>
      <c r="B37" s="13">
        <v>5458</v>
      </c>
      <c r="C37" s="14">
        <f>(4588/B37*100)</f>
        <v>84.060095272993777</v>
      </c>
      <c r="D37" s="15">
        <v>870</v>
      </c>
      <c r="E37" s="14">
        <v>19.760571349999999</v>
      </c>
      <c r="F37" s="16">
        <v>1.71439184</v>
      </c>
      <c r="G37" s="14">
        <v>80.239428649999994</v>
      </c>
      <c r="H37" s="16">
        <v>1.71439184</v>
      </c>
      <c r="I37" s="14" t="s">
        <v>139</v>
      </c>
      <c r="J37" s="16" t="s">
        <v>139</v>
      </c>
      <c r="K37" s="14">
        <v>0</v>
      </c>
      <c r="L37" s="16">
        <v>0</v>
      </c>
      <c r="M37" s="14">
        <v>0</v>
      </c>
      <c r="N37" s="16">
        <v>0</v>
      </c>
      <c r="O37" s="14">
        <v>0</v>
      </c>
      <c r="P37" s="16">
        <v>0</v>
      </c>
      <c r="Q37" s="14">
        <v>0</v>
      </c>
      <c r="R37" s="16">
        <v>0</v>
      </c>
    </row>
    <row r="38" spans="1:18" x14ac:dyDescent="0.25">
      <c r="A38" s="11" t="s">
        <v>171</v>
      </c>
      <c r="B38" s="17" t="s">
        <v>154</v>
      </c>
      <c r="C38" s="17" t="s">
        <v>154</v>
      </c>
      <c r="D38" s="18" t="s">
        <v>154</v>
      </c>
      <c r="E38" s="17" t="s">
        <v>154</v>
      </c>
      <c r="F38" s="18" t="s">
        <v>154</v>
      </c>
      <c r="G38" s="17" t="s">
        <v>154</v>
      </c>
      <c r="H38" s="18" t="s">
        <v>154</v>
      </c>
      <c r="I38" s="17" t="s">
        <v>154</v>
      </c>
      <c r="J38" s="18" t="s">
        <v>154</v>
      </c>
      <c r="K38" s="17" t="s">
        <v>154</v>
      </c>
      <c r="L38" s="18" t="s">
        <v>154</v>
      </c>
      <c r="M38" s="17" t="s">
        <v>154</v>
      </c>
      <c r="N38" s="18" t="s">
        <v>154</v>
      </c>
      <c r="O38" s="17" t="s">
        <v>154</v>
      </c>
      <c r="P38" s="18" t="s">
        <v>154</v>
      </c>
      <c r="Q38" s="17" t="s">
        <v>154</v>
      </c>
      <c r="R38" s="18" t="s">
        <v>154</v>
      </c>
    </row>
    <row r="39" spans="1:18" x14ac:dyDescent="0.25">
      <c r="A39" s="11" t="s">
        <v>172</v>
      </c>
      <c r="B39" s="13">
        <v>5895</v>
      </c>
      <c r="C39" s="14">
        <f>(4865/B39*100)</f>
        <v>82.527565733672603</v>
      </c>
      <c r="D39" s="15">
        <v>1030</v>
      </c>
      <c r="E39" s="14">
        <v>72.269849750000006</v>
      </c>
      <c r="F39" s="16">
        <v>1.7850819099999999</v>
      </c>
      <c r="G39" s="14">
        <v>27.730150250000001</v>
      </c>
      <c r="H39" s="16">
        <v>1.7850819099999999</v>
      </c>
      <c r="I39" s="14" t="s">
        <v>139</v>
      </c>
      <c r="J39" s="16" t="s">
        <v>139</v>
      </c>
      <c r="K39" s="14">
        <v>0</v>
      </c>
      <c r="L39" s="16">
        <v>0</v>
      </c>
      <c r="M39" s="14">
        <v>0</v>
      </c>
      <c r="N39" s="16">
        <v>0</v>
      </c>
      <c r="O39" s="14">
        <v>0</v>
      </c>
      <c r="P39" s="16">
        <v>0</v>
      </c>
      <c r="Q39" s="14">
        <v>0</v>
      </c>
      <c r="R39" s="16">
        <v>0</v>
      </c>
    </row>
    <row r="40" spans="1:18" x14ac:dyDescent="0.25">
      <c r="A40" s="11" t="s">
        <v>173</v>
      </c>
      <c r="B40" s="13">
        <v>14157</v>
      </c>
      <c r="C40" s="14">
        <f>(11730/B40*100)</f>
        <v>82.856537401991943</v>
      </c>
      <c r="D40" s="15">
        <v>2427</v>
      </c>
      <c r="E40" s="14">
        <v>20.41091763</v>
      </c>
      <c r="F40" s="16">
        <v>1.1184945799999999</v>
      </c>
      <c r="G40" s="14">
        <v>79.58908237</v>
      </c>
      <c r="H40" s="16">
        <v>1.1184945799999999</v>
      </c>
      <c r="I40" s="14" t="s">
        <v>139</v>
      </c>
      <c r="J40" s="16" t="s">
        <v>139</v>
      </c>
      <c r="K40" s="14">
        <v>0</v>
      </c>
      <c r="L40" s="16">
        <v>0</v>
      </c>
      <c r="M40" s="14">
        <v>0</v>
      </c>
      <c r="N40" s="16">
        <v>0</v>
      </c>
      <c r="O40" s="14">
        <v>0</v>
      </c>
      <c r="P40" s="16">
        <v>0</v>
      </c>
      <c r="Q40" s="14">
        <v>0</v>
      </c>
      <c r="R40" s="16">
        <v>0</v>
      </c>
    </row>
    <row r="41" spans="1:18" x14ac:dyDescent="0.25">
      <c r="A41" s="11" t="s">
        <v>174</v>
      </c>
      <c r="B41" s="13">
        <v>5712</v>
      </c>
      <c r="C41" s="14">
        <f>(4814/B41*100)</f>
        <v>84.278711484593842</v>
      </c>
      <c r="D41" s="15">
        <v>898</v>
      </c>
      <c r="E41" s="14">
        <v>26.79882735</v>
      </c>
      <c r="F41" s="16">
        <v>1.7969767299999999</v>
      </c>
      <c r="G41" s="14">
        <v>73.201172650000004</v>
      </c>
      <c r="H41" s="16">
        <v>1.7969767299999999</v>
      </c>
      <c r="I41" s="14" t="s">
        <v>139</v>
      </c>
      <c r="J41" s="16" t="s">
        <v>139</v>
      </c>
      <c r="K41" s="14">
        <v>0</v>
      </c>
      <c r="L41" s="16">
        <v>0</v>
      </c>
      <c r="M41" s="14">
        <v>0</v>
      </c>
      <c r="N41" s="16">
        <v>0</v>
      </c>
      <c r="O41" s="14">
        <v>0</v>
      </c>
      <c r="P41" s="16">
        <v>0</v>
      </c>
      <c r="Q41" s="14">
        <v>0</v>
      </c>
      <c r="R41" s="16">
        <v>0</v>
      </c>
    </row>
    <row r="42" spans="1:18" x14ac:dyDescent="0.25">
      <c r="A42" s="11" t="s">
        <v>175</v>
      </c>
      <c r="B42" s="13">
        <f>IF(COUNT(B7:B41) &gt; 0, AVERAGE(B7:B41), "\u2014")</f>
        <v>7266.90625</v>
      </c>
      <c r="C42" s="14">
        <f>IF(COUNT(C7:C41) &gt; 0, AVERAGE(C7:C41), "—")</f>
        <v>84.026518828473272</v>
      </c>
      <c r="D42" s="15">
        <f>IF(COUNT(D7:D41) &gt; 0, AVERAGE(D7:D41), "—")</f>
        <v>1162.5625</v>
      </c>
      <c r="E42" s="14">
        <f>IF(COUNT(E7:E41) &gt; 0, AVERAGE(E7:E41), "—")</f>
        <v>26.524591112812498</v>
      </c>
      <c r="F42" s="16">
        <f>IF(COUNT(F7:F41) &gt; 0, SQRT(SUMSQ(F7:F41)/(COUNT(F7:F41)*COUNT(F7:F41)) ), "—")</f>
        <v>0.27159356398176121</v>
      </c>
      <c r="G42" s="14">
        <f>IF(COUNT(G7:G41) &gt; 0, AVERAGE(G7:G41), "—")</f>
        <v>73.475408887187498</v>
      </c>
      <c r="H42" s="16">
        <f>IF(COUNT(H7:H41) &gt; 0, SQRT(SUMSQ(H7:H41)/(COUNT(H7:H41)*COUNT(H7:H41)) ), "—")</f>
        <v>0.27159356398176121</v>
      </c>
      <c r="I42" s="14" t="str">
        <f>IF(COUNT(I7:I41) &gt; 0, AVERAGE(I7:I41), "—")</f>
        <v>—</v>
      </c>
      <c r="J42" s="16" t="str">
        <f>IF(COUNT(J7:J41) &gt; 0, SQRT(SUMSQ(J7:J41)/(COUNT(J7:J41)*COUNT(J7:J41)) ), "—")</f>
        <v>—</v>
      </c>
      <c r="K42" s="14">
        <f>IF(COUNT(K7:K41) &gt; 0, AVERAGE(K7:K41), "—")</f>
        <v>0</v>
      </c>
      <c r="L42" s="16">
        <f>IF(COUNT(L7:L41) &gt; 0, SQRT(SUMSQ(L7:L41)/(COUNT(L7:L41)*COUNT(L7:L41)) ), "—")</f>
        <v>0</v>
      </c>
      <c r="M42" s="14">
        <f>IF(COUNT(M7:M41) &gt; 0, AVERAGE(M7:M41), "—")</f>
        <v>0</v>
      </c>
      <c r="N42" s="16">
        <f>IF(COUNT(N7:N41) &gt; 0, SQRT(SUMSQ(N7:N41)/(COUNT(N7:N41)*COUNT(N7:N41)) ), "—")</f>
        <v>0</v>
      </c>
      <c r="O42" s="14">
        <f>IF(COUNT(O7:O41) &gt; 0, AVERAGE(O7:O41), "—")</f>
        <v>0</v>
      </c>
      <c r="P42" s="16">
        <f>IF(COUNT(P7:P41) &gt; 0, SQRT(SUMSQ(P7:P41)/(COUNT(P7:P41)*COUNT(P7:P41)) ), "—")</f>
        <v>0</v>
      </c>
      <c r="Q42" s="14">
        <f>IF(COUNT(Q7:Q41) &gt; 0, AVERAGE(Q7:Q41), "—")</f>
        <v>0</v>
      </c>
      <c r="R42" s="16">
        <f>IF(COUNT(R7:R41) &gt; 0, SQRT(SUMSQ(R7:R41)/(COUNT(R7:R41)*COUNT(R7:R41)) ), "—")</f>
        <v>0</v>
      </c>
    </row>
    <row r="43" spans="1:18" x14ac:dyDescent="0.25">
      <c r="A43" s="9" t="s">
        <v>176</v>
      </c>
      <c r="B43" s="10"/>
      <c r="C43" s="10"/>
      <c r="D43" s="11"/>
      <c r="E43" s="10"/>
      <c r="F43" s="11"/>
      <c r="G43" s="10"/>
      <c r="H43" s="11"/>
      <c r="I43" s="10"/>
      <c r="J43" s="11"/>
      <c r="K43" s="10"/>
      <c r="L43" s="11"/>
      <c r="M43" s="10"/>
      <c r="N43" s="11"/>
      <c r="O43" s="10"/>
      <c r="P43" s="11"/>
      <c r="Q43" s="10"/>
      <c r="R43" s="12"/>
    </row>
    <row r="44" spans="1:18" x14ac:dyDescent="0.25">
      <c r="A44" s="11" t="s">
        <v>177</v>
      </c>
      <c r="B44" s="17" t="s">
        <v>154</v>
      </c>
      <c r="C44" s="17" t="s">
        <v>154</v>
      </c>
      <c r="D44" s="18" t="s">
        <v>154</v>
      </c>
      <c r="E44" s="17" t="s">
        <v>154</v>
      </c>
      <c r="F44" s="18" t="s">
        <v>154</v>
      </c>
      <c r="G44" s="17" t="s">
        <v>154</v>
      </c>
      <c r="H44" s="18" t="s">
        <v>154</v>
      </c>
      <c r="I44" s="17" t="s">
        <v>154</v>
      </c>
      <c r="J44" s="18" t="s">
        <v>154</v>
      </c>
      <c r="K44" s="17" t="s">
        <v>154</v>
      </c>
      <c r="L44" s="18" t="s">
        <v>154</v>
      </c>
      <c r="M44" s="17" t="s">
        <v>154</v>
      </c>
      <c r="N44" s="18" t="s">
        <v>154</v>
      </c>
      <c r="O44" s="17" t="s">
        <v>154</v>
      </c>
      <c r="P44" s="18" t="s">
        <v>154</v>
      </c>
      <c r="Q44" s="17" t="s">
        <v>154</v>
      </c>
      <c r="R44" s="18" t="s">
        <v>154</v>
      </c>
    </row>
    <row r="45" spans="1:18" x14ac:dyDescent="0.25">
      <c r="A45" s="11" t="s">
        <v>178</v>
      </c>
      <c r="B45" s="17" t="s">
        <v>154</v>
      </c>
      <c r="C45" s="17" t="s">
        <v>154</v>
      </c>
      <c r="D45" s="18" t="s">
        <v>154</v>
      </c>
      <c r="E45" s="17" t="s">
        <v>154</v>
      </c>
      <c r="F45" s="18" t="s">
        <v>154</v>
      </c>
      <c r="G45" s="17" t="s">
        <v>154</v>
      </c>
      <c r="H45" s="18" t="s">
        <v>154</v>
      </c>
      <c r="I45" s="17" t="s">
        <v>154</v>
      </c>
      <c r="J45" s="18" t="s">
        <v>154</v>
      </c>
      <c r="K45" s="17" t="s">
        <v>154</v>
      </c>
      <c r="L45" s="18" t="s">
        <v>154</v>
      </c>
      <c r="M45" s="17" t="s">
        <v>154</v>
      </c>
      <c r="N45" s="18" t="s">
        <v>154</v>
      </c>
      <c r="O45" s="17" t="s">
        <v>154</v>
      </c>
      <c r="P45" s="18" t="s">
        <v>154</v>
      </c>
      <c r="Q45" s="17" t="s">
        <v>154</v>
      </c>
      <c r="R45" s="18" t="s">
        <v>154</v>
      </c>
    </row>
    <row r="46" spans="1:18" x14ac:dyDescent="0.25">
      <c r="A46" s="11" t="s">
        <v>179</v>
      </c>
      <c r="B46" s="13">
        <v>23141</v>
      </c>
      <c r="C46" s="14">
        <f>(20644/B46*100)</f>
        <v>89.209627933105736</v>
      </c>
      <c r="D46" s="15">
        <v>2497</v>
      </c>
      <c r="E46" s="14">
        <v>49.909466180000003</v>
      </c>
      <c r="F46" s="16">
        <v>1.5074537400000001</v>
      </c>
      <c r="G46" s="14">
        <v>50.090533819999997</v>
      </c>
      <c r="H46" s="16">
        <v>1.5074537400000001</v>
      </c>
      <c r="I46" s="14" t="s">
        <v>139</v>
      </c>
      <c r="J46" s="16" t="s">
        <v>139</v>
      </c>
      <c r="K46" s="14">
        <v>0</v>
      </c>
      <c r="L46" s="16">
        <v>0</v>
      </c>
      <c r="M46" s="14">
        <v>0</v>
      </c>
      <c r="N46" s="16">
        <v>0</v>
      </c>
      <c r="O46" s="14">
        <v>0</v>
      </c>
      <c r="P46" s="16">
        <v>0</v>
      </c>
      <c r="Q46" s="14">
        <v>0</v>
      </c>
      <c r="R46" s="16">
        <v>0</v>
      </c>
    </row>
    <row r="47" spans="1:18" x14ac:dyDescent="0.25">
      <c r="A47" s="11" t="s">
        <v>180</v>
      </c>
      <c r="B47" s="13">
        <v>5928</v>
      </c>
      <c r="C47" s="14">
        <f>(5035/B47*100)</f>
        <v>84.935897435897431</v>
      </c>
      <c r="D47" s="15">
        <v>893</v>
      </c>
      <c r="E47" s="14">
        <v>42.73324204</v>
      </c>
      <c r="F47" s="16">
        <v>1.8325182099999999</v>
      </c>
      <c r="G47" s="14">
        <v>57.26675796</v>
      </c>
      <c r="H47" s="16">
        <v>1.8325182099999999</v>
      </c>
      <c r="I47" s="14" t="s">
        <v>139</v>
      </c>
      <c r="J47" s="16" t="s">
        <v>139</v>
      </c>
      <c r="K47" s="14">
        <v>0</v>
      </c>
      <c r="L47" s="16">
        <v>0</v>
      </c>
      <c r="M47" s="14">
        <v>0</v>
      </c>
      <c r="N47" s="16">
        <v>0</v>
      </c>
      <c r="O47" s="14">
        <v>0</v>
      </c>
      <c r="P47" s="16">
        <v>0</v>
      </c>
      <c r="Q47" s="14">
        <v>0</v>
      </c>
      <c r="R47" s="16">
        <v>0</v>
      </c>
    </row>
    <row r="48" spans="1:18" x14ac:dyDescent="0.25">
      <c r="A48" s="11" t="s">
        <v>181</v>
      </c>
      <c r="B48" s="13">
        <v>9841</v>
      </c>
      <c r="C48" s="14">
        <f>(8177/B48*100)</f>
        <v>83.091149273447812</v>
      </c>
      <c r="D48" s="15">
        <v>1664</v>
      </c>
      <c r="E48" s="14">
        <v>27.981922440000002</v>
      </c>
      <c r="F48" s="16">
        <v>1.85894037</v>
      </c>
      <c r="G48" s="14">
        <v>72.018077559999995</v>
      </c>
      <c r="H48" s="16">
        <v>1.85894037</v>
      </c>
      <c r="I48" s="14" t="s">
        <v>139</v>
      </c>
      <c r="J48" s="16" t="s">
        <v>139</v>
      </c>
      <c r="K48" s="14">
        <v>0</v>
      </c>
      <c r="L48" s="16">
        <v>0</v>
      </c>
      <c r="M48" s="14">
        <v>0</v>
      </c>
      <c r="N48" s="16">
        <v>0</v>
      </c>
      <c r="O48" s="14">
        <v>0</v>
      </c>
      <c r="P48" s="16">
        <v>0</v>
      </c>
      <c r="Q48" s="14">
        <v>0</v>
      </c>
      <c r="R48" s="16">
        <v>0</v>
      </c>
    </row>
    <row r="49" spans="1:18" x14ac:dyDescent="0.25">
      <c r="A49" s="11" t="s">
        <v>182</v>
      </c>
      <c r="B49" s="17" t="s">
        <v>154</v>
      </c>
      <c r="C49" s="17" t="s">
        <v>154</v>
      </c>
      <c r="D49" s="18" t="s">
        <v>154</v>
      </c>
      <c r="E49" s="17" t="s">
        <v>154</v>
      </c>
      <c r="F49" s="18" t="s">
        <v>154</v>
      </c>
      <c r="G49" s="17" t="s">
        <v>154</v>
      </c>
      <c r="H49" s="18" t="s">
        <v>154</v>
      </c>
      <c r="I49" s="17" t="s">
        <v>154</v>
      </c>
      <c r="J49" s="18" t="s">
        <v>154</v>
      </c>
      <c r="K49" s="17" t="s">
        <v>154</v>
      </c>
      <c r="L49" s="18" t="s">
        <v>154</v>
      </c>
      <c r="M49" s="17" t="s">
        <v>154</v>
      </c>
      <c r="N49" s="18" t="s">
        <v>154</v>
      </c>
      <c r="O49" s="17" t="s">
        <v>154</v>
      </c>
      <c r="P49" s="18" t="s">
        <v>154</v>
      </c>
      <c r="Q49" s="17" t="s">
        <v>154</v>
      </c>
      <c r="R49" s="18" t="s">
        <v>154</v>
      </c>
    </row>
    <row r="50" spans="1:18" x14ac:dyDescent="0.25">
      <c r="A50" s="11" t="s">
        <v>183</v>
      </c>
      <c r="B50" s="13">
        <v>11795</v>
      </c>
      <c r="C50" s="14">
        <f>(10030/B50*100)</f>
        <v>85.036032217041125</v>
      </c>
      <c r="D50" s="15">
        <v>1765</v>
      </c>
      <c r="E50" s="14">
        <v>51.862972310000004</v>
      </c>
      <c r="F50" s="16">
        <v>1.5362837</v>
      </c>
      <c r="G50" s="14">
        <v>48.137027689999996</v>
      </c>
      <c r="H50" s="16">
        <v>1.5362837</v>
      </c>
      <c r="I50" s="14" t="s">
        <v>139</v>
      </c>
      <c r="J50" s="16" t="s">
        <v>139</v>
      </c>
      <c r="K50" s="14">
        <v>0</v>
      </c>
      <c r="L50" s="16">
        <v>0</v>
      </c>
      <c r="M50" s="14">
        <v>0</v>
      </c>
      <c r="N50" s="16">
        <v>0</v>
      </c>
      <c r="O50" s="14">
        <v>0</v>
      </c>
      <c r="P50" s="16">
        <v>0</v>
      </c>
      <c r="Q50" s="14">
        <v>0</v>
      </c>
      <c r="R50" s="16">
        <v>0</v>
      </c>
    </row>
    <row r="51" spans="1:18" x14ac:dyDescent="0.25">
      <c r="A51" s="11" t="s">
        <v>184</v>
      </c>
      <c r="B51" s="13">
        <v>6866</v>
      </c>
      <c r="C51" s="14">
        <f>(5964/B51*100)</f>
        <v>86.862802213807171</v>
      </c>
      <c r="D51" s="15">
        <v>902</v>
      </c>
      <c r="E51" s="14">
        <v>35.886713149999999</v>
      </c>
      <c r="F51" s="16">
        <v>1.6044909300000001</v>
      </c>
      <c r="G51" s="14">
        <v>64.113286849999994</v>
      </c>
      <c r="H51" s="16">
        <v>1.6044909300000001</v>
      </c>
      <c r="I51" s="14" t="s">
        <v>139</v>
      </c>
      <c r="J51" s="16" t="s">
        <v>139</v>
      </c>
      <c r="K51" s="14">
        <v>0</v>
      </c>
      <c r="L51" s="16">
        <v>0</v>
      </c>
      <c r="M51" s="14">
        <v>0</v>
      </c>
      <c r="N51" s="16">
        <v>0</v>
      </c>
      <c r="O51" s="14">
        <v>0</v>
      </c>
      <c r="P51" s="16">
        <v>0</v>
      </c>
      <c r="Q51" s="14">
        <v>0</v>
      </c>
      <c r="R51" s="16">
        <v>0</v>
      </c>
    </row>
    <row r="52" spans="1:18" x14ac:dyDescent="0.25">
      <c r="A52" s="11" t="s">
        <v>185</v>
      </c>
      <c r="B52" s="13">
        <v>5809</v>
      </c>
      <c r="C52" s="14">
        <f>(4863/B52*100)</f>
        <v>83.714925116198998</v>
      </c>
      <c r="D52" s="15">
        <v>946</v>
      </c>
      <c r="E52" s="14">
        <v>30.82145805</v>
      </c>
      <c r="F52" s="16">
        <v>1.65879759</v>
      </c>
      <c r="G52" s="14">
        <v>69.178541949999996</v>
      </c>
      <c r="H52" s="16">
        <v>1.65879759</v>
      </c>
      <c r="I52" s="14" t="s">
        <v>139</v>
      </c>
      <c r="J52" s="16" t="s">
        <v>139</v>
      </c>
      <c r="K52" s="14">
        <v>0</v>
      </c>
      <c r="L52" s="16">
        <v>0</v>
      </c>
      <c r="M52" s="14">
        <v>0</v>
      </c>
      <c r="N52" s="16">
        <v>0</v>
      </c>
      <c r="O52" s="14">
        <v>0</v>
      </c>
      <c r="P52" s="16">
        <v>0</v>
      </c>
      <c r="Q52" s="14">
        <v>0</v>
      </c>
      <c r="R52" s="16">
        <v>0</v>
      </c>
    </row>
    <row r="53" spans="1:18" x14ac:dyDescent="0.25">
      <c r="A53" s="11" t="s">
        <v>186</v>
      </c>
      <c r="B53" s="13">
        <v>5571</v>
      </c>
      <c r="C53" s="14">
        <f>(4653/B53*100)</f>
        <v>83.521809369951541</v>
      </c>
      <c r="D53" s="15">
        <v>918</v>
      </c>
      <c r="E53" s="14">
        <v>44.000373089999997</v>
      </c>
      <c r="F53" s="16">
        <v>1.78875494</v>
      </c>
      <c r="G53" s="14">
        <v>55.999626910000003</v>
      </c>
      <c r="H53" s="16">
        <v>1.78875494</v>
      </c>
      <c r="I53" s="14" t="s">
        <v>139</v>
      </c>
      <c r="J53" s="16" t="s">
        <v>139</v>
      </c>
      <c r="K53" s="14">
        <v>0</v>
      </c>
      <c r="L53" s="16">
        <v>0</v>
      </c>
      <c r="M53" s="14">
        <v>0</v>
      </c>
      <c r="N53" s="16">
        <v>0</v>
      </c>
      <c r="O53" s="14">
        <v>0</v>
      </c>
      <c r="P53" s="16">
        <v>0</v>
      </c>
      <c r="Q53" s="14">
        <v>0</v>
      </c>
      <c r="R53" s="16">
        <v>0</v>
      </c>
    </row>
    <row r="54" spans="1:18" x14ac:dyDescent="0.25">
      <c r="A54" s="11" t="s">
        <v>187</v>
      </c>
      <c r="B54" s="17" t="s">
        <v>154</v>
      </c>
      <c r="C54" s="17" t="s">
        <v>154</v>
      </c>
      <c r="D54" s="18" t="s">
        <v>154</v>
      </c>
      <c r="E54" s="17" t="s">
        <v>154</v>
      </c>
      <c r="F54" s="18" t="s">
        <v>154</v>
      </c>
      <c r="G54" s="17" t="s">
        <v>154</v>
      </c>
      <c r="H54" s="18" t="s">
        <v>154</v>
      </c>
      <c r="I54" s="17" t="s">
        <v>154</v>
      </c>
      <c r="J54" s="18" t="s">
        <v>154</v>
      </c>
      <c r="K54" s="17" t="s">
        <v>154</v>
      </c>
      <c r="L54" s="18" t="s">
        <v>154</v>
      </c>
      <c r="M54" s="17" t="s">
        <v>154</v>
      </c>
      <c r="N54" s="18" t="s">
        <v>154</v>
      </c>
      <c r="O54" s="17" t="s">
        <v>154</v>
      </c>
      <c r="P54" s="18" t="s">
        <v>154</v>
      </c>
      <c r="Q54" s="17" t="s">
        <v>154</v>
      </c>
      <c r="R54" s="18" t="s">
        <v>154</v>
      </c>
    </row>
    <row r="55" spans="1:18" x14ac:dyDescent="0.25">
      <c r="A55" s="11" t="s">
        <v>188</v>
      </c>
      <c r="B55" s="17" t="s">
        <v>154</v>
      </c>
      <c r="C55" s="17" t="s">
        <v>154</v>
      </c>
      <c r="D55" s="18" t="s">
        <v>154</v>
      </c>
      <c r="E55" s="17" t="s">
        <v>154</v>
      </c>
      <c r="F55" s="18" t="s">
        <v>154</v>
      </c>
      <c r="G55" s="17" t="s">
        <v>154</v>
      </c>
      <c r="H55" s="18" t="s">
        <v>154</v>
      </c>
      <c r="I55" s="17" t="s">
        <v>154</v>
      </c>
      <c r="J55" s="18" t="s">
        <v>154</v>
      </c>
      <c r="K55" s="17" t="s">
        <v>154</v>
      </c>
      <c r="L55" s="18" t="s">
        <v>154</v>
      </c>
      <c r="M55" s="17" t="s">
        <v>154</v>
      </c>
      <c r="N55" s="18" t="s">
        <v>154</v>
      </c>
      <c r="O55" s="17" t="s">
        <v>154</v>
      </c>
      <c r="P55" s="18" t="s">
        <v>154</v>
      </c>
      <c r="Q55" s="17" t="s">
        <v>154</v>
      </c>
      <c r="R55" s="18" t="s">
        <v>154</v>
      </c>
    </row>
    <row r="56" spans="1:18" x14ac:dyDescent="0.25">
      <c r="A56" s="11" t="s">
        <v>189</v>
      </c>
      <c r="B56" s="13">
        <v>5359</v>
      </c>
      <c r="C56" s="14">
        <f>(4430/B56*100)</f>
        <v>82.664676245568202</v>
      </c>
      <c r="D56" s="15">
        <v>929</v>
      </c>
      <c r="E56" s="14">
        <v>19.974062920000001</v>
      </c>
      <c r="F56" s="16">
        <v>1.7258586600000001</v>
      </c>
      <c r="G56" s="14">
        <v>80.025937080000006</v>
      </c>
      <c r="H56" s="16">
        <v>1.7258586600000001</v>
      </c>
      <c r="I56" s="14" t="s">
        <v>139</v>
      </c>
      <c r="J56" s="16" t="s">
        <v>139</v>
      </c>
      <c r="K56" s="14">
        <v>0</v>
      </c>
      <c r="L56" s="16">
        <v>0</v>
      </c>
      <c r="M56" s="14">
        <v>0</v>
      </c>
      <c r="N56" s="16">
        <v>0</v>
      </c>
      <c r="O56" s="14">
        <v>0</v>
      </c>
      <c r="P56" s="16">
        <v>0</v>
      </c>
      <c r="Q56" s="14">
        <v>0</v>
      </c>
      <c r="R56" s="16">
        <v>0</v>
      </c>
    </row>
    <row r="57" spans="1:18" x14ac:dyDescent="0.25">
      <c r="A57" s="11" t="s">
        <v>190</v>
      </c>
      <c r="B57" s="17" t="s">
        <v>154</v>
      </c>
      <c r="C57" s="17" t="s">
        <v>154</v>
      </c>
      <c r="D57" s="18" t="s">
        <v>154</v>
      </c>
      <c r="E57" s="17" t="s">
        <v>154</v>
      </c>
      <c r="F57" s="18" t="s">
        <v>154</v>
      </c>
      <c r="G57" s="17" t="s">
        <v>154</v>
      </c>
      <c r="H57" s="18" t="s">
        <v>154</v>
      </c>
      <c r="I57" s="17" t="s">
        <v>154</v>
      </c>
      <c r="J57" s="18" t="s">
        <v>154</v>
      </c>
      <c r="K57" s="17" t="s">
        <v>154</v>
      </c>
      <c r="L57" s="18" t="s">
        <v>154</v>
      </c>
      <c r="M57" s="17" t="s">
        <v>154</v>
      </c>
      <c r="N57" s="18" t="s">
        <v>154</v>
      </c>
      <c r="O57" s="17" t="s">
        <v>154</v>
      </c>
      <c r="P57" s="18" t="s">
        <v>154</v>
      </c>
      <c r="Q57" s="17" t="s">
        <v>154</v>
      </c>
      <c r="R57" s="18" t="s">
        <v>154</v>
      </c>
    </row>
    <row r="58" spans="1:18" x14ac:dyDescent="0.25">
      <c r="A58" s="11" t="s">
        <v>191</v>
      </c>
      <c r="B58" s="17" t="s">
        <v>154</v>
      </c>
      <c r="C58" s="17" t="s">
        <v>154</v>
      </c>
      <c r="D58" s="18" t="s">
        <v>154</v>
      </c>
      <c r="E58" s="17" t="s">
        <v>154</v>
      </c>
      <c r="F58" s="18" t="s">
        <v>154</v>
      </c>
      <c r="G58" s="17" t="s">
        <v>154</v>
      </c>
      <c r="H58" s="18" t="s">
        <v>154</v>
      </c>
      <c r="I58" s="17" t="s">
        <v>154</v>
      </c>
      <c r="J58" s="18" t="s">
        <v>154</v>
      </c>
      <c r="K58" s="17" t="s">
        <v>154</v>
      </c>
      <c r="L58" s="18" t="s">
        <v>154</v>
      </c>
      <c r="M58" s="17" t="s">
        <v>154</v>
      </c>
      <c r="N58" s="18" t="s">
        <v>154</v>
      </c>
      <c r="O58" s="17" t="s">
        <v>154</v>
      </c>
      <c r="P58" s="18" t="s">
        <v>154</v>
      </c>
      <c r="Q58" s="17" t="s">
        <v>154</v>
      </c>
      <c r="R58" s="18" t="s">
        <v>154</v>
      </c>
    </row>
    <row r="59" spans="1:18" x14ac:dyDescent="0.25">
      <c r="A59" s="11" t="s">
        <v>192</v>
      </c>
      <c r="B59" s="17" t="s">
        <v>154</v>
      </c>
      <c r="C59" s="17" t="s">
        <v>154</v>
      </c>
      <c r="D59" s="18" t="s">
        <v>154</v>
      </c>
      <c r="E59" s="17" t="s">
        <v>154</v>
      </c>
      <c r="F59" s="18" t="s">
        <v>154</v>
      </c>
      <c r="G59" s="17" t="s">
        <v>154</v>
      </c>
      <c r="H59" s="18" t="s">
        <v>154</v>
      </c>
      <c r="I59" s="17" t="s">
        <v>154</v>
      </c>
      <c r="J59" s="18" t="s">
        <v>154</v>
      </c>
      <c r="K59" s="17" t="s">
        <v>154</v>
      </c>
      <c r="L59" s="18" t="s">
        <v>154</v>
      </c>
      <c r="M59" s="17" t="s">
        <v>154</v>
      </c>
      <c r="N59" s="18" t="s">
        <v>154</v>
      </c>
      <c r="O59" s="17" t="s">
        <v>154</v>
      </c>
      <c r="P59" s="18" t="s">
        <v>154</v>
      </c>
      <c r="Q59" s="17" t="s">
        <v>154</v>
      </c>
      <c r="R59" s="18" t="s">
        <v>154</v>
      </c>
    </row>
    <row r="60" spans="1:18" x14ac:dyDescent="0.25">
      <c r="A60" s="11" t="s">
        <v>193</v>
      </c>
      <c r="B60" s="17" t="s">
        <v>154</v>
      </c>
      <c r="C60" s="17" t="s">
        <v>154</v>
      </c>
      <c r="D60" s="18" t="s">
        <v>154</v>
      </c>
      <c r="E60" s="17" t="s">
        <v>154</v>
      </c>
      <c r="F60" s="18" t="s">
        <v>154</v>
      </c>
      <c r="G60" s="17" t="s">
        <v>154</v>
      </c>
      <c r="H60" s="18" t="s">
        <v>154</v>
      </c>
      <c r="I60" s="17" t="s">
        <v>154</v>
      </c>
      <c r="J60" s="18" t="s">
        <v>154</v>
      </c>
      <c r="K60" s="17" t="s">
        <v>154</v>
      </c>
      <c r="L60" s="18" t="s">
        <v>154</v>
      </c>
      <c r="M60" s="17" t="s">
        <v>154</v>
      </c>
      <c r="N60" s="18" t="s">
        <v>154</v>
      </c>
      <c r="O60" s="17" t="s">
        <v>154</v>
      </c>
      <c r="P60" s="18" t="s">
        <v>154</v>
      </c>
      <c r="Q60" s="17" t="s">
        <v>154</v>
      </c>
      <c r="R60" s="18" t="s">
        <v>154</v>
      </c>
    </row>
    <row r="61" spans="1:18" x14ac:dyDescent="0.25">
      <c r="A61" s="11" t="s">
        <v>194</v>
      </c>
      <c r="B61" s="13">
        <v>6525</v>
      </c>
      <c r="C61" s="14">
        <f>(5465/B61*100)</f>
        <v>83.754789272030649</v>
      </c>
      <c r="D61" s="15">
        <v>1060</v>
      </c>
      <c r="E61" s="14">
        <v>36.038656869999997</v>
      </c>
      <c r="F61" s="16">
        <v>1.54613428</v>
      </c>
      <c r="G61" s="14">
        <v>63.961343130000003</v>
      </c>
      <c r="H61" s="16">
        <v>1.54613428</v>
      </c>
      <c r="I61" s="14" t="s">
        <v>139</v>
      </c>
      <c r="J61" s="16" t="s">
        <v>139</v>
      </c>
      <c r="K61" s="14">
        <v>0</v>
      </c>
      <c r="L61" s="16">
        <v>0</v>
      </c>
      <c r="M61" s="14">
        <v>0</v>
      </c>
      <c r="N61" s="16">
        <v>0</v>
      </c>
      <c r="O61" s="14">
        <v>0</v>
      </c>
      <c r="P61" s="16">
        <v>0</v>
      </c>
      <c r="Q61" s="14">
        <v>0</v>
      </c>
      <c r="R61" s="16">
        <v>0</v>
      </c>
    </row>
    <row r="62" spans="1:18" x14ac:dyDescent="0.25">
      <c r="A62" s="11" t="s">
        <v>195</v>
      </c>
      <c r="B62" s="13">
        <v>4476</v>
      </c>
      <c r="C62" s="14">
        <f>(3763/B62*100)</f>
        <v>84.070598748882929</v>
      </c>
      <c r="D62" s="15">
        <v>713</v>
      </c>
      <c r="E62" s="14">
        <v>17.707418539999999</v>
      </c>
      <c r="F62" s="16">
        <v>1.4391553800000001</v>
      </c>
      <c r="G62" s="14">
        <v>82.292581459999994</v>
      </c>
      <c r="H62" s="16">
        <v>1.4391553800000001</v>
      </c>
      <c r="I62" s="14" t="s">
        <v>139</v>
      </c>
      <c r="J62" s="16" t="s">
        <v>139</v>
      </c>
      <c r="K62" s="14">
        <v>0</v>
      </c>
      <c r="L62" s="16">
        <v>0</v>
      </c>
      <c r="M62" s="14">
        <v>0</v>
      </c>
      <c r="N62" s="16">
        <v>0</v>
      </c>
      <c r="O62" s="14">
        <v>0</v>
      </c>
      <c r="P62" s="16">
        <v>0</v>
      </c>
      <c r="Q62" s="14">
        <v>0</v>
      </c>
      <c r="R62" s="16">
        <v>0</v>
      </c>
    </row>
    <row r="63" spans="1:18" x14ac:dyDescent="0.25">
      <c r="A63" s="11" t="s">
        <v>196</v>
      </c>
      <c r="B63" s="17" t="s">
        <v>154</v>
      </c>
      <c r="C63" s="17" t="s">
        <v>154</v>
      </c>
      <c r="D63" s="18" t="s">
        <v>154</v>
      </c>
      <c r="E63" s="17" t="s">
        <v>154</v>
      </c>
      <c r="F63" s="18" t="s">
        <v>154</v>
      </c>
      <c r="G63" s="17" t="s">
        <v>154</v>
      </c>
      <c r="H63" s="18" t="s">
        <v>154</v>
      </c>
      <c r="I63" s="17" t="s">
        <v>154</v>
      </c>
      <c r="J63" s="18" t="s">
        <v>154</v>
      </c>
      <c r="K63" s="17" t="s">
        <v>154</v>
      </c>
      <c r="L63" s="18" t="s">
        <v>154</v>
      </c>
      <c r="M63" s="17" t="s">
        <v>154</v>
      </c>
      <c r="N63" s="18" t="s">
        <v>154</v>
      </c>
      <c r="O63" s="17" t="s">
        <v>154</v>
      </c>
      <c r="P63" s="18" t="s">
        <v>154</v>
      </c>
      <c r="Q63" s="17" t="s">
        <v>154</v>
      </c>
      <c r="R63" s="18" t="s">
        <v>154</v>
      </c>
    </row>
    <row r="64" spans="1:18" x14ac:dyDescent="0.25">
      <c r="A64" s="11" t="s">
        <v>197</v>
      </c>
      <c r="B64" s="17" t="s">
        <v>154</v>
      </c>
      <c r="C64" s="17" t="s">
        <v>154</v>
      </c>
      <c r="D64" s="18" t="s">
        <v>154</v>
      </c>
      <c r="E64" s="17" t="s">
        <v>154</v>
      </c>
      <c r="F64" s="18" t="s">
        <v>154</v>
      </c>
      <c r="G64" s="17" t="s">
        <v>154</v>
      </c>
      <c r="H64" s="18" t="s">
        <v>154</v>
      </c>
      <c r="I64" s="17" t="s">
        <v>154</v>
      </c>
      <c r="J64" s="18" t="s">
        <v>154</v>
      </c>
      <c r="K64" s="17" t="s">
        <v>154</v>
      </c>
      <c r="L64" s="18" t="s">
        <v>154</v>
      </c>
      <c r="M64" s="17" t="s">
        <v>154</v>
      </c>
      <c r="N64" s="18" t="s">
        <v>154</v>
      </c>
      <c r="O64" s="17" t="s">
        <v>154</v>
      </c>
      <c r="P64" s="18" t="s">
        <v>154</v>
      </c>
      <c r="Q64" s="17" t="s">
        <v>154</v>
      </c>
      <c r="R64" s="18" t="s">
        <v>154</v>
      </c>
    </row>
    <row r="65" spans="1:18" x14ac:dyDescent="0.25">
      <c r="A65" s="11" t="s">
        <v>198</v>
      </c>
      <c r="B65" s="17" t="s">
        <v>154</v>
      </c>
      <c r="C65" s="17" t="s">
        <v>154</v>
      </c>
      <c r="D65" s="18" t="s">
        <v>154</v>
      </c>
      <c r="E65" s="17" t="s">
        <v>154</v>
      </c>
      <c r="F65" s="18" t="s">
        <v>154</v>
      </c>
      <c r="G65" s="17" t="s">
        <v>154</v>
      </c>
      <c r="H65" s="18" t="s">
        <v>154</v>
      </c>
      <c r="I65" s="17" t="s">
        <v>154</v>
      </c>
      <c r="J65" s="18" t="s">
        <v>154</v>
      </c>
      <c r="K65" s="17" t="s">
        <v>154</v>
      </c>
      <c r="L65" s="18" t="s">
        <v>154</v>
      </c>
      <c r="M65" s="17" t="s">
        <v>154</v>
      </c>
      <c r="N65" s="18" t="s">
        <v>154</v>
      </c>
      <c r="O65" s="17" t="s">
        <v>154</v>
      </c>
      <c r="P65" s="18" t="s">
        <v>154</v>
      </c>
      <c r="Q65" s="17" t="s">
        <v>154</v>
      </c>
      <c r="R65" s="18" t="s">
        <v>154</v>
      </c>
    </row>
    <row r="66" spans="1:18" x14ac:dyDescent="0.25">
      <c r="A66" s="11" t="s">
        <v>199</v>
      </c>
      <c r="B66" s="13">
        <v>5665</v>
      </c>
      <c r="C66" s="14">
        <f>(4776/B66*100)</f>
        <v>84.307149161518097</v>
      </c>
      <c r="D66" s="15">
        <v>889</v>
      </c>
      <c r="E66" s="14">
        <v>52.328559290000001</v>
      </c>
      <c r="F66" s="16">
        <v>1.5605252599999999</v>
      </c>
      <c r="G66" s="14">
        <v>47.671440709999999</v>
      </c>
      <c r="H66" s="16">
        <v>1.5605252599999999</v>
      </c>
      <c r="I66" s="14" t="s">
        <v>139</v>
      </c>
      <c r="J66" s="16" t="s">
        <v>139</v>
      </c>
      <c r="K66" s="14">
        <v>0</v>
      </c>
      <c r="L66" s="16">
        <v>0</v>
      </c>
      <c r="M66" s="14">
        <v>0</v>
      </c>
      <c r="N66" s="16">
        <v>0</v>
      </c>
      <c r="O66" s="14">
        <v>0</v>
      </c>
      <c r="P66" s="16">
        <v>0</v>
      </c>
      <c r="Q66" s="14">
        <v>0</v>
      </c>
      <c r="R66" s="16">
        <v>0</v>
      </c>
    </row>
    <row r="67" spans="1:18" x14ac:dyDescent="0.25">
      <c r="A67" s="11" t="s">
        <v>200</v>
      </c>
      <c r="B67" s="13">
        <v>6971</v>
      </c>
      <c r="C67" s="14">
        <f>(6110/B67*100)</f>
        <v>87.648830870750245</v>
      </c>
      <c r="D67" s="15">
        <v>861</v>
      </c>
      <c r="E67" s="14">
        <v>44.880154820000001</v>
      </c>
      <c r="F67" s="16">
        <v>1.92309375</v>
      </c>
      <c r="G67" s="14">
        <v>55.119845179999999</v>
      </c>
      <c r="H67" s="16">
        <v>1.92309375</v>
      </c>
      <c r="I67" s="14" t="s">
        <v>139</v>
      </c>
      <c r="J67" s="16" t="s">
        <v>139</v>
      </c>
      <c r="K67" s="14">
        <v>0</v>
      </c>
      <c r="L67" s="16">
        <v>0</v>
      </c>
      <c r="M67" s="14">
        <v>0</v>
      </c>
      <c r="N67" s="16">
        <v>0</v>
      </c>
      <c r="O67" s="14">
        <v>0</v>
      </c>
      <c r="P67" s="16">
        <v>0</v>
      </c>
      <c r="Q67" s="14">
        <v>0</v>
      </c>
      <c r="R67" s="16">
        <v>0</v>
      </c>
    </row>
    <row r="68" spans="1:18" x14ac:dyDescent="0.25">
      <c r="A68" s="11" t="s">
        <v>201</v>
      </c>
      <c r="B68" s="17" t="s">
        <v>154</v>
      </c>
      <c r="C68" s="17" t="s">
        <v>154</v>
      </c>
      <c r="D68" s="18" t="s">
        <v>154</v>
      </c>
      <c r="E68" s="17" t="s">
        <v>154</v>
      </c>
      <c r="F68" s="18" t="s">
        <v>154</v>
      </c>
      <c r="G68" s="17" t="s">
        <v>154</v>
      </c>
      <c r="H68" s="18" t="s">
        <v>154</v>
      </c>
      <c r="I68" s="17" t="s">
        <v>154</v>
      </c>
      <c r="J68" s="18" t="s">
        <v>154</v>
      </c>
      <c r="K68" s="17" t="s">
        <v>154</v>
      </c>
      <c r="L68" s="18" t="s">
        <v>154</v>
      </c>
      <c r="M68" s="17" t="s">
        <v>154</v>
      </c>
      <c r="N68" s="18" t="s">
        <v>154</v>
      </c>
      <c r="O68" s="17" t="s">
        <v>154</v>
      </c>
      <c r="P68" s="18" t="s">
        <v>154</v>
      </c>
      <c r="Q68" s="17" t="s">
        <v>154</v>
      </c>
      <c r="R68" s="18" t="s">
        <v>154</v>
      </c>
    </row>
    <row r="69" spans="1:18" x14ac:dyDescent="0.25">
      <c r="A69" s="11" t="s">
        <v>202</v>
      </c>
      <c r="B69" s="17" t="s">
        <v>154</v>
      </c>
      <c r="C69" s="17" t="s">
        <v>154</v>
      </c>
      <c r="D69" s="18" t="s">
        <v>154</v>
      </c>
      <c r="E69" s="17" t="s">
        <v>154</v>
      </c>
      <c r="F69" s="18" t="s">
        <v>154</v>
      </c>
      <c r="G69" s="17" t="s">
        <v>154</v>
      </c>
      <c r="H69" s="18" t="s">
        <v>154</v>
      </c>
      <c r="I69" s="17" t="s">
        <v>154</v>
      </c>
      <c r="J69" s="18" t="s">
        <v>154</v>
      </c>
      <c r="K69" s="17" t="s">
        <v>154</v>
      </c>
      <c r="L69" s="18" t="s">
        <v>154</v>
      </c>
      <c r="M69" s="17" t="s">
        <v>154</v>
      </c>
      <c r="N69" s="18" t="s">
        <v>154</v>
      </c>
      <c r="O69" s="17" t="s">
        <v>154</v>
      </c>
      <c r="P69" s="18" t="s">
        <v>154</v>
      </c>
      <c r="Q69" s="17" t="s">
        <v>154</v>
      </c>
      <c r="R69" s="18" t="s">
        <v>154</v>
      </c>
    </row>
    <row r="70" spans="1:18" x14ac:dyDescent="0.25">
      <c r="A70" s="11" t="s">
        <v>203</v>
      </c>
      <c r="B70" s="13">
        <v>6036</v>
      </c>
      <c r="C70" s="14">
        <f>(5082/B70*100)</f>
        <v>84.194831013916499</v>
      </c>
      <c r="D70" s="15">
        <v>954</v>
      </c>
      <c r="E70" s="14">
        <v>26.09560995</v>
      </c>
      <c r="F70" s="16">
        <v>1.86966901</v>
      </c>
      <c r="G70" s="14">
        <v>73.904390050000003</v>
      </c>
      <c r="H70" s="16">
        <v>1.86966901</v>
      </c>
      <c r="I70" s="14" t="s">
        <v>139</v>
      </c>
      <c r="J70" s="16" t="s">
        <v>139</v>
      </c>
      <c r="K70" s="14">
        <v>0</v>
      </c>
      <c r="L70" s="16">
        <v>0</v>
      </c>
      <c r="M70" s="14">
        <v>0</v>
      </c>
      <c r="N70" s="16">
        <v>0</v>
      </c>
      <c r="O70" s="14">
        <v>0</v>
      </c>
      <c r="P70" s="16">
        <v>0</v>
      </c>
      <c r="Q70" s="14">
        <v>0</v>
      </c>
      <c r="R70" s="16">
        <v>0</v>
      </c>
    </row>
    <row r="71" spans="1:18" x14ac:dyDescent="0.25">
      <c r="A71" s="11" t="s">
        <v>204</v>
      </c>
      <c r="B71" s="17" t="s">
        <v>154</v>
      </c>
      <c r="C71" s="17" t="s">
        <v>154</v>
      </c>
      <c r="D71" s="18" t="s">
        <v>154</v>
      </c>
      <c r="E71" s="17" t="s">
        <v>154</v>
      </c>
      <c r="F71" s="18" t="s">
        <v>154</v>
      </c>
      <c r="G71" s="17" t="s">
        <v>154</v>
      </c>
      <c r="H71" s="18" t="s">
        <v>154</v>
      </c>
      <c r="I71" s="17" t="s">
        <v>154</v>
      </c>
      <c r="J71" s="18" t="s">
        <v>154</v>
      </c>
      <c r="K71" s="17" t="s">
        <v>154</v>
      </c>
      <c r="L71" s="18" t="s">
        <v>154</v>
      </c>
      <c r="M71" s="17" t="s">
        <v>154</v>
      </c>
      <c r="N71" s="18" t="s">
        <v>154</v>
      </c>
      <c r="O71" s="17" t="s">
        <v>154</v>
      </c>
      <c r="P71" s="18" t="s">
        <v>154</v>
      </c>
      <c r="Q71" s="17" t="s">
        <v>154</v>
      </c>
      <c r="R71" s="18" t="s">
        <v>154</v>
      </c>
    </row>
    <row r="72" spans="1:18" x14ac:dyDescent="0.25">
      <c r="A72" s="11" t="s">
        <v>205</v>
      </c>
      <c r="B72" s="13">
        <v>7708</v>
      </c>
      <c r="C72" s="14">
        <f>(6398/B72*100)</f>
        <v>83.00467047223664</v>
      </c>
      <c r="D72" s="15">
        <v>1310</v>
      </c>
      <c r="E72" s="14">
        <v>17.972743919999999</v>
      </c>
      <c r="F72" s="16">
        <v>1.1883362900000001</v>
      </c>
      <c r="G72" s="14">
        <v>82.027256080000001</v>
      </c>
      <c r="H72" s="16">
        <v>1.1883362900000001</v>
      </c>
      <c r="I72" s="14" t="s">
        <v>139</v>
      </c>
      <c r="J72" s="16" t="s">
        <v>139</v>
      </c>
      <c r="K72" s="14">
        <v>0</v>
      </c>
      <c r="L72" s="16">
        <v>0</v>
      </c>
      <c r="M72" s="14">
        <v>0</v>
      </c>
      <c r="N72" s="16">
        <v>0</v>
      </c>
      <c r="O72" s="14">
        <v>0</v>
      </c>
      <c r="P72" s="16">
        <v>0</v>
      </c>
      <c r="Q72" s="14">
        <v>0</v>
      </c>
      <c r="R72" s="16">
        <v>0</v>
      </c>
    </row>
    <row r="73" spans="1:18" x14ac:dyDescent="0.25">
      <c r="A73" s="11" t="s">
        <v>206</v>
      </c>
      <c r="B73" s="13">
        <v>8249</v>
      </c>
      <c r="C73" s="14">
        <f>(7012/B73*100)</f>
        <v>85.004242938537999</v>
      </c>
      <c r="D73" s="15">
        <v>1237</v>
      </c>
      <c r="E73" s="14">
        <v>54.434069239999999</v>
      </c>
      <c r="F73" s="16">
        <v>1.9940064399999999</v>
      </c>
      <c r="G73" s="14">
        <v>45.565930760000001</v>
      </c>
      <c r="H73" s="16">
        <v>1.9940064399999999</v>
      </c>
      <c r="I73" s="14" t="s">
        <v>139</v>
      </c>
      <c r="J73" s="16" t="s">
        <v>139</v>
      </c>
      <c r="K73" s="14">
        <v>0</v>
      </c>
      <c r="L73" s="16">
        <v>0</v>
      </c>
      <c r="M73" s="14">
        <v>0</v>
      </c>
      <c r="N73" s="16">
        <v>0</v>
      </c>
      <c r="O73" s="14">
        <v>0</v>
      </c>
      <c r="P73" s="16">
        <v>0</v>
      </c>
      <c r="Q73" s="14">
        <v>0</v>
      </c>
      <c r="R73" s="16">
        <v>0</v>
      </c>
    </row>
    <row r="74" spans="1:18" x14ac:dyDescent="0.25">
      <c r="A74" s="11" t="s">
        <v>207</v>
      </c>
      <c r="B74" s="17" t="s">
        <v>154</v>
      </c>
      <c r="C74" s="17" t="s">
        <v>154</v>
      </c>
      <c r="D74" s="18" t="s">
        <v>154</v>
      </c>
      <c r="E74" s="17" t="s">
        <v>154</v>
      </c>
      <c r="F74" s="18" t="s">
        <v>154</v>
      </c>
      <c r="G74" s="17" t="s">
        <v>154</v>
      </c>
      <c r="H74" s="18" t="s">
        <v>154</v>
      </c>
      <c r="I74" s="17" t="s">
        <v>154</v>
      </c>
      <c r="J74" s="18" t="s">
        <v>154</v>
      </c>
      <c r="K74" s="17" t="s">
        <v>154</v>
      </c>
      <c r="L74" s="18" t="s">
        <v>154</v>
      </c>
      <c r="M74" s="17" t="s">
        <v>154</v>
      </c>
      <c r="N74" s="18" t="s">
        <v>154</v>
      </c>
      <c r="O74" s="17" t="s">
        <v>154</v>
      </c>
      <c r="P74" s="18" t="s">
        <v>154</v>
      </c>
      <c r="Q74" s="17" t="s">
        <v>154</v>
      </c>
      <c r="R74" s="18" t="s">
        <v>154</v>
      </c>
    </row>
    <row r="75" spans="1:18" x14ac:dyDescent="0.25">
      <c r="A75" s="11" t="s">
        <v>208</v>
      </c>
      <c r="B75" s="13">
        <v>5375</v>
      </c>
      <c r="C75" s="14">
        <f>(4627/B75*100)</f>
        <v>86.083720930232559</v>
      </c>
      <c r="D75" s="15">
        <v>748</v>
      </c>
      <c r="E75" s="14">
        <v>77.600113980000003</v>
      </c>
      <c r="F75" s="16">
        <v>1.5745605</v>
      </c>
      <c r="G75" s="14">
        <v>22.39988602</v>
      </c>
      <c r="H75" s="16">
        <v>1.5745605</v>
      </c>
      <c r="I75" s="14" t="s">
        <v>139</v>
      </c>
      <c r="J75" s="16" t="s">
        <v>139</v>
      </c>
      <c r="K75" s="14">
        <v>0</v>
      </c>
      <c r="L75" s="16">
        <v>0</v>
      </c>
      <c r="M75" s="14">
        <v>0</v>
      </c>
      <c r="N75" s="16">
        <v>0</v>
      </c>
      <c r="O75" s="14">
        <v>0</v>
      </c>
      <c r="P75" s="16">
        <v>0</v>
      </c>
      <c r="Q75" s="14">
        <v>0</v>
      </c>
      <c r="R75" s="16">
        <v>0</v>
      </c>
    </row>
    <row r="76" spans="1:18" x14ac:dyDescent="0.25">
      <c r="A76" s="11" t="s">
        <v>209</v>
      </c>
      <c r="B76" s="13">
        <v>14167</v>
      </c>
      <c r="C76" s="14">
        <f>(11765/B76*100)</f>
        <v>83.045104821063035</v>
      </c>
      <c r="D76" s="15">
        <v>2402</v>
      </c>
      <c r="E76" s="14">
        <v>47.875851529999998</v>
      </c>
      <c r="F76" s="16">
        <v>1.2716218399999999</v>
      </c>
      <c r="G76" s="14">
        <v>52.124148470000002</v>
      </c>
      <c r="H76" s="16">
        <v>1.2716218399999999</v>
      </c>
      <c r="I76" s="14" t="s">
        <v>139</v>
      </c>
      <c r="J76" s="16" t="s">
        <v>139</v>
      </c>
      <c r="K76" s="14">
        <v>0</v>
      </c>
      <c r="L76" s="16">
        <v>0</v>
      </c>
      <c r="M76" s="14">
        <v>0</v>
      </c>
      <c r="N76" s="16">
        <v>0</v>
      </c>
      <c r="O76" s="14">
        <v>0</v>
      </c>
      <c r="P76" s="16">
        <v>0</v>
      </c>
      <c r="Q76" s="14">
        <v>0</v>
      </c>
      <c r="R76" s="16">
        <v>0</v>
      </c>
    </row>
    <row r="77" spans="1:18" x14ac:dyDescent="0.25">
      <c r="A77" s="11" t="s">
        <v>210</v>
      </c>
      <c r="B77" s="13">
        <v>6062</v>
      </c>
      <c r="C77" s="14">
        <f>(5128/B77*100)</f>
        <v>84.592543714945563</v>
      </c>
      <c r="D77" s="15">
        <v>934</v>
      </c>
      <c r="E77" s="14">
        <v>39.410239050000001</v>
      </c>
      <c r="F77" s="16">
        <v>1.7668222099999999</v>
      </c>
      <c r="G77" s="14">
        <v>60.589760949999999</v>
      </c>
      <c r="H77" s="16">
        <v>1.7668222099999999</v>
      </c>
      <c r="I77" s="14" t="s">
        <v>139</v>
      </c>
      <c r="J77" s="16" t="s">
        <v>139</v>
      </c>
      <c r="K77" s="14">
        <v>0</v>
      </c>
      <c r="L77" s="16">
        <v>0</v>
      </c>
      <c r="M77" s="14">
        <v>0</v>
      </c>
      <c r="N77" s="16">
        <v>0</v>
      </c>
      <c r="O77" s="14">
        <v>0</v>
      </c>
      <c r="P77" s="16">
        <v>0</v>
      </c>
      <c r="Q77" s="14">
        <v>0</v>
      </c>
      <c r="R77" s="16">
        <v>0</v>
      </c>
    </row>
    <row r="78" spans="1:18" x14ac:dyDescent="0.25">
      <c r="A78" s="11" t="s">
        <v>211</v>
      </c>
      <c r="B78" s="17" t="s">
        <v>154</v>
      </c>
      <c r="C78" s="17" t="s">
        <v>154</v>
      </c>
      <c r="D78" s="18" t="s">
        <v>154</v>
      </c>
      <c r="E78" s="17" t="s">
        <v>154</v>
      </c>
      <c r="F78" s="18" t="s">
        <v>154</v>
      </c>
      <c r="G78" s="17" t="s">
        <v>154</v>
      </c>
      <c r="H78" s="18" t="s">
        <v>154</v>
      </c>
      <c r="I78" s="17" t="s">
        <v>154</v>
      </c>
      <c r="J78" s="18" t="s">
        <v>154</v>
      </c>
      <c r="K78" s="17" t="s">
        <v>154</v>
      </c>
      <c r="L78" s="18" t="s">
        <v>154</v>
      </c>
      <c r="M78" s="17" t="s">
        <v>154</v>
      </c>
      <c r="N78" s="18" t="s">
        <v>154</v>
      </c>
      <c r="O78" s="17" t="s">
        <v>154</v>
      </c>
      <c r="P78" s="18" t="s">
        <v>154</v>
      </c>
      <c r="Q78" s="17" t="s">
        <v>154</v>
      </c>
      <c r="R78" s="18" t="s">
        <v>154</v>
      </c>
    </row>
    <row r="79" spans="1:18" ht="24.95" customHeight="1" x14ac:dyDescent="0.25">
      <c r="A79" s="11" t="s">
        <v>212</v>
      </c>
      <c r="B79" s="17" t="s">
        <v>154</v>
      </c>
      <c r="C79" s="17" t="s">
        <v>154</v>
      </c>
      <c r="D79" s="18" t="s">
        <v>154</v>
      </c>
      <c r="E79" s="17" t="s">
        <v>154</v>
      </c>
      <c r="F79" s="18" t="s">
        <v>154</v>
      </c>
      <c r="G79" s="17" t="s">
        <v>154</v>
      </c>
      <c r="H79" s="18" t="s">
        <v>154</v>
      </c>
      <c r="I79" s="17" t="s">
        <v>154</v>
      </c>
      <c r="J79" s="18" t="s">
        <v>154</v>
      </c>
      <c r="K79" s="17" t="s">
        <v>154</v>
      </c>
      <c r="L79" s="18" t="s">
        <v>154</v>
      </c>
      <c r="M79" s="17" t="s">
        <v>154</v>
      </c>
      <c r="N79" s="18" t="s">
        <v>154</v>
      </c>
      <c r="O79" s="17" t="s">
        <v>154</v>
      </c>
      <c r="P79" s="18" t="s">
        <v>154</v>
      </c>
      <c r="Q79" s="17" t="s">
        <v>154</v>
      </c>
      <c r="R79" s="18" t="s">
        <v>154</v>
      </c>
    </row>
    <row r="80" spans="1:18" x14ac:dyDescent="0.25">
      <c r="A80" s="11" t="s">
        <v>213</v>
      </c>
      <c r="B80" s="17" t="s">
        <v>154</v>
      </c>
      <c r="C80" s="17" t="s">
        <v>154</v>
      </c>
      <c r="D80" s="18" t="s">
        <v>154</v>
      </c>
      <c r="E80" s="17" t="s">
        <v>154</v>
      </c>
      <c r="F80" s="18" t="s">
        <v>154</v>
      </c>
      <c r="G80" s="17" t="s">
        <v>154</v>
      </c>
      <c r="H80" s="18" t="s">
        <v>154</v>
      </c>
      <c r="I80" s="17" t="s">
        <v>154</v>
      </c>
      <c r="J80" s="18" t="s">
        <v>154</v>
      </c>
      <c r="K80" s="17" t="s">
        <v>154</v>
      </c>
      <c r="L80" s="18" t="s">
        <v>154</v>
      </c>
      <c r="M80" s="17" t="s">
        <v>154</v>
      </c>
      <c r="N80" s="18" t="s">
        <v>154</v>
      </c>
      <c r="O80" s="17" t="s">
        <v>154</v>
      </c>
      <c r="P80" s="18" t="s">
        <v>154</v>
      </c>
      <c r="Q80" s="17" t="s">
        <v>154</v>
      </c>
      <c r="R80" s="18" t="s">
        <v>154</v>
      </c>
    </row>
    <row r="81" spans="1:18" x14ac:dyDescent="0.25">
      <c r="A81" s="19" t="s">
        <v>214</v>
      </c>
      <c r="B81" s="13">
        <v>8861</v>
      </c>
      <c r="C81" s="14">
        <f>(7408/B81*100)</f>
        <v>83.602302223225365</v>
      </c>
      <c r="D81" s="15">
        <v>1453</v>
      </c>
      <c r="E81" s="14">
        <v>38.674738619999999</v>
      </c>
      <c r="F81" s="16">
        <v>1.86562904</v>
      </c>
      <c r="G81" s="14">
        <v>61.325261380000001</v>
      </c>
      <c r="H81" s="16">
        <v>1.86562904</v>
      </c>
      <c r="I81" s="14" t="s">
        <v>139</v>
      </c>
      <c r="J81" s="16" t="s">
        <v>139</v>
      </c>
      <c r="K81" s="14">
        <v>0</v>
      </c>
      <c r="L81" s="16">
        <v>0</v>
      </c>
      <c r="M81" s="14">
        <v>0</v>
      </c>
      <c r="N81" s="16">
        <v>0</v>
      </c>
      <c r="O81" s="14">
        <v>0</v>
      </c>
      <c r="P81" s="16">
        <v>0</v>
      </c>
      <c r="Q81" s="14">
        <v>0</v>
      </c>
      <c r="R81" s="16">
        <v>0</v>
      </c>
    </row>
    <row r="82" spans="1:18" x14ac:dyDescent="0.25">
      <c r="A82" s="20"/>
      <c r="B82" s="20" t="s">
        <v>215</v>
      </c>
      <c r="C82" s="20" t="s">
        <v>215</v>
      </c>
      <c r="D82" s="20" t="s">
        <v>215</v>
      </c>
      <c r="E82" s="20" t="s">
        <v>215</v>
      </c>
      <c r="F82" s="20" t="s">
        <v>215</v>
      </c>
      <c r="G82" s="20" t="s">
        <v>215</v>
      </c>
      <c r="H82" s="20" t="s">
        <v>215</v>
      </c>
      <c r="I82" s="20" t="s">
        <v>215</v>
      </c>
      <c r="J82" s="20" t="s">
        <v>215</v>
      </c>
      <c r="K82" s="20" t="s">
        <v>215</v>
      </c>
      <c r="L82" s="20" t="s">
        <v>215</v>
      </c>
      <c r="M82" s="20" t="s">
        <v>215</v>
      </c>
      <c r="N82" s="20" t="s">
        <v>215</v>
      </c>
      <c r="O82" s="20" t="s">
        <v>215</v>
      </c>
      <c r="P82" s="20" t="s">
        <v>215</v>
      </c>
      <c r="Q82" s="20" t="s">
        <v>215</v>
      </c>
      <c r="R82" s="20" t="s">
        <v>215</v>
      </c>
    </row>
    <row r="83" spans="1:18" x14ac:dyDescent="0.25">
      <c r="A83" s="3" t="s">
        <v>216</v>
      </c>
    </row>
    <row r="84" spans="1:18" x14ac:dyDescent="0.25">
      <c r="A84" s="22" t="s">
        <v>217</v>
      </c>
      <c r="B84" s="23"/>
      <c r="C84" s="23"/>
      <c r="D84" s="23"/>
      <c r="E84" s="23"/>
      <c r="F84" s="23"/>
      <c r="G84" s="23"/>
      <c r="H84" s="23"/>
      <c r="I84" s="23"/>
      <c r="J84" s="23"/>
      <c r="K84" s="23"/>
      <c r="L84" s="23"/>
      <c r="M84" s="23"/>
      <c r="N84" s="23"/>
      <c r="O84" s="23"/>
      <c r="P84" s="23"/>
      <c r="Q84" s="23"/>
      <c r="R84" s="23"/>
    </row>
    <row r="85" spans="1:18" x14ac:dyDescent="0.25">
      <c r="A85" s="22" t="s">
        <v>218</v>
      </c>
      <c r="B85" s="23"/>
      <c r="C85" s="23"/>
      <c r="D85" s="23"/>
      <c r="E85" s="23"/>
      <c r="F85" s="23"/>
      <c r="G85" s="23"/>
      <c r="H85" s="23"/>
      <c r="I85" s="23"/>
      <c r="J85" s="23"/>
      <c r="K85" s="23"/>
      <c r="L85" s="23"/>
      <c r="M85" s="23"/>
      <c r="N85" s="23"/>
      <c r="O85" s="23"/>
      <c r="P85" s="23"/>
      <c r="Q85" s="23"/>
      <c r="R85" s="23"/>
    </row>
    <row r="86" spans="1:18" ht="30" customHeight="1" x14ac:dyDescent="0.25">
      <c r="A86" s="22" t="s">
        <v>219</v>
      </c>
      <c r="B86" s="23"/>
      <c r="C86" s="23"/>
      <c r="D86" s="23"/>
      <c r="E86" s="23"/>
      <c r="F86" s="23"/>
      <c r="G86" s="23"/>
      <c r="H86" s="23"/>
      <c r="I86" s="23"/>
      <c r="J86" s="23"/>
      <c r="K86" s="23"/>
      <c r="L86" s="23"/>
      <c r="M86" s="23"/>
      <c r="N86" s="23"/>
      <c r="O86" s="23"/>
      <c r="P86" s="23"/>
      <c r="Q86" s="23"/>
      <c r="R86" s="23"/>
    </row>
    <row r="87" spans="1:18" ht="30" customHeight="1" x14ac:dyDescent="0.25">
      <c r="A87" s="22" t="s">
        <v>215</v>
      </c>
      <c r="B87" s="23"/>
      <c r="C87" s="23"/>
      <c r="D87" s="23"/>
      <c r="E87" s="23"/>
      <c r="F87" s="23"/>
      <c r="G87" s="23"/>
      <c r="H87" s="23"/>
      <c r="I87" s="23"/>
      <c r="J87" s="23"/>
      <c r="K87" s="23"/>
      <c r="L87" s="23"/>
      <c r="M87" s="23"/>
      <c r="N87" s="23"/>
      <c r="O87" s="23"/>
      <c r="P87" s="23"/>
      <c r="Q87" s="23"/>
      <c r="R87" s="23"/>
    </row>
    <row r="88" spans="1:18" ht="30" customHeight="1" x14ac:dyDescent="0.25">
      <c r="A88" s="22" t="s">
        <v>220</v>
      </c>
      <c r="B88" s="23"/>
      <c r="C88" s="23"/>
      <c r="D88" s="23"/>
      <c r="E88" s="23"/>
      <c r="F88" s="23"/>
      <c r="G88" s="23"/>
      <c r="H88" s="23"/>
      <c r="I88" s="23"/>
      <c r="J88" s="23"/>
      <c r="K88" s="23"/>
      <c r="L88" s="23"/>
      <c r="M88" s="23"/>
      <c r="N88" s="23"/>
      <c r="O88" s="23"/>
      <c r="P88" s="23"/>
      <c r="Q88" s="23"/>
      <c r="R88" s="23"/>
    </row>
    <row r="89" spans="1:18" ht="30" customHeight="1" x14ac:dyDescent="0.25">
      <c r="A89" s="22" t="s">
        <v>221</v>
      </c>
      <c r="B89" s="23"/>
      <c r="C89" s="23"/>
      <c r="D89" s="23"/>
      <c r="E89" s="23"/>
      <c r="F89" s="23"/>
      <c r="G89" s="23"/>
      <c r="H89" s="23"/>
      <c r="I89" s="23"/>
      <c r="J89" s="23"/>
      <c r="K89" s="23"/>
      <c r="L89" s="23"/>
      <c r="M89" s="23"/>
      <c r="N89" s="23"/>
      <c r="O89" s="23"/>
      <c r="P89" s="23"/>
      <c r="Q89" s="23"/>
      <c r="R89" s="23"/>
    </row>
    <row r="90" spans="1:18" ht="30" customHeight="1" x14ac:dyDescent="0.25">
      <c r="A90" s="22" t="s">
        <v>222</v>
      </c>
      <c r="B90" s="23"/>
      <c r="C90" s="23"/>
      <c r="D90" s="23"/>
      <c r="E90" s="23"/>
      <c r="F90" s="23"/>
      <c r="G90" s="23"/>
      <c r="H90" s="23"/>
      <c r="I90" s="23"/>
      <c r="J90" s="23"/>
      <c r="K90" s="23"/>
      <c r="L90" s="23"/>
      <c r="M90" s="23"/>
      <c r="N90" s="23"/>
      <c r="O90" s="23"/>
      <c r="P90" s="23"/>
      <c r="Q90" s="23"/>
      <c r="R90" s="23"/>
    </row>
    <row r="91" spans="1:18" ht="30" customHeight="1" x14ac:dyDescent="0.25">
      <c r="A91" s="22" t="s">
        <v>223</v>
      </c>
      <c r="B91" s="23"/>
      <c r="C91" s="23"/>
      <c r="D91" s="23"/>
      <c r="E91" s="23"/>
      <c r="F91" s="23"/>
      <c r="G91" s="23"/>
      <c r="H91" s="23"/>
      <c r="I91" s="23"/>
      <c r="J91" s="23"/>
      <c r="K91" s="23"/>
      <c r="L91" s="23"/>
      <c r="M91" s="23"/>
      <c r="N91" s="23"/>
      <c r="O91" s="23"/>
      <c r="P91" s="23"/>
      <c r="Q91" s="23"/>
      <c r="R91" s="23"/>
    </row>
    <row r="92" spans="1:18" ht="30" customHeight="1" x14ac:dyDescent="0.25">
      <c r="A92" s="22" t="s">
        <v>224</v>
      </c>
      <c r="B92" s="23"/>
      <c r="C92" s="23"/>
      <c r="D92" s="23"/>
      <c r="E92" s="23"/>
      <c r="F92" s="23"/>
      <c r="G92" s="23"/>
      <c r="H92" s="23"/>
      <c r="I92" s="23"/>
      <c r="J92" s="23"/>
      <c r="K92" s="23"/>
      <c r="L92" s="23"/>
      <c r="M92" s="23"/>
      <c r="N92" s="23"/>
      <c r="O92" s="23"/>
      <c r="P92" s="23"/>
      <c r="Q92" s="23"/>
      <c r="R92" s="23"/>
    </row>
    <row r="93" spans="1:18" ht="30" customHeight="1" x14ac:dyDescent="0.25">
      <c r="A93" s="22" t="s">
        <v>225</v>
      </c>
      <c r="B93" s="23"/>
      <c r="C93" s="23"/>
      <c r="D93" s="23"/>
      <c r="E93" s="23"/>
      <c r="F93" s="23"/>
      <c r="G93" s="23"/>
      <c r="H93" s="23"/>
      <c r="I93" s="23"/>
      <c r="J93" s="23"/>
      <c r="K93" s="23"/>
      <c r="L93" s="23"/>
      <c r="M93" s="23"/>
      <c r="N93" s="23"/>
      <c r="O93" s="23"/>
      <c r="P93" s="23"/>
      <c r="Q93" s="23"/>
      <c r="R93" s="23"/>
    </row>
    <row r="94" spans="1:18" ht="30" customHeight="1" x14ac:dyDescent="0.25">
      <c r="A94" s="22" t="s">
        <v>226</v>
      </c>
      <c r="B94" s="23"/>
      <c r="C94" s="23"/>
      <c r="D94" s="23"/>
      <c r="E94" s="23"/>
      <c r="F94" s="23"/>
      <c r="G94" s="23"/>
      <c r="H94" s="23"/>
      <c r="I94" s="23"/>
      <c r="J94" s="23"/>
      <c r="K94" s="23"/>
      <c r="L94" s="23"/>
      <c r="M94" s="23"/>
      <c r="N94" s="23"/>
      <c r="O94" s="23"/>
      <c r="P94" s="23"/>
      <c r="Q94" s="23"/>
      <c r="R94" s="23"/>
    </row>
    <row r="95" spans="1:18" ht="30" customHeight="1" x14ac:dyDescent="0.25">
      <c r="A95" s="22" t="s">
        <v>227</v>
      </c>
      <c r="B95" s="23"/>
      <c r="C95" s="23"/>
      <c r="D95" s="23"/>
      <c r="E95" s="23"/>
      <c r="F95" s="23"/>
      <c r="G95" s="23"/>
      <c r="H95" s="23"/>
      <c r="I95" s="23"/>
      <c r="J95" s="23"/>
      <c r="K95" s="23"/>
      <c r="L95" s="23"/>
      <c r="M95" s="23"/>
      <c r="N95" s="23"/>
      <c r="O95" s="23"/>
      <c r="P95" s="23"/>
      <c r="Q95" s="23"/>
      <c r="R95" s="23"/>
    </row>
    <row r="96" spans="1:18" ht="30" customHeight="1" x14ac:dyDescent="0.25">
      <c r="A96" s="22" t="s">
        <v>228</v>
      </c>
      <c r="B96" s="23"/>
      <c r="C96" s="23"/>
      <c r="D96" s="23"/>
      <c r="E96" s="23"/>
      <c r="F96" s="23"/>
      <c r="G96" s="23"/>
      <c r="H96" s="23"/>
      <c r="I96" s="23"/>
      <c r="J96" s="23"/>
      <c r="K96" s="23"/>
      <c r="L96" s="23"/>
      <c r="M96" s="23"/>
      <c r="N96" s="23"/>
      <c r="O96" s="23"/>
      <c r="P96" s="23"/>
      <c r="Q96" s="23"/>
      <c r="R96" s="23"/>
    </row>
  </sheetData>
  <mergeCells count="22">
    <mergeCell ref="O4:P4"/>
    <mergeCell ref="Q4:R4"/>
    <mergeCell ref="A1:R1"/>
    <mergeCell ref="A2:R2"/>
    <mergeCell ref="A84:R84"/>
    <mergeCell ref="E4:F4"/>
    <mergeCell ref="G4:H4"/>
    <mergeCell ref="I4:J4"/>
    <mergeCell ref="K4:L4"/>
    <mergeCell ref="M4:N4"/>
    <mergeCell ref="A85:R85"/>
    <mergeCell ref="A86:R86"/>
    <mergeCell ref="A87:R87"/>
    <mergeCell ref="A88:R88"/>
    <mergeCell ref="A89:R89"/>
    <mergeCell ref="A95:R95"/>
    <mergeCell ref="A96:R96"/>
    <mergeCell ref="A90:R90"/>
    <mergeCell ref="A91:R91"/>
    <mergeCell ref="A92:R92"/>
    <mergeCell ref="A93:R93"/>
    <mergeCell ref="A94:R94"/>
  </mergeCells>
  <pageMargins left="0.75" right="0.75" top="1" bottom="1" header="0.5" footer="0.5"/>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2"/>
  <dimension ref="A1:R96"/>
  <sheetViews>
    <sheetView zoomScale="80" workbookViewId="0">
      <pane xSplit="4" topLeftCell="E1" activePane="topRight" state="frozen"/>
      <selection sqref="A1:R1"/>
      <selection pane="topRight" sqref="A1:R1"/>
    </sheetView>
  </sheetViews>
  <sheetFormatPr defaultColWidth="11.42578125" defaultRowHeight="15" x14ac:dyDescent="0.25"/>
  <cols>
    <col min="1" max="1" width="50" customWidth="1"/>
  </cols>
  <sheetData>
    <row r="1" spans="1:18" x14ac:dyDescent="0.25">
      <c r="A1" s="26" t="s">
        <v>122</v>
      </c>
      <c r="B1" s="23"/>
      <c r="C1" s="23"/>
      <c r="D1" s="23"/>
      <c r="E1" s="23"/>
      <c r="F1" s="23"/>
      <c r="G1" s="23"/>
      <c r="H1" s="23"/>
      <c r="I1" s="23"/>
      <c r="J1" s="23"/>
      <c r="K1" s="23"/>
      <c r="L1" s="23"/>
      <c r="M1" s="23"/>
      <c r="N1" s="23"/>
      <c r="O1" s="23"/>
      <c r="P1" s="23"/>
      <c r="Q1" s="23"/>
      <c r="R1" s="23"/>
    </row>
    <row r="2" spans="1:18" x14ac:dyDescent="0.25">
      <c r="A2" s="27" t="s">
        <v>318</v>
      </c>
      <c r="B2" s="23"/>
      <c r="C2" s="23"/>
      <c r="D2" s="23"/>
      <c r="E2" s="23"/>
      <c r="F2" s="23"/>
      <c r="G2" s="23"/>
      <c r="H2" s="23"/>
      <c r="I2" s="23"/>
      <c r="J2" s="23"/>
      <c r="K2" s="23"/>
      <c r="L2" s="23"/>
      <c r="M2" s="23"/>
      <c r="N2" s="23"/>
      <c r="O2" s="23"/>
      <c r="P2" s="23"/>
      <c r="Q2" s="23"/>
      <c r="R2" s="23"/>
    </row>
    <row r="4" spans="1:18" ht="30" customHeight="1" x14ac:dyDescent="0.25">
      <c r="A4" s="4"/>
      <c r="B4" s="5" t="s">
        <v>123</v>
      </c>
      <c r="C4" s="5" t="s">
        <v>124</v>
      </c>
      <c r="D4" s="6" t="s">
        <v>123</v>
      </c>
      <c r="E4" s="24" t="s">
        <v>125</v>
      </c>
      <c r="F4" s="25"/>
      <c r="G4" s="24" t="s">
        <v>126</v>
      </c>
      <c r="H4" s="25"/>
      <c r="I4" s="24" t="s">
        <v>127</v>
      </c>
      <c r="J4" s="25"/>
      <c r="K4" s="24" t="s">
        <v>128</v>
      </c>
      <c r="L4" s="25"/>
      <c r="M4" s="24" t="s">
        <v>129</v>
      </c>
      <c r="N4" s="25"/>
      <c r="O4" s="24" t="s">
        <v>130</v>
      </c>
      <c r="P4" s="25"/>
      <c r="Q4" s="24" t="s">
        <v>131</v>
      </c>
      <c r="R4" s="25"/>
    </row>
    <row r="5" spans="1:18" x14ac:dyDescent="0.25">
      <c r="A5" s="7"/>
      <c r="B5" s="8" t="s">
        <v>132</v>
      </c>
      <c r="C5" s="8" t="s">
        <v>133</v>
      </c>
      <c r="D5" s="7" t="s">
        <v>134</v>
      </c>
      <c r="E5" s="8" t="s">
        <v>135</v>
      </c>
      <c r="F5" s="7" t="s">
        <v>136</v>
      </c>
      <c r="G5" s="8" t="s">
        <v>135</v>
      </c>
      <c r="H5" s="7" t="s">
        <v>136</v>
      </c>
      <c r="I5" s="8" t="s">
        <v>135</v>
      </c>
      <c r="J5" s="7" t="s">
        <v>136</v>
      </c>
      <c r="K5" s="8" t="s">
        <v>135</v>
      </c>
      <c r="L5" s="7" t="s">
        <v>136</v>
      </c>
      <c r="M5" s="8" t="s">
        <v>135</v>
      </c>
      <c r="N5" s="7" t="s">
        <v>136</v>
      </c>
      <c r="O5" s="8" t="s">
        <v>135</v>
      </c>
      <c r="P5" s="7" t="s">
        <v>136</v>
      </c>
      <c r="Q5" s="8" t="s">
        <v>135</v>
      </c>
      <c r="R5" s="7" t="s">
        <v>136</v>
      </c>
    </row>
    <row r="6" spans="1:18" x14ac:dyDescent="0.25">
      <c r="A6" s="9" t="s">
        <v>137</v>
      </c>
      <c r="B6" s="10"/>
      <c r="C6" s="10"/>
      <c r="D6" s="11"/>
      <c r="E6" s="10"/>
      <c r="F6" s="11"/>
      <c r="G6" s="10"/>
      <c r="H6" s="11"/>
      <c r="I6" s="10"/>
      <c r="J6" s="11"/>
      <c r="K6" s="10"/>
      <c r="L6" s="11"/>
      <c r="M6" s="10"/>
      <c r="N6" s="11"/>
      <c r="O6" s="10"/>
      <c r="P6" s="11"/>
      <c r="Q6" s="10"/>
      <c r="R6" s="12"/>
    </row>
    <row r="7" spans="1:18" x14ac:dyDescent="0.25">
      <c r="A7" s="11" t="s">
        <v>138</v>
      </c>
      <c r="B7" s="13">
        <v>14530</v>
      </c>
      <c r="C7" s="14">
        <f>(12048/B7*100)</f>
        <v>82.918100481761869</v>
      </c>
      <c r="D7" s="15">
        <v>2482</v>
      </c>
      <c r="E7" s="14">
        <v>12.50887767</v>
      </c>
      <c r="F7" s="16">
        <v>0.72759054000000001</v>
      </c>
      <c r="G7" s="14">
        <v>87.491122329999996</v>
      </c>
      <c r="H7" s="16">
        <v>0.72759054000000001</v>
      </c>
      <c r="I7" s="14" t="s">
        <v>139</v>
      </c>
      <c r="J7" s="16" t="s">
        <v>139</v>
      </c>
      <c r="K7" s="14">
        <v>0</v>
      </c>
      <c r="L7" s="16">
        <v>0</v>
      </c>
      <c r="M7" s="14">
        <v>0</v>
      </c>
      <c r="N7" s="16">
        <v>0</v>
      </c>
      <c r="O7" s="14">
        <v>0</v>
      </c>
      <c r="P7" s="16">
        <v>0</v>
      </c>
      <c r="Q7" s="14">
        <v>0</v>
      </c>
      <c r="R7" s="16">
        <v>0</v>
      </c>
    </row>
    <row r="8" spans="1:18" x14ac:dyDescent="0.25">
      <c r="A8" s="11" t="s">
        <v>140</v>
      </c>
      <c r="B8" s="13">
        <v>7007</v>
      </c>
      <c r="C8" s="14">
        <f>(5767/B8*100)</f>
        <v>82.303410874839443</v>
      </c>
      <c r="D8" s="15">
        <v>1240</v>
      </c>
      <c r="E8" s="14">
        <v>20.761215549999999</v>
      </c>
      <c r="F8" s="16">
        <v>1.28063612</v>
      </c>
      <c r="G8" s="14">
        <v>79.238784449999997</v>
      </c>
      <c r="H8" s="16">
        <v>1.28063612</v>
      </c>
      <c r="I8" s="14" t="s">
        <v>139</v>
      </c>
      <c r="J8" s="16" t="s">
        <v>139</v>
      </c>
      <c r="K8" s="14">
        <v>0</v>
      </c>
      <c r="L8" s="16">
        <v>0</v>
      </c>
      <c r="M8" s="14">
        <v>0</v>
      </c>
      <c r="N8" s="16">
        <v>0</v>
      </c>
      <c r="O8" s="14">
        <v>0</v>
      </c>
      <c r="P8" s="16">
        <v>0</v>
      </c>
      <c r="Q8" s="14">
        <v>0</v>
      </c>
      <c r="R8" s="16">
        <v>0</v>
      </c>
    </row>
    <row r="9" spans="1:18" x14ac:dyDescent="0.25">
      <c r="A9" s="11" t="s">
        <v>141</v>
      </c>
      <c r="B9" s="13">
        <v>9651</v>
      </c>
      <c r="C9" s="14">
        <f>(8033/B9*100)</f>
        <v>83.234897938037506</v>
      </c>
      <c r="D9" s="15">
        <v>1618</v>
      </c>
      <c r="E9" s="14">
        <v>14.723038730000001</v>
      </c>
      <c r="F9" s="16">
        <v>0.89303014000000003</v>
      </c>
      <c r="G9" s="14">
        <v>85.276961270000001</v>
      </c>
      <c r="H9" s="16">
        <v>0.89303014000000003</v>
      </c>
      <c r="I9" s="14" t="s">
        <v>139</v>
      </c>
      <c r="J9" s="16" t="s">
        <v>139</v>
      </c>
      <c r="K9" s="14">
        <v>0</v>
      </c>
      <c r="L9" s="16">
        <v>0</v>
      </c>
      <c r="M9" s="14">
        <v>0</v>
      </c>
      <c r="N9" s="16">
        <v>0</v>
      </c>
      <c r="O9" s="14">
        <v>0</v>
      </c>
      <c r="P9" s="16">
        <v>0</v>
      </c>
      <c r="Q9" s="14">
        <v>0</v>
      </c>
      <c r="R9" s="16">
        <v>0</v>
      </c>
    </row>
    <row r="10" spans="1:18" x14ac:dyDescent="0.25">
      <c r="A10" s="11" t="s">
        <v>142</v>
      </c>
      <c r="B10" s="13">
        <v>20058</v>
      </c>
      <c r="C10" s="14">
        <f>(16642/B10*100)</f>
        <v>82.969388772559583</v>
      </c>
      <c r="D10" s="15">
        <v>3416</v>
      </c>
      <c r="E10" s="14">
        <v>13.038135199999999</v>
      </c>
      <c r="F10" s="16">
        <v>0.91890585999999996</v>
      </c>
      <c r="G10" s="14">
        <v>86.961864800000001</v>
      </c>
      <c r="H10" s="16">
        <v>0.91890585999999996</v>
      </c>
      <c r="I10" s="14" t="s">
        <v>139</v>
      </c>
      <c r="J10" s="16" t="s">
        <v>139</v>
      </c>
      <c r="K10" s="14">
        <v>0</v>
      </c>
      <c r="L10" s="16">
        <v>0</v>
      </c>
      <c r="M10" s="14">
        <v>0</v>
      </c>
      <c r="N10" s="16">
        <v>0</v>
      </c>
      <c r="O10" s="14">
        <v>0</v>
      </c>
      <c r="P10" s="16">
        <v>0</v>
      </c>
      <c r="Q10" s="14">
        <v>0</v>
      </c>
      <c r="R10" s="16">
        <v>0</v>
      </c>
    </row>
    <row r="11" spans="1:18" x14ac:dyDescent="0.25">
      <c r="A11" s="11" t="s">
        <v>143</v>
      </c>
      <c r="B11" s="13">
        <v>7053</v>
      </c>
      <c r="C11" s="14">
        <f>(5822/B11*100)</f>
        <v>82.546434141500072</v>
      </c>
      <c r="D11" s="15">
        <v>1231</v>
      </c>
      <c r="E11" s="14">
        <v>20.575374270000001</v>
      </c>
      <c r="F11" s="16">
        <v>1.28743732</v>
      </c>
      <c r="G11" s="14">
        <v>79.424625730000002</v>
      </c>
      <c r="H11" s="16">
        <v>1.28743732</v>
      </c>
      <c r="I11" s="14" t="s">
        <v>139</v>
      </c>
      <c r="J11" s="16" t="s">
        <v>139</v>
      </c>
      <c r="K11" s="14">
        <v>0</v>
      </c>
      <c r="L11" s="16">
        <v>0</v>
      </c>
      <c r="M11" s="14">
        <v>0</v>
      </c>
      <c r="N11" s="16">
        <v>0</v>
      </c>
      <c r="O11" s="14">
        <v>0</v>
      </c>
      <c r="P11" s="16">
        <v>0</v>
      </c>
      <c r="Q11" s="14">
        <v>0</v>
      </c>
      <c r="R11" s="16">
        <v>0</v>
      </c>
    </row>
    <row r="12" spans="1:18" x14ac:dyDescent="0.25">
      <c r="A12" s="11" t="s">
        <v>144</v>
      </c>
      <c r="B12" s="13">
        <v>6894</v>
      </c>
      <c r="C12" s="14">
        <f>(5719/B12*100)</f>
        <v>82.95619379170293</v>
      </c>
      <c r="D12" s="15">
        <v>1175</v>
      </c>
      <c r="E12" s="14">
        <v>17.670045340000001</v>
      </c>
      <c r="F12" s="16">
        <v>1.1539202099999999</v>
      </c>
      <c r="G12" s="14">
        <v>82.329954659999999</v>
      </c>
      <c r="H12" s="16">
        <v>1.1539202099999999</v>
      </c>
      <c r="I12" s="14" t="s">
        <v>139</v>
      </c>
      <c r="J12" s="16" t="s">
        <v>139</v>
      </c>
      <c r="K12" s="14">
        <v>0</v>
      </c>
      <c r="L12" s="16">
        <v>0</v>
      </c>
      <c r="M12" s="14">
        <v>0</v>
      </c>
      <c r="N12" s="16">
        <v>0</v>
      </c>
      <c r="O12" s="14">
        <v>0</v>
      </c>
      <c r="P12" s="16">
        <v>0</v>
      </c>
      <c r="Q12" s="14">
        <v>0</v>
      </c>
      <c r="R12" s="16">
        <v>0</v>
      </c>
    </row>
    <row r="13" spans="1:18" x14ac:dyDescent="0.25">
      <c r="A13" s="11" t="s">
        <v>145</v>
      </c>
      <c r="B13" s="13">
        <v>7161</v>
      </c>
      <c r="C13" s="14">
        <f>(5990/B13*100)</f>
        <v>83.647535260438488</v>
      </c>
      <c r="D13" s="15">
        <v>1171</v>
      </c>
      <c r="E13" s="14">
        <v>13.43976339</v>
      </c>
      <c r="F13" s="16">
        <v>1.23717342</v>
      </c>
      <c r="G13" s="14">
        <v>86.560236610000004</v>
      </c>
      <c r="H13" s="16">
        <v>1.23717342</v>
      </c>
      <c r="I13" s="14" t="s">
        <v>139</v>
      </c>
      <c r="J13" s="16" t="s">
        <v>139</v>
      </c>
      <c r="K13" s="14">
        <v>0</v>
      </c>
      <c r="L13" s="16">
        <v>0</v>
      </c>
      <c r="M13" s="14">
        <v>0</v>
      </c>
      <c r="N13" s="16">
        <v>0</v>
      </c>
      <c r="O13" s="14">
        <v>0</v>
      </c>
      <c r="P13" s="16">
        <v>0</v>
      </c>
      <c r="Q13" s="14">
        <v>0</v>
      </c>
      <c r="R13" s="16">
        <v>0</v>
      </c>
    </row>
    <row r="14" spans="1:18" x14ac:dyDescent="0.25">
      <c r="A14" s="11" t="s">
        <v>146</v>
      </c>
      <c r="B14" s="13">
        <v>5587</v>
      </c>
      <c r="C14" s="14">
        <f>(4623/B14*100)</f>
        <v>82.745659566851614</v>
      </c>
      <c r="D14" s="15">
        <v>964</v>
      </c>
      <c r="E14" s="14">
        <v>10.23520736</v>
      </c>
      <c r="F14" s="16">
        <v>0.99558974</v>
      </c>
      <c r="G14" s="14">
        <v>89.764792639999996</v>
      </c>
      <c r="H14" s="16">
        <v>0.99558974</v>
      </c>
      <c r="I14" s="14" t="s">
        <v>139</v>
      </c>
      <c r="J14" s="16" t="s">
        <v>139</v>
      </c>
      <c r="K14" s="14">
        <v>0</v>
      </c>
      <c r="L14" s="16">
        <v>0</v>
      </c>
      <c r="M14" s="14">
        <v>0</v>
      </c>
      <c r="N14" s="16">
        <v>0</v>
      </c>
      <c r="O14" s="14">
        <v>0</v>
      </c>
      <c r="P14" s="16">
        <v>0</v>
      </c>
      <c r="Q14" s="14">
        <v>0</v>
      </c>
      <c r="R14" s="16">
        <v>0</v>
      </c>
    </row>
    <row r="15" spans="1:18" x14ac:dyDescent="0.25">
      <c r="A15" s="11" t="s">
        <v>147</v>
      </c>
      <c r="B15" s="13">
        <v>5882</v>
      </c>
      <c r="C15" s="14">
        <f>(4868/B15*100)</f>
        <v>82.760965657939479</v>
      </c>
      <c r="D15" s="15">
        <v>1014</v>
      </c>
      <c r="E15" s="14">
        <v>10.959267219999999</v>
      </c>
      <c r="F15" s="16">
        <v>0.99807341999999999</v>
      </c>
      <c r="G15" s="14">
        <v>89.040732779999999</v>
      </c>
      <c r="H15" s="16">
        <v>0.99807341999999999</v>
      </c>
      <c r="I15" s="14" t="s">
        <v>139</v>
      </c>
      <c r="J15" s="16" t="s">
        <v>139</v>
      </c>
      <c r="K15" s="14">
        <v>0</v>
      </c>
      <c r="L15" s="16">
        <v>0</v>
      </c>
      <c r="M15" s="14">
        <v>0</v>
      </c>
      <c r="N15" s="16">
        <v>0</v>
      </c>
      <c r="O15" s="14">
        <v>0</v>
      </c>
      <c r="P15" s="16">
        <v>0</v>
      </c>
      <c r="Q15" s="14">
        <v>0</v>
      </c>
      <c r="R15" s="16">
        <v>0</v>
      </c>
    </row>
    <row r="16" spans="1:18" x14ac:dyDescent="0.25">
      <c r="A16" s="11" t="s">
        <v>148</v>
      </c>
      <c r="B16" s="13">
        <v>6108</v>
      </c>
      <c r="C16" s="14">
        <f>(5075/B16*100)</f>
        <v>83.087753765553373</v>
      </c>
      <c r="D16" s="15">
        <v>1033</v>
      </c>
      <c r="E16" s="14">
        <v>18.24635717</v>
      </c>
      <c r="F16" s="16">
        <v>1.1218263100000001</v>
      </c>
      <c r="G16" s="14">
        <v>81.753642830000004</v>
      </c>
      <c r="H16" s="16">
        <v>1.1218263100000001</v>
      </c>
      <c r="I16" s="14" t="s">
        <v>139</v>
      </c>
      <c r="J16" s="16" t="s">
        <v>139</v>
      </c>
      <c r="K16" s="14">
        <v>0</v>
      </c>
      <c r="L16" s="16">
        <v>0</v>
      </c>
      <c r="M16" s="14">
        <v>0</v>
      </c>
      <c r="N16" s="16">
        <v>0</v>
      </c>
      <c r="O16" s="14">
        <v>0</v>
      </c>
      <c r="P16" s="16">
        <v>0</v>
      </c>
      <c r="Q16" s="14">
        <v>0</v>
      </c>
      <c r="R16" s="16">
        <v>0</v>
      </c>
    </row>
    <row r="17" spans="1:18" x14ac:dyDescent="0.25">
      <c r="A17" s="11" t="s">
        <v>149</v>
      </c>
      <c r="B17" s="13">
        <v>6504</v>
      </c>
      <c r="C17" s="14">
        <f>(5410/B17*100)</f>
        <v>83.179581795817953</v>
      </c>
      <c r="D17" s="15">
        <v>1094</v>
      </c>
      <c r="E17" s="14">
        <v>17.94115442</v>
      </c>
      <c r="F17" s="16">
        <v>1.1902615999999999</v>
      </c>
      <c r="G17" s="14">
        <v>82.058845579999996</v>
      </c>
      <c r="H17" s="16">
        <v>1.1902615999999999</v>
      </c>
      <c r="I17" s="14" t="s">
        <v>139</v>
      </c>
      <c r="J17" s="16" t="s">
        <v>139</v>
      </c>
      <c r="K17" s="14">
        <v>0</v>
      </c>
      <c r="L17" s="16">
        <v>0</v>
      </c>
      <c r="M17" s="14">
        <v>0</v>
      </c>
      <c r="N17" s="16">
        <v>0</v>
      </c>
      <c r="O17" s="14">
        <v>0</v>
      </c>
      <c r="P17" s="16">
        <v>0</v>
      </c>
      <c r="Q17" s="14">
        <v>0</v>
      </c>
      <c r="R17" s="16">
        <v>0</v>
      </c>
    </row>
    <row r="18" spans="1:18" x14ac:dyDescent="0.25">
      <c r="A18" s="11" t="s">
        <v>150</v>
      </c>
      <c r="B18" s="13">
        <v>5532</v>
      </c>
      <c r="C18" s="14">
        <f>(4578/B18*100)</f>
        <v>82.754880694143168</v>
      </c>
      <c r="D18" s="15">
        <v>954</v>
      </c>
      <c r="E18" s="14">
        <v>26.031942300000001</v>
      </c>
      <c r="F18" s="16">
        <v>1.5989030200000001</v>
      </c>
      <c r="G18" s="14">
        <v>73.968057700000003</v>
      </c>
      <c r="H18" s="16">
        <v>1.5989030200000001</v>
      </c>
      <c r="I18" s="14" t="s">
        <v>139</v>
      </c>
      <c r="J18" s="16" t="s">
        <v>139</v>
      </c>
      <c r="K18" s="14">
        <v>0</v>
      </c>
      <c r="L18" s="16">
        <v>0</v>
      </c>
      <c r="M18" s="14">
        <v>0</v>
      </c>
      <c r="N18" s="16">
        <v>0</v>
      </c>
      <c r="O18" s="14">
        <v>0</v>
      </c>
      <c r="P18" s="16">
        <v>0</v>
      </c>
      <c r="Q18" s="14">
        <v>0</v>
      </c>
      <c r="R18" s="16">
        <v>0</v>
      </c>
    </row>
    <row r="19" spans="1:18" x14ac:dyDescent="0.25">
      <c r="A19" s="11" t="s">
        <v>151</v>
      </c>
      <c r="B19" s="13">
        <v>5658</v>
      </c>
      <c r="C19" s="14">
        <f>(4690/B19*100)</f>
        <v>82.891481088723935</v>
      </c>
      <c r="D19" s="15">
        <v>968</v>
      </c>
      <c r="E19" s="14">
        <v>16.681018439999999</v>
      </c>
      <c r="F19" s="16">
        <v>1.4425728900000001</v>
      </c>
      <c r="G19" s="14">
        <v>83.318981559999997</v>
      </c>
      <c r="H19" s="16">
        <v>1.4425728900000001</v>
      </c>
      <c r="I19" s="14" t="s">
        <v>139</v>
      </c>
      <c r="J19" s="16" t="s">
        <v>139</v>
      </c>
      <c r="K19" s="14">
        <v>0</v>
      </c>
      <c r="L19" s="16">
        <v>0</v>
      </c>
      <c r="M19" s="14">
        <v>0</v>
      </c>
      <c r="N19" s="16">
        <v>0</v>
      </c>
      <c r="O19" s="14">
        <v>0</v>
      </c>
      <c r="P19" s="16">
        <v>0</v>
      </c>
      <c r="Q19" s="14">
        <v>0</v>
      </c>
      <c r="R19" s="16">
        <v>0</v>
      </c>
    </row>
    <row r="20" spans="1:18" x14ac:dyDescent="0.25">
      <c r="A20" s="11" t="s">
        <v>152</v>
      </c>
      <c r="B20" s="13">
        <v>3371</v>
      </c>
      <c r="C20" s="14">
        <f>(2798/B20*100)</f>
        <v>83.002076535152767</v>
      </c>
      <c r="D20" s="15">
        <v>573</v>
      </c>
      <c r="E20" s="14">
        <v>16.556445679999999</v>
      </c>
      <c r="F20" s="16">
        <v>1.35515604</v>
      </c>
      <c r="G20" s="14">
        <v>83.443554320000004</v>
      </c>
      <c r="H20" s="16">
        <v>1.35515604</v>
      </c>
      <c r="I20" s="14" t="s">
        <v>139</v>
      </c>
      <c r="J20" s="16" t="s">
        <v>139</v>
      </c>
      <c r="K20" s="14">
        <v>0</v>
      </c>
      <c r="L20" s="16">
        <v>0</v>
      </c>
      <c r="M20" s="14">
        <v>0</v>
      </c>
      <c r="N20" s="16">
        <v>0</v>
      </c>
      <c r="O20" s="14">
        <v>0</v>
      </c>
      <c r="P20" s="16">
        <v>0</v>
      </c>
      <c r="Q20" s="14">
        <v>0</v>
      </c>
      <c r="R20" s="16">
        <v>0</v>
      </c>
    </row>
    <row r="21" spans="1:18" x14ac:dyDescent="0.25">
      <c r="A21" s="11" t="s">
        <v>153</v>
      </c>
      <c r="B21" s="17" t="s">
        <v>154</v>
      </c>
      <c r="C21" s="17" t="s">
        <v>154</v>
      </c>
      <c r="D21" s="18" t="s">
        <v>154</v>
      </c>
      <c r="E21" s="17" t="s">
        <v>154</v>
      </c>
      <c r="F21" s="18" t="s">
        <v>154</v>
      </c>
      <c r="G21" s="17" t="s">
        <v>154</v>
      </c>
      <c r="H21" s="18" t="s">
        <v>154</v>
      </c>
      <c r="I21" s="17" t="s">
        <v>154</v>
      </c>
      <c r="J21" s="18" t="s">
        <v>154</v>
      </c>
      <c r="K21" s="17" t="s">
        <v>154</v>
      </c>
      <c r="L21" s="18" t="s">
        <v>154</v>
      </c>
      <c r="M21" s="17" t="s">
        <v>154</v>
      </c>
      <c r="N21" s="18" t="s">
        <v>154</v>
      </c>
      <c r="O21" s="17" t="s">
        <v>154</v>
      </c>
      <c r="P21" s="18" t="s">
        <v>154</v>
      </c>
      <c r="Q21" s="17" t="s">
        <v>154</v>
      </c>
      <c r="R21" s="18" t="s">
        <v>154</v>
      </c>
    </row>
    <row r="22" spans="1:18" x14ac:dyDescent="0.25">
      <c r="A22" s="11" t="s">
        <v>155</v>
      </c>
      <c r="B22" s="13">
        <v>6598</v>
      </c>
      <c r="C22" s="14">
        <f>(5569/B22*100)</f>
        <v>84.404364959078507</v>
      </c>
      <c r="D22" s="15">
        <v>1029</v>
      </c>
      <c r="E22" s="14">
        <v>24.470869350000001</v>
      </c>
      <c r="F22" s="16">
        <v>1.38092606</v>
      </c>
      <c r="G22" s="14">
        <v>75.529130649999999</v>
      </c>
      <c r="H22" s="16">
        <v>1.38092606</v>
      </c>
      <c r="I22" s="14" t="s">
        <v>139</v>
      </c>
      <c r="J22" s="16" t="s">
        <v>139</v>
      </c>
      <c r="K22" s="14">
        <v>0</v>
      </c>
      <c r="L22" s="16">
        <v>0</v>
      </c>
      <c r="M22" s="14">
        <v>0</v>
      </c>
      <c r="N22" s="16">
        <v>0</v>
      </c>
      <c r="O22" s="14">
        <v>0</v>
      </c>
      <c r="P22" s="16">
        <v>0</v>
      </c>
      <c r="Q22" s="14">
        <v>0</v>
      </c>
      <c r="R22" s="16">
        <v>0</v>
      </c>
    </row>
    <row r="23" spans="1:18" x14ac:dyDescent="0.25">
      <c r="A23" s="11" t="s">
        <v>156</v>
      </c>
      <c r="B23" s="13">
        <v>11583</v>
      </c>
      <c r="C23" s="14">
        <f>(9578/B23*100)</f>
        <v>82.690149356816022</v>
      </c>
      <c r="D23" s="15">
        <v>2005</v>
      </c>
      <c r="E23" s="14">
        <v>16.74019487</v>
      </c>
      <c r="F23" s="16">
        <v>1.05503481</v>
      </c>
      <c r="G23" s="14">
        <v>83.259805130000004</v>
      </c>
      <c r="H23" s="16">
        <v>1.05503481</v>
      </c>
      <c r="I23" s="14" t="s">
        <v>139</v>
      </c>
      <c r="J23" s="16" t="s">
        <v>139</v>
      </c>
      <c r="K23" s="14">
        <v>0</v>
      </c>
      <c r="L23" s="16">
        <v>0</v>
      </c>
      <c r="M23" s="14">
        <v>0</v>
      </c>
      <c r="N23" s="16">
        <v>0</v>
      </c>
      <c r="O23" s="14">
        <v>0</v>
      </c>
      <c r="P23" s="16">
        <v>0</v>
      </c>
      <c r="Q23" s="14">
        <v>0</v>
      </c>
      <c r="R23" s="16">
        <v>0</v>
      </c>
    </row>
    <row r="24" spans="1:18" x14ac:dyDescent="0.25">
      <c r="A24" s="11" t="s">
        <v>157</v>
      </c>
      <c r="B24" s="13">
        <v>6647</v>
      </c>
      <c r="C24" s="14">
        <f>(5489/B24*100)</f>
        <v>82.578606890326469</v>
      </c>
      <c r="D24" s="15">
        <v>1158</v>
      </c>
      <c r="E24" s="14">
        <v>14.44974554</v>
      </c>
      <c r="F24" s="16">
        <v>1.07271695</v>
      </c>
      <c r="G24" s="14">
        <v>85.550254460000005</v>
      </c>
      <c r="H24" s="16">
        <v>1.07271695</v>
      </c>
      <c r="I24" s="14" t="s">
        <v>139</v>
      </c>
      <c r="J24" s="16" t="s">
        <v>139</v>
      </c>
      <c r="K24" s="14">
        <v>0</v>
      </c>
      <c r="L24" s="16">
        <v>0</v>
      </c>
      <c r="M24" s="14">
        <v>0</v>
      </c>
      <c r="N24" s="16">
        <v>0</v>
      </c>
      <c r="O24" s="14">
        <v>0</v>
      </c>
      <c r="P24" s="16">
        <v>0</v>
      </c>
      <c r="Q24" s="14">
        <v>0</v>
      </c>
      <c r="R24" s="16">
        <v>0</v>
      </c>
    </row>
    <row r="25" spans="1:18" x14ac:dyDescent="0.25">
      <c r="A25" s="11" t="s">
        <v>158</v>
      </c>
      <c r="B25" s="13">
        <v>5581</v>
      </c>
      <c r="C25" s="14">
        <f>(4614/B25*100)</f>
        <v>82.673356029385417</v>
      </c>
      <c r="D25" s="15">
        <v>967</v>
      </c>
      <c r="E25" s="14">
        <v>29.146096700000001</v>
      </c>
      <c r="F25" s="16">
        <v>1.2066257600000001</v>
      </c>
      <c r="G25" s="14">
        <v>70.853903299999999</v>
      </c>
      <c r="H25" s="16">
        <v>1.2066257600000001</v>
      </c>
      <c r="I25" s="14" t="s">
        <v>139</v>
      </c>
      <c r="J25" s="16" t="s">
        <v>139</v>
      </c>
      <c r="K25" s="14">
        <v>0</v>
      </c>
      <c r="L25" s="16">
        <v>0</v>
      </c>
      <c r="M25" s="14">
        <v>0</v>
      </c>
      <c r="N25" s="16">
        <v>0</v>
      </c>
      <c r="O25" s="14">
        <v>0</v>
      </c>
      <c r="P25" s="16">
        <v>0</v>
      </c>
      <c r="Q25" s="14">
        <v>0</v>
      </c>
      <c r="R25" s="16">
        <v>0</v>
      </c>
    </row>
    <row r="26" spans="1:18" x14ac:dyDescent="0.25">
      <c r="A26" s="11" t="s">
        <v>159</v>
      </c>
      <c r="B26" s="13">
        <v>4869</v>
      </c>
      <c r="C26" s="14">
        <f>(4031/B26*100)</f>
        <v>82.789073731772433</v>
      </c>
      <c r="D26" s="15">
        <v>838</v>
      </c>
      <c r="E26" s="14">
        <v>23.29098969</v>
      </c>
      <c r="F26" s="16">
        <v>1.43785286</v>
      </c>
      <c r="G26" s="14">
        <v>76.709010309999996</v>
      </c>
      <c r="H26" s="16">
        <v>1.43785286</v>
      </c>
      <c r="I26" s="14" t="s">
        <v>139</v>
      </c>
      <c r="J26" s="16" t="s">
        <v>139</v>
      </c>
      <c r="K26" s="14">
        <v>0</v>
      </c>
      <c r="L26" s="16">
        <v>0</v>
      </c>
      <c r="M26" s="14">
        <v>0</v>
      </c>
      <c r="N26" s="16">
        <v>0</v>
      </c>
      <c r="O26" s="14">
        <v>0</v>
      </c>
      <c r="P26" s="16">
        <v>0</v>
      </c>
      <c r="Q26" s="14">
        <v>0</v>
      </c>
      <c r="R26" s="16">
        <v>0</v>
      </c>
    </row>
    <row r="27" spans="1:18" x14ac:dyDescent="0.25">
      <c r="A27" s="11" t="s">
        <v>160</v>
      </c>
      <c r="B27" s="13">
        <v>5299</v>
      </c>
      <c r="C27" s="14">
        <f>(4381/B27*100)</f>
        <v>82.675976599358364</v>
      </c>
      <c r="D27" s="15">
        <v>918</v>
      </c>
      <c r="E27" s="14">
        <v>16.806630309999999</v>
      </c>
      <c r="F27" s="16">
        <v>1.27855713</v>
      </c>
      <c r="G27" s="14">
        <v>83.193369689999997</v>
      </c>
      <c r="H27" s="16">
        <v>1.27855713</v>
      </c>
      <c r="I27" s="14" t="s">
        <v>139</v>
      </c>
      <c r="J27" s="16" t="s">
        <v>139</v>
      </c>
      <c r="K27" s="14">
        <v>0</v>
      </c>
      <c r="L27" s="16">
        <v>0</v>
      </c>
      <c r="M27" s="14">
        <v>0</v>
      </c>
      <c r="N27" s="16">
        <v>0</v>
      </c>
      <c r="O27" s="14">
        <v>0</v>
      </c>
      <c r="P27" s="16">
        <v>0</v>
      </c>
      <c r="Q27" s="14">
        <v>0</v>
      </c>
      <c r="R27" s="16">
        <v>0</v>
      </c>
    </row>
    <row r="28" spans="1:18" x14ac:dyDescent="0.25">
      <c r="A28" s="11" t="s">
        <v>161</v>
      </c>
      <c r="B28" s="13">
        <v>7568</v>
      </c>
      <c r="C28" s="14">
        <f>(6267/B28*100)</f>
        <v>82.809196617336156</v>
      </c>
      <c r="D28" s="15">
        <v>1301</v>
      </c>
      <c r="E28" s="14">
        <v>22.256362379999999</v>
      </c>
      <c r="F28" s="16">
        <v>1.21961078</v>
      </c>
      <c r="G28" s="14">
        <v>77.743637620000001</v>
      </c>
      <c r="H28" s="16">
        <v>1.21961078</v>
      </c>
      <c r="I28" s="14" t="s">
        <v>139</v>
      </c>
      <c r="J28" s="16" t="s">
        <v>139</v>
      </c>
      <c r="K28" s="14">
        <v>0</v>
      </c>
      <c r="L28" s="16">
        <v>0</v>
      </c>
      <c r="M28" s="14">
        <v>0</v>
      </c>
      <c r="N28" s="16">
        <v>0</v>
      </c>
      <c r="O28" s="14">
        <v>0</v>
      </c>
      <c r="P28" s="16">
        <v>0</v>
      </c>
      <c r="Q28" s="14">
        <v>0</v>
      </c>
      <c r="R28" s="16">
        <v>0</v>
      </c>
    </row>
    <row r="29" spans="1:18" x14ac:dyDescent="0.25">
      <c r="A29" s="11" t="s">
        <v>162</v>
      </c>
      <c r="B29" s="13">
        <v>5385</v>
      </c>
      <c r="C29" s="14">
        <f>(4499/B29*100)</f>
        <v>83.546889507892303</v>
      </c>
      <c r="D29" s="15">
        <v>886</v>
      </c>
      <c r="E29" s="14">
        <v>17.34998783</v>
      </c>
      <c r="F29" s="16">
        <v>1.24632264</v>
      </c>
      <c r="G29" s="14">
        <v>82.650012169999997</v>
      </c>
      <c r="H29" s="16">
        <v>1.24632264</v>
      </c>
      <c r="I29" s="14" t="s">
        <v>139</v>
      </c>
      <c r="J29" s="16" t="s">
        <v>139</v>
      </c>
      <c r="K29" s="14">
        <v>0</v>
      </c>
      <c r="L29" s="16">
        <v>0</v>
      </c>
      <c r="M29" s="14">
        <v>0</v>
      </c>
      <c r="N29" s="16">
        <v>0</v>
      </c>
      <c r="O29" s="14">
        <v>0</v>
      </c>
      <c r="P29" s="16">
        <v>0</v>
      </c>
      <c r="Q29" s="14">
        <v>0</v>
      </c>
      <c r="R29" s="16">
        <v>0</v>
      </c>
    </row>
    <row r="30" spans="1:18" x14ac:dyDescent="0.25">
      <c r="A30" s="11" t="s">
        <v>163</v>
      </c>
      <c r="B30" s="13">
        <v>4520</v>
      </c>
      <c r="C30" s="14">
        <f>(3777/B30*100)</f>
        <v>83.561946902654867</v>
      </c>
      <c r="D30" s="15">
        <v>743</v>
      </c>
      <c r="E30" s="14">
        <v>12.29010439</v>
      </c>
      <c r="F30" s="16">
        <v>1.25785988</v>
      </c>
      <c r="G30" s="14">
        <v>87.709895610000004</v>
      </c>
      <c r="H30" s="16">
        <v>1.25785988</v>
      </c>
      <c r="I30" s="14" t="s">
        <v>139</v>
      </c>
      <c r="J30" s="16" t="s">
        <v>139</v>
      </c>
      <c r="K30" s="14">
        <v>0</v>
      </c>
      <c r="L30" s="16">
        <v>0</v>
      </c>
      <c r="M30" s="14">
        <v>0</v>
      </c>
      <c r="N30" s="16">
        <v>0</v>
      </c>
      <c r="O30" s="14">
        <v>0</v>
      </c>
      <c r="P30" s="16">
        <v>0</v>
      </c>
      <c r="Q30" s="14">
        <v>0</v>
      </c>
      <c r="R30" s="16">
        <v>0</v>
      </c>
    </row>
    <row r="31" spans="1:18" x14ac:dyDescent="0.25">
      <c r="A31" s="11" t="s">
        <v>164</v>
      </c>
      <c r="B31" s="13">
        <v>5456</v>
      </c>
      <c r="C31" s="14">
        <f>(4533/B31*100)</f>
        <v>83.082844574780054</v>
      </c>
      <c r="D31" s="15">
        <v>923</v>
      </c>
      <c r="E31" s="14">
        <v>15.781342690000001</v>
      </c>
      <c r="F31" s="16">
        <v>1.3559274100000001</v>
      </c>
      <c r="G31" s="14">
        <v>84.218657309999998</v>
      </c>
      <c r="H31" s="16">
        <v>1.3559274100000001</v>
      </c>
      <c r="I31" s="14" t="s">
        <v>139</v>
      </c>
      <c r="J31" s="16" t="s">
        <v>139</v>
      </c>
      <c r="K31" s="14">
        <v>0</v>
      </c>
      <c r="L31" s="16">
        <v>0</v>
      </c>
      <c r="M31" s="14">
        <v>0</v>
      </c>
      <c r="N31" s="16">
        <v>0</v>
      </c>
      <c r="O31" s="14">
        <v>0</v>
      </c>
      <c r="P31" s="16">
        <v>0</v>
      </c>
      <c r="Q31" s="14">
        <v>0</v>
      </c>
      <c r="R31" s="16">
        <v>0</v>
      </c>
    </row>
    <row r="32" spans="1:18" x14ac:dyDescent="0.25">
      <c r="A32" s="11" t="s">
        <v>165</v>
      </c>
      <c r="B32" s="17" t="s">
        <v>154</v>
      </c>
      <c r="C32" s="17" t="s">
        <v>154</v>
      </c>
      <c r="D32" s="18" t="s">
        <v>154</v>
      </c>
      <c r="E32" s="17" t="s">
        <v>154</v>
      </c>
      <c r="F32" s="18" t="s">
        <v>154</v>
      </c>
      <c r="G32" s="17" t="s">
        <v>154</v>
      </c>
      <c r="H32" s="18" t="s">
        <v>154</v>
      </c>
      <c r="I32" s="17" t="s">
        <v>154</v>
      </c>
      <c r="J32" s="18" t="s">
        <v>154</v>
      </c>
      <c r="K32" s="17" t="s">
        <v>154</v>
      </c>
      <c r="L32" s="18" t="s">
        <v>154</v>
      </c>
      <c r="M32" s="17" t="s">
        <v>154</v>
      </c>
      <c r="N32" s="18" t="s">
        <v>154</v>
      </c>
      <c r="O32" s="17" t="s">
        <v>154</v>
      </c>
      <c r="P32" s="18" t="s">
        <v>154</v>
      </c>
      <c r="Q32" s="17" t="s">
        <v>154</v>
      </c>
      <c r="R32" s="18" t="s">
        <v>154</v>
      </c>
    </row>
    <row r="33" spans="1:18" x14ac:dyDescent="0.25">
      <c r="A33" s="11" t="s">
        <v>166</v>
      </c>
      <c r="B33" s="13">
        <v>7325</v>
      </c>
      <c r="C33" s="14">
        <f>(6079/B33*100)</f>
        <v>82.989761092150175</v>
      </c>
      <c r="D33" s="15">
        <v>1246</v>
      </c>
      <c r="E33" s="14">
        <v>16.745119410000001</v>
      </c>
      <c r="F33" s="16">
        <v>1.3529031600000001</v>
      </c>
      <c r="G33" s="14">
        <v>83.254880589999999</v>
      </c>
      <c r="H33" s="16">
        <v>1.3529031600000001</v>
      </c>
      <c r="I33" s="14" t="s">
        <v>139</v>
      </c>
      <c r="J33" s="16" t="s">
        <v>139</v>
      </c>
      <c r="K33" s="14">
        <v>0</v>
      </c>
      <c r="L33" s="16">
        <v>0</v>
      </c>
      <c r="M33" s="14">
        <v>0</v>
      </c>
      <c r="N33" s="16">
        <v>0</v>
      </c>
      <c r="O33" s="14">
        <v>0</v>
      </c>
      <c r="P33" s="16">
        <v>0</v>
      </c>
      <c r="Q33" s="14">
        <v>0</v>
      </c>
      <c r="R33" s="16">
        <v>0</v>
      </c>
    </row>
    <row r="34" spans="1:18" x14ac:dyDescent="0.25">
      <c r="A34" s="11" t="s">
        <v>167</v>
      </c>
      <c r="B34" s="13">
        <v>6350</v>
      </c>
      <c r="C34" s="14">
        <f>(5292/B34*100)</f>
        <v>83.338582677165348</v>
      </c>
      <c r="D34" s="15">
        <v>1058</v>
      </c>
      <c r="E34" s="14">
        <v>24.299582529999999</v>
      </c>
      <c r="F34" s="16">
        <v>1.63457944</v>
      </c>
      <c r="G34" s="14">
        <v>75.700417470000005</v>
      </c>
      <c r="H34" s="16">
        <v>1.63457944</v>
      </c>
      <c r="I34" s="14" t="s">
        <v>139</v>
      </c>
      <c r="J34" s="16" t="s">
        <v>139</v>
      </c>
      <c r="K34" s="14">
        <v>0</v>
      </c>
      <c r="L34" s="16">
        <v>0</v>
      </c>
      <c r="M34" s="14">
        <v>0</v>
      </c>
      <c r="N34" s="16">
        <v>0</v>
      </c>
      <c r="O34" s="14">
        <v>0</v>
      </c>
      <c r="P34" s="16">
        <v>0</v>
      </c>
      <c r="Q34" s="14">
        <v>0</v>
      </c>
      <c r="R34" s="16">
        <v>0</v>
      </c>
    </row>
    <row r="35" spans="1:18" x14ac:dyDescent="0.25">
      <c r="A35" s="11" t="s">
        <v>168</v>
      </c>
      <c r="B35" s="13">
        <v>6406</v>
      </c>
      <c r="C35" s="14">
        <f>(5349/B35*100)</f>
        <v>83.499843896347173</v>
      </c>
      <c r="D35" s="15">
        <v>1057</v>
      </c>
      <c r="E35" s="14">
        <v>18.58392474</v>
      </c>
      <c r="F35" s="16">
        <v>1.44099573</v>
      </c>
      <c r="G35" s="14">
        <v>81.41607526</v>
      </c>
      <c r="H35" s="16">
        <v>1.44099573</v>
      </c>
      <c r="I35" s="14" t="s">
        <v>139</v>
      </c>
      <c r="J35" s="16" t="s">
        <v>139</v>
      </c>
      <c r="K35" s="14">
        <v>0</v>
      </c>
      <c r="L35" s="16">
        <v>0</v>
      </c>
      <c r="M35" s="14">
        <v>0</v>
      </c>
      <c r="N35" s="16">
        <v>0</v>
      </c>
      <c r="O35" s="14">
        <v>0</v>
      </c>
      <c r="P35" s="16">
        <v>0</v>
      </c>
      <c r="Q35" s="14">
        <v>0</v>
      </c>
      <c r="R35" s="16">
        <v>0</v>
      </c>
    </row>
    <row r="36" spans="1:18" x14ac:dyDescent="0.25">
      <c r="A36" s="11" t="s">
        <v>169</v>
      </c>
      <c r="B36" s="13">
        <v>6736</v>
      </c>
      <c r="C36" s="14">
        <f>(5576/B36*100)</f>
        <v>82.779097387173394</v>
      </c>
      <c r="D36" s="15">
        <v>1160</v>
      </c>
      <c r="E36" s="14">
        <v>16.608906640000001</v>
      </c>
      <c r="F36" s="16">
        <v>1.2147630599999999</v>
      </c>
      <c r="G36" s="14">
        <v>83.391093359999999</v>
      </c>
      <c r="H36" s="16">
        <v>1.2147630599999999</v>
      </c>
      <c r="I36" s="14" t="s">
        <v>139</v>
      </c>
      <c r="J36" s="16" t="s">
        <v>139</v>
      </c>
      <c r="K36" s="14">
        <v>0</v>
      </c>
      <c r="L36" s="16">
        <v>0</v>
      </c>
      <c r="M36" s="14">
        <v>0</v>
      </c>
      <c r="N36" s="16">
        <v>0</v>
      </c>
      <c r="O36" s="14">
        <v>0</v>
      </c>
      <c r="P36" s="16">
        <v>0</v>
      </c>
      <c r="Q36" s="14">
        <v>0</v>
      </c>
      <c r="R36" s="16">
        <v>0</v>
      </c>
    </row>
    <row r="37" spans="1:18" x14ac:dyDescent="0.25">
      <c r="A37" s="11" t="s">
        <v>170</v>
      </c>
      <c r="B37" s="13">
        <v>5458</v>
      </c>
      <c r="C37" s="14">
        <f>(4538/B37*100)</f>
        <v>83.144008794430192</v>
      </c>
      <c r="D37" s="15">
        <v>920</v>
      </c>
      <c r="E37" s="14">
        <v>11.549447049999999</v>
      </c>
      <c r="F37" s="16">
        <v>1.20021428</v>
      </c>
      <c r="G37" s="14">
        <v>88.450552950000002</v>
      </c>
      <c r="H37" s="16">
        <v>1.20021428</v>
      </c>
      <c r="I37" s="14" t="s">
        <v>139</v>
      </c>
      <c r="J37" s="16" t="s">
        <v>139</v>
      </c>
      <c r="K37" s="14">
        <v>0</v>
      </c>
      <c r="L37" s="16">
        <v>0</v>
      </c>
      <c r="M37" s="14">
        <v>0</v>
      </c>
      <c r="N37" s="16">
        <v>0</v>
      </c>
      <c r="O37" s="14">
        <v>0</v>
      </c>
      <c r="P37" s="16">
        <v>0</v>
      </c>
      <c r="Q37" s="14">
        <v>0</v>
      </c>
      <c r="R37" s="16">
        <v>0</v>
      </c>
    </row>
    <row r="38" spans="1:18" x14ac:dyDescent="0.25">
      <c r="A38" s="11" t="s">
        <v>171</v>
      </c>
      <c r="B38" s="17" t="s">
        <v>154</v>
      </c>
      <c r="C38" s="17" t="s">
        <v>154</v>
      </c>
      <c r="D38" s="18" t="s">
        <v>154</v>
      </c>
      <c r="E38" s="17" t="s">
        <v>154</v>
      </c>
      <c r="F38" s="18" t="s">
        <v>154</v>
      </c>
      <c r="G38" s="17" t="s">
        <v>154</v>
      </c>
      <c r="H38" s="18" t="s">
        <v>154</v>
      </c>
      <c r="I38" s="17" t="s">
        <v>154</v>
      </c>
      <c r="J38" s="18" t="s">
        <v>154</v>
      </c>
      <c r="K38" s="17" t="s">
        <v>154</v>
      </c>
      <c r="L38" s="18" t="s">
        <v>154</v>
      </c>
      <c r="M38" s="17" t="s">
        <v>154</v>
      </c>
      <c r="N38" s="18" t="s">
        <v>154</v>
      </c>
      <c r="O38" s="17" t="s">
        <v>154</v>
      </c>
      <c r="P38" s="18" t="s">
        <v>154</v>
      </c>
      <c r="Q38" s="17" t="s">
        <v>154</v>
      </c>
      <c r="R38" s="18" t="s">
        <v>154</v>
      </c>
    </row>
    <row r="39" spans="1:18" x14ac:dyDescent="0.25">
      <c r="A39" s="11" t="s">
        <v>172</v>
      </c>
      <c r="B39" s="13">
        <v>5895</v>
      </c>
      <c r="C39" s="14">
        <f>(4863/B39*100)</f>
        <v>82.493638676844782</v>
      </c>
      <c r="D39" s="15">
        <v>1032</v>
      </c>
      <c r="E39" s="14">
        <v>29.58370451</v>
      </c>
      <c r="F39" s="16">
        <v>1.83778419</v>
      </c>
      <c r="G39" s="14">
        <v>70.416295489999996</v>
      </c>
      <c r="H39" s="16">
        <v>1.83778419</v>
      </c>
      <c r="I39" s="14" t="s">
        <v>139</v>
      </c>
      <c r="J39" s="16" t="s">
        <v>139</v>
      </c>
      <c r="K39" s="14">
        <v>0</v>
      </c>
      <c r="L39" s="16">
        <v>0</v>
      </c>
      <c r="M39" s="14">
        <v>0</v>
      </c>
      <c r="N39" s="16">
        <v>0</v>
      </c>
      <c r="O39" s="14">
        <v>0</v>
      </c>
      <c r="P39" s="16">
        <v>0</v>
      </c>
      <c r="Q39" s="14">
        <v>0</v>
      </c>
      <c r="R39" s="16">
        <v>0</v>
      </c>
    </row>
    <row r="40" spans="1:18" x14ac:dyDescent="0.25">
      <c r="A40" s="11" t="s">
        <v>173</v>
      </c>
      <c r="B40" s="13">
        <v>14157</v>
      </c>
      <c r="C40" s="14">
        <f>(11728/B40*100)</f>
        <v>82.842410115137383</v>
      </c>
      <c r="D40" s="15">
        <v>2429</v>
      </c>
      <c r="E40" s="14">
        <v>16.971379240000001</v>
      </c>
      <c r="F40" s="16">
        <v>1.43211461</v>
      </c>
      <c r="G40" s="14">
        <v>83.028620759999995</v>
      </c>
      <c r="H40" s="16">
        <v>1.43211461</v>
      </c>
      <c r="I40" s="14" t="s">
        <v>139</v>
      </c>
      <c r="J40" s="16" t="s">
        <v>139</v>
      </c>
      <c r="K40" s="14">
        <v>0</v>
      </c>
      <c r="L40" s="16">
        <v>0</v>
      </c>
      <c r="M40" s="14">
        <v>0</v>
      </c>
      <c r="N40" s="16">
        <v>0</v>
      </c>
      <c r="O40" s="14">
        <v>0</v>
      </c>
      <c r="P40" s="16">
        <v>0</v>
      </c>
      <c r="Q40" s="14">
        <v>0</v>
      </c>
      <c r="R40" s="16">
        <v>0</v>
      </c>
    </row>
    <row r="41" spans="1:18" x14ac:dyDescent="0.25">
      <c r="A41" s="11" t="s">
        <v>174</v>
      </c>
      <c r="B41" s="13">
        <v>5712</v>
      </c>
      <c r="C41" s="14">
        <f>(4723/B41*100)</f>
        <v>82.685574229691866</v>
      </c>
      <c r="D41" s="15">
        <v>989</v>
      </c>
      <c r="E41" s="14">
        <v>16.013363590000001</v>
      </c>
      <c r="F41" s="16">
        <v>1.2838919600000001</v>
      </c>
      <c r="G41" s="14">
        <v>83.986636410000003</v>
      </c>
      <c r="H41" s="16">
        <v>1.2838919600000001</v>
      </c>
      <c r="I41" s="14" t="s">
        <v>139</v>
      </c>
      <c r="J41" s="16" t="s">
        <v>139</v>
      </c>
      <c r="K41" s="14">
        <v>0</v>
      </c>
      <c r="L41" s="16">
        <v>0</v>
      </c>
      <c r="M41" s="14">
        <v>0</v>
      </c>
      <c r="N41" s="16">
        <v>0</v>
      </c>
      <c r="O41" s="14">
        <v>0</v>
      </c>
      <c r="P41" s="16">
        <v>0</v>
      </c>
      <c r="Q41" s="14">
        <v>0</v>
      </c>
      <c r="R41" s="16">
        <v>0</v>
      </c>
    </row>
    <row r="42" spans="1:18" x14ac:dyDescent="0.25">
      <c r="A42" s="11" t="s">
        <v>175</v>
      </c>
      <c r="B42" s="13">
        <f>IF(COUNT(B7:B41) &gt; 0, AVERAGE(B7:B41), "\u2014")</f>
        <v>7266.90625</v>
      </c>
      <c r="C42" s="14">
        <f>IF(COUNT(C7:C41) &gt; 0, AVERAGE(C7:C41), "—")</f>
        <v>82.986990075105098</v>
      </c>
      <c r="D42" s="15">
        <f>IF(COUNT(D7:D41) &gt; 0, AVERAGE(D7:D41), "—")</f>
        <v>1237.25</v>
      </c>
      <c r="E42" s="14">
        <f>IF(COUNT(E7:E41) &gt; 0, AVERAGE(E7:E41), "—")</f>
        <v>17.884549818749999</v>
      </c>
      <c r="F42" s="16">
        <f>IF(COUNT(F7:F41) &gt; 0, SQRT(SUMSQ(F7:F41)/(COUNT(F7:F41)*COUNT(F7:F41)) ), "—")</f>
        <v>0.22497707768207381</v>
      </c>
      <c r="G42" s="14">
        <f>IF(COUNT(G7:G41) &gt; 0, AVERAGE(G7:G41), "—")</f>
        <v>82.115450181250011</v>
      </c>
      <c r="H42" s="16">
        <f>IF(COUNT(H7:H41) &gt; 0, SQRT(SUMSQ(H7:H41)/(COUNT(H7:H41)*COUNT(H7:H41)) ), "—")</f>
        <v>0.22497707768207381</v>
      </c>
      <c r="I42" s="14" t="str">
        <f>IF(COUNT(I7:I41) &gt; 0, AVERAGE(I7:I41), "—")</f>
        <v>—</v>
      </c>
      <c r="J42" s="16" t="str">
        <f>IF(COUNT(J7:J41) &gt; 0, SQRT(SUMSQ(J7:J41)/(COUNT(J7:J41)*COUNT(J7:J41)) ), "—")</f>
        <v>—</v>
      </c>
      <c r="K42" s="14">
        <f>IF(COUNT(K7:K41) &gt; 0, AVERAGE(K7:K41), "—")</f>
        <v>0</v>
      </c>
      <c r="L42" s="16">
        <f>IF(COUNT(L7:L41) &gt; 0, SQRT(SUMSQ(L7:L41)/(COUNT(L7:L41)*COUNT(L7:L41)) ), "—")</f>
        <v>0</v>
      </c>
      <c r="M42" s="14">
        <f>IF(COUNT(M7:M41) &gt; 0, AVERAGE(M7:M41), "—")</f>
        <v>0</v>
      </c>
      <c r="N42" s="16">
        <f>IF(COUNT(N7:N41) &gt; 0, SQRT(SUMSQ(N7:N41)/(COUNT(N7:N41)*COUNT(N7:N41)) ), "—")</f>
        <v>0</v>
      </c>
      <c r="O42" s="14">
        <f>IF(COUNT(O7:O41) &gt; 0, AVERAGE(O7:O41), "—")</f>
        <v>0</v>
      </c>
      <c r="P42" s="16">
        <f>IF(COUNT(P7:P41) &gt; 0, SQRT(SUMSQ(P7:P41)/(COUNT(P7:P41)*COUNT(P7:P41)) ), "—")</f>
        <v>0</v>
      </c>
      <c r="Q42" s="14">
        <f>IF(COUNT(Q7:Q41) &gt; 0, AVERAGE(Q7:Q41), "—")</f>
        <v>0</v>
      </c>
      <c r="R42" s="16">
        <f>IF(COUNT(R7:R41) &gt; 0, SQRT(SUMSQ(R7:R41)/(COUNT(R7:R41)*COUNT(R7:R41)) ), "—")</f>
        <v>0</v>
      </c>
    </row>
    <row r="43" spans="1:18" x14ac:dyDescent="0.25">
      <c r="A43" s="9" t="s">
        <v>176</v>
      </c>
      <c r="B43" s="10"/>
      <c r="C43" s="10"/>
      <c r="D43" s="11"/>
      <c r="E43" s="10"/>
      <c r="F43" s="11"/>
      <c r="G43" s="10"/>
      <c r="H43" s="11"/>
      <c r="I43" s="10"/>
      <c r="J43" s="11"/>
      <c r="K43" s="10"/>
      <c r="L43" s="11"/>
      <c r="M43" s="10"/>
      <c r="N43" s="11"/>
      <c r="O43" s="10"/>
      <c r="P43" s="11"/>
      <c r="Q43" s="10"/>
      <c r="R43" s="12"/>
    </row>
    <row r="44" spans="1:18" x14ac:dyDescent="0.25">
      <c r="A44" s="11" t="s">
        <v>177</v>
      </c>
      <c r="B44" s="17" t="s">
        <v>154</v>
      </c>
      <c r="C44" s="17" t="s">
        <v>154</v>
      </c>
      <c r="D44" s="18" t="s">
        <v>154</v>
      </c>
      <c r="E44" s="17" t="s">
        <v>154</v>
      </c>
      <c r="F44" s="18" t="s">
        <v>154</v>
      </c>
      <c r="G44" s="17" t="s">
        <v>154</v>
      </c>
      <c r="H44" s="18" t="s">
        <v>154</v>
      </c>
      <c r="I44" s="17" t="s">
        <v>154</v>
      </c>
      <c r="J44" s="18" t="s">
        <v>154</v>
      </c>
      <c r="K44" s="17" t="s">
        <v>154</v>
      </c>
      <c r="L44" s="18" t="s">
        <v>154</v>
      </c>
      <c r="M44" s="17" t="s">
        <v>154</v>
      </c>
      <c r="N44" s="18" t="s">
        <v>154</v>
      </c>
      <c r="O44" s="17" t="s">
        <v>154</v>
      </c>
      <c r="P44" s="18" t="s">
        <v>154</v>
      </c>
      <c r="Q44" s="17" t="s">
        <v>154</v>
      </c>
      <c r="R44" s="18" t="s">
        <v>154</v>
      </c>
    </row>
    <row r="45" spans="1:18" x14ac:dyDescent="0.25">
      <c r="A45" s="11" t="s">
        <v>178</v>
      </c>
      <c r="B45" s="17" t="s">
        <v>154</v>
      </c>
      <c r="C45" s="17" t="s">
        <v>154</v>
      </c>
      <c r="D45" s="18" t="s">
        <v>154</v>
      </c>
      <c r="E45" s="17" t="s">
        <v>154</v>
      </c>
      <c r="F45" s="18" t="s">
        <v>154</v>
      </c>
      <c r="G45" s="17" t="s">
        <v>154</v>
      </c>
      <c r="H45" s="18" t="s">
        <v>154</v>
      </c>
      <c r="I45" s="17" t="s">
        <v>154</v>
      </c>
      <c r="J45" s="18" t="s">
        <v>154</v>
      </c>
      <c r="K45" s="17" t="s">
        <v>154</v>
      </c>
      <c r="L45" s="18" t="s">
        <v>154</v>
      </c>
      <c r="M45" s="17" t="s">
        <v>154</v>
      </c>
      <c r="N45" s="18" t="s">
        <v>154</v>
      </c>
      <c r="O45" s="17" t="s">
        <v>154</v>
      </c>
      <c r="P45" s="18" t="s">
        <v>154</v>
      </c>
      <c r="Q45" s="17" t="s">
        <v>154</v>
      </c>
      <c r="R45" s="18" t="s">
        <v>154</v>
      </c>
    </row>
    <row r="46" spans="1:18" x14ac:dyDescent="0.25">
      <c r="A46" s="11" t="s">
        <v>179</v>
      </c>
      <c r="B46" s="13">
        <v>23141</v>
      </c>
      <c r="C46" s="14">
        <f>(19486/B46*100)</f>
        <v>84.205522665399073</v>
      </c>
      <c r="D46" s="15">
        <v>3655</v>
      </c>
      <c r="E46" s="14">
        <v>22.867930810000001</v>
      </c>
      <c r="F46" s="16">
        <v>0.89769058000000002</v>
      </c>
      <c r="G46" s="14">
        <v>77.132069189999996</v>
      </c>
      <c r="H46" s="16">
        <v>0.89769058000000002</v>
      </c>
      <c r="I46" s="14" t="s">
        <v>139</v>
      </c>
      <c r="J46" s="16" t="s">
        <v>139</v>
      </c>
      <c r="K46" s="14">
        <v>0</v>
      </c>
      <c r="L46" s="16">
        <v>0</v>
      </c>
      <c r="M46" s="14">
        <v>0</v>
      </c>
      <c r="N46" s="16">
        <v>0</v>
      </c>
      <c r="O46" s="14">
        <v>0</v>
      </c>
      <c r="P46" s="16">
        <v>0</v>
      </c>
      <c r="Q46" s="14">
        <v>0</v>
      </c>
      <c r="R46" s="16">
        <v>0</v>
      </c>
    </row>
    <row r="47" spans="1:18" x14ac:dyDescent="0.25">
      <c r="A47" s="11" t="s">
        <v>180</v>
      </c>
      <c r="B47" s="13">
        <v>5928</v>
      </c>
      <c r="C47" s="14">
        <f>(4906/B47*100)</f>
        <v>82.759784075573549</v>
      </c>
      <c r="D47" s="15">
        <v>1022</v>
      </c>
      <c r="E47" s="14">
        <v>22.192792239999999</v>
      </c>
      <c r="F47" s="16">
        <v>1.4012217600000001</v>
      </c>
      <c r="G47" s="14">
        <v>77.807207759999997</v>
      </c>
      <c r="H47" s="16">
        <v>1.4012217600000001</v>
      </c>
      <c r="I47" s="14" t="s">
        <v>139</v>
      </c>
      <c r="J47" s="16" t="s">
        <v>139</v>
      </c>
      <c r="K47" s="14">
        <v>0</v>
      </c>
      <c r="L47" s="16">
        <v>0</v>
      </c>
      <c r="M47" s="14">
        <v>0</v>
      </c>
      <c r="N47" s="16">
        <v>0</v>
      </c>
      <c r="O47" s="14">
        <v>0</v>
      </c>
      <c r="P47" s="16">
        <v>0</v>
      </c>
      <c r="Q47" s="14">
        <v>0</v>
      </c>
      <c r="R47" s="16">
        <v>0</v>
      </c>
    </row>
    <row r="48" spans="1:18" x14ac:dyDescent="0.25">
      <c r="A48" s="11" t="s">
        <v>181</v>
      </c>
      <c r="B48" s="13">
        <v>9841</v>
      </c>
      <c r="C48" s="14">
        <f>(8164/B48*100)</f>
        <v>82.959048877146628</v>
      </c>
      <c r="D48" s="15">
        <v>1677</v>
      </c>
      <c r="E48" s="14">
        <v>22.621369390000002</v>
      </c>
      <c r="F48" s="16">
        <v>1.4036367700000001</v>
      </c>
      <c r="G48" s="14">
        <v>77.378630610000002</v>
      </c>
      <c r="H48" s="16">
        <v>1.4036367700000001</v>
      </c>
      <c r="I48" s="14" t="s">
        <v>139</v>
      </c>
      <c r="J48" s="16" t="s">
        <v>139</v>
      </c>
      <c r="K48" s="14">
        <v>0</v>
      </c>
      <c r="L48" s="16">
        <v>0</v>
      </c>
      <c r="M48" s="14">
        <v>0</v>
      </c>
      <c r="N48" s="16">
        <v>0</v>
      </c>
      <c r="O48" s="14">
        <v>0</v>
      </c>
      <c r="P48" s="16">
        <v>0</v>
      </c>
      <c r="Q48" s="14">
        <v>0</v>
      </c>
      <c r="R48" s="16">
        <v>0</v>
      </c>
    </row>
    <row r="49" spans="1:18" x14ac:dyDescent="0.25">
      <c r="A49" s="11" t="s">
        <v>182</v>
      </c>
      <c r="B49" s="17" t="s">
        <v>154</v>
      </c>
      <c r="C49" s="17" t="s">
        <v>154</v>
      </c>
      <c r="D49" s="18" t="s">
        <v>154</v>
      </c>
      <c r="E49" s="17" t="s">
        <v>154</v>
      </c>
      <c r="F49" s="18" t="s">
        <v>154</v>
      </c>
      <c r="G49" s="17" t="s">
        <v>154</v>
      </c>
      <c r="H49" s="18" t="s">
        <v>154</v>
      </c>
      <c r="I49" s="17" t="s">
        <v>154</v>
      </c>
      <c r="J49" s="18" t="s">
        <v>154</v>
      </c>
      <c r="K49" s="17" t="s">
        <v>154</v>
      </c>
      <c r="L49" s="18" t="s">
        <v>154</v>
      </c>
      <c r="M49" s="17" t="s">
        <v>154</v>
      </c>
      <c r="N49" s="18" t="s">
        <v>154</v>
      </c>
      <c r="O49" s="17" t="s">
        <v>154</v>
      </c>
      <c r="P49" s="18" t="s">
        <v>154</v>
      </c>
      <c r="Q49" s="17" t="s">
        <v>154</v>
      </c>
      <c r="R49" s="18" t="s">
        <v>154</v>
      </c>
    </row>
    <row r="50" spans="1:18" x14ac:dyDescent="0.25">
      <c r="A50" s="11" t="s">
        <v>183</v>
      </c>
      <c r="B50" s="13">
        <v>11795</v>
      </c>
      <c r="C50" s="14">
        <f>(9762/B50*100)</f>
        <v>82.763883001271722</v>
      </c>
      <c r="D50" s="15">
        <v>2033</v>
      </c>
      <c r="E50" s="14">
        <v>23.147700459999999</v>
      </c>
      <c r="F50" s="16">
        <v>1.33392852</v>
      </c>
      <c r="G50" s="14">
        <v>76.852299540000004</v>
      </c>
      <c r="H50" s="16">
        <v>1.33392852</v>
      </c>
      <c r="I50" s="14" t="s">
        <v>139</v>
      </c>
      <c r="J50" s="16" t="s">
        <v>139</v>
      </c>
      <c r="K50" s="14">
        <v>0</v>
      </c>
      <c r="L50" s="16">
        <v>0</v>
      </c>
      <c r="M50" s="14">
        <v>0</v>
      </c>
      <c r="N50" s="16">
        <v>0</v>
      </c>
      <c r="O50" s="14">
        <v>0</v>
      </c>
      <c r="P50" s="16">
        <v>0</v>
      </c>
      <c r="Q50" s="14">
        <v>0</v>
      </c>
      <c r="R50" s="16">
        <v>0</v>
      </c>
    </row>
    <row r="51" spans="1:18" x14ac:dyDescent="0.25">
      <c r="A51" s="11" t="s">
        <v>184</v>
      </c>
      <c r="B51" s="13">
        <v>6866</v>
      </c>
      <c r="C51" s="14">
        <f>(5811/B51*100)</f>
        <v>84.634430527235651</v>
      </c>
      <c r="D51" s="15">
        <v>1055</v>
      </c>
      <c r="E51" s="14">
        <v>19.000642339999999</v>
      </c>
      <c r="F51" s="16">
        <v>1.24426181</v>
      </c>
      <c r="G51" s="14">
        <v>80.999357660000001</v>
      </c>
      <c r="H51" s="16">
        <v>1.24426181</v>
      </c>
      <c r="I51" s="14" t="s">
        <v>139</v>
      </c>
      <c r="J51" s="16" t="s">
        <v>139</v>
      </c>
      <c r="K51" s="14">
        <v>0</v>
      </c>
      <c r="L51" s="16">
        <v>0</v>
      </c>
      <c r="M51" s="14">
        <v>0</v>
      </c>
      <c r="N51" s="16">
        <v>0</v>
      </c>
      <c r="O51" s="14">
        <v>0</v>
      </c>
      <c r="P51" s="16">
        <v>0</v>
      </c>
      <c r="Q51" s="14">
        <v>0</v>
      </c>
      <c r="R51" s="16">
        <v>0</v>
      </c>
    </row>
    <row r="52" spans="1:18" x14ac:dyDescent="0.25">
      <c r="A52" s="11" t="s">
        <v>185</v>
      </c>
      <c r="B52" s="13">
        <v>5809</v>
      </c>
      <c r="C52" s="14">
        <f>(4829/B52*100)</f>
        <v>83.129626441728348</v>
      </c>
      <c r="D52" s="15">
        <v>980</v>
      </c>
      <c r="E52" s="14">
        <v>13.90977219</v>
      </c>
      <c r="F52" s="16">
        <v>1.1737998599999999</v>
      </c>
      <c r="G52" s="14">
        <v>86.090227810000002</v>
      </c>
      <c r="H52" s="16">
        <v>1.1737998599999999</v>
      </c>
      <c r="I52" s="14" t="s">
        <v>139</v>
      </c>
      <c r="J52" s="16" t="s">
        <v>139</v>
      </c>
      <c r="K52" s="14">
        <v>0</v>
      </c>
      <c r="L52" s="16">
        <v>0</v>
      </c>
      <c r="M52" s="14">
        <v>0</v>
      </c>
      <c r="N52" s="16">
        <v>0</v>
      </c>
      <c r="O52" s="14">
        <v>0</v>
      </c>
      <c r="P52" s="16">
        <v>0</v>
      </c>
      <c r="Q52" s="14">
        <v>0</v>
      </c>
      <c r="R52" s="16">
        <v>0</v>
      </c>
    </row>
    <row r="53" spans="1:18" x14ac:dyDescent="0.25">
      <c r="A53" s="11" t="s">
        <v>186</v>
      </c>
      <c r="B53" s="13">
        <v>5571</v>
      </c>
      <c r="C53" s="14">
        <f>(4631/B53*100)</f>
        <v>83.126907197989581</v>
      </c>
      <c r="D53" s="15">
        <v>940</v>
      </c>
      <c r="E53" s="14">
        <v>25.870471070000001</v>
      </c>
      <c r="F53" s="16">
        <v>1.4412183700000001</v>
      </c>
      <c r="G53" s="14">
        <v>74.129528930000006</v>
      </c>
      <c r="H53" s="16">
        <v>1.4412183700000001</v>
      </c>
      <c r="I53" s="14" t="s">
        <v>139</v>
      </c>
      <c r="J53" s="16" t="s">
        <v>139</v>
      </c>
      <c r="K53" s="14">
        <v>0</v>
      </c>
      <c r="L53" s="16">
        <v>0</v>
      </c>
      <c r="M53" s="14">
        <v>0</v>
      </c>
      <c r="N53" s="16">
        <v>0</v>
      </c>
      <c r="O53" s="14">
        <v>0</v>
      </c>
      <c r="P53" s="16">
        <v>0</v>
      </c>
      <c r="Q53" s="14">
        <v>0</v>
      </c>
      <c r="R53" s="16">
        <v>0</v>
      </c>
    </row>
    <row r="54" spans="1:18" x14ac:dyDescent="0.25">
      <c r="A54" s="11" t="s">
        <v>187</v>
      </c>
      <c r="B54" s="17" t="s">
        <v>154</v>
      </c>
      <c r="C54" s="17" t="s">
        <v>154</v>
      </c>
      <c r="D54" s="18" t="s">
        <v>154</v>
      </c>
      <c r="E54" s="17" t="s">
        <v>154</v>
      </c>
      <c r="F54" s="18" t="s">
        <v>154</v>
      </c>
      <c r="G54" s="17" t="s">
        <v>154</v>
      </c>
      <c r="H54" s="18" t="s">
        <v>154</v>
      </c>
      <c r="I54" s="17" t="s">
        <v>154</v>
      </c>
      <c r="J54" s="18" t="s">
        <v>154</v>
      </c>
      <c r="K54" s="17" t="s">
        <v>154</v>
      </c>
      <c r="L54" s="18" t="s">
        <v>154</v>
      </c>
      <c r="M54" s="17" t="s">
        <v>154</v>
      </c>
      <c r="N54" s="18" t="s">
        <v>154</v>
      </c>
      <c r="O54" s="17" t="s">
        <v>154</v>
      </c>
      <c r="P54" s="18" t="s">
        <v>154</v>
      </c>
      <c r="Q54" s="17" t="s">
        <v>154</v>
      </c>
      <c r="R54" s="18" t="s">
        <v>154</v>
      </c>
    </row>
    <row r="55" spans="1:18" x14ac:dyDescent="0.25">
      <c r="A55" s="11" t="s">
        <v>188</v>
      </c>
      <c r="B55" s="17" t="s">
        <v>154</v>
      </c>
      <c r="C55" s="17" t="s">
        <v>154</v>
      </c>
      <c r="D55" s="18" t="s">
        <v>154</v>
      </c>
      <c r="E55" s="17" t="s">
        <v>154</v>
      </c>
      <c r="F55" s="18" t="s">
        <v>154</v>
      </c>
      <c r="G55" s="17" t="s">
        <v>154</v>
      </c>
      <c r="H55" s="18" t="s">
        <v>154</v>
      </c>
      <c r="I55" s="17" t="s">
        <v>154</v>
      </c>
      <c r="J55" s="18" t="s">
        <v>154</v>
      </c>
      <c r="K55" s="17" t="s">
        <v>154</v>
      </c>
      <c r="L55" s="18" t="s">
        <v>154</v>
      </c>
      <c r="M55" s="17" t="s">
        <v>154</v>
      </c>
      <c r="N55" s="18" t="s">
        <v>154</v>
      </c>
      <c r="O55" s="17" t="s">
        <v>154</v>
      </c>
      <c r="P55" s="18" t="s">
        <v>154</v>
      </c>
      <c r="Q55" s="17" t="s">
        <v>154</v>
      </c>
      <c r="R55" s="18" t="s">
        <v>154</v>
      </c>
    </row>
    <row r="56" spans="1:18" x14ac:dyDescent="0.25">
      <c r="A56" s="11" t="s">
        <v>189</v>
      </c>
      <c r="B56" s="13">
        <v>5359</v>
      </c>
      <c r="C56" s="14">
        <f>(4442/B56*100)</f>
        <v>82.888598619145355</v>
      </c>
      <c r="D56" s="15">
        <v>917</v>
      </c>
      <c r="E56" s="14">
        <v>25.771854220000002</v>
      </c>
      <c r="F56" s="16">
        <v>1.3512793599999999</v>
      </c>
      <c r="G56" s="14">
        <v>74.228145780000006</v>
      </c>
      <c r="H56" s="16">
        <v>1.3512793599999999</v>
      </c>
      <c r="I56" s="14" t="s">
        <v>139</v>
      </c>
      <c r="J56" s="16" t="s">
        <v>139</v>
      </c>
      <c r="K56" s="14">
        <v>0</v>
      </c>
      <c r="L56" s="16">
        <v>0</v>
      </c>
      <c r="M56" s="14">
        <v>0</v>
      </c>
      <c r="N56" s="16">
        <v>0</v>
      </c>
      <c r="O56" s="14">
        <v>0</v>
      </c>
      <c r="P56" s="16">
        <v>0</v>
      </c>
      <c r="Q56" s="14">
        <v>0</v>
      </c>
      <c r="R56" s="16">
        <v>0</v>
      </c>
    </row>
    <row r="57" spans="1:18" x14ac:dyDescent="0.25">
      <c r="A57" s="11" t="s">
        <v>190</v>
      </c>
      <c r="B57" s="17" t="s">
        <v>154</v>
      </c>
      <c r="C57" s="17" t="s">
        <v>154</v>
      </c>
      <c r="D57" s="18" t="s">
        <v>154</v>
      </c>
      <c r="E57" s="17" t="s">
        <v>154</v>
      </c>
      <c r="F57" s="18" t="s">
        <v>154</v>
      </c>
      <c r="G57" s="17" t="s">
        <v>154</v>
      </c>
      <c r="H57" s="18" t="s">
        <v>154</v>
      </c>
      <c r="I57" s="17" t="s">
        <v>154</v>
      </c>
      <c r="J57" s="18" t="s">
        <v>154</v>
      </c>
      <c r="K57" s="17" t="s">
        <v>154</v>
      </c>
      <c r="L57" s="18" t="s">
        <v>154</v>
      </c>
      <c r="M57" s="17" t="s">
        <v>154</v>
      </c>
      <c r="N57" s="18" t="s">
        <v>154</v>
      </c>
      <c r="O57" s="17" t="s">
        <v>154</v>
      </c>
      <c r="P57" s="18" t="s">
        <v>154</v>
      </c>
      <c r="Q57" s="17" t="s">
        <v>154</v>
      </c>
      <c r="R57" s="18" t="s">
        <v>154</v>
      </c>
    </row>
    <row r="58" spans="1:18" x14ac:dyDescent="0.25">
      <c r="A58" s="11" t="s">
        <v>191</v>
      </c>
      <c r="B58" s="17" t="s">
        <v>154</v>
      </c>
      <c r="C58" s="17" t="s">
        <v>154</v>
      </c>
      <c r="D58" s="18" t="s">
        <v>154</v>
      </c>
      <c r="E58" s="17" t="s">
        <v>154</v>
      </c>
      <c r="F58" s="18" t="s">
        <v>154</v>
      </c>
      <c r="G58" s="17" t="s">
        <v>154</v>
      </c>
      <c r="H58" s="18" t="s">
        <v>154</v>
      </c>
      <c r="I58" s="17" t="s">
        <v>154</v>
      </c>
      <c r="J58" s="18" t="s">
        <v>154</v>
      </c>
      <c r="K58" s="17" t="s">
        <v>154</v>
      </c>
      <c r="L58" s="18" t="s">
        <v>154</v>
      </c>
      <c r="M58" s="17" t="s">
        <v>154</v>
      </c>
      <c r="N58" s="18" t="s">
        <v>154</v>
      </c>
      <c r="O58" s="17" t="s">
        <v>154</v>
      </c>
      <c r="P58" s="18" t="s">
        <v>154</v>
      </c>
      <c r="Q58" s="17" t="s">
        <v>154</v>
      </c>
      <c r="R58" s="18" t="s">
        <v>154</v>
      </c>
    </row>
    <row r="59" spans="1:18" x14ac:dyDescent="0.25">
      <c r="A59" s="11" t="s">
        <v>192</v>
      </c>
      <c r="B59" s="17" t="s">
        <v>154</v>
      </c>
      <c r="C59" s="17" t="s">
        <v>154</v>
      </c>
      <c r="D59" s="18" t="s">
        <v>154</v>
      </c>
      <c r="E59" s="17" t="s">
        <v>154</v>
      </c>
      <c r="F59" s="18" t="s">
        <v>154</v>
      </c>
      <c r="G59" s="17" t="s">
        <v>154</v>
      </c>
      <c r="H59" s="18" t="s">
        <v>154</v>
      </c>
      <c r="I59" s="17" t="s">
        <v>154</v>
      </c>
      <c r="J59" s="18" t="s">
        <v>154</v>
      </c>
      <c r="K59" s="17" t="s">
        <v>154</v>
      </c>
      <c r="L59" s="18" t="s">
        <v>154</v>
      </c>
      <c r="M59" s="17" t="s">
        <v>154</v>
      </c>
      <c r="N59" s="18" t="s">
        <v>154</v>
      </c>
      <c r="O59" s="17" t="s">
        <v>154</v>
      </c>
      <c r="P59" s="18" t="s">
        <v>154</v>
      </c>
      <c r="Q59" s="17" t="s">
        <v>154</v>
      </c>
      <c r="R59" s="18" t="s">
        <v>154</v>
      </c>
    </row>
    <row r="60" spans="1:18" x14ac:dyDescent="0.25">
      <c r="A60" s="11" t="s">
        <v>193</v>
      </c>
      <c r="B60" s="17" t="s">
        <v>154</v>
      </c>
      <c r="C60" s="17" t="s">
        <v>154</v>
      </c>
      <c r="D60" s="18" t="s">
        <v>154</v>
      </c>
      <c r="E60" s="17" t="s">
        <v>154</v>
      </c>
      <c r="F60" s="18" t="s">
        <v>154</v>
      </c>
      <c r="G60" s="17" t="s">
        <v>154</v>
      </c>
      <c r="H60" s="18" t="s">
        <v>154</v>
      </c>
      <c r="I60" s="17" t="s">
        <v>154</v>
      </c>
      <c r="J60" s="18" t="s">
        <v>154</v>
      </c>
      <c r="K60" s="17" t="s">
        <v>154</v>
      </c>
      <c r="L60" s="18" t="s">
        <v>154</v>
      </c>
      <c r="M60" s="17" t="s">
        <v>154</v>
      </c>
      <c r="N60" s="18" t="s">
        <v>154</v>
      </c>
      <c r="O60" s="17" t="s">
        <v>154</v>
      </c>
      <c r="P60" s="18" t="s">
        <v>154</v>
      </c>
      <c r="Q60" s="17" t="s">
        <v>154</v>
      </c>
      <c r="R60" s="18" t="s">
        <v>154</v>
      </c>
    </row>
    <row r="61" spans="1:18" x14ac:dyDescent="0.25">
      <c r="A61" s="11" t="s">
        <v>194</v>
      </c>
      <c r="B61" s="13">
        <v>6525</v>
      </c>
      <c r="C61" s="14">
        <f>(5419/B61*100)</f>
        <v>83.049808429118769</v>
      </c>
      <c r="D61" s="15">
        <v>1106</v>
      </c>
      <c r="E61" s="14">
        <v>26.625398870000001</v>
      </c>
      <c r="F61" s="16">
        <v>1.3951552899999999</v>
      </c>
      <c r="G61" s="14">
        <v>73.374601130000002</v>
      </c>
      <c r="H61" s="16">
        <v>1.3951552899999999</v>
      </c>
      <c r="I61" s="14" t="s">
        <v>139</v>
      </c>
      <c r="J61" s="16" t="s">
        <v>139</v>
      </c>
      <c r="K61" s="14">
        <v>0</v>
      </c>
      <c r="L61" s="16">
        <v>0</v>
      </c>
      <c r="M61" s="14">
        <v>0</v>
      </c>
      <c r="N61" s="16">
        <v>0</v>
      </c>
      <c r="O61" s="14">
        <v>0</v>
      </c>
      <c r="P61" s="16">
        <v>0</v>
      </c>
      <c r="Q61" s="14">
        <v>0</v>
      </c>
      <c r="R61" s="16">
        <v>0</v>
      </c>
    </row>
    <row r="62" spans="1:18" x14ac:dyDescent="0.25">
      <c r="A62" s="11" t="s">
        <v>195</v>
      </c>
      <c r="B62" s="13">
        <v>4476</v>
      </c>
      <c r="C62" s="14">
        <f>(3700/B62*100)</f>
        <v>82.663092046470069</v>
      </c>
      <c r="D62" s="15">
        <v>776</v>
      </c>
      <c r="E62" s="14">
        <v>20.642880510000001</v>
      </c>
      <c r="F62" s="16">
        <v>1.4339065799999999</v>
      </c>
      <c r="G62" s="14">
        <v>79.357119490000002</v>
      </c>
      <c r="H62" s="16">
        <v>1.4339065799999999</v>
      </c>
      <c r="I62" s="14" t="s">
        <v>139</v>
      </c>
      <c r="J62" s="16" t="s">
        <v>139</v>
      </c>
      <c r="K62" s="14">
        <v>0</v>
      </c>
      <c r="L62" s="16">
        <v>0</v>
      </c>
      <c r="M62" s="14">
        <v>0</v>
      </c>
      <c r="N62" s="16">
        <v>0</v>
      </c>
      <c r="O62" s="14">
        <v>0</v>
      </c>
      <c r="P62" s="16">
        <v>0</v>
      </c>
      <c r="Q62" s="14">
        <v>0</v>
      </c>
      <c r="R62" s="16">
        <v>0</v>
      </c>
    </row>
    <row r="63" spans="1:18" x14ac:dyDescent="0.25">
      <c r="A63" s="11" t="s">
        <v>196</v>
      </c>
      <c r="B63" s="17" t="s">
        <v>154</v>
      </c>
      <c r="C63" s="17" t="s">
        <v>154</v>
      </c>
      <c r="D63" s="18" t="s">
        <v>154</v>
      </c>
      <c r="E63" s="17" t="s">
        <v>154</v>
      </c>
      <c r="F63" s="18" t="s">
        <v>154</v>
      </c>
      <c r="G63" s="17" t="s">
        <v>154</v>
      </c>
      <c r="H63" s="18" t="s">
        <v>154</v>
      </c>
      <c r="I63" s="17" t="s">
        <v>154</v>
      </c>
      <c r="J63" s="18" t="s">
        <v>154</v>
      </c>
      <c r="K63" s="17" t="s">
        <v>154</v>
      </c>
      <c r="L63" s="18" t="s">
        <v>154</v>
      </c>
      <c r="M63" s="17" t="s">
        <v>154</v>
      </c>
      <c r="N63" s="18" t="s">
        <v>154</v>
      </c>
      <c r="O63" s="17" t="s">
        <v>154</v>
      </c>
      <c r="P63" s="18" t="s">
        <v>154</v>
      </c>
      <c r="Q63" s="17" t="s">
        <v>154</v>
      </c>
      <c r="R63" s="18" t="s">
        <v>154</v>
      </c>
    </row>
    <row r="64" spans="1:18" x14ac:dyDescent="0.25">
      <c r="A64" s="11" t="s">
        <v>197</v>
      </c>
      <c r="B64" s="17" t="s">
        <v>154</v>
      </c>
      <c r="C64" s="17" t="s">
        <v>154</v>
      </c>
      <c r="D64" s="18" t="s">
        <v>154</v>
      </c>
      <c r="E64" s="17" t="s">
        <v>154</v>
      </c>
      <c r="F64" s="18" t="s">
        <v>154</v>
      </c>
      <c r="G64" s="17" t="s">
        <v>154</v>
      </c>
      <c r="H64" s="18" t="s">
        <v>154</v>
      </c>
      <c r="I64" s="17" t="s">
        <v>154</v>
      </c>
      <c r="J64" s="18" t="s">
        <v>154</v>
      </c>
      <c r="K64" s="17" t="s">
        <v>154</v>
      </c>
      <c r="L64" s="18" t="s">
        <v>154</v>
      </c>
      <c r="M64" s="17" t="s">
        <v>154</v>
      </c>
      <c r="N64" s="18" t="s">
        <v>154</v>
      </c>
      <c r="O64" s="17" t="s">
        <v>154</v>
      </c>
      <c r="P64" s="18" t="s">
        <v>154</v>
      </c>
      <c r="Q64" s="17" t="s">
        <v>154</v>
      </c>
      <c r="R64" s="18" t="s">
        <v>154</v>
      </c>
    </row>
    <row r="65" spans="1:18" x14ac:dyDescent="0.25">
      <c r="A65" s="11" t="s">
        <v>198</v>
      </c>
      <c r="B65" s="17" t="s">
        <v>154</v>
      </c>
      <c r="C65" s="17" t="s">
        <v>154</v>
      </c>
      <c r="D65" s="18" t="s">
        <v>154</v>
      </c>
      <c r="E65" s="17" t="s">
        <v>154</v>
      </c>
      <c r="F65" s="18" t="s">
        <v>154</v>
      </c>
      <c r="G65" s="17" t="s">
        <v>154</v>
      </c>
      <c r="H65" s="18" t="s">
        <v>154</v>
      </c>
      <c r="I65" s="17" t="s">
        <v>154</v>
      </c>
      <c r="J65" s="18" t="s">
        <v>154</v>
      </c>
      <c r="K65" s="17" t="s">
        <v>154</v>
      </c>
      <c r="L65" s="18" t="s">
        <v>154</v>
      </c>
      <c r="M65" s="17" t="s">
        <v>154</v>
      </c>
      <c r="N65" s="18" t="s">
        <v>154</v>
      </c>
      <c r="O65" s="17" t="s">
        <v>154</v>
      </c>
      <c r="P65" s="18" t="s">
        <v>154</v>
      </c>
      <c r="Q65" s="17" t="s">
        <v>154</v>
      </c>
      <c r="R65" s="18" t="s">
        <v>154</v>
      </c>
    </row>
    <row r="66" spans="1:18" x14ac:dyDescent="0.25">
      <c r="A66" s="11" t="s">
        <v>199</v>
      </c>
      <c r="B66" s="13">
        <v>5665</v>
      </c>
      <c r="C66" s="14">
        <f>(4710/B66*100)</f>
        <v>83.142100617828774</v>
      </c>
      <c r="D66" s="15">
        <v>955</v>
      </c>
      <c r="E66" s="14">
        <v>18.869289559999999</v>
      </c>
      <c r="F66" s="16">
        <v>1.31654607</v>
      </c>
      <c r="G66" s="14">
        <v>81.130710440000001</v>
      </c>
      <c r="H66" s="16">
        <v>1.31654607</v>
      </c>
      <c r="I66" s="14" t="s">
        <v>139</v>
      </c>
      <c r="J66" s="16" t="s">
        <v>139</v>
      </c>
      <c r="K66" s="14">
        <v>0</v>
      </c>
      <c r="L66" s="16">
        <v>0</v>
      </c>
      <c r="M66" s="14">
        <v>0</v>
      </c>
      <c r="N66" s="16">
        <v>0</v>
      </c>
      <c r="O66" s="14">
        <v>0</v>
      </c>
      <c r="P66" s="16">
        <v>0</v>
      </c>
      <c r="Q66" s="14">
        <v>0</v>
      </c>
      <c r="R66" s="16">
        <v>0</v>
      </c>
    </row>
    <row r="67" spans="1:18" x14ac:dyDescent="0.25">
      <c r="A67" s="11" t="s">
        <v>200</v>
      </c>
      <c r="B67" s="13">
        <v>6971</v>
      </c>
      <c r="C67" s="14">
        <f>(5835/B67*100)</f>
        <v>83.703916224358053</v>
      </c>
      <c r="D67" s="15">
        <v>1136</v>
      </c>
      <c r="E67" s="14">
        <v>27.79578901</v>
      </c>
      <c r="F67" s="16">
        <v>1.41323606</v>
      </c>
      <c r="G67" s="14">
        <v>72.204210990000007</v>
      </c>
      <c r="H67" s="16">
        <v>1.41323606</v>
      </c>
      <c r="I67" s="14" t="s">
        <v>139</v>
      </c>
      <c r="J67" s="16" t="s">
        <v>139</v>
      </c>
      <c r="K67" s="14">
        <v>0</v>
      </c>
      <c r="L67" s="16">
        <v>0</v>
      </c>
      <c r="M67" s="14">
        <v>0</v>
      </c>
      <c r="N67" s="16">
        <v>0</v>
      </c>
      <c r="O67" s="14">
        <v>0</v>
      </c>
      <c r="P67" s="16">
        <v>0</v>
      </c>
      <c r="Q67" s="14">
        <v>0</v>
      </c>
      <c r="R67" s="16">
        <v>0</v>
      </c>
    </row>
    <row r="68" spans="1:18" x14ac:dyDescent="0.25">
      <c r="A68" s="11" t="s">
        <v>201</v>
      </c>
      <c r="B68" s="17" t="s">
        <v>154</v>
      </c>
      <c r="C68" s="17" t="s">
        <v>154</v>
      </c>
      <c r="D68" s="18" t="s">
        <v>154</v>
      </c>
      <c r="E68" s="17" t="s">
        <v>154</v>
      </c>
      <c r="F68" s="18" t="s">
        <v>154</v>
      </c>
      <c r="G68" s="17" t="s">
        <v>154</v>
      </c>
      <c r="H68" s="18" t="s">
        <v>154</v>
      </c>
      <c r="I68" s="17" t="s">
        <v>154</v>
      </c>
      <c r="J68" s="18" t="s">
        <v>154</v>
      </c>
      <c r="K68" s="17" t="s">
        <v>154</v>
      </c>
      <c r="L68" s="18" t="s">
        <v>154</v>
      </c>
      <c r="M68" s="17" t="s">
        <v>154</v>
      </c>
      <c r="N68" s="18" t="s">
        <v>154</v>
      </c>
      <c r="O68" s="17" t="s">
        <v>154</v>
      </c>
      <c r="P68" s="18" t="s">
        <v>154</v>
      </c>
      <c r="Q68" s="17" t="s">
        <v>154</v>
      </c>
      <c r="R68" s="18" t="s">
        <v>154</v>
      </c>
    </row>
    <row r="69" spans="1:18" x14ac:dyDescent="0.25">
      <c r="A69" s="11" t="s">
        <v>202</v>
      </c>
      <c r="B69" s="17" t="s">
        <v>154</v>
      </c>
      <c r="C69" s="17" t="s">
        <v>154</v>
      </c>
      <c r="D69" s="18" t="s">
        <v>154</v>
      </c>
      <c r="E69" s="17" t="s">
        <v>154</v>
      </c>
      <c r="F69" s="18" t="s">
        <v>154</v>
      </c>
      <c r="G69" s="17" t="s">
        <v>154</v>
      </c>
      <c r="H69" s="18" t="s">
        <v>154</v>
      </c>
      <c r="I69" s="17" t="s">
        <v>154</v>
      </c>
      <c r="J69" s="18" t="s">
        <v>154</v>
      </c>
      <c r="K69" s="17" t="s">
        <v>154</v>
      </c>
      <c r="L69" s="18" t="s">
        <v>154</v>
      </c>
      <c r="M69" s="17" t="s">
        <v>154</v>
      </c>
      <c r="N69" s="18" t="s">
        <v>154</v>
      </c>
      <c r="O69" s="17" t="s">
        <v>154</v>
      </c>
      <c r="P69" s="18" t="s">
        <v>154</v>
      </c>
      <c r="Q69" s="17" t="s">
        <v>154</v>
      </c>
      <c r="R69" s="18" t="s">
        <v>154</v>
      </c>
    </row>
    <row r="70" spans="1:18" x14ac:dyDescent="0.25">
      <c r="A70" s="11" t="s">
        <v>203</v>
      </c>
      <c r="B70" s="13">
        <v>6036</v>
      </c>
      <c r="C70" s="14">
        <f>(4993/B70*100)</f>
        <v>82.720344599072234</v>
      </c>
      <c r="D70" s="15">
        <v>1043</v>
      </c>
      <c r="E70" s="14">
        <v>21.790812949999999</v>
      </c>
      <c r="F70" s="16">
        <v>1.4966362499999999</v>
      </c>
      <c r="G70" s="14">
        <v>78.209187049999997</v>
      </c>
      <c r="H70" s="16">
        <v>1.4966362499999999</v>
      </c>
      <c r="I70" s="14" t="s">
        <v>139</v>
      </c>
      <c r="J70" s="16" t="s">
        <v>139</v>
      </c>
      <c r="K70" s="14">
        <v>0</v>
      </c>
      <c r="L70" s="16">
        <v>0</v>
      </c>
      <c r="M70" s="14">
        <v>0</v>
      </c>
      <c r="N70" s="16">
        <v>0</v>
      </c>
      <c r="O70" s="14">
        <v>0</v>
      </c>
      <c r="P70" s="16">
        <v>0</v>
      </c>
      <c r="Q70" s="14">
        <v>0</v>
      </c>
      <c r="R70" s="16">
        <v>0</v>
      </c>
    </row>
    <row r="71" spans="1:18" x14ac:dyDescent="0.25">
      <c r="A71" s="11" t="s">
        <v>204</v>
      </c>
      <c r="B71" s="17" t="s">
        <v>154</v>
      </c>
      <c r="C71" s="17" t="s">
        <v>154</v>
      </c>
      <c r="D71" s="18" t="s">
        <v>154</v>
      </c>
      <c r="E71" s="17" t="s">
        <v>154</v>
      </c>
      <c r="F71" s="18" t="s">
        <v>154</v>
      </c>
      <c r="G71" s="17" t="s">
        <v>154</v>
      </c>
      <c r="H71" s="18" t="s">
        <v>154</v>
      </c>
      <c r="I71" s="17" t="s">
        <v>154</v>
      </c>
      <c r="J71" s="18" t="s">
        <v>154</v>
      </c>
      <c r="K71" s="17" t="s">
        <v>154</v>
      </c>
      <c r="L71" s="18" t="s">
        <v>154</v>
      </c>
      <c r="M71" s="17" t="s">
        <v>154</v>
      </c>
      <c r="N71" s="18" t="s">
        <v>154</v>
      </c>
      <c r="O71" s="17" t="s">
        <v>154</v>
      </c>
      <c r="P71" s="18" t="s">
        <v>154</v>
      </c>
      <c r="Q71" s="17" t="s">
        <v>154</v>
      </c>
      <c r="R71" s="18" t="s">
        <v>154</v>
      </c>
    </row>
    <row r="72" spans="1:18" x14ac:dyDescent="0.25">
      <c r="A72" s="11" t="s">
        <v>205</v>
      </c>
      <c r="B72" s="13">
        <v>7708</v>
      </c>
      <c r="C72" s="14">
        <f>(6364/B72*100)</f>
        <v>82.56357031655422</v>
      </c>
      <c r="D72" s="15">
        <v>1344</v>
      </c>
      <c r="E72" s="14">
        <v>26.37966802</v>
      </c>
      <c r="F72" s="16">
        <v>1.1792018200000001</v>
      </c>
      <c r="G72" s="14">
        <v>73.620331980000003</v>
      </c>
      <c r="H72" s="16">
        <v>1.1792018200000001</v>
      </c>
      <c r="I72" s="14" t="s">
        <v>139</v>
      </c>
      <c r="J72" s="16" t="s">
        <v>139</v>
      </c>
      <c r="K72" s="14">
        <v>0</v>
      </c>
      <c r="L72" s="16">
        <v>0</v>
      </c>
      <c r="M72" s="14">
        <v>0</v>
      </c>
      <c r="N72" s="16">
        <v>0</v>
      </c>
      <c r="O72" s="14">
        <v>0</v>
      </c>
      <c r="P72" s="16">
        <v>0</v>
      </c>
      <c r="Q72" s="14">
        <v>0</v>
      </c>
      <c r="R72" s="16">
        <v>0</v>
      </c>
    </row>
    <row r="73" spans="1:18" x14ac:dyDescent="0.25">
      <c r="A73" s="11" t="s">
        <v>206</v>
      </c>
      <c r="B73" s="13">
        <v>8249</v>
      </c>
      <c r="C73" s="14">
        <f>(6841/B73*100)</f>
        <v>82.931264395684323</v>
      </c>
      <c r="D73" s="15">
        <v>1408</v>
      </c>
      <c r="E73" s="14">
        <v>16.95948237</v>
      </c>
      <c r="F73" s="16">
        <v>1.30902071</v>
      </c>
      <c r="G73" s="14">
        <v>83.040517629999997</v>
      </c>
      <c r="H73" s="16">
        <v>1.30902071</v>
      </c>
      <c r="I73" s="14" t="s">
        <v>139</v>
      </c>
      <c r="J73" s="16" t="s">
        <v>139</v>
      </c>
      <c r="K73" s="14">
        <v>0</v>
      </c>
      <c r="L73" s="16">
        <v>0</v>
      </c>
      <c r="M73" s="14">
        <v>0</v>
      </c>
      <c r="N73" s="16">
        <v>0</v>
      </c>
      <c r="O73" s="14">
        <v>0</v>
      </c>
      <c r="P73" s="16">
        <v>0</v>
      </c>
      <c r="Q73" s="14">
        <v>0</v>
      </c>
      <c r="R73" s="16">
        <v>0</v>
      </c>
    </row>
    <row r="74" spans="1:18" x14ac:dyDescent="0.25">
      <c r="A74" s="11" t="s">
        <v>207</v>
      </c>
      <c r="B74" s="17" t="s">
        <v>154</v>
      </c>
      <c r="C74" s="17" t="s">
        <v>154</v>
      </c>
      <c r="D74" s="18" t="s">
        <v>154</v>
      </c>
      <c r="E74" s="17" t="s">
        <v>154</v>
      </c>
      <c r="F74" s="18" t="s">
        <v>154</v>
      </c>
      <c r="G74" s="17" t="s">
        <v>154</v>
      </c>
      <c r="H74" s="18" t="s">
        <v>154</v>
      </c>
      <c r="I74" s="17" t="s">
        <v>154</v>
      </c>
      <c r="J74" s="18" t="s">
        <v>154</v>
      </c>
      <c r="K74" s="17" t="s">
        <v>154</v>
      </c>
      <c r="L74" s="18" t="s">
        <v>154</v>
      </c>
      <c r="M74" s="17" t="s">
        <v>154</v>
      </c>
      <c r="N74" s="18" t="s">
        <v>154</v>
      </c>
      <c r="O74" s="17" t="s">
        <v>154</v>
      </c>
      <c r="P74" s="18" t="s">
        <v>154</v>
      </c>
      <c r="Q74" s="17" t="s">
        <v>154</v>
      </c>
      <c r="R74" s="18" t="s">
        <v>154</v>
      </c>
    </row>
    <row r="75" spans="1:18" x14ac:dyDescent="0.25">
      <c r="A75" s="11" t="s">
        <v>208</v>
      </c>
      <c r="B75" s="13">
        <v>5375</v>
      </c>
      <c r="C75" s="14">
        <f>(4515/B75*100)</f>
        <v>84</v>
      </c>
      <c r="D75" s="15">
        <v>860</v>
      </c>
      <c r="E75" s="14">
        <v>36.629535740000001</v>
      </c>
      <c r="F75" s="16">
        <v>1.5433682399999999</v>
      </c>
      <c r="G75" s="14">
        <v>63.370464259999999</v>
      </c>
      <c r="H75" s="16">
        <v>1.5433682399999999</v>
      </c>
      <c r="I75" s="14" t="s">
        <v>139</v>
      </c>
      <c r="J75" s="16" t="s">
        <v>139</v>
      </c>
      <c r="K75" s="14">
        <v>0</v>
      </c>
      <c r="L75" s="16">
        <v>0</v>
      </c>
      <c r="M75" s="14">
        <v>0</v>
      </c>
      <c r="N75" s="16">
        <v>0</v>
      </c>
      <c r="O75" s="14">
        <v>0</v>
      </c>
      <c r="P75" s="16">
        <v>0</v>
      </c>
      <c r="Q75" s="14">
        <v>0</v>
      </c>
      <c r="R75" s="16">
        <v>0</v>
      </c>
    </row>
    <row r="76" spans="1:18" x14ac:dyDescent="0.25">
      <c r="A76" s="11" t="s">
        <v>209</v>
      </c>
      <c r="B76" s="13">
        <v>14167</v>
      </c>
      <c r="C76" s="14">
        <f>(11764/B76*100)</f>
        <v>83.038046163619683</v>
      </c>
      <c r="D76" s="15">
        <v>2403</v>
      </c>
      <c r="E76" s="14">
        <v>25.62746366</v>
      </c>
      <c r="F76" s="16">
        <v>1.1299999599999999</v>
      </c>
      <c r="G76" s="14">
        <v>74.372536339999996</v>
      </c>
      <c r="H76" s="16">
        <v>1.1299999599999999</v>
      </c>
      <c r="I76" s="14" t="s">
        <v>139</v>
      </c>
      <c r="J76" s="16" t="s">
        <v>139</v>
      </c>
      <c r="K76" s="14">
        <v>0</v>
      </c>
      <c r="L76" s="16">
        <v>0</v>
      </c>
      <c r="M76" s="14">
        <v>0</v>
      </c>
      <c r="N76" s="16">
        <v>0</v>
      </c>
      <c r="O76" s="14">
        <v>0</v>
      </c>
      <c r="P76" s="16">
        <v>0</v>
      </c>
      <c r="Q76" s="14">
        <v>0</v>
      </c>
      <c r="R76" s="16">
        <v>0</v>
      </c>
    </row>
    <row r="77" spans="1:18" x14ac:dyDescent="0.25">
      <c r="A77" s="11" t="s">
        <v>210</v>
      </c>
      <c r="B77" s="13">
        <v>6062</v>
      </c>
      <c r="C77" s="14">
        <f>(5037/B77*100)</f>
        <v>83.091388980534475</v>
      </c>
      <c r="D77" s="15">
        <v>1025</v>
      </c>
      <c r="E77" s="14">
        <v>20.477370100000002</v>
      </c>
      <c r="F77" s="16">
        <v>1.32773396</v>
      </c>
      <c r="G77" s="14">
        <v>79.522629899999998</v>
      </c>
      <c r="H77" s="16">
        <v>1.32773396</v>
      </c>
      <c r="I77" s="14" t="s">
        <v>139</v>
      </c>
      <c r="J77" s="16" t="s">
        <v>139</v>
      </c>
      <c r="K77" s="14">
        <v>0</v>
      </c>
      <c r="L77" s="16">
        <v>0</v>
      </c>
      <c r="M77" s="14">
        <v>0</v>
      </c>
      <c r="N77" s="16">
        <v>0</v>
      </c>
      <c r="O77" s="14">
        <v>0</v>
      </c>
      <c r="P77" s="16">
        <v>0</v>
      </c>
      <c r="Q77" s="14">
        <v>0</v>
      </c>
      <c r="R77" s="16">
        <v>0</v>
      </c>
    </row>
    <row r="78" spans="1:18" x14ac:dyDescent="0.25">
      <c r="A78" s="11" t="s">
        <v>211</v>
      </c>
      <c r="B78" s="17" t="s">
        <v>154</v>
      </c>
      <c r="C78" s="17" t="s">
        <v>154</v>
      </c>
      <c r="D78" s="18" t="s">
        <v>154</v>
      </c>
      <c r="E78" s="17" t="s">
        <v>154</v>
      </c>
      <c r="F78" s="18" t="s">
        <v>154</v>
      </c>
      <c r="G78" s="17" t="s">
        <v>154</v>
      </c>
      <c r="H78" s="18" t="s">
        <v>154</v>
      </c>
      <c r="I78" s="17" t="s">
        <v>154</v>
      </c>
      <c r="J78" s="18" t="s">
        <v>154</v>
      </c>
      <c r="K78" s="17" t="s">
        <v>154</v>
      </c>
      <c r="L78" s="18" t="s">
        <v>154</v>
      </c>
      <c r="M78" s="17" t="s">
        <v>154</v>
      </c>
      <c r="N78" s="18" t="s">
        <v>154</v>
      </c>
      <c r="O78" s="17" t="s">
        <v>154</v>
      </c>
      <c r="P78" s="18" t="s">
        <v>154</v>
      </c>
      <c r="Q78" s="17" t="s">
        <v>154</v>
      </c>
      <c r="R78" s="18" t="s">
        <v>154</v>
      </c>
    </row>
    <row r="79" spans="1:18" ht="24.95" customHeight="1" x14ac:dyDescent="0.25">
      <c r="A79" s="11" t="s">
        <v>212</v>
      </c>
      <c r="B79" s="17" t="s">
        <v>154</v>
      </c>
      <c r="C79" s="17" t="s">
        <v>154</v>
      </c>
      <c r="D79" s="18" t="s">
        <v>154</v>
      </c>
      <c r="E79" s="17" t="s">
        <v>154</v>
      </c>
      <c r="F79" s="18" t="s">
        <v>154</v>
      </c>
      <c r="G79" s="17" t="s">
        <v>154</v>
      </c>
      <c r="H79" s="18" t="s">
        <v>154</v>
      </c>
      <c r="I79" s="17" t="s">
        <v>154</v>
      </c>
      <c r="J79" s="18" t="s">
        <v>154</v>
      </c>
      <c r="K79" s="17" t="s">
        <v>154</v>
      </c>
      <c r="L79" s="18" t="s">
        <v>154</v>
      </c>
      <c r="M79" s="17" t="s">
        <v>154</v>
      </c>
      <c r="N79" s="18" t="s">
        <v>154</v>
      </c>
      <c r="O79" s="17" t="s">
        <v>154</v>
      </c>
      <c r="P79" s="18" t="s">
        <v>154</v>
      </c>
      <c r="Q79" s="17" t="s">
        <v>154</v>
      </c>
      <c r="R79" s="18" t="s">
        <v>154</v>
      </c>
    </row>
    <row r="80" spans="1:18" x14ac:dyDescent="0.25">
      <c r="A80" s="11" t="s">
        <v>213</v>
      </c>
      <c r="B80" s="17" t="s">
        <v>154</v>
      </c>
      <c r="C80" s="17" t="s">
        <v>154</v>
      </c>
      <c r="D80" s="18" t="s">
        <v>154</v>
      </c>
      <c r="E80" s="17" t="s">
        <v>154</v>
      </c>
      <c r="F80" s="18" t="s">
        <v>154</v>
      </c>
      <c r="G80" s="17" t="s">
        <v>154</v>
      </c>
      <c r="H80" s="18" t="s">
        <v>154</v>
      </c>
      <c r="I80" s="17" t="s">
        <v>154</v>
      </c>
      <c r="J80" s="18" t="s">
        <v>154</v>
      </c>
      <c r="K80" s="17" t="s">
        <v>154</v>
      </c>
      <c r="L80" s="18" t="s">
        <v>154</v>
      </c>
      <c r="M80" s="17" t="s">
        <v>154</v>
      </c>
      <c r="N80" s="18" t="s">
        <v>154</v>
      </c>
      <c r="O80" s="17" t="s">
        <v>154</v>
      </c>
      <c r="P80" s="18" t="s">
        <v>154</v>
      </c>
      <c r="Q80" s="17" t="s">
        <v>154</v>
      </c>
      <c r="R80" s="18" t="s">
        <v>154</v>
      </c>
    </row>
    <row r="81" spans="1:18" x14ac:dyDescent="0.25">
      <c r="A81" s="19" t="s">
        <v>214</v>
      </c>
      <c r="B81" s="13">
        <v>8861</v>
      </c>
      <c r="C81" s="14">
        <f>(7344/B81*100)</f>
        <v>82.880036113305493</v>
      </c>
      <c r="D81" s="15">
        <v>1517</v>
      </c>
      <c r="E81" s="14">
        <v>24.725029620000001</v>
      </c>
      <c r="F81" s="16">
        <v>1.3530794799999999</v>
      </c>
      <c r="G81" s="14">
        <v>75.274970379999999</v>
      </c>
      <c r="H81" s="16">
        <v>1.3530794799999999</v>
      </c>
      <c r="I81" s="14" t="s">
        <v>139</v>
      </c>
      <c r="J81" s="16" t="s">
        <v>139</v>
      </c>
      <c r="K81" s="14">
        <v>0</v>
      </c>
      <c r="L81" s="16">
        <v>0</v>
      </c>
      <c r="M81" s="14">
        <v>0</v>
      </c>
      <c r="N81" s="16">
        <v>0</v>
      </c>
      <c r="O81" s="14">
        <v>0</v>
      </c>
      <c r="P81" s="16">
        <v>0</v>
      </c>
      <c r="Q81" s="14">
        <v>0</v>
      </c>
      <c r="R81" s="16">
        <v>0</v>
      </c>
    </row>
    <row r="82" spans="1:18" x14ac:dyDescent="0.25">
      <c r="A82" s="20"/>
      <c r="B82" s="20" t="s">
        <v>215</v>
      </c>
      <c r="C82" s="20" t="s">
        <v>215</v>
      </c>
      <c r="D82" s="20" t="s">
        <v>215</v>
      </c>
      <c r="E82" s="20" t="s">
        <v>215</v>
      </c>
      <c r="F82" s="20" t="s">
        <v>215</v>
      </c>
      <c r="G82" s="20" t="s">
        <v>215</v>
      </c>
      <c r="H82" s="20" t="s">
        <v>215</v>
      </c>
      <c r="I82" s="20" t="s">
        <v>215</v>
      </c>
      <c r="J82" s="20" t="s">
        <v>215</v>
      </c>
      <c r="K82" s="20" t="s">
        <v>215</v>
      </c>
      <c r="L82" s="20" t="s">
        <v>215</v>
      </c>
      <c r="M82" s="20" t="s">
        <v>215</v>
      </c>
      <c r="N82" s="20" t="s">
        <v>215</v>
      </c>
      <c r="O82" s="20" t="s">
        <v>215</v>
      </c>
      <c r="P82" s="20" t="s">
        <v>215</v>
      </c>
      <c r="Q82" s="20" t="s">
        <v>215</v>
      </c>
      <c r="R82" s="20" t="s">
        <v>215</v>
      </c>
    </row>
    <row r="83" spans="1:18" x14ac:dyDescent="0.25">
      <c r="A83" s="3" t="s">
        <v>216</v>
      </c>
    </row>
    <row r="84" spans="1:18" x14ac:dyDescent="0.25">
      <c r="A84" s="22" t="s">
        <v>217</v>
      </c>
      <c r="B84" s="23"/>
      <c r="C84" s="23"/>
      <c r="D84" s="23"/>
      <c r="E84" s="23"/>
      <c r="F84" s="23"/>
      <c r="G84" s="23"/>
      <c r="H84" s="23"/>
      <c r="I84" s="23"/>
      <c r="J84" s="23"/>
      <c r="K84" s="23"/>
      <c r="L84" s="23"/>
      <c r="M84" s="23"/>
      <c r="N84" s="23"/>
      <c r="O84" s="23"/>
      <c r="P84" s="23"/>
      <c r="Q84" s="23"/>
      <c r="R84" s="23"/>
    </row>
    <row r="85" spans="1:18" x14ac:dyDescent="0.25">
      <c r="A85" s="22" t="s">
        <v>218</v>
      </c>
      <c r="B85" s="23"/>
      <c r="C85" s="23"/>
      <c r="D85" s="23"/>
      <c r="E85" s="23"/>
      <c r="F85" s="23"/>
      <c r="G85" s="23"/>
      <c r="H85" s="23"/>
      <c r="I85" s="23"/>
      <c r="J85" s="23"/>
      <c r="K85" s="23"/>
      <c r="L85" s="23"/>
      <c r="M85" s="23"/>
      <c r="N85" s="23"/>
      <c r="O85" s="23"/>
      <c r="P85" s="23"/>
      <c r="Q85" s="23"/>
      <c r="R85" s="23"/>
    </row>
    <row r="86" spans="1:18" ht="30" customHeight="1" x14ac:dyDescent="0.25">
      <c r="A86" s="22" t="s">
        <v>219</v>
      </c>
      <c r="B86" s="23"/>
      <c r="C86" s="23"/>
      <c r="D86" s="23"/>
      <c r="E86" s="23"/>
      <c r="F86" s="23"/>
      <c r="G86" s="23"/>
      <c r="H86" s="23"/>
      <c r="I86" s="23"/>
      <c r="J86" s="23"/>
      <c r="K86" s="23"/>
      <c r="L86" s="23"/>
      <c r="M86" s="23"/>
      <c r="N86" s="23"/>
      <c r="O86" s="23"/>
      <c r="P86" s="23"/>
      <c r="Q86" s="23"/>
      <c r="R86" s="23"/>
    </row>
    <row r="87" spans="1:18" ht="30" customHeight="1" x14ac:dyDescent="0.25">
      <c r="A87" s="22" t="s">
        <v>215</v>
      </c>
      <c r="B87" s="23"/>
      <c r="C87" s="23"/>
      <c r="D87" s="23"/>
      <c r="E87" s="23"/>
      <c r="F87" s="23"/>
      <c r="G87" s="23"/>
      <c r="H87" s="23"/>
      <c r="I87" s="23"/>
      <c r="J87" s="23"/>
      <c r="K87" s="23"/>
      <c r="L87" s="23"/>
      <c r="M87" s="23"/>
      <c r="N87" s="23"/>
      <c r="O87" s="23"/>
      <c r="P87" s="23"/>
      <c r="Q87" s="23"/>
      <c r="R87" s="23"/>
    </row>
    <row r="88" spans="1:18" ht="30" customHeight="1" x14ac:dyDescent="0.25">
      <c r="A88" s="22" t="s">
        <v>220</v>
      </c>
      <c r="B88" s="23"/>
      <c r="C88" s="23"/>
      <c r="D88" s="23"/>
      <c r="E88" s="23"/>
      <c r="F88" s="23"/>
      <c r="G88" s="23"/>
      <c r="H88" s="23"/>
      <c r="I88" s="23"/>
      <c r="J88" s="23"/>
      <c r="K88" s="23"/>
      <c r="L88" s="23"/>
      <c r="M88" s="23"/>
      <c r="N88" s="23"/>
      <c r="O88" s="23"/>
      <c r="P88" s="23"/>
      <c r="Q88" s="23"/>
      <c r="R88" s="23"/>
    </row>
    <row r="89" spans="1:18" ht="30" customHeight="1" x14ac:dyDescent="0.25">
      <c r="A89" s="22" t="s">
        <v>221</v>
      </c>
      <c r="B89" s="23"/>
      <c r="C89" s="23"/>
      <c r="D89" s="23"/>
      <c r="E89" s="23"/>
      <c r="F89" s="23"/>
      <c r="G89" s="23"/>
      <c r="H89" s="23"/>
      <c r="I89" s="23"/>
      <c r="J89" s="23"/>
      <c r="K89" s="23"/>
      <c r="L89" s="23"/>
      <c r="M89" s="23"/>
      <c r="N89" s="23"/>
      <c r="O89" s="23"/>
      <c r="P89" s="23"/>
      <c r="Q89" s="23"/>
      <c r="R89" s="23"/>
    </row>
    <row r="90" spans="1:18" ht="30" customHeight="1" x14ac:dyDescent="0.25">
      <c r="A90" s="22" t="s">
        <v>222</v>
      </c>
      <c r="B90" s="23"/>
      <c r="C90" s="23"/>
      <c r="D90" s="23"/>
      <c r="E90" s="23"/>
      <c r="F90" s="23"/>
      <c r="G90" s="23"/>
      <c r="H90" s="23"/>
      <c r="I90" s="23"/>
      <c r="J90" s="23"/>
      <c r="K90" s="23"/>
      <c r="L90" s="23"/>
      <c r="M90" s="23"/>
      <c r="N90" s="23"/>
      <c r="O90" s="23"/>
      <c r="P90" s="23"/>
      <c r="Q90" s="23"/>
      <c r="R90" s="23"/>
    </row>
    <row r="91" spans="1:18" ht="30" customHeight="1" x14ac:dyDescent="0.25">
      <c r="A91" s="22" t="s">
        <v>223</v>
      </c>
      <c r="B91" s="23"/>
      <c r="C91" s="23"/>
      <c r="D91" s="23"/>
      <c r="E91" s="23"/>
      <c r="F91" s="23"/>
      <c r="G91" s="23"/>
      <c r="H91" s="23"/>
      <c r="I91" s="23"/>
      <c r="J91" s="23"/>
      <c r="K91" s="23"/>
      <c r="L91" s="23"/>
      <c r="M91" s="23"/>
      <c r="N91" s="23"/>
      <c r="O91" s="23"/>
      <c r="P91" s="23"/>
      <c r="Q91" s="23"/>
      <c r="R91" s="23"/>
    </row>
    <row r="92" spans="1:18" ht="30" customHeight="1" x14ac:dyDescent="0.25">
      <c r="A92" s="22" t="s">
        <v>224</v>
      </c>
      <c r="B92" s="23"/>
      <c r="C92" s="23"/>
      <c r="D92" s="23"/>
      <c r="E92" s="23"/>
      <c r="F92" s="23"/>
      <c r="G92" s="23"/>
      <c r="H92" s="23"/>
      <c r="I92" s="23"/>
      <c r="J92" s="23"/>
      <c r="K92" s="23"/>
      <c r="L92" s="23"/>
      <c r="M92" s="23"/>
      <c r="N92" s="23"/>
      <c r="O92" s="23"/>
      <c r="P92" s="23"/>
      <c r="Q92" s="23"/>
      <c r="R92" s="23"/>
    </row>
    <row r="93" spans="1:18" ht="30" customHeight="1" x14ac:dyDescent="0.25">
      <c r="A93" s="22" t="s">
        <v>225</v>
      </c>
      <c r="B93" s="23"/>
      <c r="C93" s="23"/>
      <c r="D93" s="23"/>
      <c r="E93" s="23"/>
      <c r="F93" s="23"/>
      <c r="G93" s="23"/>
      <c r="H93" s="23"/>
      <c r="I93" s="23"/>
      <c r="J93" s="23"/>
      <c r="K93" s="23"/>
      <c r="L93" s="23"/>
      <c r="M93" s="23"/>
      <c r="N93" s="23"/>
      <c r="O93" s="23"/>
      <c r="P93" s="23"/>
      <c r="Q93" s="23"/>
      <c r="R93" s="23"/>
    </row>
    <row r="94" spans="1:18" ht="30" customHeight="1" x14ac:dyDescent="0.25">
      <c r="A94" s="22" t="s">
        <v>226</v>
      </c>
      <c r="B94" s="23"/>
      <c r="C94" s="23"/>
      <c r="D94" s="23"/>
      <c r="E94" s="23"/>
      <c r="F94" s="23"/>
      <c r="G94" s="23"/>
      <c r="H94" s="23"/>
      <c r="I94" s="23"/>
      <c r="J94" s="23"/>
      <c r="K94" s="23"/>
      <c r="L94" s="23"/>
      <c r="M94" s="23"/>
      <c r="N94" s="23"/>
      <c r="O94" s="23"/>
      <c r="P94" s="23"/>
      <c r="Q94" s="23"/>
      <c r="R94" s="23"/>
    </row>
    <row r="95" spans="1:18" ht="30" customHeight="1" x14ac:dyDescent="0.25">
      <c r="A95" s="22" t="s">
        <v>227</v>
      </c>
      <c r="B95" s="23"/>
      <c r="C95" s="23"/>
      <c r="D95" s="23"/>
      <c r="E95" s="23"/>
      <c r="F95" s="23"/>
      <c r="G95" s="23"/>
      <c r="H95" s="23"/>
      <c r="I95" s="23"/>
      <c r="J95" s="23"/>
      <c r="K95" s="23"/>
      <c r="L95" s="23"/>
      <c r="M95" s="23"/>
      <c r="N95" s="23"/>
      <c r="O95" s="23"/>
      <c r="P95" s="23"/>
      <c r="Q95" s="23"/>
      <c r="R95" s="23"/>
    </row>
    <row r="96" spans="1:18" ht="30" customHeight="1" x14ac:dyDescent="0.25">
      <c r="A96" s="22" t="s">
        <v>228</v>
      </c>
      <c r="B96" s="23"/>
      <c r="C96" s="23"/>
      <c r="D96" s="23"/>
      <c r="E96" s="23"/>
      <c r="F96" s="23"/>
      <c r="G96" s="23"/>
      <c r="H96" s="23"/>
      <c r="I96" s="23"/>
      <c r="J96" s="23"/>
      <c r="K96" s="23"/>
      <c r="L96" s="23"/>
      <c r="M96" s="23"/>
      <c r="N96" s="23"/>
      <c r="O96" s="23"/>
      <c r="P96" s="23"/>
      <c r="Q96" s="23"/>
      <c r="R96" s="23"/>
    </row>
  </sheetData>
  <mergeCells count="22">
    <mergeCell ref="O4:P4"/>
    <mergeCell ref="Q4:R4"/>
    <mergeCell ref="A1:R1"/>
    <mergeCell ref="A2:R2"/>
    <mergeCell ref="A84:R84"/>
    <mergeCell ref="E4:F4"/>
    <mergeCell ref="G4:H4"/>
    <mergeCell ref="I4:J4"/>
    <mergeCell ref="K4:L4"/>
    <mergeCell ref="M4:N4"/>
    <mergeCell ref="A85:R85"/>
    <mergeCell ref="A86:R86"/>
    <mergeCell ref="A87:R87"/>
    <mergeCell ref="A88:R88"/>
    <mergeCell ref="A89:R89"/>
    <mergeCell ref="A95:R95"/>
    <mergeCell ref="A96:R96"/>
    <mergeCell ref="A90:R90"/>
    <mergeCell ref="A91:R91"/>
    <mergeCell ref="A92:R92"/>
    <mergeCell ref="A93:R93"/>
    <mergeCell ref="A94:R94"/>
  </mergeCells>
  <pageMargins left="0.75" right="0.75" top="1" bottom="1" header="0.5" footer="0.5"/>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3"/>
  <dimension ref="A1:R96"/>
  <sheetViews>
    <sheetView zoomScale="80" workbookViewId="0">
      <pane xSplit="4" topLeftCell="E1" activePane="topRight" state="frozen"/>
      <selection sqref="A1:R1"/>
      <selection pane="topRight" sqref="A1:R1"/>
    </sheetView>
  </sheetViews>
  <sheetFormatPr defaultColWidth="11.42578125" defaultRowHeight="15" x14ac:dyDescent="0.25"/>
  <cols>
    <col min="1" max="1" width="50" customWidth="1"/>
  </cols>
  <sheetData>
    <row r="1" spans="1:18" x14ac:dyDescent="0.25">
      <c r="A1" s="26" t="s">
        <v>122</v>
      </c>
      <c r="B1" s="23"/>
      <c r="C1" s="23"/>
      <c r="D1" s="23"/>
      <c r="E1" s="23"/>
      <c r="F1" s="23"/>
      <c r="G1" s="23"/>
      <c r="H1" s="23"/>
      <c r="I1" s="23"/>
      <c r="J1" s="23"/>
      <c r="K1" s="23"/>
      <c r="L1" s="23"/>
      <c r="M1" s="23"/>
      <c r="N1" s="23"/>
      <c r="O1" s="23"/>
      <c r="P1" s="23"/>
      <c r="Q1" s="23"/>
      <c r="R1" s="23"/>
    </row>
    <row r="2" spans="1:18" x14ac:dyDescent="0.25">
      <c r="A2" s="27" t="s">
        <v>319</v>
      </c>
      <c r="B2" s="23"/>
      <c r="C2" s="23"/>
      <c r="D2" s="23"/>
      <c r="E2" s="23"/>
      <c r="F2" s="23"/>
      <c r="G2" s="23"/>
      <c r="H2" s="23"/>
      <c r="I2" s="23"/>
      <c r="J2" s="23"/>
      <c r="K2" s="23"/>
      <c r="L2" s="23"/>
      <c r="M2" s="23"/>
      <c r="N2" s="23"/>
      <c r="O2" s="23"/>
      <c r="P2" s="23"/>
      <c r="Q2" s="23"/>
      <c r="R2" s="23"/>
    </row>
    <row r="4" spans="1:18" ht="30" customHeight="1" x14ac:dyDescent="0.25">
      <c r="A4" s="4"/>
      <c r="B4" s="5" t="s">
        <v>123</v>
      </c>
      <c r="C4" s="5" t="s">
        <v>124</v>
      </c>
      <c r="D4" s="6" t="s">
        <v>123</v>
      </c>
      <c r="E4" s="24" t="s">
        <v>125</v>
      </c>
      <c r="F4" s="25"/>
      <c r="G4" s="24" t="s">
        <v>126</v>
      </c>
      <c r="H4" s="25"/>
      <c r="I4" s="24" t="s">
        <v>127</v>
      </c>
      <c r="J4" s="25"/>
      <c r="K4" s="24" t="s">
        <v>128</v>
      </c>
      <c r="L4" s="25"/>
      <c r="M4" s="24" t="s">
        <v>129</v>
      </c>
      <c r="N4" s="25"/>
      <c r="O4" s="24" t="s">
        <v>130</v>
      </c>
      <c r="P4" s="25"/>
      <c r="Q4" s="24" t="s">
        <v>131</v>
      </c>
      <c r="R4" s="25"/>
    </row>
    <row r="5" spans="1:18" x14ac:dyDescent="0.25">
      <c r="A5" s="7"/>
      <c r="B5" s="8" t="s">
        <v>132</v>
      </c>
      <c r="C5" s="8" t="s">
        <v>133</v>
      </c>
      <c r="D5" s="7" t="s">
        <v>134</v>
      </c>
      <c r="E5" s="8" t="s">
        <v>135</v>
      </c>
      <c r="F5" s="7" t="s">
        <v>136</v>
      </c>
      <c r="G5" s="8" t="s">
        <v>135</v>
      </c>
      <c r="H5" s="7" t="s">
        <v>136</v>
      </c>
      <c r="I5" s="8" t="s">
        <v>135</v>
      </c>
      <c r="J5" s="7" t="s">
        <v>136</v>
      </c>
      <c r="K5" s="8" t="s">
        <v>135</v>
      </c>
      <c r="L5" s="7" t="s">
        <v>136</v>
      </c>
      <c r="M5" s="8" t="s">
        <v>135</v>
      </c>
      <c r="N5" s="7" t="s">
        <v>136</v>
      </c>
      <c r="O5" s="8" t="s">
        <v>135</v>
      </c>
      <c r="P5" s="7" t="s">
        <v>136</v>
      </c>
      <c r="Q5" s="8" t="s">
        <v>135</v>
      </c>
      <c r="R5" s="7" t="s">
        <v>136</v>
      </c>
    </row>
    <row r="6" spans="1:18" x14ac:dyDescent="0.25">
      <c r="A6" s="9" t="s">
        <v>137</v>
      </c>
      <c r="B6" s="10"/>
      <c r="C6" s="10"/>
      <c r="D6" s="11"/>
      <c r="E6" s="10"/>
      <c r="F6" s="11"/>
      <c r="G6" s="10"/>
      <c r="H6" s="11"/>
      <c r="I6" s="10"/>
      <c r="J6" s="11"/>
      <c r="K6" s="10"/>
      <c r="L6" s="11"/>
      <c r="M6" s="10"/>
      <c r="N6" s="11"/>
      <c r="O6" s="10"/>
      <c r="P6" s="11"/>
      <c r="Q6" s="10"/>
      <c r="R6" s="12"/>
    </row>
    <row r="7" spans="1:18" x14ac:dyDescent="0.25">
      <c r="A7" s="11" t="s">
        <v>138</v>
      </c>
      <c r="B7" s="13">
        <v>14530</v>
      </c>
      <c r="C7" s="14">
        <f>(12048/B7*100)</f>
        <v>82.918100481761869</v>
      </c>
      <c r="D7" s="15">
        <v>2482</v>
      </c>
      <c r="E7" s="14">
        <v>28.945704859999999</v>
      </c>
      <c r="F7" s="16">
        <v>1.13120657</v>
      </c>
      <c r="G7" s="14">
        <v>71.054295139999994</v>
      </c>
      <c r="H7" s="16">
        <v>1.13120657</v>
      </c>
      <c r="I7" s="14" t="s">
        <v>139</v>
      </c>
      <c r="J7" s="16" t="s">
        <v>139</v>
      </c>
      <c r="K7" s="14">
        <v>0</v>
      </c>
      <c r="L7" s="16">
        <v>0</v>
      </c>
      <c r="M7" s="14">
        <v>0</v>
      </c>
      <c r="N7" s="16">
        <v>0</v>
      </c>
      <c r="O7" s="14">
        <v>0</v>
      </c>
      <c r="P7" s="16">
        <v>0</v>
      </c>
      <c r="Q7" s="14">
        <v>0</v>
      </c>
      <c r="R7" s="16">
        <v>0</v>
      </c>
    </row>
    <row r="8" spans="1:18" x14ac:dyDescent="0.25">
      <c r="A8" s="11" t="s">
        <v>140</v>
      </c>
      <c r="B8" s="13">
        <v>7007</v>
      </c>
      <c r="C8" s="14">
        <f>(5767/B8*100)</f>
        <v>82.303410874839443</v>
      </c>
      <c r="D8" s="15">
        <v>1240</v>
      </c>
      <c r="E8" s="14">
        <v>33.584919829999997</v>
      </c>
      <c r="F8" s="16">
        <v>1.4711441000000001</v>
      </c>
      <c r="G8" s="14">
        <v>66.415080169999996</v>
      </c>
      <c r="H8" s="16">
        <v>1.4711441000000001</v>
      </c>
      <c r="I8" s="14" t="s">
        <v>139</v>
      </c>
      <c r="J8" s="16" t="s">
        <v>139</v>
      </c>
      <c r="K8" s="14">
        <v>0</v>
      </c>
      <c r="L8" s="16">
        <v>0</v>
      </c>
      <c r="M8" s="14">
        <v>0</v>
      </c>
      <c r="N8" s="16">
        <v>0</v>
      </c>
      <c r="O8" s="14">
        <v>0</v>
      </c>
      <c r="P8" s="16">
        <v>0</v>
      </c>
      <c r="Q8" s="14">
        <v>0</v>
      </c>
      <c r="R8" s="16">
        <v>0</v>
      </c>
    </row>
    <row r="9" spans="1:18" x14ac:dyDescent="0.25">
      <c r="A9" s="11" t="s">
        <v>141</v>
      </c>
      <c r="B9" s="13">
        <v>9651</v>
      </c>
      <c r="C9" s="14">
        <f>(8033/B9*100)</f>
        <v>83.234897938037506</v>
      </c>
      <c r="D9" s="15">
        <v>1618</v>
      </c>
      <c r="E9" s="14">
        <v>49.975647440000003</v>
      </c>
      <c r="F9" s="16">
        <v>1.3502099000000001</v>
      </c>
      <c r="G9" s="14">
        <v>50.024352559999997</v>
      </c>
      <c r="H9" s="16">
        <v>1.3502099000000001</v>
      </c>
      <c r="I9" s="14" t="s">
        <v>139</v>
      </c>
      <c r="J9" s="16" t="s">
        <v>139</v>
      </c>
      <c r="K9" s="14">
        <v>0</v>
      </c>
      <c r="L9" s="16">
        <v>0</v>
      </c>
      <c r="M9" s="14">
        <v>0</v>
      </c>
      <c r="N9" s="16">
        <v>0</v>
      </c>
      <c r="O9" s="14">
        <v>0</v>
      </c>
      <c r="P9" s="16">
        <v>0</v>
      </c>
      <c r="Q9" s="14">
        <v>0</v>
      </c>
      <c r="R9" s="16">
        <v>0</v>
      </c>
    </row>
    <row r="10" spans="1:18" x14ac:dyDescent="0.25">
      <c r="A10" s="11" t="s">
        <v>142</v>
      </c>
      <c r="B10" s="13">
        <v>20058</v>
      </c>
      <c r="C10" s="14">
        <f>(16642/B10*100)</f>
        <v>82.969388772559583</v>
      </c>
      <c r="D10" s="15">
        <v>3416</v>
      </c>
      <c r="E10" s="14">
        <v>28.51598289</v>
      </c>
      <c r="F10" s="16">
        <v>1.15313428</v>
      </c>
      <c r="G10" s="14">
        <v>71.484017109999996</v>
      </c>
      <c r="H10" s="16">
        <v>1.15313428</v>
      </c>
      <c r="I10" s="14" t="s">
        <v>139</v>
      </c>
      <c r="J10" s="16" t="s">
        <v>139</v>
      </c>
      <c r="K10" s="14">
        <v>0</v>
      </c>
      <c r="L10" s="16">
        <v>0</v>
      </c>
      <c r="M10" s="14">
        <v>0</v>
      </c>
      <c r="N10" s="16">
        <v>0</v>
      </c>
      <c r="O10" s="14">
        <v>0</v>
      </c>
      <c r="P10" s="16">
        <v>0</v>
      </c>
      <c r="Q10" s="14">
        <v>0</v>
      </c>
      <c r="R10" s="16">
        <v>0</v>
      </c>
    </row>
    <row r="11" spans="1:18" x14ac:dyDescent="0.25">
      <c r="A11" s="11" t="s">
        <v>143</v>
      </c>
      <c r="B11" s="13">
        <v>7053</v>
      </c>
      <c r="C11" s="14">
        <f>(5822/B11*100)</f>
        <v>82.546434141500072</v>
      </c>
      <c r="D11" s="15">
        <v>1231</v>
      </c>
      <c r="E11" s="14">
        <v>46.04889584</v>
      </c>
      <c r="F11" s="16">
        <v>1.6336503899999999</v>
      </c>
      <c r="G11" s="14">
        <v>53.95110416</v>
      </c>
      <c r="H11" s="16">
        <v>1.6336503899999999</v>
      </c>
      <c r="I11" s="14" t="s">
        <v>139</v>
      </c>
      <c r="J11" s="16" t="s">
        <v>139</v>
      </c>
      <c r="K11" s="14">
        <v>0</v>
      </c>
      <c r="L11" s="16">
        <v>0</v>
      </c>
      <c r="M11" s="14">
        <v>0</v>
      </c>
      <c r="N11" s="16">
        <v>0</v>
      </c>
      <c r="O11" s="14">
        <v>0</v>
      </c>
      <c r="P11" s="16">
        <v>0</v>
      </c>
      <c r="Q11" s="14">
        <v>0</v>
      </c>
      <c r="R11" s="16">
        <v>0</v>
      </c>
    </row>
    <row r="12" spans="1:18" x14ac:dyDescent="0.25">
      <c r="A12" s="11" t="s">
        <v>144</v>
      </c>
      <c r="B12" s="13">
        <v>6894</v>
      </c>
      <c r="C12" s="14">
        <f>(5719/B12*100)</f>
        <v>82.95619379170293</v>
      </c>
      <c r="D12" s="15">
        <v>1175</v>
      </c>
      <c r="E12" s="14">
        <v>47.811744259999998</v>
      </c>
      <c r="F12" s="16">
        <v>1.7794060199999999</v>
      </c>
      <c r="G12" s="14">
        <v>52.188255740000002</v>
      </c>
      <c r="H12" s="16">
        <v>1.7794060199999999</v>
      </c>
      <c r="I12" s="14" t="s">
        <v>139</v>
      </c>
      <c r="J12" s="16" t="s">
        <v>139</v>
      </c>
      <c r="K12" s="14">
        <v>0</v>
      </c>
      <c r="L12" s="16">
        <v>0</v>
      </c>
      <c r="M12" s="14">
        <v>0</v>
      </c>
      <c r="N12" s="16">
        <v>0</v>
      </c>
      <c r="O12" s="14">
        <v>0</v>
      </c>
      <c r="P12" s="16">
        <v>0</v>
      </c>
      <c r="Q12" s="14">
        <v>0</v>
      </c>
      <c r="R12" s="16">
        <v>0</v>
      </c>
    </row>
    <row r="13" spans="1:18" x14ac:dyDescent="0.25">
      <c r="A13" s="11" t="s">
        <v>145</v>
      </c>
      <c r="B13" s="13">
        <v>7161</v>
      </c>
      <c r="C13" s="14">
        <f>(5990/B13*100)</f>
        <v>83.647535260438488</v>
      </c>
      <c r="D13" s="15">
        <v>1171</v>
      </c>
      <c r="E13" s="14">
        <v>43.214639300000002</v>
      </c>
      <c r="F13" s="16">
        <v>1.81280011</v>
      </c>
      <c r="G13" s="14">
        <v>56.785360699999998</v>
      </c>
      <c r="H13" s="16">
        <v>1.81280011</v>
      </c>
      <c r="I13" s="14" t="s">
        <v>139</v>
      </c>
      <c r="J13" s="16" t="s">
        <v>139</v>
      </c>
      <c r="K13" s="14">
        <v>0</v>
      </c>
      <c r="L13" s="16">
        <v>0</v>
      </c>
      <c r="M13" s="14">
        <v>0</v>
      </c>
      <c r="N13" s="16">
        <v>0</v>
      </c>
      <c r="O13" s="14">
        <v>0</v>
      </c>
      <c r="P13" s="16">
        <v>0</v>
      </c>
      <c r="Q13" s="14">
        <v>0</v>
      </c>
      <c r="R13" s="16">
        <v>0</v>
      </c>
    </row>
    <row r="14" spans="1:18" x14ac:dyDescent="0.25">
      <c r="A14" s="11" t="s">
        <v>146</v>
      </c>
      <c r="B14" s="13">
        <v>5587</v>
      </c>
      <c r="C14" s="14">
        <f>(4623/B14*100)</f>
        <v>82.745659566851614</v>
      </c>
      <c r="D14" s="15">
        <v>964</v>
      </c>
      <c r="E14" s="14">
        <v>42.560231940000001</v>
      </c>
      <c r="F14" s="16">
        <v>1.81268278</v>
      </c>
      <c r="G14" s="14">
        <v>57.439768059999999</v>
      </c>
      <c r="H14" s="16">
        <v>1.81268278</v>
      </c>
      <c r="I14" s="14" t="s">
        <v>139</v>
      </c>
      <c r="J14" s="16" t="s">
        <v>139</v>
      </c>
      <c r="K14" s="14">
        <v>0</v>
      </c>
      <c r="L14" s="16">
        <v>0</v>
      </c>
      <c r="M14" s="14">
        <v>0</v>
      </c>
      <c r="N14" s="16">
        <v>0</v>
      </c>
      <c r="O14" s="14">
        <v>0</v>
      </c>
      <c r="P14" s="16">
        <v>0</v>
      </c>
      <c r="Q14" s="14">
        <v>0</v>
      </c>
      <c r="R14" s="16">
        <v>0</v>
      </c>
    </row>
    <row r="15" spans="1:18" x14ac:dyDescent="0.25">
      <c r="A15" s="11" t="s">
        <v>147</v>
      </c>
      <c r="B15" s="13">
        <v>5882</v>
      </c>
      <c r="C15" s="14">
        <f>(4868/B15*100)</f>
        <v>82.760965657939479</v>
      </c>
      <c r="D15" s="15">
        <v>1014</v>
      </c>
      <c r="E15" s="14">
        <v>54.96012915</v>
      </c>
      <c r="F15" s="16">
        <v>1.97549442</v>
      </c>
      <c r="G15" s="14">
        <v>45.03987085</v>
      </c>
      <c r="H15" s="16">
        <v>1.97549442</v>
      </c>
      <c r="I15" s="14" t="s">
        <v>139</v>
      </c>
      <c r="J15" s="16" t="s">
        <v>139</v>
      </c>
      <c r="K15" s="14">
        <v>0</v>
      </c>
      <c r="L15" s="16">
        <v>0</v>
      </c>
      <c r="M15" s="14">
        <v>0</v>
      </c>
      <c r="N15" s="16">
        <v>0</v>
      </c>
      <c r="O15" s="14">
        <v>0</v>
      </c>
      <c r="P15" s="16">
        <v>0</v>
      </c>
      <c r="Q15" s="14">
        <v>0</v>
      </c>
      <c r="R15" s="16">
        <v>0</v>
      </c>
    </row>
    <row r="16" spans="1:18" x14ac:dyDescent="0.25">
      <c r="A16" s="11" t="s">
        <v>148</v>
      </c>
      <c r="B16" s="13">
        <v>6108</v>
      </c>
      <c r="C16" s="14">
        <f>(5075/B16*100)</f>
        <v>83.087753765553373</v>
      </c>
      <c r="D16" s="15">
        <v>1033</v>
      </c>
      <c r="E16" s="14">
        <v>55.55568865</v>
      </c>
      <c r="F16" s="16">
        <v>1.4650449000000001</v>
      </c>
      <c r="G16" s="14">
        <v>44.44431135</v>
      </c>
      <c r="H16" s="16">
        <v>1.4650449000000001</v>
      </c>
      <c r="I16" s="14" t="s">
        <v>139</v>
      </c>
      <c r="J16" s="16" t="s">
        <v>139</v>
      </c>
      <c r="K16" s="14">
        <v>0</v>
      </c>
      <c r="L16" s="16">
        <v>0</v>
      </c>
      <c r="M16" s="14">
        <v>0</v>
      </c>
      <c r="N16" s="16">
        <v>0</v>
      </c>
      <c r="O16" s="14">
        <v>0</v>
      </c>
      <c r="P16" s="16">
        <v>0</v>
      </c>
      <c r="Q16" s="14">
        <v>0</v>
      </c>
      <c r="R16" s="16">
        <v>0</v>
      </c>
    </row>
    <row r="17" spans="1:18" x14ac:dyDescent="0.25">
      <c r="A17" s="11" t="s">
        <v>149</v>
      </c>
      <c r="B17" s="13">
        <v>6504</v>
      </c>
      <c r="C17" s="14">
        <f>(5410/B17*100)</f>
        <v>83.179581795817953</v>
      </c>
      <c r="D17" s="15">
        <v>1094</v>
      </c>
      <c r="E17" s="14">
        <v>29.614770490000002</v>
      </c>
      <c r="F17" s="16">
        <v>1.4250160999999999</v>
      </c>
      <c r="G17" s="14">
        <v>70.385229510000002</v>
      </c>
      <c r="H17" s="16">
        <v>1.4250160999999999</v>
      </c>
      <c r="I17" s="14" t="s">
        <v>139</v>
      </c>
      <c r="J17" s="16" t="s">
        <v>139</v>
      </c>
      <c r="K17" s="14">
        <v>0</v>
      </c>
      <c r="L17" s="16">
        <v>0</v>
      </c>
      <c r="M17" s="14">
        <v>0</v>
      </c>
      <c r="N17" s="16">
        <v>0</v>
      </c>
      <c r="O17" s="14">
        <v>0</v>
      </c>
      <c r="P17" s="16">
        <v>0</v>
      </c>
      <c r="Q17" s="14">
        <v>0</v>
      </c>
      <c r="R17" s="16">
        <v>0</v>
      </c>
    </row>
    <row r="18" spans="1:18" x14ac:dyDescent="0.25">
      <c r="A18" s="11" t="s">
        <v>150</v>
      </c>
      <c r="B18" s="13">
        <v>5532</v>
      </c>
      <c r="C18" s="14">
        <f>(4578/B18*100)</f>
        <v>82.754880694143168</v>
      </c>
      <c r="D18" s="15">
        <v>954</v>
      </c>
      <c r="E18" s="14">
        <v>62.689280680000003</v>
      </c>
      <c r="F18" s="16">
        <v>1.7600364900000001</v>
      </c>
      <c r="G18" s="14">
        <v>37.310719319999997</v>
      </c>
      <c r="H18" s="16">
        <v>1.7600364900000001</v>
      </c>
      <c r="I18" s="14" t="s">
        <v>139</v>
      </c>
      <c r="J18" s="16" t="s">
        <v>139</v>
      </c>
      <c r="K18" s="14">
        <v>0</v>
      </c>
      <c r="L18" s="16">
        <v>0</v>
      </c>
      <c r="M18" s="14">
        <v>0</v>
      </c>
      <c r="N18" s="16">
        <v>0</v>
      </c>
      <c r="O18" s="14">
        <v>0</v>
      </c>
      <c r="P18" s="16">
        <v>0</v>
      </c>
      <c r="Q18" s="14">
        <v>0</v>
      </c>
      <c r="R18" s="16">
        <v>0</v>
      </c>
    </row>
    <row r="19" spans="1:18" x14ac:dyDescent="0.25">
      <c r="A19" s="11" t="s">
        <v>151</v>
      </c>
      <c r="B19" s="13">
        <v>5658</v>
      </c>
      <c r="C19" s="14">
        <f>(4690/B19*100)</f>
        <v>82.891481088723935</v>
      </c>
      <c r="D19" s="15">
        <v>968</v>
      </c>
      <c r="E19" s="14">
        <v>46.390345410000002</v>
      </c>
      <c r="F19" s="16">
        <v>1.6535242999999999</v>
      </c>
      <c r="G19" s="14">
        <v>53.609654589999998</v>
      </c>
      <c r="H19" s="16">
        <v>1.6535242999999999</v>
      </c>
      <c r="I19" s="14" t="s">
        <v>139</v>
      </c>
      <c r="J19" s="16" t="s">
        <v>139</v>
      </c>
      <c r="K19" s="14">
        <v>0</v>
      </c>
      <c r="L19" s="16">
        <v>0</v>
      </c>
      <c r="M19" s="14">
        <v>0</v>
      </c>
      <c r="N19" s="16">
        <v>0</v>
      </c>
      <c r="O19" s="14">
        <v>0</v>
      </c>
      <c r="P19" s="16">
        <v>0</v>
      </c>
      <c r="Q19" s="14">
        <v>0</v>
      </c>
      <c r="R19" s="16">
        <v>0</v>
      </c>
    </row>
    <row r="20" spans="1:18" x14ac:dyDescent="0.25">
      <c r="A20" s="11" t="s">
        <v>152</v>
      </c>
      <c r="B20" s="13">
        <v>3371</v>
      </c>
      <c r="C20" s="14">
        <f>(2798/B20*100)</f>
        <v>83.002076535152767</v>
      </c>
      <c r="D20" s="15">
        <v>573</v>
      </c>
      <c r="E20" s="14">
        <v>42.460370660000002</v>
      </c>
      <c r="F20" s="16">
        <v>2.1643608799999998</v>
      </c>
      <c r="G20" s="14">
        <v>57.539629339999998</v>
      </c>
      <c r="H20" s="16">
        <v>2.1643608799999998</v>
      </c>
      <c r="I20" s="14" t="s">
        <v>139</v>
      </c>
      <c r="J20" s="16" t="s">
        <v>139</v>
      </c>
      <c r="K20" s="14">
        <v>0</v>
      </c>
      <c r="L20" s="16">
        <v>0</v>
      </c>
      <c r="M20" s="14">
        <v>0</v>
      </c>
      <c r="N20" s="16">
        <v>0</v>
      </c>
      <c r="O20" s="14">
        <v>0</v>
      </c>
      <c r="P20" s="16">
        <v>0</v>
      </c>
      <c r="Q20" s="14">
        <v>0</v>
      </c>
      <c r="R20" s="16">
        <v>0</v>
      </c>
    </row>
    <row r="21" spans="1:18" x14ac:dyDescent="0.25">
      <c r="A21" s="11" t="s">
        <v>153</v>
      </c>
      <c r="B21" s="17" t="s">
        <v>154</v>
      </c>
      <c r="C21" s="17" t="s">
        <v>154</v>
      </c>
      <c r="D21" s="18" t="s">
        <v>154</v>
      </c>
      <c r="E21" s="17" t="s">
        <v>154</v>
      </c>
      <c r="F21" s="18" t="s">
        <v>154</v>
      </c>
      <c r="G21" s="17" t="s">
        <v>154</v>
      </c>
      <c r="H21" s="18" t="s">
        <v>154</v>
      </c>
      <c r="I21" s="17" t="s">
        <v>154</v>
      </c>
      <c r="J21" s="18" t="s">
        <v>154</v>
      </c>
      <c r="K21" s="17" t="s">
        <v>154</v>
      </c>
      <c r="L21" s="18" t="s">
        <v>154</v>
      </c>
      <c r="M21" s="17" t="s">
        <v>154</v>
      </c>
      <c r="N21" s="18" t="s">
        <v>154</v>
      </c>
      <c r="O21" s="17" t="s">
        <v>154</v>
      </c>
      <c r="P21" s="18" t="s">
        <v>154</v>
      </c>
      <c r="Q21" s="17" t="s">
        <v>154</v>
      </c>
      <c r="R21" s="18" t="s">
        <v>154</v>
      </c>
    </row>
    <row r="22" spans="1:18" x14ac:dyDescent="0.25">
      <c r="A22" s="11" t="s">
        <v>155</v>
      </c>
      <c r="B22" s="13">
        <v>6598</v>
      </c>
      <c r="C22" s="14">
        <f>(5569/B22*100)</f>
        <v>84.404364959078507</v>
      </c>
      <c r="D22" s="15">
        <v>1029</v>
      </c>
      <c r="E22" s="14">
        <v>58.845441229999999</v>
      </c>
      <c r="F22" s="16">
        <v>1.61717048</v>
      </c>
      <c r="G22" s="14">
        <v>41.154558770000001</v>
      </c>
      <c r="H22" s="16">
        <v>1.61717048</v>
      </c>
      <c r="I22" s="14" t="s">
        <v>139</v>
      </c>
      <c r="J22" s="16" t="s">
        <v>139</v>
      </c>
      <c r="K22" s="14">
        <v>0</v>
      </c>
      <c r="L22" s="16">
        <v>0</v>
      </c>
      <c r="M22" s="14">
        <v>0</v>
      </c>
      <c r="N22" s="16">
        <v>0</v>
      </c>
      <c r="O22" s="14">
        <v>0</v>
      </c>
      <c r="P22" s="16">
        <v>0</v>
      </c>
      <c r="Q22" s="14">
        <v>0</v>
      </c>
      <c r="R22" s="16">
        <v>0</v>
      </c>
    </row>
    <row r="23" spans="1:18" x14ac:dyDescent="0.25">
      <c r="A23" s="11" t="s">
        <v>156</v>
      </c>
      <c r="B23" s="13">
        <v>11583</v>
      </c>
      <c r="C23" s="14">
        <f>(9578/B23*100)</f>
        <v>82.690149356816022</v>
      </c>
      <c r="D23" s="15">
        <v>2005</v>
      </c>
      <c r="E23" s="14">
        <v>55.124614000000001</v>
      </c>
      <c r="F23" s="16">
        <v>1.8230938400000001</v>
      </c>
      <c r="G23" s="14">
        <v>44.875385999999999</v>
      </c>
      <c r="H23" s="16">
        <v>1.8230938400000001</v>
      </c>
      <c r="I23" s="14" t="s">
        <v>139</v>
      </c>
      <c r="J23" s="16" t="s">
        <v>139</v>
      </c>
      <c r="K23" s="14">
        <v>0</v>
      </c>
      <c r="L23" s="16">
        <v>0</v>
      </c>
      <c r="M23" s="14">
        <v>0</v>
      </c>
      <c r="N23" s="16">
        <v>0</v>
      </c>
      <c r="O23" s="14">
        <v>0</v>
      </c>
      <c r="P23" s="16">
        <v>0</v>
      </c>
      <c r="Q23" s="14">
        <v>0</v>
      </c>
      <c r="R23" s="16">
        <v>0</v>
      </c>
    </row>
    <row r="24" spans="1:18" x14ac:dyDescent="0.25">
      <c r="A24" s="11" t="s">
        <v>157</v>
      </c>
      <c r="B24" s="13">
        <v>6647</v>
      </c>
      <c r="C24" s="14">
        <f>(5489/B24*100)</f>
        <v>82.578606890326469</v>
      </c>
      <c r="D24" s="15">
        <v>1158</v>
      </c>
      <c r="E24" s="14">
        <v>27.35769736</v>
      </c>
      <c r="F24" s="16">
        <v>1.4675661099999999</v>
      </c>
      <c r="G24" s="14">
        <v>72.642302639999997</v>
      </c>
      <c r="H24" s="16">
        <v>1.4675661099999999</v>
      </c>
      <c r="I24" s="14" t="s">
        <v>139</v>
      </c>
      <c r="J24" s="16" t="s">
        <v>139</v>
      </c>
      <c r="K24" s="14">
        <v>0</v>
      </c>
      <c r="L24" s="16">
        <v>0</v>
      </c>
      <c r="M24" s="14">
        <v>0</v>
      </c>
      <c r="N24" s="16">
        <v>0</v>
      </c>
      <c r="O24" s="14">
        <v>0</v>
      </c>
      <c r="P24" s="16">
        <v>0</v>
      </c>
      <c r="Q24" s="14">
        <v>0</v>
      </c>
      <c r="R24" s="16">
        <v>0</v>
      </c>
    </row>
    <row r="25" spans="1:18" x14ac:dyDescent="0.25">
      <c r="A25" s="11" t="s">
        <v>158</v>
      </c>
      <c r="B25" s="13">
        <v>5581</v>
      </c>
      <c r="C25" s="14">
        <f>(4614/B25*100)</f>
        <v>82.673356029385417</v>
      </c>
      <c r="D25" s="15">
        <v>967</v>
      </c>
      <c r="E25" s="14">
        <v>24.737199919999998</v>
      </c>
      <c r="F25" s="16">
        <v>1.60185278</v>
      </c>
      <c r="G25" s="14">
        <v>75.262800080000005</v>
      </c>
      <c r="H25" s="16">
        <v>1.60185278</v>
      </c>
      <c r="I25" s="14" t="s">
        <v>139</v>
      </c>
      <c r="J25" s="16" t="s">
        <v>139</v>
      </c>
      <c r="K25" s="14">
        <v>0</v>
      </c>
      <c r="L25" s="16">
        <v>0</v>
      </c>
      <c r="M25" s="14">
        <v>0</v>
      </c>
      <c r="N25" s="16">
        <v>0</v>
      </c>
      <c r="O25" s="14">
        <v>0</v>
      </c>
      <c r="P25" s="16">
        <v>0</v>
      </c>
      <c r="Q25" s="14">
        <v>0</v>
      </c>
      <c r="R25" s="16">
        <v>0</v>
      </c>
    </row>
    <row r="26" spans="1:18" x14ac:dyDescent="0.25">
      <c r="A26" s="11" t="s">
        <v>159</v>
      </c>
      <c r="B26" s="13">
        <v>4869</v>
      </c>
      <c r="C26" s="14">
        <f>(4031/B26*100)</f>
        <v>82.789073731772433</v>
      </c>
      <c r="D26" s="15">
        <v>838</v>
      </c>
      <c r="E26" s="14">
        <v>58.382662109999998</v>
      </c>
      <c r="F26" s="16">
        <v>1.73870974</v>
      </c>
      <c r="G26" s="14">
        <v>41.617337890000002</v>
      </c>
      <c r="H26" s="16">
        <v>1.73870974</v>
      </c>
      <c r="I26" s="14" t="s">
        <v>139</v>
      </c>
      <c r="J26" s="16" t="s">
        <v>139</v>
      </c>
      <c r="K26" s="14">
        <v>0</v>
      </c>
      <c r="L26" s="16">
        <v>0</v>
      </c>
      <c r="M26" s="14">
        <v>0</v>
      </c>
      <c r="N26" s="16">
        <v>0</v>
      </c>
      <c r="O26" s="14">
        <v>0</v>
      </c>
      <c r="P26" s="16">
        <v>0</v>
      </c>
      <c r="Q26" s="14">
        <v>0</v>
      </c>
      <c r="R26" s="16">
        <v>0</v>
      </c>
    </row>
    <row r="27" spans="1:18" x14ac:dyDescent="0.25">
      <c r="A27" s="11" t="s">
        <v>160</v>
      </c>
      <c r="B27" s="13">
        <v>5299</v>
      </c>
      <c r="C27" s="14">
        <f>(4381/B27*100)</f>
        <v>82.675976599358364</v>
      </c>
      <c r="D27" s="15">
        <v>918</v>
      </c>
      <c r="E27" s="14">
        <v>40.513167930000002</v>
      </c>
      <c r="F27" s="16">
        <v>1.5650540399999999</v>
      </c>
      <c r="G27" s="14">
        <v>59.486832069999998</v>
      </c>
      <c r="H27" s="16">
        <v>1.5650540399999999</v>
      </c>
      <c r="I27" s="14" t="s">
        <v>139</v>
      </c>
      <c r="J27" s="16" t="s">
        <v>139</v>
      </c>
      <c r="K27" s="14">
        <v>0</v>
      </c>
      <c r="L27" s="16">
        <v>0</v>
      </c>
      <c r="M27" s="14">
        <v>0</v>
      </c>
      <c r="N27" s="16">
        <v>0</v>
      </c>
      <c r="O27" s="14">
        <v>0</v>
      </c>
      <c r="P27" s="16">
        <v>0</v>
      </c>
      <c r="Q27" s="14">
        <v>0</v>
      </c>
      <c r="R27" s="16">
        <v>0</v>
      </c>
    </row>
    <row r="28" spans="1:18" x14ac:dyDescent="0.25">
      <c r="A28" s="11" t="s">
        <v>161</v>
      </c>
      <c r="B28" s="13">
        <v>7568</v>
      </c>
      <c r="C28" s="14">
        <f>(6267/B28*100)</f>
        <v>82.809196617336156</v>
      </c>
      <c r="D28" s="15">
        <v>1301</v>
      </c>
      <c r="E28" s="14">
        <v>62.327324410000003</v>
      </c>
      <c r="F28" s="16">
        <v>1.3699607499999999</v>
      </c>
      <c r="G28" s="14">
        <v>37.672675589999997</v>
      </c>
      <c r="H28" s="16">
        <v>1.3699607499999999</v>
      </c>
      <c r="I28" s="14" t="s">
        <v>139</v>
      </c>
      <c r="J28" s="16" t="s">
        <v>139</v>
      </c>
      <c r="K28" s="14">
        <v>0</v>
      </c>
      <c r="L28" s="16">
        <v>0</v>
      </c>
      <c r="M28" s="14">
        <v>0</v>
      </c>
      <c r="N28" s="16">
        <v>0</v>
      </c>
      <c r="O28" s="14">
        <v>0</v>
      </c>
      <c r="P28" s="16">
        <v>0</v>
      </c>
      <c r="Q28" s="14">
        <v>0</v>
      </c>
      <c r="R28" s="16">
        <v>0</v>
      </c>
    </row>
    <row r="29" spans="1:18" x14ac:dyDescent="0.25">
      <c r="A29" s="11" t="s">
        <v>162</v>
      </c>
      <c r="B29" s="13">
        <v>5385</v>
      </c>
      <c r="C29" s="14">
        <f>(4499/B29*100)</f>
        <v>83.546889507892303</v>
      </c>
      <c r="D29" s="15">
        <v>886</v>
      </c>
      <c r="E29" s="14">
        <v>42.964508049999999</v>
      </c>
      <c r="F29" s="16">
        <v>1.95221796</v>
      </c>
      <c r="G29" s="14">
        <v>57.035491950000001</v>
      </c>
      <c r="H29" s="16">
        <v>1.95221796</v>
      </c>
      <c r="I29" s="14" t="s">
        <v>139</v>
      </c>
      <c r="J29" s="16" t="s">
        <v>139</v>
      </c>
      <c r="K29" s="14">
        <v>0</v>
      </c>
      <c r="L29" s="16">
        <v>0</v>
      </c>
      <c r="M29" s="14">
        <v>0</v>
      </c>
      <c r="N29" s="16">
        <v>0</v>
      </c>
      <c r="O29" s="14">
        <v>0</v>
      </c>
      <c r="P29" s="16">
        <v>0</v>
      </c>
      <c r="Q29" s="14">
        <v>0</v>
      </c>
      <c r="R29" s="16">
        <v>0</v>
      </c>
    </row>
    <row r="30" spans="1:18" x14ac:dyDescent="0.25">
      <c r="A30" s="11" t="s">
        <v>163</v>
      </c>
      <c r="B30" s="13">
        <v>4520</v>
      </c>
      <c r="C30" s="14">
        <f>(3777/B30*100)</f>
        <v>83.561946902654867</v>
      </c>
      <c r="D30" s="15">
        <v>743</v>
      </c>
      <c r="E30" s="14">
        <v>29.07726448</v>
      </c>
      <c r="F30" s="16">
        <v>1.4706131</v>
      </c>
      <c r="G30" s="14">
        <v>70.922735520000003</v>
      </c>
      <c r="H30" s="16">
        <v>1.4706131</v>
      </c>
      <c r="I30" s="14" t="s">
        <v>139</v>
      </c>
      <c r="J30" s="16" t="s">
        <v>139</v>
      </c>
      <c r="K30" s="14">
        <v>0</v>
      </c>
      <c r="L30" s="16">
        <v>0</v>
      </c>
      <c r="M30" s="14">
        <v>0</v>
      </c>
      <c r="N30" s="16">
        <v>0</v>
      </c>
      <c r="O30" s="14">
        <v>0</v>
      </c>
      <c r="P30" s="16">
        <v>0</v>
      </c>
      <c r="Q30" s="14">
        <v>0</v>
      </c>
      <c r="R30" s="16">
        <v>0</v>
      </c>
    </row>
    <row r="31" spans="1:18" x14ac:dyDescent="0.25">
      <c r="A31" s="11" t="s">
        <v>164</v>
      </c>
      <c r="B31" s="13">
        <v>5456</v>
      </c>
      <c r="C31" s="14">
        <f>(4533/B31*100)</f>
        <v>83.082844574780054</v>
      </c>
      <c r="D31" s="15">
        <v>923</v>
      </c>
      <c r="E31" s="14">
        <v>43.567836759999999</v>
      </c>
      <c r="F31" s="16">
        <v>1.9671088999999999</v>
      </c>
      <c r="G31" s="14">
        <v>56.432163240000001</v>
      </c>
      <c r="H31" s="16">
        <v>1.9671088999999999</v>
      </c>
      <c r="I31" s="14" t="s">
        <v>139</v>
      </c>
      <c r="J31" s="16" t="s">
        <v>139</v>
      </c>
      <c r="K31" s="14">
        <v>0</v>
      </c>
      <c r="L31" s="16">
        <v>0</v>
      </c>
      <c r="M31" s="14">
        <v>0</v>
      </c>
      <c r="N31" s="16">
        <v>0</v>
      </c>
      <c r="O31" s="14">
        <v>0</v>
      </c>
      <c r="P31" s="16">
        <v>0</v>
      </c>
      <c r="Q31" s="14">
        <v>0</v>
      </c>
      <c r="R31" s="16">
        <v>0</v>
      </c>
    </row>
    <row r="32" spans="1:18" x14ac:dyDescent="0.25">
      <c r="A32" s="11" t="s">
        <v>165</v>
      </c>
      <c r="B32" s="17" t="s">
        <v>154</v>
      </c>
      <c r="C32" s="17" t="s">
        <v>154</v>
      </c>
      <c r="D32" s="18" t="s">
        <v>154</v>
      </c>
      <c r="E32" s="17" t="s">
        <v>154</v>
      </c>
      <c r="F32" s="18" t="s">
        <v>154</v>
      </c>
      <c r="G32" s="17" t="s">
        <v>154</v>
      </c>
      <c r="H32" s="18" t="s">
        <v>154</v>
      </c>
      <c r="I32" s="17" t="s">
        <v>154</v>
      </c>
      <c r="J32" s="18" t="s">
        <v>154</v>
      </c>
      <c r="K32" s="17" t="s">
        <v>154</v>
      </c>
      <c r="L32" s="18" t="s">
        <v>154</v>
      </c>
      <c r="M32" s="17" t="s">
        <v>154</v>
      </c>
      <c r="N32" s="18" t="s">
        <v>154</v>
      </c>
      <c r="O32" s="17" t="s">
        <v>154</v>
      </c>
      <c r="P32" s="18" t="s">
        <v>154</v>
      </c>
      <c r="Q32" s="17" t="s">
        <v>154</v>
      </c>
      <c r="R32" s="18" t="s">
        <v>154</v>
      </c>
    </row>
    <row r="33" spans="1:18" x14ac:dyDescent="0.25">
      <c r="A33" s="11" t="s">
        <v>166</v>
      </c>
      <c r="B33" s="13">
        <v>7325</v>
      </c>
      <c r="C33" s="14">
        <f>(6079/B33*100)</f>
        <v>82.989761092150175</v>
      </c>
      <c r="D33" s="15">
        <v>1246</v>
      </c>
      <c r="E33" s="14">
        <v>44.970195179999997</v>
      </c>
      <c r="F33" s="16">
        <v>1.86155341</v>
      </c>
      <c r="G33" s="14">
        <v>55.029804820000003</v>
      </c>
      <c r="H33" s="16">
        <v>1.86155341</v>
      </c>
      <c r="I33" s="14" t="s">
        <v>139</v>
      </c>
      <c r="J33" s="16" t="s">
        <v>139</v>
      </c>
      <c r="K33" s="14">
        <v>0</v>
      </c>
      <c r="L33" s="16">
        <v>0</v>
      </c>
      <c r="M33" s="14">
        <v>0</v>
      </c>
      <c r="N33" s="16">
        <v>0</v>
      </c>
      <c r="O33" s="14">
        <v>0</v>
      </c>
      <c r="P33" s="16">
        <v>0</v>
      </c>
      <c r="Q33" s="14">
        <v>0</v>
      </c>
      <c r="R33" s="16">
        <v>0</v>
      </c>
    </row>
    <row r="34" spans="1:18" x14ac:dyDescent="0.25">
      <c r="A34" s="11" t="s">
        <v>167</v>
      </c>
      <c r="B34" s="13">
        <v>6350</v>
      </c>
      <c r="C34" s="14">
        <f>(5292/B34*100)</f>
        <v>83.338582677165348</v>
      </c>
      <c r="D34" s="15">
        <v>1058</v>
      </c>
      <c r="E34" s="14">
        <v>61.507707070000002</v>
      </c>
      <c r="F34" s="16">
        <v>1.4739724199999999</v>
      </c>
      <c r="G34" s="14">
        <v>38.492292929999998</v>
      </c>
      <c r="H34" s="16">
        <v>1.4739724199999999</v>
      </c>
      <c r="I34" s="14" t="s">
        <v>139</v>
      </c>
      <c r="J34" s="16" t="s">
        <v>139</v>
      </c>
      <c r="K34" s="14">
        <v>0</v>
      </c>
      <c r="L34" s="16">
        <v>0</v>
      </c>
      <c r="M34" s="14">
        <v>0</v>
      </c>
      <c r="N34" s="16">
        <v>0</v>
      </c>
      <c r="O34" s="14">
        <v>0</v>
      </c>
      <c r="P34" s="16">
        <v>0</v>
      </c>
      <c r="Q34" s="14">
        <v>0</v>
      </c>
      <c r="R34" s="16">
        <v>0</v>
      </c>
    </row>
    <row r="35" spans="1:18" x14ac:dyDescent="0.25">
      <c r="A35" s="11" t="s">
        <v>168</v>
      </c>
      <c r="B35" s="13">
        <v>6406</v>
      </c>
      <c r="C35" s="14">
        <f>(5349/B35*100)</f>
        <v>83.499843896347173</v>
      </c>
      <c r="D35" s="15">
        <v>1057</v>
      </c>
      <c r="E35" s="14">
        <v>51.624670770000002</v>
      </c>
      <c r="F35" s="16">
        <v>2.0579995100000001</v>
      </c>
      <c r="G35" s="14">
        <v>48.375329229999998</v>
      </c>
      <c r="H35" s="16">
        <v>2.0579995100000001</v>
      </c>
      <c r="I35" s="14" t="s">
        <v>139</v>
      </c>
      <c r="J35" s="16" t="s">
        <v>139</v>
      </c>
      <c r="K35" s="14">
        <v>0</v>
      </c>
      <c r="L35" s="16">
        <v>0</v>
      </c>
      <c r="M35" s="14">
        <v>0</v>
      </c>
      <c r="N35" s="16">
        <v>0</v>
      </c>
      <c r="O35" s="14">
        <v>0</v>
      </c>
      <c r="P35" s="16">
        <v>0</v>
      </c>
      <c r="Q35" s="14">
        <v>0</v>
      </c>
      <c r="R35" s="16">
        <v>0</v>
      </c>
    </row>
    <row r="36" spans="1:18" x14ac:dyDescent="0.25">
      <c r="A36" s="11" t="s">
        <v>169</v>
      </c>
      <c r="B36" s="13">
        <v>6736</v>
      </c>
      <c r="C36" s="14">
        <f>(5576/B36*100)</f>
        <v>82.779097387173394</v>
      </c>
      <c r="D36" s="15">
        <v>1160</v>
      </c>
      <c r="E36" s="14">
        <v>41.371367059999997</v>
      </c>
      <c r="F36" s="16">
        <v>1.4982926299999999</v>
      </c>
      <c r="G36" s="14">
        <v>58.628632940000003</v>
      </c>
      <c r="H36" s="16">
        <v>1.4982926299999999</v>
      </c>
      <c r="I36" s="14" t="s">
        <v>139</v>
      </c>
      <c r="J36" s="16" t="s">
        <v>139</v>
      </c>
      <c r="K36" s="14">
        <v>0</v>
      </c>
      <c r="L36" s="16">
        <v>0</v>
      </c>
      <c r="M36" s="14">
        <v>0</v>
      </c>
      <c r="N36" s="16">
        <v>0</v>
      </c>
      <c r="O36" s="14">
        <v>0</v>
      </c>
      <c r="P36" s="16">
        <v>0</v>
      </c>
      <c r="Q36" s="14">
        <v>0</v>
      </c>
      <c r="R36" s="16">
        <v>0</v>
      </c>
    </row>
    <row r="37" spans="1:18" x14ac:dyDescent="0.25">
      <c r="A37" s="11" t="s">
        <v>170</v>
      </c>
      <c r="B37" s="13">
        <v>5458</v>
      </c>
      <c r="C37" s="14">
        <f>(4538/B37*100)</f>
        <v>83.144008794430192</v>
      </c>
      <c r="D37" s="15">
        <v>920</v>
      </c>
      <c r="E37" s="14">
        <v>49.604771069999998</v>
      </c>
      <c r="F37" s="16">
        <v>1.9434936199999999</v>
      </c>
      <c r="G37" s="14">
        <v>50.395228930000002</v>
      </c>
      <c r="H37" s="16">
        <v>1.9434936199999999</v>
      </c>
      <c r="I37" s="14" t="s">
        <v>139</v>
      </c>
      <c r="J37" s="16" t="s">
        <v>139</v>
      </c>
      <c r="K37" s="14">
        <v>0</v>
      </c>
      <c r="L37" s="16">
        <v>0</v>
      </c>
      <c r="M37" s="14">
        <v>0</v>
      </c>
      <c r="N37" s="16">
        <v>0</v>
      </c>
      <c r="O37" s="14">
        <v>0</v>
      </c>
      <c r="P37" s="16">
        <v>0</v>
      </c>
      <c r="Q37" s="14">
        <v>0</v>
      </c>
      <c r="R37" s="16">
        <v>0</v>
      </c>
    </row>
    <row r="38" spans="1:18" x14ac:dyDescent="0.25">
      <c r="A38" s="11" t="s">
        <v>171</v>
      </c>
      <c r="B38" s="17" t="s">
        <v>154</v>
      </c>
      <c r="C38" s="17" t="s">
        <v>154</v>
      </c>
      <c r="D38" s="18" t="s">
        <v>154</v>
      </c>
      <c r="E38" s="17" t="s">
        <v>154</v>
      </c>
      <c r="F38" s="18" t="s">
        <v>154</v>
      </c>
      <c r="G38" s="17" t="s">
        <v>154</v>
      </c>
      <c r="H38" s="18" t="s">
        <v>154</v>
      </c>
      <c r="I38" s="17" t="s">
        <v>154</v>
      </c>
      <c r="J38" s="18" t="s">
        <v>154</v>
      </c>
      <c r="K38" s="17" t="s">
        <v>154</v>
      </c>
      <c r="L38" s="18" t="s">
        <v>154</v>
      </c>
      <c r="M38" s="17" t="s">
        <v>154</v>
      </c>
      <c r="N38" s="18" t="s">
        <v>154</v>
      </c>
      <c r="O38" s="17" t="s">
        <v>154</v>
      </c>
      <c r="P38" s="18" t="s">
        <v>154</v>
      </c>
      <c r="Q38" s="17" t="s">
        <v>154</v>
      </c>
      <c r="R38" s="18" t="s">
        <v>154</v>
      </c>
    </row>
    <row r="39" spans="1:18" x14ac:dyDescent="0.25">
      <c r="A39" s="11" t="s">
        <v>172</v>
      </c>
      <c r="B39" s="13">
        <v>5895</v>
      </c>
      <c r="C39" s="14">
        <f>(4863/B39*100)</f>
        <v>82.493638676844782</v>
      </c>
      <c r="D39" s="15">
        <v>1032</v>
      </c>
      <c r="E39" s="14">
        <v>54.604089590000001</v>
      </c>
      <c r="F39" s="16">
        <v>1.7387747899999999</v>
      </c>
      <c r="G39" s="14">
        <v>45.395910409999999</v>
      </c>
      <c r="H39" s="16">
        <v>1.7387747899999999</v>
      </c>
      <c r="I39" s="14" t="s">
        <v>139</v>
      </c>
      <c r="J39" s="16" t="s">
        <v>139</v>
      </c>
      <c r="K39" s="14">
        <v>0</v>
      </c>
      <c r="L39" s="16">
        <v>0</v>
      </c>
      <c r="M39" s="14">
        <v>0</v>
      </c>
      <c r="N39" s="16">
        <v>0</v>
      </c>
      <c r="O39" s="14">
        <v>0</v>
      </c>
      <c r="P39" s="16">
        <v>0</v>
      </c>
      <c r="Q39" s="14">
        <v>0</v>
      </c>
      <c r="R39" s="16">
        <v>0</v>
      </c>
    </row>
    <row r="40" spans="1:18" x14ac:dyDescent="0.25">
      <c r="A40" s="11" t="s">
        <v>173</v>
      </c>
      <c r="B40" s="13">
        <v>14157</v>
      </c>
      <c r="C40" s="14">
        <f>(11728/B40*100)</f>
        <v>82.842410115137383</v>
      </c>
      <c r="D40" s="15">
        <v>2429</v>
      </c>
      <c r="E40" s="14">
        <v>30.646935089999999</v>
      </c>
      <c r="F40" s="16">
        <v>1.39890015</v>
      </c>
      <c r="G40" s="14">
        <v>69.353064910000001</v>
      </c>
      <c r="H40" s="16">
        <v>1.39890015</v>
      </c>
      <c r="I40" s="14" t="s">
        <v>139</v>
      </c>
      <c r="J40" s="16" t="s">
        <v>139</v>
      </c>
      <c r="K40" s="14">
        <v>0</v>
      </c>
      <c r="L40" s="16">
        <v>0</v>
      </c>
      <c r="M40" s="14">
        <v>0</v>
      </c>
      <c r="N40" s="16">
        <v>0</v>
      </c>
      <c r="O40" s="14">
        <v>0</v>
      </c>
      <c r="P40" s="16">
        <v>0</v>
      </c>
      <c r="Q40" s="14">
        <v>0</v>
      </c>
      <c r="R40" s="16">
        <v>0</v>
      </c>
    </row>
    <row r="41" spans="1:18" x14ac:dyDescent="0.25">
      <c r="A41" s="11" t="s">
        <v>174</v>
      </c>
      <c r="B41" s="13">
        <v>5712</v>
      </c>
      <c r="C41" s="14">
        <f>(4723/B41*100)</f>
        <v>82.685574229691866</v>
      </c>
      <c r="D41" s="15">
        <v>989</v>
      </c>
      <c r="E41" s="14">
        <v>27.83938418</v>
      </c>
      <c r="F41" s="16">
        <v>1.4531231600000001</v>
      </c>
      <c r="G41" s="14">
        <v>72.160615820000004</v>
      </c>
      <c r="H41" s="16">
        <v>1.4531231600000001</v>
      </c>
      <c r="I41" s="14" t="s">
        <v>139</v>
      </c>
      <c r="J41" s="16" t="s">
        <v>139</v>
      </c>
      <c r="K41" s="14">
        <v>0</v>
      </c>
      <c r="L41" s="16">
        <v>0</v>
      </c>
      <c r="M41" s="14">
        <v>0</v>
      </c>
      <c r="N41" s="16">
        <v>0</v>
      </c>
      <c r="O41" s="14">
        <v>0</v>
      </c>
      <c r="P41" s="16">
        <v>0</v>
      </c>
      <c r="Q41" s="14">
        <v>0</v>
      </c>
      <c r="R41" s="16">
        <v>0</v>
      </c>
    </row>
    <row r="42" spans="1:18" x14ac:dyDescent="0.25">
      <c r="A42" s="11" t="s">
        <v>175</v>
      </c>
      <c r="B42" s="13">
        <f>IF(COUNT(B7:B41) &gt; 0, AVERAGE(B7:B41), "\u2014")</f>
        <v>7266.90625</v>
      </c>
      <c r="C42" s="14">
        <f>IF(COUNT(C7:C41) &gt; 0, AVERAGE(C7:C41), "—")</f>
        <v>82.986990075105098</v>
      </c>
      <c r="D42" s="15">
        <f>IF(COUNT(D7:D41) &gt; 0, AVERAGE(D7:D41), "—")</f>
        <v>1237.25</v>
      </c>
      <c r="E42" s="14">
        <f>IF(COUNT(E7:E41) &gt; 0, AVERAGE(E7:E41), "—")</f>
        <v>44.29359961437499</v>
      </c>
      <c r="F42" s="16">
        <f>IF(COUNT(F7:F41) &gt; 0, SQRT(SUMSQ(F7:F41)/(COUNT(F7:F41)*COUNT(F7:F41)) ), "—")</f>
        <v>0.29388005072026702</v>
      </c>
      <c r="G42" s="14">
        <f>IF(COUNT(G7:G41) &gt; 0, AVERAGE(G7:G41), "—")</f>
        <v>55.70640038562501</v>
      </c>
      <c r="H42" s="16">
        <f>IF(COUNT(H7:H41) &gt; 0, SQRT(SUMSQ(H7:H41)/(COUNT(H7:H41)*COUNT(H7:H41)) ), "—")</f>
        <v>0.29388005072026702</v>
      </c>
      <c r="I42" s="14" t="str">
        <f>IF(COUNT(I7:I41) &gt; 0, AVERAGE(I7:I41), "—")</f>
        <v>—</v>
      </c>
      <c r="J42" s="16" t="str">
        <f>IF(COUNT(J7:J41) &gt; 0, SQRT(SUMSQ(J7:J41)/(COUNT(J7:J41)*COUNT(J7:J41)) ), "—")</f>
        <v>—</v>
      </c>
      <c r="K42" s="14">
        <f>IF(COUNT(K7:K41) &gt; 0, AVERAGE(K7:K41), "—")</f>
        <v>0</v>
      </c>
      <c r="L42" s="16">
        <f>IF(COUNT(L7:L41) &gt; 0, SQRT(SUMSQ(L7:L41)/(COUNT(L7:L41)*COUNT(L7:L41)) ), "—")</f>
        <v>0</v>
      </c>
      <c r="M42" s="14">
        <f>IF(COUNT(M7:M41) &gt; 0, AVERAGE(M7:M41), "—")</f>
        <v>0</v>
      </c>
      <c r="N42" s="16">
        <f>IF(COUNT(N7:N41) &gt; 0, SQRT(SUMSQ(N7:N41)/(COUNT(N7:N41)*COUNT(N7:N41)) ), "—")</f>
        <v>0</v>
      </c>
      <c r="O42" s="14">
        <f>IF(COUNT(O7:O41) &gt; 0, AVERAGE(O7:O41), "—")</f>
        <v>0</v>
      </c>
      <c r="P42" s="16">
        <f>IF(COUNT(P7:P41) &gt; 0, SQRT(SUMSQ(P7:P41)/(COUNT(P7:P41)*COUNT(P7:P41)) ), "—")</f>
        <v>0</v>
      </c>
      <c r="Q42" s="14">
        <f>IF(COUNT(Q7:Q41) &gt; 0, AVERAGE(Q7:Q41), "—")</f>
        <v>0</v>
      </c>
      <c r="R42" s="16">
        <f>IF(COUNT(R7:R41) &gt; 0, SQRT(SUMSQ(R7:R41)/(COUNT(R7:R41)*COUNT(R7:R41)) ), "—")</f>
        <v>0</v>
      </c>
    </row>
    <row r="43" spans="1:18" x14ac:dyDescent="0.25">
      <c r="A43" s="9" t="s">
        <v>176</v>
      </c>
      <c r="B43" s="10"/>
      <c r="C43" s="10"/>
      <c r="D43" s="11"/>
      <c r="E43" s="10"/>
      <c r="F43" s="11"/>
      <c r="G43" s="10"/>
      <c r="H43" s="11"/>
      <c r="I43" s="10"/>
      <c r="J43" s="11"/>
      <c r="K43" s="10"/>
      <c r="L43" s="11"/>
      <c r="M43" s="10"/>
      <c r="N43" s="11"/>
      <c r="O43" s="10"/>
      <c r="P43" s="11"/>
      <c r="Q43" s="10"/>
      <c r="R43" s="12"/>
    </row>
    <row r="44" spans="1:18" x14ac:dyDescent="0.25">
      <c r="A44" s="11" t="s">
        <v>177</v>
      </c>
      <c r="B44" s="17" t="s">
        <v>154</v>
      </c>
      <c r="C44" s="17" t="s">
        <v>154</v>
      </c>
      <c r="D44" s="18" t="s">
        <v>154</v>
      </c>
      <c r="E44" s="17" t="s">
        <v>154</v>
      </c>
      <c r="F44" s="18" t="s">
        <v>154</v>
      </c>
      <c r="G44" s="17" t="s">
        <v>154</v>
      </c>
      <c r="H44" s="18" t="s">
        <v>154</v>
      </c>
      <c r="I44" s="17" t="s">
        <v>154</v>
      </c>
      <c r="J44" s="18" t="s">
        <v>154</v>
      </c>
      <c r="K44" s="17" t="s">
        <v>154</v>
      </c>
      <c r="L44" s="18" t="s">
        <v>154</v>
      </c>
      <c r="M44" s="17" t="s">
        <v>154</v>
      </c>
      <c r="N44" s="18" t="s">
        <v>154</v>
      </c>
      <c r="O44" s="17" t="s">
        <v>154</v>
      </c>
      <c r="P44" s="18" t="s">
        <v>154</v>
      </c>
      <c r="Q44" s="17" t="s">
        <v>154</v>
      </c>
      <c r="R44" s="18" t="s">
        <v>154</v>
      </c>
    </row>
    <row r="45" spans="1:18" x14ac:dyDescent="0.25">
      <c r="A45" s="11" t="s">
        <v>178</v>
      </c>
      <c r="B45" s="17" t="s">
        <v>154</v>
      </c>
      <c r="C45" s="17" t="s">
        <v>154</v>
      </c>
      <c r="D45" s="18" t="s">
        <v>154</v>
      </c>
      <c r="E45" s="17" t="s">
        <v>154</v>
      </c>
      <c r="F45" s="18" t="s">
        <v>154</v>
      </c>
      <c r="G45" s="17" t="s">
        <v>154</v>
      </c>
      <c r="H45" s="18" t="s">
        <v>154</v>
      </c>
      <c r="I45" s="17" t="s">
        <v>154</v>
      </c>
      <c r="J45" s="18" t="s">
        <v>154</v>
      </c>
      <c r="K45" s="17" t="s">
        <v>154</v>
      </c>
      <c r="L45" s="18" t="s">
        <v>154</v>
      </c>
      <c r="M45" s="17" t="s">
        <v>154</v>
      </c>
      <c r="N45" s="18" t="s">
        <v>154</v>
      </c>
      <c r="O45" s="17" t="s">
        <v>154</v>
      </c>
      <c r="P45" s="18" t="s">
        <v>154</v>
      </c>
      <c r="Q45" s="17" t="s">
        <v>154</v>
      </c>
      <c r="R45" s="18" t="s">
        <v>154</v>
      </c>
    </row>
    <row r="46" spans="1:18" x14ac:dyDescent="0.25">
      <c r="A46" s="11" t="s">
        <v>179</v>
      </c>
      <c r="B46" s="13">
        <v>23141</v>
      </c>
      <c r="C46" s="14">
        <f>(19486/B46*100)</f>
        <v>84.205522665399073</v>
      </c>
      <c r="D46" s="15">
        <v>3655</v>
      </c>
      <c r="E46" s="14">
        <v>67.342219470000003</v>
      </c>
      <c r="F46" s="16">
        <v>0.96506287000000002</v>
      </c>
      <c r="G46" s="14">
        <v>32.657780529999997</v>
      </c>
      <c r="H46" s="16">
        <v>0.96506287000000002</v>
      </c>
      <c r="I46" s="14" t="s">
        <v>139</v>
      </c>
      <c r="J46" s="16" t="s">
        <v>139</v>
      </c>
      <c r="K46" s="14">
        <v>0</v>
      </c>
      <c r="L46" s="16">
        <v>0</v>
      </c>
      <c r="M46" s="14">
        <v>0</v>
      </c>
      <c r="N46" s="16">
        <v>0</v>
      </c>
      <c r="O46" s="14">
        <v>0</v>
      </c>
      <c r="P46" s="16">
        <v>0</v>
      </c>
      <c r="Q46" s="14">
        <v>0</v>
      </c>
      <c r="R46" s="16">
        <v>0</v>
      </c>
    </row>
    <row r="47" spans="1:18" x14ac:dyDescent="0.25">
      <c r="A47" s="11" t="s">
        <v>180</v>
      </c>
      <c r="B47" s="13">
        <v>5928</v>
      </c>
      <c r="C47" s="14">
        <f>(4906/B47*100)</f>
        <v>82.759784075573549</v>
      </c>
      <c r="D47" s="15">
        <v>1022</v>
      </c>
      <c r="E47" s="14">
        <v>54.421630399999998</v>
      </c>
      <c r="F47" s="16">
        <v>1.69049366</v>
      </c>
      <c r="G47" s="14">
        <v>45.578369600000002</v>
      </c>
      <c r="H47" s="16">
        <v>1.69049366</v>
      </c>
      <c r="I47" s="14" t="s">
        <v>139</v>
      </c>
      <c r="J47" s="16" t="s">
        <v>139</v>
      </c>
      <c r="K47" s="14">
        <v>0</v>
      </c>
      <c r="L47" s="16">
        <v>0</v>
      </c>
      <c r="M47" s="14">
        <v>0</v>
      </c>
      <c r="N47" s="16">
        <v>0</v>
      </c>
      <c r="O47" s="14">
        <v>0</v>
      </c>
      <c r="P47" s="16">
        <v>0</v>
      </c>
      <c r="Q47" s="14">
        <v>0</v>
      </c>
      <c r="R47" s="16">
        <v>0</v>
      </c>
    </row>
    <row r="48" spans="1:18" x14ac:dyDescent="0.25">
      <c r="A48" s="11" t="s">
        <v>181</v>
      </c>
      <c r="B48" s="13">
        <v>9841</v>
      </c>
      <c r="C48" s="14">
        <f>(8164/B48*100)</f>
        <v>82.959048877146628</v>
      </c>
      <c r="D48" s="15">
        <v>1677</v>
      </c>
      <c r="E48" s="14">
        <v>29.728656279999999</v>
      </c>
      <c r="F48" s="16">
        <v>1.51584816</v>
      </c>
      <c r="G48" s="14">
        <v>70.271343720000004</v>
      </c>
      <c r="H48" s="16">
        <v>1.51584816</v>
      </c>
      <c r="I48" s="14" t="s">
        <v>139</v>
      </c>
      <c r="J48" s="16" t="s">
        <v>139</v>
      </c>
      <c r="K48" s="14">
        <v>0</v>
      </c>
      <c r="L48" s="16">
        <v>0</v>
      </c>
      <c r="M48" s="14">
        <v>0</v>
      </c>
      <c r="N48" s="16">
        <v>0</v>
      </c>
      <c r="O48" s="14">
        <v>0</v>
      </c>
      <c r="P48" s="16">
        <v>0</v>
      </c>
      <c r="Q48" s="14">
        <v>0</v>
      </c>
      <c r="R48" s="16">
        <v>0</v>
      </c>
    </row>
    <row r="49" spans="1:18" x14ac:dyDescent="0.25">
      <c r="A49" s="11" t="s">
        <v>182</v>
      </c>
      <c r="B49" s="17" t="s">
        <v>154</v>
      </c>
      <c r="C49" s="17" t="s">
        <v>154</v>
      </c>
      <c r="D49" s="18" t="s">
        <v>154</v>
      </c>
      <c r="E49" s="17" t="s">
        <v>154</v>
      </c>
      <c r="F49" s="18" t="s">
        <v>154</v>
      </c>
      <c r="G49" s="17" t="s">
        <v>154</v>
      </c>
      <c r="H49" s="18" t="s">
        <v>154</v>
      </c>
      <c r="I49" s="17" t="s">
        <v>154</v>
      </c>
      <c r="J49" s="18" t="s">
        <v>154</v>
      </c>
      <c r="K49" s="17" t="s">
        <v>154</v>
      </c>
      <c r="L49" s="18" t="s">
        <v>154</v>
      </c>
      <c r="M49" s="17" t="s">
        <v>154</v>
      </c>
      <c r="N49" s="18" t="s">
        <v>154</v>
      </c>
      <c r="O49" s="17" t="s">
        <v>154</v>
      </c>
      <c r="P49" s="18" t="s">
        <v>154</v>
      </c>
      <c r="Q49" s="17" t="s">
        <v>154</v>
      </c>
      <c r="R49" s="18" t="s">
        <v>154</v>
      </c>
    </row>
    <row r="50" spans="1:18" x14ac:dyDescent="0.25">
      <c r="A50" s="11" t="s">
        <v>183</v>
      </c>
      <c r="B50" s="13">
        <v>11795</v>
      </c>
      <c r="C50" s="14">
        <f>(9762/B50*100)</f>
        <v>82.763883001271722</v>
      </c>
      <c r="D50" s="15">
        <v>2033</v>
      </c>
      <c r="E50" s="14">
        <v>43.995509030000001</v>
      </c>
      <c r="F50" s="16">
        <v>1.55866934</v>
      </c>
      <c r="G50" s="14">
        <v>56.004490969999999</v>
      </c>
      <c r="H50" s="16">
        <v>1.55866934</v>
      </c>
      <c r="I50" s="14" t="s">
        <v>139</v>
      </c>
      <c r="J50" s="16" t="s">
        <v>139</v>
      </c>
      <c r="K50" s="14">
        <v>0</v>
      </c>
      <c r="L50" s="16">
        <v>0</v>
      </c>
      <c r="M50" s="14">
        <v>0</v>
      </c>
      <c r="N50" s="16">
        <v>0</v>
      </c>
      <c r="O50" s="14">
        <v>0</v>
      </c>
      <c r="P50" s="16">
        <v>0</v>
      </c>
      <c r="Q50" s="14">
        <v>0</v>
      </c>
      <c r="R50" s="16">
        <v>0</v>
      </c>
    </row>
    <row r="51" spans="1:18" x14ac:dyDescent="0.25">
      <c r="A51" s="11" t="s">
        <v>184</v>
      </c>
      <c r="B51" s="13">
        <v>6866</v>
      </c>
      <c r="C51" s="14">
        <f>(5811/B51*100)</f>
        <v>84.634430527235651</v>
      </c>
      <c r="D51" s="15">
        <v>1055</v>
      </c>
      <c r="E51" s="14">
        <v>39.18897097</v>
      </c>
      <c r="F51" s="16">
        <v>1.5996445699999999</v>
      </c>
      <c r="G51" s="14">
        <v>60.81102903</v>
      </c>
      <c r="H51" s="16">
        <v>1.5996445699999999</v>
      </c>
      <c r="I51" s="14" t="s">
        <v>139</v>
      </c>
      <c r="J51" s="16" t="s">
        <v>139</v>
      </c>
      <c r="K51" s="14">
        <v>0</v>
      </c>
      <c r="L51" s="16">
        <v>0</v>
      </c>
      <c r="M51" s="14">
        <v>0</v>
      </c>
      <c r="N51" s="16">
        <v>0</v>
      </c>
      <c r="O51" s="14">
        <v>0</v>
      </c>
      <c r="P51" s="16">
        <v>0</v>
      </c>
      <c r="Q51" s="14">
        <v>0</v>
      </c>
      <c r="R51" s="16">
        <v>0</v>
      </c>
    </row>
    <row r="52" spans="1:18" x14ac:dyDescent="0.25">
      <c r="A52" s="11" t="s">
        <v>185</v>
      </c>
      <c r="B52" s="13">
        <v>5809</v>
      </c>
      <c r="C52" s="14">
        <f>(4829/B52*100)</f>
        <v>83.129626441728348</v>
      </c>
      <c r="D52" s="15">
        <v>980</v>
      </c>
      <c r="E52" s="14">
        <v>62.112342699999999</v>
      </c>
      <c r="F52" s="16">
        <v>1.4285405600000001</v>
      </c>
      <c r="G52" s="14">
        <v>37.887657300000001</v>
      </c>
      <c r="H52" s="16">
        <v>1.4285405600000001</v>
      </c>
      <c r="I52" s="14" t="s">
        <v>139</v>
      </c>
      <c r="J52" s="16" t="s">
        <v>139</v>
      </c>
      <c r="K52" s="14">
        <v>0</v>
      </c>
      <c r="L52" s="16">
        <v>0</v>
      </c>
      <c r="M52" s="14">
        <v>0</v>
      </c>
      <c r="N52" s="16">
        <v>0</v>
      </c>
      <c r="O52" s="14">
        <v>0</v>
      </c>
      <c r="P52" s="16">
        <v>0</v>
      </c>
      <c r="Q52" s="14">
        <v>0</v>
      </c>
      <c r="R52" s="16">
        <v>0</v>
      </c>
    </row>
    <row r="53" spans="1:18" x14ac:dyDescent="0.25">
      <c r="A53" s="11" t="s">
        <v>186</v>
      </c>
      <c r="B53" s="13">
        <v>5571</v>
      </c>
      <c r="C53" s="14">
        <f>(4631/B53*100)</f>
        <v>83.126907197989581</v>
      </c>
      <c r="D53" s="15">
        <v>940</v>
      </c>
      <c r="E53" s="14">
        <v>56.325613670000003</v>
      </c>
      <c r="F53" s="16">
        <v>1.6893425900000001</v>
      </c>
      <c r="G53" s="14">
        <v>43.674386329999997</v>
      </c>
      <c r="H53" s="16">
        <v>1.6893425900000001</v>
      </c>
      <c r="I53" s="14" t="s">
        <v>139</v>
      </c>
      <c r="J53" s="16" t="s">
        <v>139</v>
      </c>
      <c r="K53" s="14">
        <v>0</v>
      </c>
      <c r="L53" s="16">
        <v>0</v>
      </c>
      <c r="M53" s="14">
        <v>0</v>
      </c>
      <c r="N53" s="16">
        <v>0</v>
      </c>
      <c r="O53" s="14">
        <v>0</v>
      </c>
      <c r="P53" s="16">
        <v>0</v>
      </c>
      <c r="Q53" s="14">
        <v>0</v>
      </c>
      <c r="R53" s="16">
        <v>0</v>
      </c>
    </row>
    <row r="54" spans="1:18" x14ac:dyDescent="0.25">
      <c r="A54" s="11" t="s">
        <v>187</v>
      </c>
      <c r="B54" s="17" t="s">
        <v>154</v>
      </c>
      <c r="C54" s="17" t="s">
        <v>154</v>
      </c>
      <c r="D54" s="18" t="s">
        <v>154</v>
      </c>
      <c r="E54" s="17" t="s">
        <v>154</v>
      </c>
      <c r="F54" s="18" t="s">
        <v>154</v>
      </c>
      <c r="G54" s="17" t="s">
        <v>154</v>
      </c>
      <c r="H54" s="18" t="s">
        <v>154</v>
      </c>
      <c r="I54" s="17" t="s">
        <v>154</v>
      </c>
      <c r="J54" s="18" t="s">
        <v>154</v>
      </c>
      <c r="K54" s="17" t="s">
        <v>154</v>
      </c>
      <c r="L54" s="18" t="s">
        <v>154</v>
      </c>
      <c r="M54" s="17" t="s">
        <v>154</v>
      </c>
      <c r="N54" s="18" t="s">
        <v>154</v>
      </c>
      <c r="O54" s="17" t="s">
        <v>154</v>
      </c>
      <c r="P54" s="18" t="s">
        <v>154</v>
      </c>
      <c r="Q54" s="17" t="s">
        <v>154</v>
      </c>
      <c r="R54" s="18" t="s">
        <v>154</v>
      </c>
    </row>
    <row r="55" spans="1:18" x14ac:dyDescent="0.25">
      <c r="A55" s="11" t="s">
        <v>188</v>
      </c>
      <c r="B55" s="17" t="s">
        <v>154</v>
      </c>
      <c r="C55" s="17" t="s">
        <v>154</v>
      </c>
      <c r="D55" s="18" t="s">
        <v>154</v>
      </c>
      <c r="E55" s="17" t="s">
        <v>154</v>
      </c>
      <c r="F55" s="18" t="s">
        <v>154</v>
      </c>
      <c r="G55" s="17" t="s">
        <v>154</v>
      </c>
      <c r="H55" s="18" t="s">
        <v>154</v>
      </c>
      <c r="I55" s="17" t="s">
        <v>154</v>
      </c>
      <c r="J55" s="18" t="s">
        <v>154</v>
      </c>
      <c r="K55" s="17" t="s">
        <v>154</v>
      </c>
      <c r="L55" s="18" t="s">
        <v>154</v>
      </c>
      <c r="M55" s="17" t="s">
        <v>154</v>
      </c>
      <c r="N55" s="18" t="s">
        <v>154</v>
      </c>
      <c r="O55" s="17" t="s">
        <v>154</v>
      </c>
      <c r="P55" s="18" t="s">
        <v>154</v>
      </c>
      <c r="Q55" s="17" t="s">
        <v>154</v>
      </c>
      <c r="R55" s="18" t="s">
        <v>154</v>
      </c>
    </row>
    <row r="56" spans="1:18" x14ac:dyDescent="0.25">
      <c r="A56" s="11" t="s">
        <v>189</v>
      </c>
      <c r="B56" s="13">
        <v>5359</v>
      </c>
      <c r="C56" s="14">
        <f>(4442/B56*100)</f>
        <v>82.888598619145355</v>
      </c>
      <c r="D56" s="15">
        <v>917</v>
      </c>
      <c r="E56" s="14">
        <v>26.219645719999999</v>
      </c>
      <c r="F56" s="16">
        <v>1.31618685</v>
      </c>
      <c r="G56" s="14">
        <v>73.780354279999997</v>
      </c>
      <c r="H56" s="16">
        <v>1.31618685</v>
      </c>
      <c r="I56" s="14" t="s">
        <v>139</v>
      </c>
      <c r="J56" s="16" t="s">
        <v>139</v>
      </c>
      <c r="K56" s="14">
        <v>0</v>
      </c>
      <c r="L56" s="16">
        <v>0</v>
      </c>
      <c r="M56" s="14">
        <v>0</v>
      </c>
      <c r="N56" s="16">
        <v>0</v>
      </c>
      <c r="O56" s="14">
        <v>0</v>
      </c>
      <c r="P56" s="16">
        <v>0</v>
      </c>
      <c r="Q56" s="14">
        <v>0</v>
      </c>
      <c r="R56" s="16">
        <v>0</v>
      </c>
    </row>
    <row r="57" spans="1:18" x14ac:dyDescent="0.25">
      <c r="A57" s="11" t="s">
        <v>190</v>
      </c>
      <c r="B57" s="17" t="s">
        <v>154</v>
      </c>
      <c r="C57" s="17" t="s">
        <v>154</v>
      </c>
      <c r="D57" s="18" t="s">
        <v>154</v>
      </c>
      <c r="E57" s="17" t="s">
        <v>154</v>
      </c>
      <c r="F57" s="18" t="s">
        <v>154</v>
      </c>
      <c r="G57" s="17" t="s">
        <v>154</v>
      </c>
      <c r="H57" s="18" t="s">
        <v>154</v>
      </c>
      <c r="I57" s="17" t="s">
        <v>154</v>
      </c>
      <c r="J57" s="18" t="s">
        <v>154</v>
      </c>
      <c r="K57" s="17" t="s">
        <v>154</v>
      </c>
      <c r="L57" s="18" t="s">
        <v>154</v>
      </c>
      <c r="M57" s="17" t="s">
        <v>154</v>
      </c>
      <c r="N57" s="18" t="s">
        <v>154</v>
      </c>
      <c r="O57" s="17" t="s">
        <v>154</v>
      </c>
      <c r="P57" s="18" t="s">
        <v>154</v>
      </c>
      <c r="Q57" s="17" t="s">
        <v>154</v>
      </c>
      <c r="R57" s="18" t="s">
        <v>154</v>
      </c>
    </row>
    <row r="58" spans="1:18" x14ac:dyDescent="0.25">
      <c r="A58" s="11" t="s">
        <v>191</v>
      </c>
      <c r="B58" s="17" t="s">
        <v>154</v>
      </c>
      <c r="C58" s="17" t="s">
        <v>154</v>
      </c>
      <c r="D58" s="18" t="s">
        <v>154</v>
      </c>
      <c r="E58" s="17" t="s">
        <v>154</v>
      </c>
      <c r="F58" s="18" t="s">
        <v>154</v>
      </c>
      <c r="G58" s="17" t="s">
        <v>154</v>
      </c>
      <c r="H58" s="18" t="s">
        <v>154</v>
      </c>
      <c r="I58" s="17" t="s">
        <v>154</v>
      </c>
      <c r="J58" s="18" t="s">
        <v>154</v>
      </c>
      <c r="K58" s="17" t="s">
        <v>154</v>
      </c>
      <c r="L58" s="18" t="s">
        <v>154</v>
      </c>
      <c r="M58" s="17" t="s">
        <v>154</v>
      </c>
      <c r="N58" s="18" t="s">
        <v>154</v>
      </c>
      <c r="O58" s="17" t="s">
        <v>154</v>
      </c>
      <c r="P58" s="18" t="s">
        <v>154</v>
      </c>
      <c r="Q58" s="17" t="s">
        <v>154</v>
      </c>
      <c r="R58" s="18" t="s">
        <v>154</v>
      </c>
    </row>
    <row r="59" spans="1:18" x14ac:dyDescent="0.25">
      <c r="A59" s="11" t="s">
        <v>192</v>
      </c>
      <c r="B59" s="17" t="s">
        <v>154</v>
      </c>
      <c r="C59" s="17" t="s">
        <v>154</v>
      </c>
      <c r="D59" s="18" t="s">
        <v>154</v>
      </c>
      <c r="E59" s="17" t="s">
        <v>154</v>
      </c>
      <c r="F59" s="18" t="s">
        <v>154</v>
      </c>
      <c r="G59" s="17" t="s">
        <v>154</v>
      </c>
      <c r="H59" s="18" t="s">
        <v>154</v>
      </c>
      <c r="I59" s="17" t="s">
        <v>154</v>
      </c>
      <c r="J59" s="18" t="s">
        <v>154</v>
      </c>
      <c r="K59" s="17" t="s">
        <v>154</v>
      </c>
      <c r="L59" s="18" t="s">
        <v>154</v>
      </c>
      <c r="M59" s="17" t="s">
        <v>154</v>
      </c>
      <c r="N59" s="18" t="s">
        <v>154</v>
      </c>
      <c r="O59" s="17" t="s">
        <v>154</v>
      </c>
      <c r="P59" s="18" t="s">
        <v>154</v>
      </c>
      <c r="Q59" s="17" t="s">
        <v>154</v>
      </c>
      <c r="R59" s="18" t="s">
        <v>154</v>
      </c>
    </row>
    <row r="60" spans="1:18" x14ac:dyDescent="0.25">
      <c r="A60" s="11" t="s">
        <v>193</v>
      </c>
      <c r="B60" s="17" t="s">
        <v>154</v>
      </c>
      <c r="C60" s="17" t="s">
        <v>154</v>
      </c>
      <c r="D60" s="18" t="s">
        <v>154</v>
      </c>
      <c r="E60" s="17" t="s">
        <v>154</v>
      </c>
      <c r="F60" s="18" t="s">
        <v>154</v>
      </c>
      <c r="G60" s="17" t="s">
        <v>154</v>
      </c>
      <c r="H60" s="18" t="s">
        <v>154</v>
      </c>
      <c r="I60" s="17" t="s">
        <v>154</v>
      </c>
      <c r="J60" s="18" t="s">
        <v>154</v>
      </c>
      <c r="K60" s="17" t="s">
        <v>154</v>
      </c>
      <c r="L60" s="18" t="s">
        <v>154</v>
      </c>
      <c r="M60" s="17" t="s">
        <v>154</v>
      </c>
      <c r="N60" s="18" t="s">
        <v>154</v>
      </c>
      <c r="O60" s="17" t="s">
        <v>154</v>
      </c>
      <c r="P60" s="18" t="s">
        <v>154</v>
      </c>
      <c r="Q60" s="17" t="s">
        <v>154</v>
      </c>
      <c r="R60" s="18" t="s">
        <v>154</v>
      </c>
    </row>
    <row r="61" spans="1:18" x14ac:dyDescent="0.25">
      <c r="A61" s="11" t="s">
        <v>194</v>
      </c>
      <c r="B61" s="13">
        <v>6525</v>
      </c>
      <c r="C61" s="14">
        <f>(5419/B61*100)</f>
        <v>83.049808429118769</v>
      </c>
      <c r="D61" s="15">
        <v>1106</v>
      </c>
      <c r="E61" s="14">
        <v>53.236340660000003</v>
      </c>
      <c r="F61" s="16">
        <v>1.7787069499999999</v>
      </c>
      <c r="G61" s="14">
        <v>46.763659339999997</v>
      </c>
      <c r="H61" s="16">
        <v>1.7787069499999999</v>
      </c>
      <c r="I61" s="14" t="s">
        <v>139</v>
      </c>
      <c r="J61" s="16" t="s">
        <v>139</v>
      </c>
      <c r="K61" s="14">
        <v>0</v>
      </c>
      <c r="L61" s="16">
        <v>0</v>
      </c>
      <c r="M61" s="14">
        <v>0</v>
      </c>
      <c r="N61" s="16">
        <v>0</v>
      </c>
      <c r="O61" s="14">
        <v>0</v>
      </c>
      <c r="P61" s="16">
        <v>0</v>
      </c>
      <c r="Q61" s="14">
        <v>0</v>
      </c>
      <c r="R61" s="16">
        <v>0</v>
      </c>
    </row>
    <row r="62" spans="1:18" x14ac:dyDescent="0.25">
      <c r="A62" s="11" t="s">
        <v>195</v>
      </c>
      <c r="B62" s="13">
        <v>4476</v>
      </c>
      <c r="C62" s="14">
        <f>(3700/B62*100)</f>
        <v>82.663092046470069</v>
      </c>
      <c r="D62" s="15">
        <v>776</v>
      </c>
      <c r="E62" s="14">
        <v>26.46997885</v>
      </c>
      <c r="F62" s="16">
        <v>1.53681358</v>
      </c>
      <c r="G62" s="14">
        <v>73.530021149999996</v>
      </c>
      <c r="H62" s="16">
        <v>1.53681358</v>
      </c>
      <c r="I62" s="14" t="s">
        <v>139</v>
      </c>
      <c r="J62" s="16" t="s">
        <v>139</v>
      </c>
      <c r="K62" s="14">
        <v>0</v>
      </c>
      <c r="L62" s="16">
        <v>0</v>
      </c>
      <c r="M62" s="14">
        <v>0</v>
      </c>
      <c r="N62" s="16">
        <v>0</v>
      </c>
      <c r="O62" s="14">
        <v>0</v>
      </c>
      <c r="P62" s="16">
        <v>0</v>
      </c>
      <c r="Q62" s="14">
        <v>0</v>
      </c>
      <c r="R62" s="16">
        <v>0</v>
      </c>
    </row>
    <row r="63" spans="1:18" x14ac:dyDescent="0.25">
      <c r="A63" s="11" t="s">
        <v>196</v>
      </c>
      <c r="B63" s="17" t="s">
        <v>154</v>
      </c>
      <c r="C63" s="17" t="s">
        <v>154</v>
      </c>
      <c r="D63" s="18" t="s">
        <v>154</v>
      </c>
      <c r="E63" s="17" t="s">
        <v>154</v>
      </c>
      <c r="F63" s="18" t="s">
        <v>154</v>
      </c>
      <c r="G63" s="17" t="s">
        <v>154</v>
      </c>
      <c r="H63" s="18" t="s">
        <v>154</v>
      </c>
      <c r="I63" s="17" t="s">
        <v>154</v>
      </c>
      <c r="J63" s="18" t="s">
        <v>154</v>
      </c>
      <c r="K63" s="17" t="s">
        <v>154</v>
      </c>
      <c r="L63" s="18" t="s">
        <v>154</v>
      </c>
      <c r="M63" s="17" t="s">
        <v>154</v>
      </c>
      <c r="N63" s="18" t="s">
        <v>154</v>
      </c>
      <c r="O63" s="17" t="s">
        <v>154</v>
      </c>
      <c r="P63" s="18" t="s">
        <v>154</v>
      </c>
      <c r="Q63" s="17" t="s">
        <v>154</v>
      </c>
      <c r="R63" s="18" t="s">
        <v>154</v>
      </c>
    </row>
    <row r="64" spans="1:18" x14ac:dyDescent="0.25">
      <c r="A64" s="11" t="s">
        <v>197</v>
      </c>
      <c r="B64" s="17" t="s">
        <v>154</v>
      </c>
      <c r="C64" s="17" t="s">
        <v>154</v>
      </c>
      <c r="D64" s="18" t="s">
        <v>154</v>
      </c>
      <c r="E64" s="17" t="s">
        <v>154</v>
      </c>
      <c r="F64" s="18" t="s">
        <v>154</v>
      </c>
      <c r="G64" s="17" t="s">
        <v>154</v>
      </c>
      <c r="H64" s="18" t="s">
        <v>154</v>
      </c>
      <c r="I64" s="17" t="s">
        <v>154</v>
      </c>
      <c r="J64" s="18" t="s">
        <v>154</v>
      </c>
      <c r="K64" s="17" t="s">
        <v>154</v>
      </c>
      <c r="L64" s="18" t="s">
        <v>154</v>
      </c>
      <c r="M64" s="17" t="s">
        <v>154</v>
      </c>
      <c r="N64" s="18" t="s">
        <v>154</v>
      </c>
      <c r="O64" s="17" t="s">
        <v>154</v>
      </c>
      <c r="P64" s="18" t="s">
        <v>154</v>
      </c>
      <c r="Q64" s="17" t="s">
        <v>154</v>
      </c>
      <c r="R64" s="18" t="s">
        <v>154</v>
      </c>
    </row>
    <row r="65" spans="1:18" x14ac:dyDescent="0.25">
      <c r="A65" s="11" t="s">
        <v>198</v>
      </c>
      <c r="B65" s="17" t="s">
        <v>154</v>
      </c>
      <c r="C65" s="17" t="s">
        <v>154</v>
      </c>
      <c r="D65" s="18" t="s">
        <v>154</v>
      </c>
      <c r="E65" s="17" t="s">
        <v>154</v>
      </c>
      <c r="F65" s="18" t="s">
        <v>154</v>
      </c>
      <c r="G65" s="17" t="s">
        <v>154</v>
      </c>
      <c r="H65" s="18" t="s">
        <v>154</v>
      </c>
      <c r="I65" s="17" t="s">
        <v>154</v>
      </c>
      <c r="J65" s="18" t="s">
        <v>154</v>
      </c>
      <c r="K65" s="17" t="s">
        <v>154</v>
      </c>
      <c r="L65" s="18" t="s">
        <v>154</v>
      </c>
      <c r="M65" s="17" t="s">
        <v>154</v>
      </c>
      <c r="N65" s="18" t="s">
        <v>154</v>
      </c>
      <c r="O65" s="17" t="s">
        <v>154</v>
      </c>
      <c r="P65" s="18" t="s">
        <v>154</v>
      </c>
      <c r="Q65" s="17" t="s">
        <v>154</v>
      </c>
      <c r="R65" s="18" t="s">
        <v>154</v>
      </c>
    </row>
    <row r="66" spans="1:18" x14ac:dyDescent="0.25">
      <c r="A66" s="11" t="s">
        <v>199</v>
      </c>
      <c r="B66" s="13">
        <v>5665</v>
      </c>
      <c r="C66" s="14">
        <f>(4710/B66*100)</f>
        <v>83.142100617828774</v>
      </c>
      <c r="D66" s="15">
        <v>955</v>
      </c>
      <c r="E66" s="14">
        <v>72.843962090000005</v>
      </c>
      <c r="F66" s="16">
        <v>1.39944892</v>
      </c>
      <c r="G66" s="14">
        <v>27.156037909999998</v>
      </c>
      <c r="H66" s="16">
        <v>1.39944892</v>
      </c>
      <c r="I66" s="14" t="s">
        <v>139</v>
      </c>
      <c r="J66" s="16" t="s">
        <v>139</v>
      </c>
      <c r="K66" s="14">
        <v>0</v>
      </c>
      <c r="L66" s="16">
        <v>0</v>
      </c>
      <c r="M66" s="14">
        <v>0</v>
      </c>
      <c r="N66" s="16">
        <v>0</v>
      </c>
      <c r="O66" s="14">
        <v>0</v>
      </c>
      <c r="P66" s="16">
        <v>0</v>
      </c>
      <c r="Q66" s="14">
        <v>0</v>
      </c>
      <c r="R66" s="16">
        <v>0</v>
      </c>
    </row>
    <row r="67" spans="1:18" x14ac:dyDescent="0.25">
      <c r="A67" s="11" t="s">
        <v>200</v>
      </c>
      <c r="B67" s="13">
        <v>6971</v>
      </c>
      <c r="C67" s="14">
        <f>(5835/B67*100)</f>
        <v>83.703916224358053</v>
      </c>
      <c r="D67" s="15">
        <v>1136</v>
      </c>
      <c r="E67" s="14">
        <v>54.605029649999999</v>
      </c>
      <c r="F67" s="16">
        <v>1.5330476399999999</v>
      </c>
      <c r="G67" s="14">
        <v>45.394970350000001</v>
      </c>
      <c r="H67" s="16">
        <v>1.5330476399999999</v>
      </c>
      <c r="I67" s="14" t="s">
        <v>139</v>
      </c>
      <c r="J67" s="16" t="s">
        <v>139</v>
      </c>
      <c r="K67" s="14">
        <v>0</v>
      </c>
      <c r="L67" s="16">
        <v>0</v>
      </c>
      <c r="M67" s="14">
        <v>0</v>
      </c>
      <c r="N67" s="16">
        <v>0</v>
      </c>
      <c r="O67" s="14">
        <v>0</v>
      </c>
      <c r="P67" s="16">
        <v>0</v>
      </c>
      <c r="Q67" s="14">
        <v>0</v>
      </c>
      <c r="R67" s="16">
        <v>0</v>
      </c>
    </row>
    <row r="68" spans="1:18" x14ac:dyDescent="0.25">
      <c r="A68" s="11" t="s">
        <v>201</v>
      </c>
      <c r="B68" s="17" t="s">
        <v>154</v>
      </c>
      <c r="C68" s="17" t="s">
        <v>154</v>
      </c>
      <c r="D68" s="18" t="s">
        <v>154</v>
      </c>
      <c r="E68" s="17" t="s">
        <v>154</v>
      </c>
      <c r="F68" s="18" t="s">
        <v>154</v>
      </c>
      <c r="G68" s="17" t="s">
        <v>154</v>
      </c>
      <c r="H68" s="18" t="s">
        <v>154</v>
      </c>
      <c r="I68" s="17" t="s">
        <v>154</v>
      </c>
      <c r="J68" s="18" t="s">
        <v>154</v>
      </c>
      <c r="K68" s="17" t="s">
        <v>154</v>
      </c>
      <c r="L68" s="18" t="s">
        <v>154</v>
      </c>
      <c r="M68" s="17" t="s">
        <v>154</v>
      </c>
      <c r="N68" s="18" t="s">
        <v>154</v>
      </c>
      <c r="O68" s="17" t="s">
        <v>154</v>
      </c>
      <c r="P68" s="18" t="s">
        <v>154</v>
      </c>
      <c r="Q68" s="17" t="s">
        <v>154</v>
      </c>
      <c r="R68" s="18" t="s">
        <v>154</v>
      </c>
    </row>
    <row r="69" spans="1:18" x14ac:dyDescent="0.25">
      <c r="A69" s="11" t="s">
        <v>202</v>
      </c>
      <c r="B69" s="17" t="s">
        <v>154</v>
      </c>
      <c r="C69" s="17" t="s">
        <v>154</v>
      </c>
      <c r="D69" s="18" t="s">
        <v>154</v>
      </c>
      <c r="E69" s="17" t="s">
        <v>154</v>
      </c>
      <c r="F69" s="18" t="s">
        <v>154</v>
      </c>
      <c r="G69" s="17" t="s">
        <v>154</v>
      </c>
      <c r="H69" s="18" t="s">
        <v>154</v>
      </c>
      <c r="I69" s="17" t="s">
        <v>154</v>
      </c>
      <c r="J69" s="18" t="s">
        <v>154</v>
      </c>
      <c r="K69" s="17" t="s">
        <v>154</v>
      </c>
      <c r="L69" s="18" t="s">
        <v>154</v>
      </c>
      <c r="M69" s="17" t="s">
        <v>154</v>
      </c>
      <c r="N69" s="18" t="s">
        <v>154</v>
      </c>
      <c r="O69" s="17" t="s">
        <v>154</v>
      </c>
      <c r="P69" s="18" t="s">
        <v>154</v>
      </c>
      <c r="Q69" s="17" t="s">
        <v>154</v>
      </c>
      <c r="R69" s="18" t="s">
        <v>154</v>
      </c>
    </row>
    <row r="70" spans="1:18" x14ac:dyDescent="0.25">
      <c r="A70" s="11" t="s">
        <v>203</v>
      </c>
      <c r="B70" s="13">
        <v>6036</v>
      </c>
      <c r="C70" s="14">
        <f>(4993/B70*100)</f>
        <v>82.720344599072234</v>
      </c>
      <c r="D70" s="15">
        <v>1043</v>
      </c>
      <c r="E70" s="14">
        <v>48.640471439999999</v>
      </c>
      <c r="F70" s="16">
        <v>1.6054014299999999</v>
      </c>
      <c r="G70" s="14">
        <v>51.359528560000001</v>
      </c>
      <c r="H70" s="16">
        <v>1.6054014299999999</v>
      </c>
      <c r="I70" s="14" t="s">
        <v>139</v>
      </c>
      <c r="J70" s="16" t="s">
        <v>139</v>
      </c>
      <c r="K70" s="14">
        <v>0</v>
      </c>
      <c r="L70" s="16">
        <v>0</v>
      </c>
      <c r="M70" s="14">
        <v>0</v>
      </c>
      <c r="N70" s="16">
        <v>0</v>
      </c>
      <c r="O70" s="14">
        <v>0</v>
      </c>
      <c r="P70" s="16">
        <v>0</v>
      </c>
      <c r="Q70" s="14">
        <v>0</v>
      </c>
      <c r="R70" s="16">
        <v>0</v>
      </c>
    </row>
    <row r="71" spans="1:18" x14ac:dyDescent="0.25">
      <c r="A71" s="11" t="s">
        <v>204</v>
      </c>
      <c r="B71" s="17" t="s">
        <v>154</v>
      </c>
      <c r="C71" s="17" t="s">
        <v>154</v>
      </c>
      <c r="D71" s="18" t="s">
        <v>154</v>
      </c>
      <c r="E71" s="17" t="s">
        <v>154</v>
      </c>
      <c r="F71" s="18" t="s">
        <v>154</v>
      </c>
      <c r="G71" s="17" t="s">
        <v>154</v>
      </c>
      <c r="H71" s="18" t="s">
        <v>154</v>
      </c>
      <c r="I71" s="17" t="s">
        <v>154</v>
      </c>
      <c r="J71" s="18" t="s">
        <v>154</v>
      </c>
      <c r="K71" s="17" t="s">
        <v>154</v>
      </c>
      <c r="L71" s="18" t="s">
        <v>154</v>
      </c>
      <c r="M71" s="17" t="s">
        <v>154</v>
      </c>
      <c r="N71" s="18" t="s">
        <v>154</v>
      </c>
      <c r="O71" s="17" t="s">
        <v>154</v>
      </c>
      <c r="P71" s="18" t="s">
        <v>154</v>
      </c>
      <c r="Q71" s="17" t="s">
        <v>154</v>
      </c>
      <c r="R71" s="18" t="s">
        <v>154</v>
      </c>
    </row>
    <row r="72" spans="1:18" x14ac:dyDescent="0.25">
      <c r="A72" s="11" t="s">
        <v>205</v>
      </c>
      <c r="B72" s="13">
        <v>7708</v>
      </c>
      <c r="C72" s="14">
        <f>(6364/B72*100)</f>
        <v>82.56357031655422</v>
      </c>
      <c r="D72" s="15">
        <v>1344</v>
      </c>
      <c r="E72" s="14">
        <v>28.38223236</v>
      </c>
      <c r="F72" s="16">
        <v>1.1776850299999999</v>
      </c>
      <c r="G72" s="14">
        <v>71.617767639999997</v>
      </c>
      <c r="H72" s="16">
        <v>1.1776850299999999</v>
      </c>
      <c r="I72" s="14" t="s">
        <v>139</v>
      </c>
      <c r="J72" s="16" t="s">
        <v>139</v>
      </c>
      <c r="K72" s="14">
        <v>0</v>
      </c>
      <c r="L72" s="16">
        <v>0</v>
      </c>
      <c r="M72" s="14">
        <v>0</v>
      </c>
      <c r="N72" s="16">
        <v>0</v>
      </c>
      <c r="O72" s="14">
        <v>0</v>
      </c>
      <c r="P72" s="16">
        <v>0</v>
      </c>
      <c r="Q72" s="14">
        <v>0</v>
      </c>
      <c r="R72" s="16">
        <v>0</v>
      </c>
    </row>
    <row r="73" spans="1:18" x14ac:dyDescent="0.25">
      <c r="A73" s="11" t="s">
        <v>206</v>
      </c>
      <c r="B73" s="13">
        <v>8249</v>
      </c>
      <c r="C73" s="14">
        <f>(6841/B73*100)</f>
        <v>82.931264395684323</v>
      </c>
      <c r="D73" s="15">
        <v>1408</v>
      </c>
      <c r="E73" s="14">
        <v>28.413895249999999</v>
      </c>
      <c r="F73" s="16">
        <v>1.4218332300000001</v>
      </c>
      <c r="G73" s="14">
        <v>71.586104750000004</v>
      </c>
      <c r="H73" s="16">
        <v>1.4218332300000001</v>
      </c>
      <c r="I73" s="14" t="s">
        <v>139</v>
      </c>
      <c r="J73" s="16" t="s">
        <v>139</v>
      </c>
      <c r="K73" s="14">
        <v>0</v>
      </c>
      <c r="L73" s="16">
        <v>0</v>
      </c>
      <c r="M73" s="14">
        <v>0</v>
      </c>
      <c r="N73" s="16">
        <v>0</v>
      </c>
      <c r="O73" s="14">
        <v>0</v>
      </c>
      <c r="P73" s="16">
        <v>0</v>
      </c>
      <c r="Q73" s="14">
        <v>0</v>
      </c>
      <c r="R73" s="16">
        <v>0</v>
      </c>
    </row>
    <row r="74" spans="1:18" x14ac:dyDescent="0.25">
      <c r="A74" s="11" t="s">
        <v>207</v>
      </c>
      <c r="B74" s="17" t="s">
        <v>154</v>
      </c>
      <c r="C74" s="17" t="s">
        <v>154</v>
      </c>
      <c r="D74" s="18" t="s">
        <v>154</v>
      </c>
      <c r="E74" s="17" t="s">
        <v>154</v>
      </c>
      <c r="F74" s="18" t="s">
        <v>154</v>
      </c>
      <c r="G74" s="17" t="s">
        <v>154</v>
      </c>
      <c r="H74" s="18" t="s">
        <v>154</v>
      </c>
      <c r="I74" s="17" t="s">
        <v>154</v>
      </c>
      <c r="J74" s="18" t="s">
        <v>154</v>
      </c>
      <c r="K74" s="17" t="s">
        <v>154</v>
      </c>
      <c r="L74" s="18" t="s">
        <v>154</v>
      </c>
      <c r="M74" s="17" t="s">
        <v>154</v>
      </c>
      <c r="N74" s="18" t="s">
        <v>154</v>
      </c>
      <c r="O74" s="17" t="s">
        <v>154</v>
      </c>
      <c r="P74" s="18" t="s">
        <v>154</v>
      </c>
      <c r="Q74" s="17" t="s">
        <v>154</v>
      </c>
      <c r="R74" s="18" t="s">
        <v>154</v>
      </c>
    </row>
    <row r="75" spans="1:18" x14ac:dyDescent="0.25">
      <c r="A75" s="11" t="s">
        <v>208</v>
      </c>
      <c r="B75" s="13">
        <v>5375</v>
      </c>
      <c r="C75" s="14">
        <f>(4515/B75*100)</f>
        <v>84</v>
      </c>
      <c r="D75" s="15">
        <v>860</v>
      </c>
      <c r="E75" s="14">
        <v>74.429115179999997</v>
      </c>
      <c r="F75" s="16">
        <v>1.5679926099999999</v>
      </c>
      <c r="G75" s="14">
        <v>25.57088482</v>
      </c>
      <c r="H75" s="16">
        <v>1.5679926099999999</v>
      </c>
      <c r="I75" s="14" t="s">
        <v>139</v>
      </c>
      <c r="J75" s="16" t="s">
        <v>139</v>
      </c>
      <c r="K75" s="14">
        <v>0</v>
      </c>
      <c r="L75" s="16">
        <v>0</v>
      </c>
      <c r="M75" s="14">
        <v>0</v>
      </c>
      <c r="N75" s="16">
        <v>0</v>
      </c>
      <c r="O75" s="14">
        <v>0</v>
      </c>
      <c r="P75" s="16">
        <v>0</v>
      </c>
      <c r="Q75" s="14">
        <v>0</v>
      </c>
      <c r="R75" s="16">
        <v>0</v>
      </c>
    </row>
    <row r="76" spans="1:18" x14ac:dyDescent="0.25">
      <c r="A76" s="11" t="s">
        <v>209</v>
      </c>
      <c r="B76" s="13">
        <v>14167</v>
      </c>
      <c r="C76" s="14">
        <f>(11764/B76*100)</f>
        <v>83.038046163619683</v>
      </c>
      <c r="D76" s="15">
        <v>2403</v>
      </c>
      <c r="E76" s="14">
        <v>61.041462619999997</v>
      </c>
      <c r="F76" s="16">
        <v>1.0892015399999999</v>
      </c>
      <c r="G76" s="14">
        <v>38.958537380000003</v>
      </c>
      <c r="H76" s="16">
        <v>1.0892015399999999</v>
      </c>
      <c r="I76" s="14" t="s">
        <v>139</v>
      </c>
      <c r="J76" s="16" t="s">
        <v>139</v>
      </c>
      <c r="K76" s="14">
        <v>0</v>
      </c>
      <c r="L76" s="16">
        <v>0</v>
      </c>
      <c r="M76" s="14">
        <v>0</v>
      </c>
      <c r="N76" s="16">
        <v>0</v>
      </c>
      <c r="O76" s="14">
        <v>0</v>
      </c>
      <c r="P76" s="16">
        <v>0</v>
      </c>
      <c r="Q76" s="14">
        <v>0</v>
      </c>
      <c r="R76" s="16">
        <v>0</v>
      </c>
    </row>
    <row r="77" spans="1:18" x14ac:dyDescent="0.25">
      <c r="A77" s="11" t="s">
        <v>210</v>
      </c>
      <c r="B77" s="13">
        <v>6062</v>
      </c>
      <c r="C77" s="14">
        <f>(5037/B77*100)</f>
        <v>83.091388980534475</v>
      </c>
      <c r="D77" s="15">
        <v>1025</v>
      </c>
      <c r="E77" s="14">
        <v>54.816434030000003</v>
      </c>
      <c r="F77" s="16">
        <v>1.5001116699999999</v>
      </c>
      <c r="G77" s="14">
        <v>45.183565969999997</v>
      </c>
      <c r="H77" s="16">
        <v>1.5001116699999999</v>
      </c>
      <c r="I77" s="14" t="s">
        <v>139</v>
      </c>
      <c r="J77" s="16" t="s">
        <v>139</v>
      </c>
      <c r="K77" s="14">
        <v>0</v>
      </c>
      <c r="L77" s="16">
        <v>0</v>
      </c>
      <c r="M77" s="14">
        <v>0</v>
      </c>
      <c r="N77" s="16">
        <v>0</v>
      </c>
      <c r="O77" s="14">
        <v>0</v>
      </c>
      <c r="P77" s="16">
        <v>0</v>
      </c>
      <c r="Q77" s="14">
        <v>0</v>
      </c>
      <c r="R77" s="16">
        <v>0</v>
      </c>
    </row>
    <row r="78" spans="1:18" x14ac:dyDescent="0.25">
      <c r="A78" s="11" t="s">
        <v>211</v>
      </c>
      <c r="B78" s="17" t="s">
        <v>154</v>
      </c>
      <c r="C78" s="17" t="s">
        <v>154</v>
      </c>
      <c r="D78" s="18" t="s">
        <v>154</v>
      </c>
      <c r="E78" s="17" t="s">
        <v>154</v>
      </c>
      <c r="F78" s="18" t="s">
        <v>154</v>
      </c>
      <c r="G78" s="17" t="s">
        <v>154</v>
      </c>
      <c r="H78" s="18" t="s">
        <v>154</v>
      </c>
      <c r="I78" s="17" t="s">
        <v>154</v>
      </c>
      <c r="J78" s="18" t="s">
        <v>154</v>
      </c>
      <c r="K78" s="17" t="s">
        <v>154</v>
      </c>
      <c r="L78" s="18" t="s">
        <v>154</v>
      </c>
      <c r="M78" s="17" t="s">
        <v>154</v>
      </c>
      <c r="N78" s="18" t="s">
        <v>154</v>
      </c>
      <c r="O78" s="17" t="s">
        <v>154</v>
      </c>
      <c r="P78" s="18" t="s">
        <v>154</v>
      </c>
      <c r="Q78" s="17" t="s">
        <v>154</v>
      </c>
      <c r="R78" s="18" t="s">
        <v>154</v>
      </c>
    </row>
    <row r="79" spans="1:18" ht="24.95" customHeight="1" x14ac:dyDescent="0.25">
      <c r="A79" s="11" t="s">
        <v>212</v>
      </c>
      <c r="B79" s="17" t="s">
        <v>154</v>
      </c>
      <c r="C79" s="17" t="s">
        <v>154</v>
      </c>
      <c r="D79" s="18" t="s">
        <v>154</v>
      </c>
      <c r="E79" s="17" t="s">
        <v>154</v>
      </c>
      <c r="F79" s="18" t="s">
        <v>154</v>
      </c>
      <c r="G79" s="17" t="s">
        <v>154</v>
      </c>
      <c r="H79" s="18" t="s">
        <v>154</v>
      </c>
      <c r="I79" s="17" t="s">
        <v>154</v>
      </c>
      <c r="J79" s="18" t="s">
        <v>154</v>
      </c>
      <c r="K79" s="17" t="s">
        <v>154</v>
      </c>
      <c r="L79" s="18" t="s">
        <v>154</v>
      </c>
      <c r="M79" s="17" t="s">
        <v>154</v>
      </c>
      <c r="N79" s="18" t="s">
        <v>154</v>
      </c>
      <c r="O79" s="17" t="s">
        <v>154</v>
      </c>
      <c r="P79" s="18" t="s">
        <v>154</v>
      </c>
      <c r="Q79" s="17" t="s">
        <v>154</v>
      </c>
      <c r="R79" s="18" t="s">
        <v>154</v>
      </c>
    </row>
    <row r="80" spans="1:18" x14ac:dyDescent="0.25">
      <c r="A80" s="11" t="s">
        <v>213</v>
      </c>
      <c r="B80" s="17" t="s">
        <v>154</v>
      </c>
      <c r="C80" s="17" t="s">
        <v>154</v>
      </c>
      <c r="D80" s="18" t="s">
        <v>154</v>
      </c>
      <c r="E80" s="17" t="s">
        <v>154</v>
      </c>
      <c r="F80" s="18" t="s">
        <v>154</v>
      </c>
      <c r="G80" s="17" t="s">
        <v>154</v>
      </c>
      <c r="H80" s="18" t="s">
        <v>154</v>
      </c>
      <c r="I80" s="17" t="s">
        <v>154</v>
      </c>
      <c r="J80" s="18" t="s">
        <v>154</v>
      </c>
      <c r="K80" s="17" t="s">
        <v>154</v>
      </c>
      <c r="L80" s="18" t="s">
        <v>154</v>
      </c>
      <c r="M80" s="17" t="s">
        <v>154</v>
      </c>
      <c r="N80" s="18" t="s">
        <v>154</v>
      </c>
      <c r="O80" s="17" t="s">
        <v>154</v>
      </c>
      <c r="P80" s="18" t="s">
        <v>154</v>
      </c>
      <c r="Q80" s="17" t="s">
        <v>154</v>
      </c>
      <c r="R80" s="18" t="s">
        <v>154</v>
      </c>
    </row>
    <row r="81" spans="1:18" x14ac:dyDescent="0.25">
      <c r="A81" s="19" t="s">
        <v>214</v>
      </c>
      <c r="B81" s="13">
        <v>8861</v>
      </c>
      <c r="C81" s="14">
        <f>(7344/B81*100)</f>
        <v>82.880036113305493</v>
      </c>
      <c r="D81" s="15">
        <v>1517</v>
      </c>
      <c r="E81" s="14">
        <v>37.742947350000001</v>
      </c>
      <c r="F81" s="16">
        <v>1.58094705</v>
      </c>
      <c r="G81" s="14">
        <v>62.257052649999999</v>
      </c>
      <c r="H81" s="16">
        <v>1.58094705</v>
      </c>
      <c r="I81" s="14" t="s">
        <v>139</v>
      </c>
      <c r="J81" s="16" t="s">
        <v>139</v>
      </c>
      <c r="K81" s="14">
        <v>0</v>
      </c>
      <c r="L81" s="16">
        <v>0</v>
      </c>
      <c r="M81" s="14">
        <v>0</v>
      </c>
      <c r="N81" s="16">
        <v>0</v>
      </c>
      <c r="O81" s="14">
        <v>0</v>
      </c>
      <c r="P81" s="16">
        <v>0</v>
      </c>
      <c r="Q81" s="14">
        <v>0</v>
      </c>
      <c r="R81" s="16">
        <v>0</v>
      </c>
    </row>
    <row r="82" spans="1:18" x14ac:dyDescent="0.25">
      <c r="A82" s="20"/>
      <c r="B82" s="20" t="s">
        <v>215</v>
      </c>
      <c r="C82" s="20" t="s">
        <v>215</v>
      </c>
      <c r="D82" s="20" t="s">
        <v>215</v>
      </c>
      <c r="E82" s="20" t="s">
        <v>215</v>
      </c>
      <c r="F82" s="20" t="s">
        <v>215</v>
      </c>
      <c r="G82" s="20" t="s">
        <v>215</v>
      </c>
      <c r="H82" s="20" t="s">
        <v>215</v>
      </c>
      <c r="I82" s="20" t="s">
        <v>215</v>
      </c>
      <c r="J82" s="20" t="s">
        <v>215</v>
      </c>
      <c r="K82" s="20" t="s">
        <v>215</v>
      </c>
      <c r="L82" s="20" t="s">
        <v>215</v>
      </c>
      <c r="M82" s="20" t="s">
        <v>215</v>
      </c>
      <c r="N82" s="20" t="s">
        <v>215</v>
      </c>
      <c r="O82" s="20" t="s">
        <v>215</v>
      </c>
      <c r="P82" s="20" t="s">
        <v>215</v>
      </c>
      <c r="Q82" s="20" t="s">
        <v>215</v>
      </c>
      <c r="R82" s="20" t="s">
        <v>215</v>
      </c>
    </row>
    <row r="83" spans="1:18" x14ac:dyDescent="0.25">
      <c r="A83" s="3" t="s">
        <v>216</v>
      </c>
    </row>
    <row r="84" spans="1:18" x14ac:dyDescent="0.25">
      <c r="A84" s="22" t="s">
        <v>217</v>
      </c>
      <c r="B84" s="23"/>
      <c r="C84" s="23"/>
      <c r="D84" s="23"/>
      <c r="E84" s="23"/>
      <c r="F84" s="23"/>
      <c r="G84" s="23"/>
      <c r="H84" s="23"/>
      <c r="I84" s="23"/>
      <c r="J84" s="23"/>
      <c r="K84" s="23"/>
      <c r="L84" s="23"/>
      <c r="M84" s="23"/>
      <c r="N84" s="23"/>
      <c r="O84" s="23"/>
      <c r="P84" s="23"/>
      <c r="Q84" s="23"/>
      <c r="R84" s="23"/>
    </row>
    <row r="85" spans="1:18" x14ac:dyDescent="0.25">
      <c r="A85" s="22" t="s">
        <v>218</v>
      </c>
      <c r="B85" s="23"/>
      <c r="C85" s="23"/>
      <c r="D85" s="23"/>
      <c r="E85" s="23"/>
      <c r="F85" s="23"/>
      <c r="G85" s="23"/>
      <c r="H85" s="23"/>
      <c r="I85" s="23"/>
      <c r="J85" s="23"/>
      <c r="K85" s="23"/>
      <c r="L85" s="23"/>
      <c r="M85" s="23"/>
      <c r="N85" s="23"/>
      <c r="O85" s="23"/>
      <c r="P85" s="23"/>
      <c r="Q85" s="23"/>
      <c r="R85" s="23"/>
    </row>
    <row r="86" spans="1:18" ht="30" customHeight="1" x14ac:dyDescent="0.25">
      <c r="A86" s="22" t="s">
        <v>219</v>
      </c>
      <c r="B86" s="23"/>
      <c r="C86" s="23"/>
      <c r="D86" s="23"/>
      <c r="E86" s="23"/>
      <c r="F86" s="23"/>
      <c r="G86" s="23"/>
      <c r="H86" s="23"/>
      <c r="I86" s="23"/>
      <c r="J86" s="23"/>
      <c r="K86" s="23"/>
      <c r="L86" s="23"/>
      <c r="M86" s="23"/>
      <c r="N86" s="23"/>
      <c r="O86" s="23"/>
      <c r="P86" s="23"/>
      <c r="Q86" s="23"/>
      <c r="R86" s="23"/>
    </row>
    <row r="87" spans="1:18" ht="30" customHeight="1" x14ac:dyDescent="0.25">
      <c r="A87" s="22" t="s">
        <v>215</v>
      </c>
      <c r="B87" s="23"/>
      <c r="C87" s="23"/>
      <c r="D87" s="23"/>
      <c r="E87" s="23"/>
      <c r="F87" s="23"/>
      <c r="G87" s="23"/>
      <c r="H87" s="23"/>
      <c r="I87" s="23"/>
      <c r="J87" s="23"/>
      <c r="K87" s="23"/>
      <c r="L87" s="23"/>
      <c r="M87" s="23"/>
      <c r="N87" s="23"/>
      <c r="O87" s="23"/>
      <c r="P87" s="23"/>
      <c r="Q87" s="23"/>
      <c r="R87" s="23"/>
    </row>
    <row r="88" spans="1:18" ht="30" customHeight="1" x14ac:dyDescent="0.25">
      <c r="A88" s="22" t="s">
        <v>220</v>
      </c>
      <c r="B88" s="23"/>
      <c r="C88" s="23"/>
      <c r="D88" s="23"/>
      <c r="E88" s="23"/>
      <c r="F88" s="23"/>
      <c r="G88" s="23"/>
      <c r="H88" s="23"/>
      <c r="I88" s="23"/>
      <c r="J88" s="23"/>
      <c r="K88" s="23"/>
      <c r="L88" s="23"/>
      <c r="M88" s="23"/>
      <c r="N88" s="23"/>
      <c r="O88" s="23"/>
      <c r="P88" s="23"/>
      <c r="Q88" s="23"/>
      <c r="R88" s="23"/>
    </row>
    <row r="89" spans="1:18" ht="30" customHeight="1" x14ac:dyDescent="0.25">
      <c r="A89" s="22" t="s">
        <v>221</v>
      </c>
      <c r="B89" s="23"/>
      <c r="C89" s="23"/>
      <c r="D89" s="23"/>
      <c r="E89" s="23"/>
      <c r="F89" s="23"/>
      <c r="G89" s="23"/>
      <c r="H89" s="23"/>
      <c r="I89" s="23"/>
      <c r="J89" s="23"/>
      <c r="K89" s="23"/>
      <c r="L89" s="23"/>
      <c r="M89" s="23"/>
      <c r="N89" s="23"/>
      <c r="O89" s="23"/>
      <c r="P89" s="23"/>
      <c r="Q89" s="23"/>
      <c r="R89" s="23"/>
    </row>
    <row r="90" spans="1:18" ht="30" customHeight="1" x14ac:dyDescent="0.25">
      <c r="A90" s="22" t="s">
        <v>222</v>
      </c>
      <c r="B90" s="23"/>
      <c r="C90" s="23"/>
      <c r="D90" s="23"/>
      <c r="E90" s="23"/>
      <c r="F90" s="23"/>
      <c r="G90" s="23"/>
      <c r="H90" s="23"/>
      <c r="I90" s="23"/>
      <c r="J90" s="23"/>
      <c r="K90" s="23"/>
      <c r="L90" s="23"/>
      <c r="M90" s="23"/>
      <c r="N90" s="23"/>
      <c r="O90" s="23"/>
      <c r="P90" s="23"/>
      <c r="Q90" s="23"/>
      <c r="R90" s="23"/>
    </row>
    <row r="91" spans="1:18" ht="30" customHeight="1" x14ac:dyDescent="0.25">
      <c r="A91" s="22" t="s">
        <v>223</v>
      </c>
      <c r="B91" s="23"/>
      <c r="C91" s="23"/>
      <c r="D91" s="23"/>
      <c r="E91" s="23"/>
      <c r="F91" s="23"/>
      <c r="G91" s="23"/>
      <c r="H91" s="23"/>
      <c r="I91" s="23"/>
      <c r="J91" s="23"/>
      <c r="K91" s="23"/>
      <c r="L91" s="23"/>
      <c r="M91" s="23"/>
      <c r="N91" s="23"/>
      <c r="O91" s="23"/>
      <c r="P91" s="23"/>
      <c r="Q91" s="23"/>
      <c r="R91" s="23"/>
    </row>
    <row r="92" spans="1:18" ht="30" customHeight="1" x14ac:dyDescent="0.25">
      <c r="A92" s="22" t="s">
        <v>224</v>
      </c>
      <c r="B92" s="23"/>
      <c r="C92" s="23"/>
      <c r="D92" s="23"/>
      <c r="E92" s="23"/>
      <c r="F92" s="23"/>
      <c r="G92" s="23"/>
      <c r="H92" s="23"/>
      <c r="I92" s="23"/>
      <c r="J92" s="23"/>
      <c r="K92" s="23"/>
      <c r="L92" s="23"/>
      <c r="M92" s="23"/>
      <c r="N92" s="23"/>
      <c r="O92" s="23"/>
      <c r="P92" s="23"/>
      <c r="Q92" s="23"/>
      <c r="R92" s="23"/>
    </row>
    <row r="93" spans="1:18" ht="30" customHeight="1" x14ac:dyDescent="0.25">
      <c r="A93" s="22" t="s">
        <v>225</v>
      </c>
      <c r="B93" s="23"/>
      <c r="C93" s="23"/>
      <c r="D93" s="23"/>
      <c r="E93" s="23"/>
      <c r="F93" s="23"/>
      <c r="G93" s="23"/>
      <c r="H93" s="23"/>
      <c r="I93" s="23"/>
      <c r="J93" s="23"/>
      <c r="K93" s="23"/>
      <c r="L93" s="23"/>
      <c r="M93" s="23"/>
      <c r="N93" s="23"/>
      <c r="O93" s="23"/>
      <c r="P93" s="23"/>
      <c r="Q93" s="23"/>
      <c r="R93" s="23"/>
    </row>
    <row r="94" spans="1:18" ht="30" customHeight="1" x14ac:dyDescent="0.25">
      <c r="A94" s="22" t="s">
        <v>226</v>
      </c>
      <c r="B94" s="23"/>
      <c r="C94" s="23"/>
      <c r="D94" s="23"/>
      <c r="E94" s="23"/>
      <c r="F94" s="23"/>
      <c r="G94" s="23"/>
      <c r="H94" s="23"/>
      <c r="I94" s="23"/>
      <c r="J94" s="23"/>
      <c r="K94" s="23"/>
      <c r="L94" s="23"/>
      <c r="M94" s="23"/>
      <c r="N94" s="23"/>
      <c r="O94" s="23"/>
      <c r="P94" s="23"/>
      <c r="Q94" s="23"/>
      <c r="R94" s="23"/>
    </row>
    <row r="95" spans="1:18" ht="30" customHeight="1" x14ac:dyDescent="0.25">
      <c r="A95" s="22" t="s">
        <v>227</v>
      </c>
      <c r="B95" s="23"/>
      <c r="C95" s="23"/>
      <c r="D95" s="23"/>
      <c r="E95" s="23"/>
      <c r="F95" s="23"/>
      <c r="G95" s="23"/>
      <c r="H95" s="23"/>
      <c r="I95" s="23"/>
      <c r="J95" s="23"/>
      <c r="K95" s="23"/>
      <c r="L95" s="23"/>
      <c r="M95" s="23"/>
      <c r="N95" s="23"/>
      <c r="O95" s="23"/>
      <c r="P95" s="23"/>
      <c r="Q95" s="23"/>
      <c r="R95" s="23"/>
    </row>
    <row r="96" spans="1:18" ht="30" customHeight="1" x14ac:dyDescent="0.25">
      <c r="A96" s="22" t="s">
        <v>228</v>
      </c>
      <c r="B96" s="23"/>
      <c r="C96" s="23"/>
      <c r="D96" s="23"/>
      <c r="E96" s="23"/>
      <c r="F96" s="23"/>
      <c r="G96" s="23"/>
      <c r="H96" s="23"/>
      <c r="I96" s="23"/>
      <c r="J96" s="23"/>
      <c r="K96" s="23"/>
      <c r="L96" s="23"/>
      <c r="M96" s="23"/>
      <c r="N96" s="23"/>
      <c r="O96" s="23"/>
      <c r="P96" s="23"/>
      <c r="Q96" s="23"/>
      <c r="R96" s="23"/>
    </row>
  </sheetData>
  <mergeCells count="22">
    <mergeCell ref="O4:P4"/>
    <mergeCell ref="Q4:R4"/>
    <mergeCell ref="A1:R1"/>
    <mergeCell ref="A2:R2"/>
    <mergeCell ref="A84:R84"/>
    <mergeCell ref="E4:F4"/>
    <mergeCell ref="G4:H4"/>
    <mergeCell ref="I4:J4"/>
    <mergeCell ref="K4:L4"/>
    <mergeCell ref="M4:N4"/>
    <mergeCell ref="A85:R85"/>
    <mergeCell ref="A86:R86"/>
    <mergeCell ref="A87:R87"/>
    <mergeCell ref="A88:R88"/>
    <mergeCell ref="A89:R89"/>
    <mergeCell ref="A95:R95"/>
    <mergeCell ref="A96:R96"/>
    <mergeCell ref="A90:R90"/>
    <mergeCell ref="A91:R91"/>
    <mergeCell ref="A92:R92"/>
    <mergeCell ref="A93:R93"/>
    <mergeCell ref="A94:R94"/>
  </mergeCells>
  <pageMargins left="0.75" right="0.75" top="1" bottom="1" header="0.5" footer="0.5"/>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4"/>
  <dimension ref="A1:R96"/>
  <sheetViews>
    <sheetView zoomScale="80" workbookViewId="0">
      <pane xSplit="4" topLeftCell="E1" activePane="topRight" state="frozen"/>
      <selection sqref="A1:R1"/>
      <selection pane="topRight" sqref="A1:R1"/>
    </sheetView>
  </sheetViews>
  <sheetFormatPr defaultColWidth="11.42578125" defaultRowHeight="15" x14ac:dyDescent="0.25"/>
  <cols>
    <col min="1" max="1" width="50" customWidth="1"/>
  </cols>
  <sheetData>
    <row r="1" spans="1:18" x14ac:dyDescent="0.25">
      <c r="A1" s="26" t="s">
        <v>122</v>
      </c>
      <c r="B1" s="23"/>
      <c r="C1" s="23"/>
      <c r="D1" s="23"/>
      <c r="E1" s="23"/>
      <c r="F1" s="23"/>
      <c r="G1" s="23"/>
      <c r="H1" s="23"/>
      <c r="I1" s="23"/>
      <c r="J1" s="23"/>
      <c r="K1" s="23"/>
      <c r="L1" s="23"/>
      <c r="M1" s="23"/>
      <c r="N1" s="23"/>
      <c r="O1" s="23"/>
      <c r="P1" s="23"/>
      <c r="Q1" s="23"/>
      <c r="R1" s="23"/>
    </row>
    <row r="2" spans="1:18" x14ac:dyDescent="0.25">
      <c r="A2" s="27" t="s">
        <v>320</v>
      </c>
      <c r="B2" s="23"/>
      <c r="C2" s="23"/>
      <c r="D2" s="23"/>
      <c r="E2" s="23"/>
      <c r="F2" s="23"/>
      <c r="G2" s="23"/>
      <c r="H2" s="23"/>
      <c r="I2" s="23"/>
      <c r="J2" s="23"/>
      <c r="K2" s="23"/>
      <c r="L2" s="23"/>
      <c r="M2" s="23"/>
      <c r="N2" s="23"/>
      <c r="O2" s="23"/>
      <c r="P2" s="23"/>
      <c r="Q2" s="23"/>
      <c r="R2" s="23"/>
    </row>
    <row r="4" spans="1:18" ht="30" customHeight="1" x14ac:dyDescent="0.25">
      <c r="A4" s="4"/>
      <c r="B4" s="5" t="s">
        <v>123</v>
      </c>
      <c r="C4" s="5" t="s">
        <v>124</v>
      </c>
      <c r="D4" s="6" t="s">
        <v>123</v>
      </c>
      <c r="E4" s="24" t="s">
        <v>125</v>
      </c>
      <c r="F4" s="25"/>
      <c r="G4" s="24" t="s">
        <v>126</v>
      </c>
      <c r="H4" s="25"/>
      <c r="I4" s="24" t="s">
        <v>127</v>
      </c>
      <c r="J4" s="25"/>
      <c r="K4" s="24" t="s">
        <v>128</v>
      </c>
      <c r="L4" s="25"/>
      <c r="M4" s="24" t="s">
        <v>129</v>
      </c>
      <c r="N4" s="25"/>
      <c r="O4" s="24" t="s">
        <v>130</v>
      </c>
      <c r="P4" s="25"/>
      <c r="Q4" s="24" t="s">
        <v>131</v>
      </c>
      <c r="R4" s="25"/>
    </row>
    <row r="5" spans="1:18" x14ac:dyDescent="0.25">
      <c r="A5" s="7"/>
      <c r="B5" s="8" t="s">
        <v>132</v>
      </c>
      <c r="C5" s="8" t="s">
        <v>133</v>
      </c>
      <c r="D5" s="7" t="s">
        <v>134</v>
      </c>
      <c r="E5" s="8" t="s">
        <v>135</v>
      </c>
      <c r="F5" s="7" t="s">
        <v>136</v>
      </c>
      <c r="G5" s="8" t="s">
        <v>135</v>
      </c>
      <c r="H5" s="7" t="s">
        <v>136</v>
      </c>
      <c r="I5" s="8" t="s">
        <v>135</v>
      </c>
      <c r="J5" s="7" t="s">
        <v>136</v>
      </c>
      <c r="K5" s="8" t="s">
        <v>135</v>
      </c>
      <c r="L5" s="7" t="s">
        <v>136</v>
      </c>
      <c r="M5" s="8" t="s">
        <v>135</v>
      </c>
      <c r="N5" s="7" t="s">
        <v>136</v>
      </c>
      <c r="O5" s="8" t="s">
        <v>135</v>
      </c>
      <c r="P5" s="7" t="s">
        <v>136</v>
      </c>
      <c r="Q5" s="8" t="s">
        <v>135</v>
      </c>
      <c r="R5" s="7" t="s">
        <v>136</v>
      </c>
    </row>
    <row r="6" spans="1:18" x14ac:dyDescent="0.25">
      <c r="A6" s="9" t="s">
        <v>137</v>
      </c>
      <c r="B6" s="10"/>
      <c r="C6" s="10"/>
      <c r="D6" s="11"/>
      <c r="E6" s="10"/>
      <c r="F6" s="11"/>
      <c r="G6" s="10"/>
      <c r="H6" s="11"/>
      <c r="I6" s="10"/>
      <c r="J6" s="11"/>
      <c r="K6" s="10"/>
      <c r="L6" s="11"/>
      <c r="M6" s="10"/>
      <c r="N6" s="11"/>
      <c r="O6" s="10"/>
      <c r="P6" s="11"/>
      <c r="Q6" s="10"/>
      <c r="R6" s="12"/>
    </row>
    <row r="7" spans="1:18" x14ac:dyDescent="0.25">
      <c r="A7" s="11" t="s">
        <v>138</v>
      </c>
      <c r="B7" s="13">
        <v>14530</v>
      </c>
      <c r="C7" s="14">
        <f>(12048/B7*100)</f>
        <v>82.918100481761869</v>
      </c>
      <c r="D7" s="15">
        <v>2482</v>
      </c>
      <c r="E7" s="14">
        <v>29.69915821</v>
      </c>
      <c r="F7" s="16">
        <v>1.0022908699999999</v>
      </c>
      <c r="G7" s="14">
        <v>70.300841790000007</v>
      </c>
      <c r="H7" s="16">
        <v>1.0022908699999999</v>
      </c>
      <c r="I7" s="14" t="s">
        <v>139</v>
      </c>
      <c r="J7" s="16" t="s">
        <v>139</v>
      </c>
      <c r="K7" s="14">
        <v>0</v>
      </c>
      <c r="L7" s="16">
        <v>0</v>
      </c>
      <c r="M7" s="14">
        <v>0</v>
      </c>
      <c r="N7" s="16">
        <v>0</v>
      </c>
      <c r="O7" s="14">
        <v>0</v>
      </c>
      <c r="P7" s="16">
        <v>0</v>
      </c>
      <c r="Q7" s="14">
        <v>0</v>
      </c>
      <c r="R7" s="16">
        <v>0</v>
      </c>
    </row>
    <row r="8" spans="1:18" x14ac:dyDescent="0.25">
      <c r="A8" s="11" t="s">
        <v>140</v>
      </c>
      <c r="B8" s="13">
        <v>7007</v>
      </c>
      <c r="C8" s="14">
        <f>(5767/B8*100)</f>
        <v>82.303410874839443</v>
      </c>
      <c r="D8" s="15">
        <v>1240</v>
      </c>
      <c r="E8" s="14">
        <v>40.544630220000002</v>
      </c>
      <c r="F8" s="16">
        <v>1.5373629</v>
      </c>
      <c r="G8" s="14">
        <v>59.455369779999998</v>
      </c>
      <c r="H8" s="16">
        <v>1.5373629</v>
      </c>
      <c r="I8" s="14" t="s">
        <v>139</v>
      </c>
      <c r="J8" s="16" t="s">
        <v>139</v>
      </c>
      <c r="K8" s="14">
        <v>0</v>
      </c>
      <c r="L8" s="16">
        <v>0</v>
      </c>
      <c r="M8" s="14">
        <v>0</v>
      </c>
      <c r="N8" s="16">
        <v>0</v>
      </c>
      <c r="O8" s="14">
        <v>0</v>
      </c>
      <c r="P8" s="16">
        <v>0</v>
      </c>
      <c r="Q8" s="14">
        <v>0</v>
      </c>
      <c r="R8" s="16">
        <v>0</v>
      </c>
    </row>
    <row r="9" spans="1:18" x14ac:dyDescent="0.25">
      <c r="A9" s="11" t="s">
        <v>141</v>
      </c>
      <c r="B9" s="13">
        <v>9651</v>
      </c>
      <c r="C9" s="14">
        <f>(8033/B9*100)</f>
        <v>83.234897938037506</v>
      </c>
      <c r="D9" s="15">
        <v>1618</v>
      </c>
      <c r="E9" s="14">
        <v>35.864690410000001</v>
      </c>
      <c r="F9" s="16">
        <v>1.1310981</v>
      </c>
      <c r="G9" s="14">
        <v>64.135309590000006</v>
      </c>
      <c r="H9" s="16">
        <v>1.1310981</v>
      </c>
      <c r="I9" s="14" t="s">
        <v>139</v>
      </c>
      <c r="J9" s="16" t="s">
        <v>139</v>
      </c>
      <c r="K9" s="14">
        <v>0</v>
      </c>
      <c r="L9" s="16">
        <v>0</v>
      </c>
      <c r="M9" s="14">
        <v>0</v>
      </c>
      <c r="N9" s="16">
        <v>0</v>
      </c>
      <c r="O9" s="14">
        <v>0</v>
      </c>
      <c r="P9" s="16">
        <v>0</v>
      </c>
      <c r="Q9" s="14">
        <v>0</v>
      </c>
      <c r="R9" s="16">
        <v>0</v>
      </c>
    </row>
    <row r="10" spans="1:18" x14ac:dyDescent="0.25">
      <c r="A10" s="11" t="s">
        <v>142</v>
      </c>
      <c r="B10" s="13">
        <v>20058</v>
      </c>
      <c r="C10" s="14">
        <f>(16642/B10*100)</f>
        <v>82.969388772559583</v>
      </c>
      <c r="D10" s="15">
        <v>3416</v>
      </c>
      <c r="E10" s="14">
        <v>34.929219979999999</v>
      </c>
      <c r="F10" s="16">
        <v>1.30671925</v>
      </c>
      <c r="G10" s="14">
        <v>65.070780020000001</v>
      </c>
      <c r="H10" s="16">
        <v>1.30671925</v>
      </c>
      <c r="I10" s="14" t="s">
        <v>139</v>
      </c>
      <c r="J10" s="16" t="s">
        <v>139</v>
      </c>
      <c r="K10" s="14">
        <v>0</v>
      </c>
      <c r="L10" s="16">
        <v>0</v>
      </c>
      <c r="M10" s="14">
        <v>0</v>
      </c>
      <c r="N10" s="16">
        <v>0</v>
      </c>
      <c r="O10" s="14">
        <v>0</v>
      </c>
      <c r="P10" s="16">
        <v>0</v>
      </c>
      <c r="Q10" s="14">
        <v>0</v>
      </c>
      <c r="R10" s="16">
        <v>0</v>
      </c>
    </row>
    <row r="11" spans="1:18" x14ac:dyDescent="0.25">
      <c r="A11" s="11" t="s">
        <v>143</v>
      </c>
      <c r="B11" s="13">
        <v>7053</v>
      </c>
      <c r="C11" s="14">
        <f>(5822/B11*100)</f>
        <v>82.546434141500072</v>
      </c>
      <c r="D11" s="15">
        <v>1231</v>
      </c>
      <c r="E11" s="14">
        <v>37.465511589999998</v>
      </c>
      <c r="F11" s="16">
        <v>1.97204114</v>
      </c>
      <c r="G11" s="14">
        <v>62.534488410000002</v>
      </c>
      <c r="H11" s="16">
        <v>1.97204114</v>
      </c>
      <c r="I11" s="14" t="s">
        <v>139</v>
      </c>
      <c r="J11" s="16" t="s">
        <v>139</v>
      </c>
      <c r="K11" s="14">
        <v>0</v>
      </c>
      <c r="L11" s="16">
        <v>0</v>
      </c>
      <c r="M11" s="14">
        <v>0</v>
      </c>
      <c r="N11" s="16">
        <v>0</v>
      </c>
      <c r="O11" s="14">
        <v>0</v>
      </c>
      <c r="P11" s="16">
        <v>0</v>
      </c>
      <c r="Q11" s="14">
        <v>0</v>
      </c>
      <c r="R11" s="16">
        <v>0</v>
      </c>
    </row>
    <row r="12" spans="1:18" x14ac:dyDescent="0.25">
      <c r="A12" s="11" t="s">
        <v>144</v>
      </c>
      <c r="B12" s="13">
        <v>6894</v>
      </c>
      <c r="C12" s="14">
        <f>(5719/B12*100)</f>
        <v>82.95619379170293</v>
      </c>
      <c r="D12" s="15">
        <v>1175</v>
      </c>
      <c r="E12" s="14">
        <v>38.992670709999999</v>
      </c>
      <c r="F12" s="16">
        <v>1.4093947899999999</v>
      </c>
      <c r="G12" s="14">
        <v>61.007329290000001</v>
      </c>
      <c r="H12" s="16">
        <v>1.4093947899999999</v>
      </c>
      <c r="I12" s="14" t="s">
        <v>139</v>
      </c>
      <c r="J12" s="16" t="s">
        <v>139</v>
      </c>
      <c r="K12" s="14">
        <v>0</v>
      </c>
      <c r="L12" s="16">
        <v>0</v>
      </c>
      <c r="M12" s="14">
        <v>0</v>
      </c>
      <c r="N12" s="16">
        <v>0</v>
      </c>
      <c r="O12" s="14">
        <v>0</v>
      </c>
      <c r="P12" s="16">
        <v>0</v>
      </c>
      <c r="Q12" s="14">
        <v>0</v>
      </c>
      <c r="R12" s="16">
        <v>0</v>
      </c>
    </row>
    <row r="13" spans="1:18" x14ac:dyDescent="0.25">
      <c r="A13" s="11" t="s">
        <v>145</v>
      </c>
      <c r="B13" s="13">
        <v>7161</v>
      </c>
      <c r="C13" s="14">
        <f>(5990/B13*100)</f>
        <v>83.647535260438488</v>
      </c>
      <c r="D13" s="15">
        <v>1171</v>
      </c>
      <c r="E13" s="14">
        <v>26.525237610000001</v>
      </c>
      <c r="F13" s="16">
        <v>1.54006731</v>
      </c>
      <c r="G13" s="14">
        <v>73.474762389999995</v>
      </c>
      <c r="H13" s="16">
        <v>1.54006731</v>
      </c>
      <c r="I13" s="14" t="s">
        <v>139</v>
      </c>
      <c r="J13" s="16" t="s">
        <v>139</v>
      </c>
      <c r="K13" s="14">
        <v>0</v>
      </c>
      <c r="L13" s="16">
        <v>0</v>
      </c>
      <c r="M13" s="14">
        <v>0</v>
      </c>
      <c r="N13" s="16">
        <v>0</v>
      </c>
      <c r="O13" s="14">
        <v>0</v>
      </c>
      <c r="P13" s="16">
        <v>0</v>
      </c>
      <c r="Q13" s="14">
        <v>0</v>
      </c>
      <c r="R13" s="16">
        <v>0</v>
      </c>
    </row>
    <row r="14" spans="1:18" x14ac:dyDescent="0.25">
      <c r="A14" s="11" t="s">
        <v>146</v>
      </c>
      <c r="B14" s="13">
        <v>5587</v>
      </c>
      <c r="C14" s="14">
        <f>(4623/B14*100)</f>
        <v>82.745659566851614</v>
      </c>
      <c r="D14" s="15">
        <v>964</v>
      </c>
      <c r="E14" s="14">
        <v>32.626346609999999</v>
      </c>
      <c r="F14" s="16">
        <v>1.48369865</v>
      </c>
      <c r="G14" s="14">
        <v>67.373653390000001</v>
      </c>
      <c r="H14" s="16">
        <v>1.48369865</v>
      </c>
      <c r="I14" s="14" t="s">
        <v>139</v>
      </c>
      <c r="J14" s="16" t="s">
        <v>139</v>
      </c>
      <c r="K14" s="14">
        <v>0</v>
      </c>
      <c r="L14" s="16">
        <v>0</v>
      </c>
      <c r="M14" s="14">
        <v>0</v>
      </c>
      <c r="N14" s="16">
        <v>0</v>
      </c>
      <c r="O14" s="14">
        <v>0</v>
      </c>
      <c r="P14" s="16">
        <v>0</v>
      </c>
      <c r="Q14" s="14">
        <v>0</v>
      </c>
      <c r="R14" s="16">
        <v>0</v>
      </c>
    </row>
    <row r="15" spans="1:18" x14ac:dyDescent="0.25">
      <c r="A15" s="11" t="s">
        <v>147</v>
      </c>
      <c r="B15" s="13">
        <v>5882</v>
      </c>
      <c r="C15" s="14">
        <f>(4868/B15*100)</f>
        <v>82.760965657939479</v>
      </c>
      <c r="D15" s="15">
        <v>1014</v>
      </c>
      <c r="E15" s="14">
        <v>41.997777650000003</v>
      </c>
      <c r="F15" s="16">
        <v>1.67045979</v>
      </c>
      <c r="G15" s="14">
        <v>58.002222349999997</v>
      </c>
      <c r="H15" s="16">
        <v>1.67045979</v>
      </c>
      <c r="I15" s="14" t="s">
        <v>139</v>
      </c>
      <c r="J15" s="16" t="s">
        <v>139</v>
      </c>
      <c r="K15" s="14">
        <v>0</v>
      </c>
      <c r="L15" s="16">
        <v>0</v>
      </c>
      <c r="M15" s="14">
        <v>0</v>
      </c>
      <c r="N15" s="16">
        <v>0</v>
      </c>
      <c r="O15" s="14">
        <v>0</v>
      </c>
      <c r="P15" s="16">
        <v>0</v>
      </c>
      <c r="Q15" s="14">
        <v>0</v>
      </c>
      <c r="R15" s="16">
        <v>0</v>
      </c>
    </row>
    <row r="16" spans="1:18" x14ac:dyDescent="0.25">
      <c r="A16" s="11" t="s">
        <v>148</v>
      </c>
      <c r="B16" s="13">
        <v>6108</v>
      </c>
      <c r="C16" s="14">
        <f>(5075/B16*100)</f>
        <v>83.087753765553373</v>
      </c>
      <c r="D16" s="15">
        <v>1033</v>
      </c>
      <c r="E16" s="14">
        <v>50.06905184</v>
      </c>
      <c r="F16" s="16">
        <v>1.4660211000000001</v>
      </c>
      <c r="G16" s="14">
        <v>49.93094816</v>
      </c>
      <c r="H16" s="16">
        <v>1.4660211000000001</v>
      </c>
      <c r="I16" s="14" t="s">
        <v>139</v>
      </c>
      <c r="J16" s="16" t="s">
        <v>139</v>
      </c>
      <c r="K16" s="14">
        <v>0</v>
      </c>
      <c r="L16" s="16">
        <v>0</v>
      </c>
      <c r="M16" s="14">
        <v>0</v>
      </c>
      <c r="N16" s="16">
        <v>0</v>
      </c>
      <c r="O16" s="14">
        <v>0</v>
      </c>
      <c r="P16" s="16">
        <v>0</v>
      </c>
      <c r="Q16" s="14">
        <v>0</v>
      </c>
      <c r="R16" s="16">
        <v>0</v>
      </c>
    </row>
    <row r="17" spans="1:18" x14ac:dyDescent="0.25">
      <c r="A17" s="11" t="s">
        <v>149</v>
      </c>
      <c r="B17" s="13">
        <v>6504</v>
      </c>
      <c r="C17" s="14">
        <f>(5410/B17*100)</f>
        <v>83.179581795817953</v>
      </c>
      <c r="D17" s="15">
        <v>1094</v>
      </c>
      <c r="E17" s="14">
        <v>39.775679599999997</v>
      </c>
      <c r="F17" s="16">
        <v>1.71697302</v>
      </c>
      <c r="G17" s="14">
        <v>60.224320400000003</v>
      </c>
      <c r="H17" s="16">
        <v>1.71697302</v>
      </c>
      <c r="I17" s="14" t="s">
        <v>139</v>
      </c>
      <c r="J17" s="16" t="s">
        <v>139</v>
      </c>
      <c r="K17" s="14">
        <v>0</v>
      </c>
      <c r="L17" s="16">
        <v>0</v>
      </c>
      <c r="M17" s="14">
        <v>0</v>
      </c>
      <c r="N17" s="16">
        <v>0</v>
      </c>
      <c r="O17" s="14">
        <v>0</v>
      </c>
      <c r="P17" s="16">
        <v>0</v>
      </c>
      <c r="Q17" s="14">
        <v>0</v>
      </c>
      <c r="R17" s="16">
        <v>0</v>
      </c>
    </row>
    <row r="18" spans="1:18" x14ac:dyDescent="0.25">
      <c r="A18" s="11" t="s">
        <v>150</v>
      </c>
      <c r="B18" s="13">
        <v>5532</v>
      </c>
      <c r="C18" s="14">
        <f>(4578/B18*100)</f>
        <v>82.754880694143168</v>
      </c>
      <c r="D18" s="15">
        <v>954</v>
      </c>
      <c r="E18" s="14">
        <v>38.89936806</v>
      </c>
      <c r="F18" s="16">
        <v>1.79685253</v>
      </c>
      <c r="G18" s="14">
        <v>61.10063194</v>
      </c>
      <c r="H18" s="16">
        <v>1.79685253</v>
      </c>
      <c r="I18" s="14" t="s">
        <v>139</v>
      </c>
      <c r="J18" s="16" t="s">
        <v>139</v>
      </c>
      <c r="K18" s="14">
        <v>0</v>
      </c>
      <c r="L18" s="16">
        <v>0</v>
      </c>
      <c r="M18" s="14">
        <v>0</v>
      </c>
      <c r="N18" s="16">
        <v>0</v>
      </c>
      <c r="O18" s="14">
        <v>0</v>
      </c>
      <c r="P18" s="16">
        <v>0</v>
      </c>
      <c r="Q18" s="14">
        <v>0</v>
      </c>
      <c r="R18" s="16">
        <v>0</v>
      </c>
    </row>
    <row r="19" spans="1:18" x14ac:dyDescent="0.25">
      <c r="A19" s="11" t="s">
        <v>151</v>
      </c>
      <c r="B19" s="13">
        <v>5658</v>
      </c>
      <c r="C19" s="14">
        <f>(4690/B19*100)</f>
        <v>82.891481088723935</v>
      </c>
      <c r="D19" s="15">
        <v>968</v>
      </c>
      <c r="E19" s="14">
        <v>49.416361790000003</v>
      </c>
      <c r="F19" s="16">
        <v>1.67665599</v>
      </c>
      <c r="G19" s="14">
        <v>50.583638209999997</v>
      </c>
      <c r="H19" s="16">
        <v>1.67665599</v>
      </c>
      <c r="I19" s="14" t="s">
        <v>139</v>
      </c>
      <c r="J19" s="16" t="s">
        <v>139</v>
      </c>
      <c r="K19" s="14">
        <v>0</v>
      </c>
      <c r="L19" s="16">
        <v>0</v>
      </c>
      <c r="M19" s="14">
        <v>0</v>
      </c>
      <c r="N19" s="16">
        <v>0</v>
      </c>
      <c r="O19" s="14">
        <v>0</v>
      </c>
      <c r="P19" s="16">
        <v>0</v>
      </c>
      <c r="Q19" s="14">
        <v>0</v>
      </c>
      <c r="R19" s="16">
        <v>0</v>
      </c>
    </row>
    <row r="20" spans="1:18" x14ac:dyDescent="0.25">
      <c r="A20" s="11" t="s">
        <v>152</v>
      </c>
      <c r="B20" s="13">
        <v>3371</v>
      </c>
      <c r="C20" s="14">
        <f>(2798/B20*100)</f>
        <v>83.002076535152767</v>
      </c>
      <c r="D20" s="15">
        <v>573</v>
      </c>
      <c r="E20" s="14">
        <v>41.644923339999998</v>
      </c>
      <c r="F20" s="16">
        <v>2.1322074799999999</v>
      </c>
      <c r="G20" s="14">
        <v>58.355076660000002</v>
      </c>
      <c r="H20" s="16">
        <v>2.1322074799999999</v>
      </c>
      <c r="I20" s="14" t="s">
        <v>139</v>
      </c>
      <c r="J20" s="16" t="s">
        <v>139</v>
      </c>
      <c r="K20" s="14">
        <v>0</v>
      </c>
      <c r="L20" s="16">
        <v>0</v>
      </c>
      <c r="M20" s="14">
        <v>0</v>
      </c>
      <c r="N20" s="16">
        <v>0</v>
      </c>
      <c r="O20" s="14">
        <v>0</v>
      </c>
      <c r="P20" s="16">
        <v>0</v>
      </c>
      <c r="Q20" s="14">
        <v>0</v>
      </c>
      <c r="R20" s="16">
        <v>0</v>
      </c>
    </row>
    <row r="21" spans="1:18" x14ac:dyDescent="0.25">
      <c r="A21" s="11" t="s">
        <v>153</v>
      </c>
      <c r="B21" s="17" t="s">
        <v>154</v>
      </c>
      <c r="C21" s="17" t="s">
        <v>154</v>
      </c>
      <c r="D21" s="18" t="s">
        <v>154</v>
      </c>
      <c r="E21" s="17" t="s">
        <v>154</v>
      </c>
      <c r="F21" s="18" t="s">
        <v>154</v>
      </c>
      <c r="G21" s="17" t="s">
        <v>154</v>
      </c>
      <c r="H21" s="18" t="s">
        <v>154</v>
      </c>
      <c r="I21" s="17" t="s">
        <v>154</v>
      </c>
      <c r="J21" s="18" t="s">
        <v>154</v>
      </c>
      <c r="K21" s="17" t="s">
        <v>154</v>
      </c>
      <c r="L21" s="18" t="s">
        <v>154</v>
      </c>
      <c r="M21" s="17" t="s">
        <v>154</v>
      </c>
      <c r="N21" s="18" t="s">
        <v>154</v>
      </c>
      <c r="O21" s="17" t="s">
        <v>154</v>
      </c>
      <c r="P21" s="18" t="s">
        <v>154</v>
      </c>
      <c r="Q21" s="17" t="s">
        <v>154</v>
      </c>
      <c r="R21" s="18" t="s">
        <v>154</v>
      </c>
    </row>
    <row r="22" spans="1:18" x14ac:dyDescent="0.25">
      <c r="A22" s="11" t="s">
        <v>155</v>
      </c>
      <c r="B22" s="13">
        <v>6598</v>
      </c>
      <c r="C22" s="14">
        <f>(5569/B22*100)</f>
        <v>84.404364959078507</v>
      </c>
      <c r="D22" s="15">
        <v>1029</v>
      </c>
      <c r="E22" s="14">
        <v>45.002816230000001</v>
      </c>
      <c r="F22" s="16">
        <v>1.5767620200000001</v>
      </c>
      <c r="G22" s="14">
        <v>54.997183769999999</v>
      </c>
      <c r="H22" s="16">
        <v>1.5767620200000001</v>
      </c>
      <c r="I22" s="14" t="s">
        <v>139</v>
      </c>
      <c r="J22" s="16" t="s">
        <v>139</v>
      </c>
      <c r="K22" s="14">
        <v>0</v>
      </c>
      <c r="L22" s="16">
        <v>0</v>
      </c>
      <c r="M22" s="14">
        <v>0</v>
      </c>
      <c r="N22" s="16">
        <v>0</v>
      </c>
      <c r="O22" s="14">
        <v>0</v>
      </c>
      <c r="P22" s="16">
        <v>0</v>
      </c>
      <c r="Q22" s="14">
        <v>0</v>
      </c>
      <c r="R22" s="16">
        <v>0</v>
      </c>
    </row>
    <row r="23" spans="1:18" x14ac:dyDescent="0.25">
      <c r="A23" s="11" t="s">
        <v>156</v>
      </c>
      <c r="B23" s="13">
        <v>11583</v>
      </c>
      <c r="C23" s="14">
        <f>(9578/B23*100)</f>
        <v>82.690149356816022</v>
      </c>
      <c r="D23" s="15">
        <v>2005</v>
      </c>
      <c r="E23" s="14">
        <v>48.64491735</v>
      </c>
      <c r="F23" s="16">
        <v>1.3880870000000001</v>
      </c>
      <c r="G23" s="14">
        <v>51.35508265</v>
      </c>
      <c r="H23" s="16">
        <v>1.3880870000000001</v>
      </c>
      <c r="I23" s="14" t="s">
        <v>139</v>
      </c>
      <c r="J23" s="16" t="s">
        <v>139</v>
      </c>
      <c r="K23" s="14">
        <v>0</v>
      </c>
      <c r="L23" s="16">
        <v>0</v>
      </c>
      <c r="M23" s="14">
        <v>0</v>
      </c>
      <c r="N23" s="16">
        <v>0</v>
      </c>
      <c r="O23" s="14">
        <v>0</v>
      </c>
      <c r="P23" s="16">
        <v>0</v>
      </c>
      <c r="Q23" s="14">
        <v>0</v>
      </c>
      <c r="R23" s="16">
        <v>0</v>
      </c>
    </row>
    <row r="24" spans="1:18" x14ac:dyDescent="0.25">
      <c r="A24" s="11" t="s">
        <v>157</v>
      </c>
      <c r="B24" s="13">
        <v>6647</v>
      </c>
      <c r="C24" s="14">
        <f>(5489/B24*100)</f>
        <v>82.578606890326469</v>
      </c>
      <c r="D24" s="15">
        <v>1158</v>
      </c>
      <c r="E24" s="14">
        <v>0</v>
      </c>
      <c r="F24" s="16">
        <v>0</v>
      </c>
      <c r="G24" s="14">
        <v>0</v>
      </c>
      <c r="H24" s="16">
        <v>0</v>
      </c>
      <c r="I24" s="14" t="s">
        <v>139</v>
      </c>
      <c r="J24" s="16" t="s">
        <v>139</v>
      </c>
      <c r="K24" s="14">
        <v>0</v>
      </c>
      <c r="L24" s="16">
        <v>0</v>
      </c>
      <c r="M24" s="14">
        <v>100</v>
      </c>
      <c r="N24" s="16">
        <v>0</v>
      </c>
      <c r="O24" s="14">
        <v>0</v>
      </c>
      <c r="P24" s="16">
        <v>0</v>
      </c>
      <c r="Q24" s="14">
        <v>0</v>
      </c>
      <c r="R24" s="16">
        <v>0</v>
      </c>
    </row>
    <row r="25" spans="1:18" x14ac:dyDescent="0.25">
      <c r="A25" s="11" t="s">
        <v>158</v>
      </c>
      <c r="B25" s="13">
        <v>5581</v>
      </c>
      <c r="C25" s="14">
        <f>(4614/B25*100)</f>
        <v>82.673356029385417</v>
      </c>
      <c r="D25" s="15">
        <v>967</v>
      </c>
      <c r="E25" s="14">
        <v>35.186831210000001</v>
      </c>
      <c r="F25" s="16">
        <v>1.50153413</v>
      </c>
      <c r="G25" s="14">
        <v>64.813168790000006</v>
      </c>
      <c r="H25" s="16">
        <v>1.50153413</v>
      </c>
      <c r="I25" s="14" t="s">
        <v>139</v>
      </c>
      <c r="J25" s="16" t="s">
        <v>139</v>
      </c>
      <c r="K25" s="14">
        <v>0</v>
      </c>
      <c r="L25" s="16">
        <v>0</v>
      </c>
      <c r="M25" s="14">
        <v>0</v>
      </c>
      <c r="N25" s="16">
        <v>0</v>
      </c>
      <c r="O25" s="14">
        <v>0</v>
      </c>
      <c r="P25" s="16">
        <v>0</v>
      </c>
      <c r="Q25" s="14">
        <v>0</v>
      </c>
      <c r="R25" s="16">
        <v>0</v>
      </c>
    </row>
    <row r="26" spans="1:18" x14ac:dyDescent="0.25">
      <c r="A26" s="11" t="s">
        <v>159</v>
      </c>
      <c r="B26" s="13">
        <v>4869</v>
      </c>
      <c r="C26" s="14">
        <f>(4031/B26*100)</f>
        <v>82.789073731772433</v>
      </c>
      <c r="D26" s="15">
        <v>838</v>
      </c>
      <c r="E26" s="14">
        <v>47.923753900000001</v>
      </c>
      <c r="F26" s="16">
        <v>1.99257405</v>
      </c>
      <c r="G26" s="14">
        <v>52.076246099999999</v>
      </c>
      <c r="H26" s="16">
        <v>1.99257405</v>
      </c>
      <c r="I26" s="14" t="s">
        <v>139</v>
      </c>
      <c r="J26" s="16" t="s">
        <v>139</v>
      </c>
      <c r="K26" s="14">
        <v>0</v>
      </c>
      <c r="L26" s="16">
        <v>0</v>
      </c>
      <c r="M26" s="14">
        <v>0</v>
      </c>
      <c r="N26" s="16">
        <v>0</v>
      </c>
      <c r="O26" s="14">
        <v>0</v>
      </c>
      <c r="P26" s="16">
        <v>0</v>
      </c>
      <c r="Q26" s="14">
        <v>0</v>
      </c>
      <c r="R26" s="16">
        <v>0</v>
      </c>
    </row>
    <row r="27" spans="1:18" x14ac:dyDescent="0.25">
      <c r="A27" s="11" t="s">
        <v>160</v>
      </c>
      <c r="B27" s="13">
        <v>5299</v>
      </c>
      <c r="C27" s="14">
        <f>(4381/B27*100)</f>
        <v>82.675976599358364</v>
      </c>
      <c r="D27" s="15">
        <v>918</v>
      </c>
      <c r="E27" s="14">
        <v>45.007912349999998</v>
      </c>
      <c r="F27" s="16">
        <v>1.76314415</v>
      </c>
      <c r="G27" s="14">
        <v>54.992087650000002</v>
      </c>
      <c r="H27" s="16">
        <v>1.76314415</v>
      </c>
      <c r="I27" s="14" t="s">
        <v>139</v>
      </c>
      <c r="J27" s="16" t="s">
        <v>139</v>
      </c>
      <c r="K27" s="14">
        <v>0</v>
      </c>
      <c r="L27" s="16">
        <v>0</v>
      </c>
      <c r="M27" s="14">
        <v>0</v>
      </c>
      <c r="N27" s="16">
        <v>0</v>
      </c>
      <c r="O27" s="14">
        <v>0</v>
      </c>
      <c r="P27" s="16">
        <v>0</v>
      </c>
      <c r="Q27" s="14">
        <v>0</v>
      </c>
      <c r="R27" s="16">
        <v>0</v>
      </c>
    </row>
    <row r="28" spans="1:18" x14ac:dyDescent="0.25">
      <c r="A28" s="11" t="s">
        <v>161</v>
      </c>
      <c r="B28" s="13">
        <v>7568</v>
      </c>
      <c r="C28" s="14">
        <f>(6267/B28*100)</f>
        <v>82.809196617336156</v>
      </c>
      <c r="D28" s="15">
        <v>1301</v>
      </c>
      <c r="E28" s="14">
        <v>45.018558040000002</v>
      </c>
      <c r="F28" s="16">
        <v>1.70830495</v>
      </c>
      <c r="G28" s="14">
        <v>54.981441959999998</v>
      </c>
      <c r="H28" s="16">
        <v>1.70830495</v>
      </c>
      <c r="I28" s="14" t="s">
        <v>139</v>
      </c>
      <c r="J28" s="16" t="s">
        <v>139</v>
      </c>
      <c r="K28" s="14">
        <v>0</v>
      </c>
      <c r="L28" s="16">
        <v>0</v>
      </c>
      <c r="M28" s="14">
        <v>0</v>
      </c>
      <c r="N28" s="16">
        <v>0</v>
      </c>
      <c r="O28" s="14">
        <v>0</v>
      </c>
      <c r="P28" s="16">
        <v>0</v>
      </c>
      <c r="Q28" s="14">
        <v>0</v>
      </c>
      <c r="R28" s="16">
        <v>0</v>
      </c>
    </row>
    <row r="29" spans="1:18" x14ac:dyDescent="0.25">
      <c r="A29" s="11" t="s">
        <v>162</v>
      </c>
      <c r="B29" s="13">
        <v>5385</v>
      </c>
      <c r="C29" s="14">
        <f>(4499/B29*100)</f>
        <v>83.546889507892303</v>
      </c>
      <c r="D29" s="15">
        <v>886</v>
      </c>
      <c r="E29" s="14">
        <v>25.759134700000001</v>
      </c>
      <c r="F29" s="16">
        <v>1.57547986</v>
      </c>
      <c r="G29" s="14">
        <v>74.240865299999996</v>
      </c>
      <c r="H29" s="16">
        <v>1.57547986</v>
      </c>
      <c r="I29" s="14" t="s">
        <v>139</v>
      </c>
      <c r="J29" s="16" t="s">
        <v>139</v>
      </c>
      <c r="K29" s="14">
        <v>0</v>
      </c>
      <c r="L29" s="16">
        <v>0</v>
      </c>
      <c r="M29" s="14">
        <v>0</v>
      </c>
      <c r="N29" s="16">
        <v>0</v>
      </c>
      <c r="O29" s="14">
        <v>0</v>
      </c>
      <c r="P29" s="16">
        <v>0</v>
      </c>
      <c r="Q29" s="14">
        <v>0</v>
      </c>
      <c r="R29" s="16">
        <v>0</v>
      </c>
    </row>
    <row r="30" spans="1:18" x14ac:dyDescent="0.25">
      <c r="A30" s="11" t="s">
        <v>163</v>
      </c>
      <c r="B30" s="13">
        <v>4520</v>
      </c>
      <c r="C30" s="14">
        <f>(3777/B30*100)</f>
        <v>83.561946902654867</v>
      </c>
      <c r="D30" s="15">
        <v>743</v>
      </c>
      <c r="E30" s="14">
        <v>29.039946960000002</v>
      </c>
      <c r="F30" s="16">
        <v>1.67577479</v>
      </c>
      <c r="G30" s="14">
        <v>70.960053040000005</v>
      </c>
      <c r="H30" s="16">
        <v>1.67577479</v>
      </c>
      <c r="I30" s="14" t="s">
        <v>139</v>
      </c>
      <c r="J30" s="16" t="s">
        <v>139</v>
      </c>
      <c r="K30" s="14">
        <v>0</v>
      </c>
      <c r="L30" s="16">
        <v>0</v>
      </c>
      <c r="M30" s="14">
        <v>0</v>
      </c>
      <c r="N30" s="16">
        <v>0</v>
      </c>
      <c r="O30" s="14">
        <v>0</v>
      </c>
      <c r="P30" s="16">
        <v>0</v>
      </c>
      <c r="Q30" s="14">
        <v>0</v>
      </c>
      <c r="R30" s="16">
        <v>0</v>
      </c>
    </row>
    <row r="31" spans="1:18" x14ac:dyDescent="0.25">
      <c r="A31" s="11" t="s">
        <v>164</v>
      </c>
      <c r="B31" s="13">
        <v>5456</v>
      </c>
      <c r="C31" s="14">
        <f>(4533/B31*100)</f>
        <v>83.082844574780054</v>
      </c>
      <c r="D31" s="15">
        <v>923</v>
      </c>
      <c r="E31" s="14">
        <v>40.365253950000003</v>
      </c>
      <c r="F31" s="16">
        <v>1.7865267</v>
      </c>
      <c r="G31" s="14">
        <v>59.634746049999997</v>
      </c>
      <c r="H31" s="16">
        <v>1.7865267</v>
      </c>
      <c r="I31" s="14" t="s">
        <v>139</v>
      </c>
      <c r="J31" s="16" t="s">
        <v>139</v>
      </c>
      <c r="K31" s="14">
        <v>0</v>
      </c>
      <c r="L31" s="16">
        <v>0</v>
      </c>
      <c r="M31" s="14">
        <v>0</v>
      </c>
      <c r="N31" s="16">
        <v>0</v>
      </c>
      <c r="O31" s="14">
        <v>0</v>
      </c>
      <c r="P31" s="16">
        <v>0</v>
      </c>
      <c r="Q31" s="14">
        <v>0</v>
      </c>
      <c r="R31" s="16">
        <v>0</v>
      </c>
    </row>
    <row r="32" spans="1:18" x14ac:dyDescent="0.25">
      <c r="A32" s="11" t="s">
        <v>165</v>
      </c>
      <c r="B32" s="17" t="s">
        <v>154</v>
      </c>
      <c r="C32" s="17" t="s">
        <v>154</v>
      </c>
      <c r="D32" s="18" t="s">
        <v>154</v>
      </c>
      <c r="E32" s="17" t="s">
        <v>154</v>
      </c>
      <c r="F32" s="18" t="s">
        <v>154</v>
      </c>
      <c r="G32" s="17" t="s">
        <v>154</v>
      </c>
      <c r="H32" s="18" t="s">
        <v>154</v>
      </c>
      <c r="I32" s="17" t="s">
        <v>154</v>
      </c>
      <c r="J32" s="18" t="s">
        <v>154</v>
      </c>
      <c r="K32" s="17" t="s">
        <v>154</v>
      </c>
      <c r="L32" s="18" t="s">
        <v>154</v>
      </c>
      <c r="M32" s="17" t="s">
        <v>154</v>
      </c>
      <c r="N32" s="18" t="s">
        <v>154</v>
      </c>
      <c r="O32" s="17" t="s">
        <v>154</v>
      </c>
      <c r="P32" s="18" t="s">
        <v>154</v>
      </c>
      <c r="Q32" s="17" t="s">
        <v>154</v>
      </c>
      <c r="R32" s="18" t="s">
        <v>154</v>
      </c>
    </row>
    <row r="33" spans="1:18" x14ac:dyDescent="0.25">
      <c r="A33" s="11" t="s">
        <v>166</v>
      </c>
      <c r="B33" s="13">
        <v>7325</v>
      </c>
      <c r="C33" s="14">
        <f>(6079/B33*100)</f>
        <v>82.989761092150175</v>
      </c>
      <c r="D33" s="15">
        <v>1246</v>
      </c>
      <c r="E33" s="14">
        <v>37.333216159999999</v>
      </c>
      <c r="F33" s="16">
        <v>1.5288955399999999</v>
      </c>
      <c r="G33" s="14">
        <v>62.666783840000001</v>
      </c>
      <c r="H33" s="16">
        <v>1.5288955399999999</v>
      </c>
      <c r="I33" s="14" t="s">
        <v>139</v>
      </c>
      <c r="J33" s="16" t="s">
        <v>139</v>
      </c>
      <c r="K33" s="14">
        <v>0</v>
      </c>
      <c r="L33" s="16">
        <v>0</v>
      </c>
      <c r="M33" s="14">
        <v>0</v>
      </c>
      <c r="N33" s="16">
        <v>0</v>
      </c>
      <c r="O33" s="14">
        <v>0</v>
      </c>
      <c r="P33" s="16">
        <v>0</v>
      </c>
      <c r="Q33" s="14">
        <v>0</v>
      </c>
      <c r="R33" s="16">
        <v>0</v>
      </c>
    </row>
    <row r="34" spans="1:18" x14ac:dyDescent="0.25">
      <c r="A34" s="11" t="s">
        <v>167</v>
      </c>
      <c r="B34" s="13">
        <v>6350</v>
      </c>
      <c r="C34" s="14">
        <f>(5292/B34*100)</f>
        <v>83.338582677165348</v>
      </c>
      <c r="D34" s="15">
        <v>1058</v>
      </c>
      <c r="E34" s="14">
        <v>59.01364916</v>
      </c>
      <c r="F34" s="16">
        <v>1.7002060999999999</v>
      </c>
      <c r="G34" s="14">
        <v>40.98635084</v>
      </c>
      <c r="H34" s="16">
        <v>1.7002060999999999</v>
      </c>
      <c r="I34" s="14" t="s">
        <v>139</v>
      </c>
      <c r="J34" s="16" t="s">
        <v>139</v>
      </c>
      <c r="K34" s="14">
        <v>0</v>
      </c>
      <c r="L34" s="16">
        <v>0</v>
      </c>
      <c r="M34" s="14">
        <v>0</v>
      </c>
      <c r="N34" s="16">
        <v>0</v>
      </c>
      <c r="O34" s="14">
        <v>0</v>
      </c>
      <c r="P34" s="16">
        <v>0</v>
      </c>
      <c r="Q34" s="14">
        <v>0</v>
      </c>
      <c r="R34" s="16">
        <v>0</v>
      </c>
    </row>
    <row r="35" spans="1:18" x14ac:dyDescent="0.25">
      <c r="A35" s="11" t="s">
        <v>168</v>
      </c>
      <c r="B35" s="13">
        <v>6406</v>
      </c>
      <c r="C35" s="14">
        <f>(5349/B35*100)</f>
        <v>83.499843896347173</v>
      </c>
      <c r="D35" s="15">
        <v>1057</v>
      </c>
      <c r="E35" s="14">
        <v>68.304326680000003</v>
      </c>
      <c r="F35" s="16">
        <v>1.7070506400000001</v>
      </c>
      <c r="G35" s="14">
        <v>31.695673320000001</v>
      </c>
      <c r="H35" s="16">
        <v>1.7070506400000001</v>
      </c>
      <c r="I35" s="14" t="s">
        <v>139</v>
      </c>
      <c r="J35" s="16" t="s">
        <v>139</v>
      </c>
      <c r="K35" s="14">
        <v>0</v>
      </c>
      <c r="L35" s="16">
        <v>0</v>
      </c>
      <c r="M35" s="14">
        <v>0</v>
      </c>
      <c r="N35" s="16">
        <v>0</v>
      </c>
      <c r="O35" s="14">
        <v>0</v>
      </c>
      <c r="P35" s="16">
        <v>0</v>
      </c>
      <c r="Q35" s="14">
        <v>0</v>
      </c>
      <c r="R35" s="16">
        <v>0</v>
      </c>
    </row>
    <row r="36" spans="1:18" x14ac:dyDescent="0.25">
      <c r="A36" s="11" t="s">
        <v>169</v>
      </c>
      <c r="B36" s="13">
        <v>6736</v>
      </c>
      <c r="C36" s="14">
        <f>(5576/B36*100)</f>
        <v>82.779097387173394</v>
      </c>
      <c r="D36" s="15">
        <v>1160</v>
      </c>
      <c r="E36" s="14">
        <v>36.831148079999998</v>
      </c>
      <c r="F36" s="16">
        <v>1.4986634400000001</v>
      </c>
      <c r="G36" s="14">
        <v>63.168851920000002</v>
      </c>
      <c r="H36" s="16">
        <v>1.4986634400000001</v>
      </c>
      <c r="I36" s="14" t="s">
        <v>139</v>
      </c>
      <c r="J36" s="16" t="s">
        <v>139</v>
      </c>
      <c r="K36" s="14">
        <v>0</v>
      </c>
      <c r="L36" s="16">
        <v>0</v>
      </c>
      <c r="M36" s="14">
        <v>0</v>
      </c>
      <c r="N36" s="16">
        <v>0</v>
      </c>
      <c r="O36" s="14">
        <v>0</v>
      </c>
      <c r="P36" s="16">
        <v>0</v>
      </c>
      <c r="Q36" s="14">
        <v>0</v>
      </c>
      <c r="R36" s="16">
        <v>0</v>
      </c>
    </row>
    <row r="37" spans="1:18" x14ac:dyDescent="0.25">
      <c r="A37" s="11" t="s">
        <v>170</v>
      </c>
      <c r="B37" s="13">
        <v>5458</v>
      </c>
      <c r="C37" s="14">
        <f>(4538/B37*100)</f>
        <v>83.144008794430192</v>
      </c>
      <c r="D37" s="15">
        <v>920</v>
      </c>
      <c r="E37" s="14">
        <v>34.033219789999997</v>
      </c>
      <c r="F37" s="16">
        <v>1.62354646</v>
      </c>
      <c r="G37" s="14">
        <v>65.966780209999996</v>
      </c>
      <c r="H37" s="16">
        <v>1.62354646</v>
      </c>
      <c r="I37" s="14" t="s">
        <v>139</v>
      </c>
      <c r="J37" s="16" t="s">
        <v>139</v>
      </c>
      <c r="K37" s="14">
        <v>0</v>
      </c>
      <c r="L37" s="16">
        <v>0</v>
      </c>
      <c r="M37" s="14">
        <v>0</v>
      </c>
      <c r="N37" s="16">
        <v>0</v>
      </c>
      <c r="O37" s="14">
        <v>0</v>
      </c>
      <c r="P37" s="16">
        <v>0</v>
      </c>
      <c r="Q37" s="14">
        <v>0</v>
      </c>
      <c r="R37" s="16">
        <v>0</v>
      </c>
    </row>
    <row r="38" spans="1:18" x14ac:dyDescent="0.25">
      <c r="A38" s="11" t="s">
        <v>171</v>
      </c>
      <c r="B38" s="17" t="s">
        <v>154</v>
      </c>
      <c r="C38" s="17" t="s">
        <v>154</v>
      </c>
      <c r="D38" s="18" t="s">
        <v>154</v>
      </c>
      <c r="E38" s="17" t="s">
        <v>154</v>
      </c>
      <c r="F38" s="18" t="s">
        <v>154</v>
      </c>
      <c r="G38" s="17" t="s">
        <v>154</v>
      </c>
      <c r="H38" s="18" t="s">
        <v>154</v>
      </c>
      <c r="I38" s="17" t="s">
        <v>154</v>
      </c>
      <c r="J38" s="18" t="s">
        <v>154</v>
      </c>
      <c r="K38" s="17" t="s">
        <v>154</v>
      </c>
      <c r="L38" s="18" t="s">
        <v>154</v>
      </c>
      <c r="M38" s="17" t="s">
        <v>154</v>
      </c>
      <c r="N38" s="18" t="s">
        <v>154</v>
      </c>
      <c r="O38" s="17" t="s">
        <v>154</v>
      </c>
      <c r="P38" s="18" t="s">
        <v>154</v>
      </c>
      <c r="Q38" s="17" t="s">
        <v>154</v>
      </c>
      <c r="R38" s="18" t="s">
        <v>154</v>
      </c>
    </row>
    <row r="39" spans="1:18" x14ac:dyDescent="0.25">
      <c r="A39" s="11" t="s">
        <v>172</v>
      </c>
      <c r="B39" s="13">
        <v>5895</v>
      </c>
      <c r="C39" s="14">
        <f>(4863/B39*100)</f>
        <v>82.493638676844782</v>
      </c>
      <c r="D39" s="15">
        <v>1032</v>
      </c>
      <c r="E39" s="14">
        <v>63.76732835</v>
      </c>
      <c r="F39" s="16">
        <v>1.48348693</v>
      </c>
      <c r="G39" s="14">
        <v>36.23267165</v>
      </c>
      <c r="H39" s="16">
        <v>1.48348693</v>
      </c>
      <c r="I39" s="14" t="s">
        <v>139</v>
      </c>
      <c r="J39" s="16" t="s">
        <v>139</v>
      </c>
      <c r="K39" s="14">
        <v>0</v>
      </c>
      <c r="L39" s="16">
        <v>0</v>
      </c>
      <c r="M39" s="14">
        <v>0</v>
      </c>
      <c r="N39" s="16">
        <v>0</v>
      </c>
      <c r="O39" s="14">
        <v>0</v>
      </c>
      <c r="P39" s="16">
        <v>0</v>
      </c>
      <c r="Q39" s="14">
        <v>0</v>
      </c>
      <c r="R39" s="16">
        <v>0</v>
      </c>
    </row>
    <row r="40" spans="1:18" x14ac:dyDescent="0.25">
      <c r="A40" s="11" t="s">
        <v>173</v>
      </c>
      <c r="B40" s="13">
        <v>14157</v>
      </c>
      <c r="C40" s="14">
        <f>(11728/B40*100)</f>
        <v>82.842410115137383</v>
      </c>
      <c r="D40" s="15">
        <v>2429</v>
      </c>
      <c r="E40" s="14">
        <v>32.687046289999998</v>
      </c>
      <c r="F40" s="16">
        <v>1.69709819</v>
      </c>
      <c r="G40" s="14">
        <v>67.312953710000002</v>
      </c>
      <c r="H40" s="16">
        <v>1.69709819</v>
      </c>
      <c r="I40" s="14" t="s">
        <v>139</v>
      </c>
      <c r="J40" s="16" t="s">
        <v>139</v>
      </c>
      <c r="K40" s="14">
        <v>0</v>
      </c>
      <c r="L40" s="16">
        <v>0</v>
      </c>
      <c r="M40" s="14">
        <v>0</v>
      </c>
      <c r="N40" s="16">
        <v>0</v>
      </c>
      <c r="O40" s="14">
        <v>0</v>
      </c>
      <c r="P40" s="16">
        <v>0</v>
      </c>
      <c r="Q40" s="14">
        <v>0</v>
      </c>
      <c r="R40" s="16">
        <v>0</v>
      </c>
    </row>
    <row r="41" spans="1:18" x14ac:dyDescent="0.25">
      <c r="A41" s="11" t="s">
        <v>174</v>
      </c>
      <c r="B41" s="13">
        <v>5712</v>
      </c>
      <c r="C41" s="14">
        <f>(4723/B41*100)</f>
        <v>82.685574229691866</v>
      </c>
      <c r="D41" s="15">
        <v>989</v>
      </c>
      <c r="E41" s="14">
        <v>32.509927959999999</v>
      </c>
      <c r="F41" s="16">
        <v>1.4325437000000001</v>
      </c>
      <c r="G41" s="14">
        <v>67.490072040000001</v>
      </c>
      <c r="H41" s="16">
        <v>1.4325437000000001</v>
      </c>
      <c r="I41" s="14" t="s">
        <v>139</v>
      </c>
      <c r="J41" s="16" t="s">
        <v>139</v>
      </c>
      <c r="K41" s="14">
        <v>0</v>
      </c>
      <c r="L41" s="16">
        <v>0</v>
      </c>
      <c r="M41" s="14">
        <v>0</v>
      </c>
      <c r="N41" s="16">
        <v>0</v>
      </c>
      <c r="O41" s="14">
        <v>0</v>
      </c>
      <c r="P41" s="16">
        <v>0</v>
      </c>
      <c r="Q41" s="14">
        <v>0</v>
      </c>
      <c r="R41" s="16">
        <v>0</v>
      </c>
    </row>
    <row r="42" spans="1:18" x14ac:dyDescent="0.25">
      <c r="A42" s="11" t="s">
        <v>175</v>
      </c>
      <c r="B42" s="13">
        <f>IF(COUNT(B7:B41) &gt; 0, AVERAGE(B7:B41), "\u2014")</f>
        <v>7266.90625</v>
      </c>
      <c r="C42" s="14">
        <f>IF(COUNT(C7:C41) &gt; 0, AVERAGE(C7:C41), "—")</f>
        <v>82.986990075105098</v>
      </c>
      <c r="D42" s="15">
        <f>IF(COUNT(D7:D41) &gt; 0, AVERAGE(D7:D41), "—")</f>
        <v>1237.25</v>
      </c>
      <c r="E42" s="14">
        <f>IF(COUNT(E7:E41) &gt; 0, AVERAGE(E7:E41), "—")</f>
        <v>39.527487961874996</v>
      </c>
      <c r="F42" s="16">
        <f>IF(COUNT(F7:F41) &gt; 0, SQRT(SUMSQ(F7:F41)/(COUNT(F7:F41)*COUNT(F7:F41)) ), "—")</f>
        <v>0.28052237006964431</v>
      </c>
      <c r="G42" s="14">
        <f>IF(COUNT(G7:G41) &gt; 0, AVERAGE(G7:G41), "—")</f>
        <v>57.347512038125004</v>
      </c>
      <c r="H42" s="16">
        <f>IF(COUNT(H7:H41) &gt; 0, SQRT(SUMSQ(H7:H41)/(COUNT(H7:H41)*COUNT(H7:H41)) ), "—")</f>
        <v>0.28052237006964431</v>
      </c>
      <c r="I42" s="14" t="str">
        <f>IF(COUNT(I7:I41) &gt; 0, AVERAGE(I7:I41), "—")</f>
        <v>—</v>
      </c>
      <c r="J42" s="16" t="str">
        <f>IF(COUNT(J7:J41) &gt; 0, SQRT(SUMSQ(J7:J41)/(COUNT(J7:J41)*COUNT(J7:J41)) ), "—")</f>
        <v>—</v>
      </c>
      <c r="K42" s="14">
        <f>IF(COUNT(K7:K41) &gt; 0, AVERAGE(K7:K41), "—")</f>
        <v>0</v>
      </c>
      <c r="L42" s="16">
        <f>IF(COUNT(L7:L41) &gt; 0, SQRT(SUMSQ(L7:L41)/(COUNT(L7:L41)*COUNT(L7:L41)) ), "—")</f>
        <v>0</v>
      </c>
      <c r="M42" s="14">
        <f>IF(COUNT(M7:M41) &gt; 0, AVERAGE(M7:M41), "—")</f>
        <v>3.125</v>
      </c>
      <c r="N42" s="16">
        <f>IF(COUNT(N7:N41) &gt; 0, SQRT(SUMSQ(N7:N41)/(COUNT(N7:N41)*COUNT(N7:N41)) ), "—")</f>
        <v>0</v>
      </c>
      <c r="O42" s="14">
        <f>IF(COUNT(O7:O41) &gt; 0, AVERAGE(O7:O41), "—")</f>
        <v>0</v>
      </c>
      <c r="P42" s="16">
        <f>IF(COUNT(P7:P41) &gt; 0, SQRT(SUMSQ(P7:P41)/(COUNT(P7:P41)*COUNT(P7:P41)) ), "—")</f>
        <v>0</v>
      </c>
      <c r="Q42" s="14">
        <f>IF(COUNT(Q7:Q41) &gt; 0, AVERAGE(Q7:Q41), "—")</f>
        <v>0</v>
      </c>
      <c r="R42" s="16">
        <f>IF(COUNT(R7:R41) &gt; 0, SQRT(SUMSQ(R7:R41)/(COUNT(R7:R41)*COUNT(R7:R41)) ), "—")</f>
        <v>0</v>
      </c>
    </row>
    <row r="43" spans="1:18" x14ac:dyDescent="0.25">
      <c r="A43" s="9" t="s">
        <v>176</v>
      </c>
      <c r="B43" s="10"/>
      <c r="C43" s="10"/>
      <c r="D43" s="11"/>
      <c r="E43" s="10"/>
      <c r="F43" s="11"/>
      <c r="G43" s="10"/>
      <c r="H43" s="11"/>
      <c r="I43" s="10"/>
      <c r="J43" s="11"/>
      <c r="K43" s="10"/>
      <c r="L43" s="11"/>
      <c r="M43" s="10"/>
      <c r="N43" s="11"/>
      <c r="O43" s="10"/>
      <c r="P43" s="11"/>
      <c r="Q43" s="10"/>
      <c r="R43" s="12"/>
    </row>
    <row r="44" spans="1:18" x14ac:dyDescent="0.25">
      <c r="A44" s="11" t="s">
        <v>177</v>
      </c>
      <c r="B44" s="17" t="s">
        <v>154</v>
      </c>
      <c r="C44" s="17" t="s">
        <v>154</v>
      </c>
      <c r="D44" s="18" t="s">
        <v>154</v>
      </c>
      <c r="E44" s="17" t="s">
        <v>154</v>
      </c>
      <c r="F44" s="18" t="s">
        <v>154</v>
      </c>
      <c r="G44" s="17" t="s">
        <v>154</v>
      </c>
      <c r="H44" s="18" t="s">
        <v>154</v>
      </c>
      <c r="I44" s="17" t="s">
        <v>154</v>
      </c>
      <c r="J44" s="18" t="s">
        <v>154</v>
      </c>
      <c r="K44" s="17" t="s">
        <v>154</v>
      </c>
      <c r="L44" s="18" t="s">
        <v>154</v>
      </c>
      <c r="M44" s="17" t="s">
        <v>154</v>
      </c>
      <c r="N44" s="18" t="s">
        <v>154</v>
      </c>
      <c r="O44" s="17" t="s">
        <v>154</v>
      </c>
      <c r="P44" s="18" t="s">
        <v>154</v>
      </c>
      <c r="Q44" s="17" t="s">
        <v>154</v>
      </c>
      <c r="R44" s="18" t="s">
        <v>154</v>
      </c>
    </row>
    <row r="45" spans="1:18" x14ac:dyDescent="0.25">
      <c r="A45" s="11" t="s">
        <v>178</v>
      </c>
      <c r="B45" s="17" t="s">
        <v>154</v>
      </c>
      <c r="C45" s="17" t="s">
        <v>154</v>
      </c>
      <c r="D45" s="18" t="s">
        <v>154</v>
      </c>
      <c r="E45" s="17" t="s">
        <v>154</v>
      </c>
      <c r="F45" s="18" t="s">
        <v>154</v>
      </c>
      <c r="G45" s="17" t="s">
        <v>154</v>
      </c>
      <c r="H45" s="18" t="s">
        <v>154</v>
      </c>
      <c r="I45" s="17" t="s">
        <v>154</v>
      </c>
      <c r="J45" s="18" t="s">
        <v>154</v>
      </c>
      <c r="K45" s="17" t="s">
        <v>154</v>
      </c>
      <c r="L45" s="18" t="s">
        <v>154</v>
      </c>
      <c r="M45" s="17" t="s">
        <v>154</v>
      </c>
      <c r="N45" s="18" t="s">
        <v>154</v>
      </c>
      <c r="O45" s="17" t="s">
        <v>154</v>
      </c>
      <c r="P45" s="18" t="s">
        <v>154</v>
      </c>
      <c r="Q45" s="17" t="s">
        <v>154</v>
      </c>
      <c r="R45" s="18" t="s">
        <v>154</v>
      </c>
    </row>
    <row r="46" spans="1:18" x14ac:dyDescent="0.25">
      <c r="A46" s="11" t="s">
        <v>179</v>
      </c>
      <c r="B46" s="13">
        <v>23141</v>
      </c>
      <c r="C46" s="14">
        <f>(19486/B46*100)</f>
        <v>84.205522665399073</v>
      </c>
      <c r="D46" s="15">
        <v>3655</v>
      </c>
      <c r="E46" s="14">
        <v>45.967499230000001</v>
      </c>
      <c r="F46" s="16">
        <v>1.0034021399999999</v>
      </c>
      <c r="G46" s="14">
        <v>54.032500769999999</v>
      </c>
      <c r="H46" s="16">
        <v>1.0034021399999999</v>
      </c>
      <c r="I46" s="14" t="s">
        <v>139</v>
      </c>
      <c r="J46" s="16" t="s">
        <v>139</v>
      </c>
      <c r="K46" s="14">
        <v>0</v>
      </c>
      <c r="L46" s="16">
        <v>0</v>
      </c>
      <c r="M46" s="14">
        <v>0</v>
      </c>
      <c r="N46" s="16">
        <v>0</v>
      </c>
      <c r="O46" s="14">
        <v>0</v>
      </c>
      <c r="P46" s="16">
        <v>0</v>
      </c>
      <c r="Q46" s="14">
        <v>0</v>
      </c>
      <c r="R46" s="16">
        <v>0</v>
      </c>
    </row>
    <row r="47" spans="1:18" x14ac:dyDescent="0.25">
      <c r="A47" s="11" t="s">
        <v>180</v>
      </c>
      <c r="B47" s="13">
        <v>5928</v>
      </c>
      <c r="C47" s="14">
        <f>(4906/B47*100)</f>
        <v>82.759784075573549</v>
      </c>
      <c r="D47" s="15">
        <v>1022</v>
      </c>
      <c r="E47" s="14">
        <v>44.49352098</v>
      </c>
      <c r="F47" s="16">
        <v>1.7590543700000001</v>
      </c>
      <c r="G47" s="14">
        <v>55.50647902</v>
      </c>
      <c r="H47" s="16">
        <v>1.7590543700000001</v>
      </c>
      <c r="I47" s="14" t="s">
        <v>139</v>
      </c>
      <c r="J47" s="16" t="s">
        <v>139</v>
      </c>
      <c r="K47" s="14">
        <v>0</v>
      </c>
      <c r="L47" s="16">
        <v>0</v>
      </c>
      <c r="M47" s="14">
        <v>0</v>
      </c>
      <c r="N47" s="16">
        <v>0</v>
      </c>
      <c r="O47" s="14">
        <v>0</v>
      </c>
      <c r="P47" s="16">
        <v>0</v>
      </c>
      <c r="Q47" s="14">
        <v>0</v>
      </c>
      <c r="R47" s="16">
        <v>0</v>
      </c>
    </row>
    <row r="48" spans="1:18" x14ac:dyDescent="0.25">
      <c r="A48" s="11" t="s">
        <v>181</v>
      </c>
      <c r="B48" s="13">
        <v>9841</v>
      </c>
      <c r="C48" s="14">
        <f>(8164/B48*100)</f>
        <v>82.959048877146628</v>
      </c>
      <c r="D48" s="15">
        <v>1677</v>
      </c>
      <c r="E48" s="14">
        <v>36.06572895</v>
      </c>
      <c r="F48" s="16">
        <v>1.45903636</v>
      </c>
      <c r="G48" s="14">
        <v>63.93427105</v>
      </c>
      <c r="H48" s="16">
        <v>1.45903636</v>
      </c>
      <c r="I48" s="14" t="s">
        <v>139</v>
      </c>
      <c r="J48" s="16" t="s">
        <v>139</v>
      </c>
      <c r="K48" s="14">
        <v>0</v>
      </c>
      <c r="L48" s="16">
        <v>0</v>
      </c>
      <c r="M48" s="14">
        <v>0</v>
      </c>
      <c r="N48" s="16">
        <v>0</v>
      </c>
      <c r="O48" s="14">
        <v>0</v>
      </c>
      <c r="P48" s="16">
        <v>0</v>
      </c>
      <c r="Q48" s="14">
        <v>0</v>
      </c>
      <c r="R48" s="16">
        <v>0</v>
      </c>
    </row>
    <row r="49" spans="1:18" x14ac:dyDescent="0.25">
      <c r="A49" s="11" t="s">
        <v>182</v>
      </c>
      <c r="B49" s="17" t="s">
        <v>154</v>
      </c>
      <c r="C49" s="17" t="s">
        <v>154</v>
      </c>
      <c r="D49" s="18" t="s">
        <v>154</v>
      </c>
      <c r="E49" s="17" t="s">
        <v>154</v>
      </c>
      <c r="F49" s="18" t="s">
        <v>154</v>
      </c>
      <c r="G49" s="17" t="s">
        <v>154</v>
      </c>
      <c r="H49" s="18" t="s">
        <v>154</v>
      </c>
      <c r="I49" s="17" t="s">
        <v>154</v>
      </c>
      <c r="J49" s="18" t="s">
        <v>154</v>
      </c>
      <c r="K49" s="17" t="s">
        <v>154</v>
      </c>
      <c r="L49" s="18" t="s">
        <v>154</v>
      </c>
      <c r="M49" s="17" t="s">
        <v>154</v>
      </c>
      <c r="N49" s="18" t="s">
        <v>154</v>
      </c>
      <c r="O49" s="17" t="s">
        <v>154</v>
      </c>
      <c r="P49" s="18" t="s">
        <v>154</v>
      </c>
      <c r="Q49" s="17" t="s">
        <v>154</v>
      </c>
      <c r="R49" s="18" t="s">
        <v>154</v>
      </c>
    </row>
    <row r="50" spans="1:18" x14ac:dyDescent="0.25">
      <c r="A50" s="11" t="s">
        <v>183</v>
      </c>
      <c r="B50" s="13">
        <v>11795</v>
      </c>
      <c r="C50" s="14">
        <f>(9762/B50*100)</f>
        <v>82.763883001271722</v>
      </c>
      <c r="D50" s="15">
        <v>2033</v>
      </c>
      <c r="E50" s="14">
        <v>37.772229090000003</v>
      </c>
      <c r="F50" s="16">
        <v>1.46892095</v>
      </c>
      <c r="G50" s="14">
        <v>62.227770909999997</v>
      </c>
      <c r="H50" s="16">
        <v>1.46892095</v>
      </c>
      <c r="I50" s="14" t="s">
        <v>139</v>
      </c>
      <c r="J50" s="16" t="s">
        <v>139</v>
      </c>
      <c r="K50" s="14">
        <v>0</v>
      </c>
      <c r="L50" s="16">
        <v>0</v>
      </c>
      <c r="M50" s="14">
        <v>0</v>
      </c>
      <c r="N50" s="16">
        <v>0</v>
      </c>
      <c r="O50" s="14">
        <v>0</v>
      </c>
      <c r="P50" s="16">
        <v>0</v>
      </c>
      <c r="Q50" s="14">
        <v>0</v>
      </c>
      <c r="R50" s="16">
        <v>0</v>
      </c>
    </row>
    <row r="51" spans="1:18" x14ac:dyDescent="0.25">
      <c r="A51" s="11" t="s">
        <v>184</v>
      </c>
      <c r="B51" s="13">
        <v>6866</v>
      </c>
      <c r="C51" s="14">
        <f>(5811/B51*100)</f>
        <v>84.634430527235651</v>
      </c>
      <c r="D51" s="15">
        <v>1055</v>
      </c>
      <c r="E51" s="14">
        <v>36.97149228</v>
      </c>
      <c r="F51" s="16">
        <v>1.7305822799999999</v>
      </c>
      <c r="G51" s="14">
        <v>63.02850772</v>
      </c>
      <c r="H51" s="16">
        <v>1.7305822799999999</v>
      </c>
      <c r="I51" s="14" t="s">
        <v>139</v>
      </c>
      <c r="J51" s="16" t="s">
        <v>139</v>
      </c>
      <c r="K51" s="14">
        <v>0</v>
      </c>
      <c r="L51" s="16">
        <v>0</v>
      </c>
      <c r="M51" s="14">
        <v>0</v>
      </c>
      <c r="N51" s="16">
        <v>0</v>
      </c>
      <c r="O51" s="14">
        <v>0</v>
      </c>
      <c r="P51" s="16">
        <v>0</v>
      </c>
      <c r="Q51" s="14">
        <v>0</v>
      </c>
      <c r="R51" s="16">
        <v>0</v>
      </c>
    </row>
    <row r="52" spans="1:18" x14ac:dyDescent="0.25">
      <c r="A52" s="11" t="s">
        <v>185</v>
      </c>
      <c r="B52" s="13">
        <v>5809</v>
      </c>
      <c r="C52" s="14">
        <f>(4829/B52*100)</f>
        <v>83.129626441728348</v>
      </c>
      <c r="D52" s="15">
        <v>980</v>
      </c>
      <c r="E52" s="14">
        <v>38.934706040000002</v>
      </c>
      <c r="F52" s="16">
        <v>1.60512911</v>
      </c>
      <c r="G52" s="14">
        <v>61.065293959999998</v>
      </c>
      <c r="H52" s="16">
        <v>1.60512911</v>
      </c>
      <c r="I52" s="14" t="s">
        <v>139</v>
      </c>
      <c r="J52" s="16" t="s">
        <v>139</v>
      </c>
      <c r="K52" s="14">
        <v>0</v>
      </c>
      <c r="L52" s="16">
        <v>0</v>
      </c>
      <c r="M52" s="14">
        <v>0</v>
      </c>
      <c r="N52" s="16">
        <v>0</v>
      </c>
      <c r="O52" s="14">
        <v>0</v>
      </c>
      <c r="P52" s="16">
        <v>0</v>
      </c>
      <c r="Q52" s="14">
        <v>0</v>
      </c>
      <c r="R52" s="16">
        <v>0</v>
      </c>
    </row>
    <row r="53" spans="1:18" x14ac:dyDescent="0.25">
      <c r="A53" s="11" t="s">
        <v>186</v>
      </c>
      <c r="B53" s="13">
        <v>5571</v>
      </c>
      <c r="C53" s="14">
        <f>(4631/B53*100)</f>
        <v>83.126907197989581</v>
      </c>
      <c r="D53" s="15">
        <v>940</v>
      </c>
      <c r="E53" s="14">
        <v>45.615777639999997</v>
      </c>
      <c r="F53" s="16">
        <v>1.7186348600000001</v>
      </c>
      <c r="G53" s="14">
        <v>54.384222360000003</v>
      </c>
      <c r="H53" s="16">
        <v>1.7186348600000001</v>
      </c>
      <c r="I53" s="14" t="s">
        <v>139</v>
      </c>
      <c r="J53" s="16" t="s">
        <v>139</v>
      </c>
      <c r="K53" s="14">
        <v>0</v>
      </c>
      <c r="L53" s="16">
        <v>0</v>
      </c>
      <c r="M53" s="14">
        <v>0</v>
      </c>
      <c r="N53" s="16">
        <v>0</v>
      </c>
      <c r="O53" s="14">
        <v>0</v>
      </c>
      <c r="P53" s="16">
        <v>0</v>
      </c>
      <c r="Q53" s="14">
        <v>0</v>
      </c>
      <c r="R53" s="16">
        <v>0</v>
      </c>
    </row>
    <row r="54" spans="1:18" x14ac:dyDescent="0.25">
      <c r="A54" s="11" t="s">
        <v>187</v>
      </c>
      <c r="B54" s="17" t="s">
        <v>154</v>
      </c>
      <c r="C54" s="17" t="s">
        <v>154</v>
      </c>
      <c r="D54" s="18" t="s">
        <v>154</v>
      </c>
      <c r="E54" s="17" t="s">
        <v>154</v>
      </c>
      <c r="F54" s="18" t="s">
        <v>154</v>
      </c>
      <c r="G54" s="17" t="s">
        <v>154</v>
      </c>
      <c r="H54" s="18" t="s">
        <v>154</v>
      </c>
      <c r="I54" s="17" t="s">
        <v>154</v>
      </c>
      <c r="J54" s="18" t="s">
        <v>154</v>
      </c>
      <c r="K54" s="17" t="s">
        <v>154</v>
      </c>
      <c r="L54" s="18" t="s">
        <v>154</v>
      </c>
      <c r="M54" s="17" t="s">
        <v>154</v>
      </c>
      <c r="N54" s="18" t="s">
        <v>154</v>
      </c>
      <c r="O54" s="17" t="s">
        <v>154</v>
      </c>
      <c r="P54" s="18" t="s">
        <v>154</v>
      </c>
      <c r="Q54" s="17" t="s">
        <v>154</v>
      </c>
      <c r="R54" s="18" t="s">
        <v>154</v>
      </c>
    </row>
    <row r="55" spans="1:18" x14ac:dyDescent="0.25">
      <c r="A55" s="11" t="s">
        <v>188</v>
      </c>
      <c r="B55" s="17" t="s">
        <v>154</v>
      </c>
      <c r="C55" s="17" t="s">
        <v>154</v>
      </c>
      <c r="D55" s="18" t="s">
        <v>154</v>
      </c>
      <c r="E55" s="17" t="s">
        <v>154</v>
      </c>
      <c r="F55" s="18" t="s">
        <v>154</v>
      </c>
      <c r="G55" s="17" t="s">
        <v>154</v>
      </c>
      <c r="H55" s="18" t="s">
        <v>154</v>
      </c>
      <c r="I55" s="17" t="s">
        <v>154</v>
      </c>
      <c r="J55" s="18" t="s">
        <v>154</v>
      </c>
      <c r="K55" s="17" t="s">
        <v>154</v>
      </c>
      <c r="L55" s="18" t="s">
        <v>154</v>
      </c>
      <c r="M55" s="17" t="s">
        <v>154</v>
      </c>
      <c r="N55" s="18" t="s">
        <v>154</v>
      </c>
      <c r="O55" s="17" t="s">
        <v>154</v>
      </c>
      <c r="P55" s="18" t="s">
        <v>154</v>
      </c>
      <c r="Q55" s="17" t="s">
        <v>154</v>
      </c>
      <c r="R55" s="18" t="s">
        <v>154</v>
      </c>
    </row>
    <row r="56" spans="1:18" x14ac:dyDescent="0.25">
      <c r="A56" s="11" t="s">
        <v>189</v>
      </c>
      <c r="B56" s="13">
        <v>5359</v>
      </c>
      <c r="C56" s="14">
        <f>(4442/B56*100)</f>
        <v>82.888598619145355</v>
      </c>
      <c r="D56" s="15">
        <v>917</v>
      </c>
      <c r="E56" s="14">
        <v>25.00059576</v>
      </c>
      <c r="F56" s="16">
        <v>1.57892261</v>
      </c>
      <c r="G56" s="14">
        <v>74.999404240000004</v>
      </c>
      <c r="H56" s="16">
        <v>1.57892261</v>
      </c>
      <c r="I56" s="14" t="s">
        <v>139</v>
      </c>
      <c r="J56" s="16" t="s">
        <v>139</v>
      </c>
      <c r="K56" s="14">
        <v>0</v>
      </c>
      <c r="L56" s="16">
        <v>0</v>
      </c>
      <c r="M56" s="14">
        <v>0</v>
      </c>
      <c r="N56" s="16">
        <v>0</v>
      </c>
      <c r="O56" s="14">
        <v>0</v>
      </c>
      <c r="P56" s="16">
        <v>0</v>
      </c>
      <c r="Q56" s="14">
        <v>0</v>
      </c>
      <c r="R56" s="16">
        <v>0</v>
      </c>
    </row>
    <row r="57" spans="1:18" x14ac:dyDescent="0.25">
      <c r="A57" s="11" t="s">
        <v>190</v>
      </c>
      <c r="B57" s="17" t="s">
        <v>154</v>
      </c>
      <c r="C57" s="17" t="s">
        <v>154</v>
      </c>
      <c r="D57" s="18" t="s">
        <v>154</v>
      </c>
      <c r="E57" s="17" t="s">
        <v>154</v>
      </c>
      <c r="F57" s="18" t="s">
        <v>154</v>
      </c>
      <c r="G57" s="17" t="s">
        <v>154</v>
      </c>
      <c r="H57" s="18" t="s">
        <v>154</v>
      </c>
      <c r="I57" s="17" t="s">
        <v>154</v>
      </c>
      <c r="J57" s="18" t="s">
        <v>154</v>
      </c>
      <c r="K57" s="17" t="s">
        <v>154</v>
      </c>
      <c r="L57" s="18" t="s">
        <v>154</v>
      </c>
      <c r="M57" s="17" t="s">
        <v>154</v>
      </c>
      <c r="N57" s="18" t="s">
        <v>154</v>
      </c>
      <c r="O57" s="17" t="s">
        <v>154</v>
      </c>
      <c r="P57" s="18" t="s">
        <v>154</v>
      </c>
      <c r="Q57" s="17" t="s">
        <v>154</v>
      </c>
      <c r="R57" s="18" t="s">
        <v>154</v>
      </c>
    </row>
    <row r="58" spans="1:18" x14ac:dyDescent="0.25">
      <c r="A58" s="11" t="s">
        <v>191</v>
      </c>
      <c r="B58" s="17" t="s">
        <v>154</v>
      </c>
      <c r="C58" s="17" t="s">
        <v>154</v>
      </c>
      <c r="D58" s="18" t="s">
        <v>154</v>
      </c>
      <c r="E58" s="17" t="s">
        <v>154</v>
      </c>
      <c r="F58" s="18" t="s">
        <v>154</v>
      </c>
      <c r="G58" s="17" t="s">
        <v>154</v>
      </c>
      <c r="H58" s="18" t="s">
        <v>154</v>
      </c>
      <c r="I58" s="17" t="s">
        <v>154</v>
      </c>
      <c r="J58" s="18" t="s">
        <v>154</v>
      </c>
      <c r="K58" s="17" t="s">
        <v>154</v>
      </c>
      <c r="L58" s="18" t="s">
        <v>154</v>
      </c>
      <c r="M58" s="17" t="s">
        <v>154</v>
      </c>
      <c r="N58" s="18" t="s">
        <v>154</v>
      </c>
      <c r="O58" s="17" t="s">
        <v>154</v>
      </c>
      <c r="P58" s="18" t="s">
        <v>154</v>
      </c>
      <c r="Q58" s="17" t="s">
        <v>154</v>
      </c>
      <c r="R58" s="18" t="s">
        <v>154</v>
      </c>
    </row>
    <row r="59" spans="1:18" x14ac:dyDescent="0.25">
      <c r="A59" s="11" t="s">
        <v>192</v>
      </c>
      <c r="B59" s="17" t="s">
        <v>154</v>
      </c>
      <c r="C59" s="17" t="s">
        <v>154</v>
      </c>
      <c r="D59" s="18" t="s">
        <v>154</v>
      </c>
      <c r="E59" s="17" t="s">
        <v>154</v>
      </c>
      <c r="F59" s="18" t="s">
        <v>154</v>
      </c>
      <c r="G59" s="17" t="s">
        <v>154</v>
      </c>
      <c r="H59" s="18" t="s">
        <v>154</v>
      </c>
      <c r="I59" s="17" t="s">
        <v>154</v>
      </c>
      <c r="J59" s="18" t="s">
        <v>154</v>
      </c>
      <c r="K59" s="17" t="s">
        <v>154</v>
      </c>
      <c r="L59" s="18" t="s">
        <v>154</v>
      </c>
      <c r="M59" s="17" t="s">
        <v>154</v>
      </c>
      <c r="N59" s="18" t="s">
        <v>154</v>
      </c>
      <c r="O59" s="17" t="s">
        <v>154</v>
      </c>
      <c r="P59" s="18" t="s">
        <v>154</v>
      </c>
      <c r="Q59" s="17" t="s">
        <v>154</v>
      </c>
      <c r="R59" s="18" t="s">
        <v>154</v>
      </c>
    </row>
    <row r="60" spans="1:18" x14ac:dyDescent="0.25">
      <c r="A60" s="11" t="s">
        <v>193</v>
      </c>
      <c r="B60" s="17" t="s">
        <v>154</v>
      </c>
      <c r="C60" s="17" t="s">
        <v>154</v>
      </c>
      <c r="D60" s="18" t="s">
        <v>154</v>
      </c>
      <c r="E60" s="17" t="s">
        <v>154</v>
      </c>
      <c r="F60" s="18" t="s">
        <v>154</v>
      </c>
      <c r="G60" s="17" t="s">
        <v>154</v>
      </c>
      <c r="H60" s="18" t="s">
        <v>154</v>
      </c>
      <c r="I60" s="17" t="s">
        <v>154</v>
      </c>
      <c r="J60" s="18" t="s">
        <v>154</v>
      </c>
      <c r="K60" s="17" t="s">
        <v>154</v>
      </c>
      <c r="L60" s="18" t="s">
        <v>154</v>
      </c>
      <c r="M60" s="17" t="s">
        <v>154</v>
      </c>
      <c r="N60" s="18" t="s">
        <v>154</v>
      </c>
      <c r="O60" s="17" t="s">
        <v>154</v>
      </c>
      <c r="P60" s="18" t="s">
        <v>154</v>
      </c>
      <c r="Q60" s="17" t="s">
        <v>154</v>
      </c>
      <c r="R60" s="18" t="s">
        <v>154</v>
      </c>
    </row>
    <row r="61" spans="1:18" x14ac:dyDescent="0.25">
      <c r="A61" s="11" t="s">
        <v>194</v>
      </c>
      <c r="B61" s="13">
        <v>6525</v>
      </c>
      <c r="C61" s="14">
        <f>(5419/B61*100)</f>
        <v>83.049808429118769</v>
      </c>
      <c r="D61" s="15">
        <v>1106</v>
      </c>
      <c r="E61" s="14">
        <v>47.319642399999999</v>
      </c>
      <c r="F61" s="16">
        <v>1.59063698</v>
      </c>
      <c r="G61" s="14">
        <v>52.680357600000001</v>
      </c>
      <c r="H61" s="16">
        <v>1.59063698</v>
      </c>
      <c r="I61" s="14" t="s">
        <v>139</v>
      </c>
      <c r="J61" s="16" t="s">
        <v>139</v>
      </c>
      <c r="K61" s="14">
        <v>0</v>
      </c>
      <c r="L61" s="16">
        <v>0</v>
      </c>
      <c r="M61" s="14">
        <v>0</v>
      </c>
      <c r="N61" s="16">
        <v>0</v>
      </c>
      <c r="O61" s="14">
        <v>0</v>
      </c>
      <c r="P61" s="16">
        <v>0</v>
      </c>
      <c r="Q61" s="14">
        <v>0</v>
      </c>
      <c r="R61" s="16">
        <v>0</v>
      </c>
    </row>
    <row r="62" spans="1:18" x14ac:dyDescent="0.25">
      <c r="A62" s="11" t="s">
        <v>195</v>
      </c>
      <c r="B62" s="13">
        <v>4476</v>
      </c>
      <c r="C62" s="14">
        <f>(3700/B62*100)</f>
        <v>82.663092046470069</v>
      </c>
      <c r="D62" s="15">
        <v>776</v>
      </c>
      <c r="E62" s="14">
        <v>32.639818830000003</v>
      </c>
      <c r="F62" s="16">
        <v>1.64466622</v>
      </c>
      <c r="G62" s="14">
        <v>67.360181170000004</v>
      </c>
      <c r="H62" s="16">
        <v>1.64466622</v>
      </c>
      <c r="I62" s="14" t="s">
        <v>139</v>
      </c>
      <c r="J62" s="16" t="s">
        <v>139</v>
      </c>
      <c r="K62" s="14">
        <v>0</v>
      </c>
      <c r="L62" s="16">
        <v>0</v>
      </c>
      <c r="M62" s="14">
        <v>0</v>
      </c>
      <c r="N62" s="16">
        <v>0</v>
      </c>
      <c r="O62" s="14">
        <v>0</v>
      </c>
      <c r="P62" s="16">
        <v>0</v>
      </c>
      <c r="Q62" s="14">
        <v>0</v>
      </c>
      <c r="R62" s="16">
        <v>0</v>
      </c>
    </row>
    <row r="63" spans="1:18" x14ac:dyDescent="0.25">
      <c r="A63" s="11" t="s">
        <v>196</v>
      </c>
      <c r="B63" s="17" t="s">
        <v>154</v>
      </c>
      <c r="C63" s="17" t="s">
        <v>154</v>
      </c>
      <c r="D63" s="18" t="s">
        <v>154</v>
      </c>
      <c r="E63" s="17" t="s">
        <v>154</v>
      </c>
      <c r="F63" s="18" t="s">
        <v>154</v>
      </c>
      <c r="G63" s="17" t="s">
        <v>154</v>
      </c>
      <c r="H63" s="18" t="s">
        <v>154</v>
      </c>
      <c r="I63" s="17" t="s">
        <v>154</v>
      </c>
      <c r="J63" s="18" t="s">
        <v>154</v>
      </c>
      <c r="K63" s="17" t="s">
        <v>154</v>
      </c>
      <c r="L63" s="18" t="s">
        <v>154</v>
      </c>
      <c r="M63" s="17" t="s">
        <v>154</v>
      </c>
      <c r="N63" s="18" t="s">
        <v>154</v>
      </c>
      <c r="O63" s="17" t="s">
        <v>154</v>
      </c>
      <c r="P63" s="18" t="s">
        <v>154</v>
      </c>
      <c r="Q63" s="17" t="s">
        <v>154</v>
      </c>
      <c r="R63" s="18" t="s">
        <v>154</v>
      </c>
    </row>
    <row r="64" spans="1:18" x14ac:dyDescent="0.25">
      <c r="A64" s="11" t="s">
        <v>197</v>
      </c>
      <c r="B64" s="17" t="s">
        <v>154</v>
      </c>
      <c r="C64" s="17" t="s">
        <v>154</v>
      </c>
      <c r="D64" s="18" t="s">
        <v>154</v>
      </c>
      <c r="E64" s="17" t="s">
        <v>154</v>
      </c>
      <c r="F64" s="18" t="s">
        <v>154</v>
      </c>
      <c r="G64" s="17" t="s">
        <v>154</v>
      </c>
      <c r="H64" s="18" t="s">
        <v>154</v>
      </c>
      <c r="I64" s="17" t="s">
        <v>154</v>
      </c>
      <c r="J64" s="18" t="s">
        <v>154</v>
      </c>
      <c r="K64" s="17" t="s">
        <v>154</v>
      </c>
      <c r="L64" s="18" t="s">
        <v>154</v>
      </c>
      <c r="M64" s="17" t="s">
        <v>154</v>
      </c>
      <c r="N64" s="18" t="s">
        <v>154</v>
      </c>
      <c r="O64" s="17" t="s">
        <v>154</v>
      </c>
      <c r="P64" s="18" t="s">
        <v>154</v>
      </c>
      <c r="Q64" s="17" t="s">
        <v>154</v>
      </c>
      <c r="R64" s="18" t="s">
        <v>154</v>
      </c>
    </row>
    <row r="65" spans="1:18" x14ac:dyDescent="0.25">
      <c r="A65" s="11" t="s">
        <v>198</v>
      </c>
      <c r="B65" s="17" t="s">
        <v>154</v>
      </c>
      <c r="C65" s="17" t="s">
        <v>154</v>
      </c>
      <c r="D65" s="18" t="s">
        <v>154</v>
      </c>
      <c r="E65" s="17" t="s">
        <v>154</v>
      </c>
      <c r="F65" s="18" t="s">
        <v>154</v>
      </c>
      <c r="G65" s="17" t="s">
        <v>154</v>
      </c>
      <c r="H65" s="18" t="s">
        <v>154</v>
      </c>
      <c r="I65" s="17" t="s">
        <v>154</v>
      </c>
      <c r="J65" s="18" t="s">
        <v>154</v>
      </c>
      <c r="K65" s="17" t="s">
        <v>154</v>
      </c>
      <c r="L65" s="18" t="s">
        <v>154</v>
      </c>
      <c r="M65" s="17" t="s">
        <v>154</v>
      </c>
      <c r="N65" s="18" t="s">
        <v>154</v>
      </c>
      <c r="O65" s="17" t="s">
        <v>154</v>
      </c>
      <c r="P65" s="18" t="s">
        <v>154</v>
      </c>
      <c r="Q65" s="17" t="s">
        <v>154</v>
      </c>
      <c r="R65" s="18" t="s">
        <v>154</v>
      </c>
    </row>
    <row r="66" spans="1:18" x14ac:dyDescent="0.25">
      <c r="A66" s="11" t="s">
        <v>199</v>
      </c>
      <c r="B66" s="13">
        <v>5665</v>
      </c>
      <c r="C66" s="14">
        <f>(4710/B66*100)</f>
        <v>83.142100617828774</v>
      </c>
      <c r="D66" s="15">
        <v>955</v>
      </c>
      <c r="E66" s="14">
        <v>43.573032189999999</v>
      </c>
      <c r="F66" s="16">
        <v>1.7072565500000001</v>
      </c>
      <c r="G66" s="14">
        <v>56.426967810000001</v>
      </c>
      <c r="H66" s="16">
        <v>1.7072565500000001</v>
      </c>
      <c r="I66" s="14" t="s">
        <v>139</v>
      </c>
      <c r="J66" s="16" t="s">
        <v>139</v>
      </c>
      <c r="K66" s="14">
        <v>0</v>
      </c>
      <c r="L66" s="16">
        <v>0</v>
      </c>
      <c r="M66" s="14">
        <v>0</v>
      </c>
      <c r="N66" s="16">
        <v>0</v>
      </c>
      <c r="O66" s="14">
        <v>0</v>
      </c>
      <c r="P66" s="16">
        <v>0</v>
      </c>
      <c r="Q66" s="14">
        <v>0</v>
      </c>
      <c r="R66" s="16">
        <v>0</v>
      </c>
    </row>
    <row r="67" spans="1:18" x14ac:dyDescent="0.25">
      <c r="A67" s="11" t="s">
        <v>200</v>
      </c>
      <c r="B67" s="13">
        <v>6971</v>
      </c>
      <c r="C67" s="14">
        <f>(5835/B67*100)</f>
        <v>83.703916224358053</v>
      </c>
      <c r="D67" s="15">
        <v>1136</v>
      </c>
      <c r="E67" s="14">
        <v>42.087114919999998</v>
      </c>
      <c r="F67" s="16">
        <v>1.48511953</v>
      </c>
      <c r="G67" s="14">
        <v>57.912885080000002</v>
      </c>
      <c r="H67" s="16">
        <v>1.48511953</v>
      </c>
      <c r="I67" s="14" t="s">
        <v>139</v>
      </c>
      <c r="J67" s="16" t="s">
        <v>139</v>
      </c>
      <c r="K67" s="14">
        <v>0</v>
      </c>
      <c r="L67" s="16">
        <v>0</v>
      </c>
      <c r="M67" s="14">
        <v>0</v>
      </c>
      <c r="N67" s="16">
        <v>0</v>
      </c>
      <c r="O67" s="14">
        <v>0</v>
      </c>
      <c r="P67" s="16">
        <v>0</v>
      </c>
      <c r="Q67" s="14">
        <v>0</v>
      </c>
      <c r="R67" s="16">
        <v>0</v>
      </c>
    </row>
    <row r="68" spans="1:18" x14ac:dyDescent="0.25">
      <c r="A68" s="11" t="s">
        <v>201</v>
      </c>
      <c r="B68" s="17" t="s">
        <v>154</v>
      </c>
      <c r="C68" s="17" t="s">
        <v>154</v>
      </c>
      <c r="D68" s="18" t="s">
        <v>154</v>
      </c>
      <c r="E68" s="17" t="s">
        <v>154</v>
      </c>
      <c r="F68" s="18" t="s">
        <v>154</v>
      </c>
      <c r="G68" s="17" t="s">
        <v>154</v>
      </c>
      <c r="H68" s="18" t="s">
        <v>154</v>
      </c>
      <c r="I68" s="17" t="s">
        <v>154</v>
      </c>
      <c r="J68" s="18" t="s">
        <v>154</v>
      </c>
      <c r="K68" s="17" t="s">
        <v>154</v>
      </c>
      <c r="L68" s="18" t="s">
        <v>154</v>
      </c>
      <c r="M68" s="17" t="s">
        <v>154</v>
      </c>
      <c r="N68" s="18" t="s">
        <v>154</v>
      </c>
      <c r="O68" s="17" t="s">
        <v>154</v>
      </c>
      <c r="P68" s="18" t="s">
        <v>154</v>
      </c>
      <c r="Q68" s="17" t="s">
        <v>154</v>
      </c>
      <c r="R68" s="18" t="s">
        <v>154</v>
      </c>
    </row>
    <row r="69" spans="1:18" x14ac:dyDescent="0.25">
      <c r="A69" s="11" t="s">
        <v>202</v>
      </c>
      <c r="B69" s="17" t="s">
        <v>154</v>
      </c>
      <c r="C69" s="17" t="s">
        <v>154</v>
      </c>
      <c r="D69" s="18" t="s">
        <v>154</v>
      </c>
      <c r="E69" s="17" t="s">
        <v>154</v>
      </c>
      <c r="F69" s="18" t="s">
        <v>154</v>
      </c>
      <c r="G69" s="17" t="s">
        <v>154</v>
      </c>
      <c r="H69" s="18" t="s">
        <v>154</v>
      </c>
      <c r="I69" s="17" t="s">
        <v>154</v>
      </c>
      <c r="J69" s="18" t="s">
        <v>154</v>
      </c>
      <c r="K69" s="17" t="s">
        <v>154</v>
      </c>
      <c r="L69" s="18" t="s">
        <v>154</v>
      </c>
      <c r="M69" s="17" t="s">
        <v>154</v>
      </c>
      <c r="N69" s="18" t="s">
        <v>154</v>
      </c>
      <c r="O69" s="17" t="s">
        <v>154</v>
      </c>
      <c r="P69" s="18" t="s">
        <v>154</v>
      </c>
      <c r="Q69" s="17" t="s">
        <v>154</v>
      </c>
      <c r="R69" s="18" t="s">
        <v>154</v>
      </c>
    </row>
    <row r="70" spans="1:18" x14ac:dyDescent="0.25">
      <c r="A70" s="11" t="s">
        <v>203</v>
      </c>
      <c r="B70" s="13">
        <v>6036</v>
      </c>
      <c r="C70" s="14">
        <f>(4993/B70*100)</f>
        <v>82.720344599072234</v>
      </c>
      <c r="D70" s="15">
        <v>1043</v>
      </c>
      <c r="E70" s="14">
        <v>47.535746009999997</v>
      </c>
      <c r="F70" s="16">
        <v>1.78270865</v>
      </c>
      <c r="G70" s="14">
        <v>52.464253990000003</v>
      </c>
      <c r="H70" s="16">
        <v>1.78270865</v>
      </c>
      <c r="I70" s="14" t="s">
        <v>139</v>
      </c>
      <c r="J70" s="16" t="s">
        <v>139</v>
      </c>
      <c r="K70" s="14">
        <v>0</v>
      </c>
      <c r="L70" s="16">
        <v>0</v>
      </c>
      <c r="M70" s="14">
        <v>0</v>
      </c>
      <c r="N70" s="16">
        <v>0</v>
      </c>
      <c r="O70" s="14">
        <v>0</v>
      </c>
      <c r="P70" s="16">
        <v>0</v>
      </c>
      <c r="Q70" s="14">
        <v>0</v>
      </c>
      <c r="R70" s="16">
        <v>0</v>
      </c>
    </row>
    <row r="71" spans="1:18" x14ac:dyDescent="0.25">
      <c r="A71" s="11" t="s">
        <v>204</v>
      </c>
      <c r="B71" s="17" t="s">
        <v>154</v>
      </c>
      <c r="C71" s="17" t="s">
        <v>154</v>
      </c>
      <c r="D71" s="18" t="s">
        <v>154</v>
      </c>
      <c r="E71" s="17" t="s">
        <v>154</v>
      </c>
      <c r="F71" s="18" t="s">
        <v>154</v>
      </c>
      <c r="G71" s="17" t="s">
        <v>154</v>
      </c>
      <c r="H71" s="18" t="s">
        <v>154</v>
      </c>
      <c r="I71" s="17" t="s">
        <v>154</v>
      </c>
      <c r="J71" s="18" t="s">
        <v>154</v>
      </c>
      <c r="K71" s="17" t="s">
        <v>154</v>
      </c>
      <c r="L71" s="18" t="s">
        <v>154</v>
      </c>
      <c r="M71" s="17" t="s">
        <v>154</v>
      </c>
      <c r="N71" s="18" t="s">
        <v>154</v>
      </c>
      <c r="O71" s="17" t="s">
        <v>154</v>
      </c>
      <c r="P71" s="18" t="s">
        <v>154</v>
      </c>
      <c r="Q71" s="17" t="s">
        <v>154</v>
      </c>
      <c r="R71" s="18" t="s">
        <v>154</v>
      </c>
    </row>
    <row r="72" spans="1:18" x14ac:dyDescent="0.25">
      <c r="A72" s="11" t="s">
        <v>205</v>
      </c>
      <c r="B72" s="13">
        <v>7708</v>
      </c>
      <c r="C72" s="14">
        <f>(6364/B72*100)</f>
        <v>82.56357031655422</v>
      </c>
      <c r="D72" s="15">
        <v>1344</v>
      </c>
      <c r="E72" s="14">
        <v>21.698192049999999</v>
      </c>
      <c r="F72" s="16">
        <v>1.03865451</v>
      </c>
      <c r="G72" s="14">
        <v>78.301807949999997</v>
      </c>
      <c r="H72" s="16">
        <v>1.03865451</v>
      </c>
      <c r="I72" s="14" t="s">
        <v>139</v>
      </c>
      <c r="J72" s="16" t="s">
        <v>139</v>
      </c>
      <c r="K72" s="14">
        <v>0</v>
      </c>
      <c r="L72" s="16">
        <v>0</v>
      </c>
      <c r="M72" s="14">
        <v>0</v>
      </c>
      <c r="N72" s="16">
        <v>0</v>
      </c>
      <c r="O72" s="14">
        <v>0</v>
      </c>
      <c r="P72" s="16">
        <v>0</v>
      </c>
      <c r="Q72" s="14">
        <v>0</v>
      </c>
      <c r="R72" s="16">
        <v>0</v>
      </c>
    </row>
    <row r="73" spans="1:18" x14ac:dyDescent="0.25">
      <c r="A73" s="11" t="s">
        <v>206</v>
      </c>
      <c r="B73" s="13">
        <v>8249</v>
      </c>
      <c r="C73" s="14">
        <f>(6841/B73*100)</f>
        <v>82.931264395684323</v>
      </c>
      <c r="D73" s="15">
        <v>1408</v>
      </c>
      <c r="E73" s="14">
        <v>58.753543790000002</v>
      </c>
      <c r="F73" s="16">
        <v>1.71194595</v>
      </c>
      <c r="G73" s="14">
        <v>41.246456209999998</v>
      </c>
      <c r="H73" s="16">
        <v>1.71194595</v>
      </c>
      <c r="I73" s="14" t="s">
        <v>139</v>
      </c>
      <c r="J73" s="16" t="s">
        <v>139</v>
      </c>
      <c r="K73" s="14">
        <v>0</v>
      </c>
      <c r="L73" s="16">
        <v>0</v>
      </c>
      <c r="M73" s="14">
        <v>0</v>
      </c>
      <c r="N73" s="16">
        <v>0</v>
      </c>
      <c r="O73" s="14">
        <v>0</v>
      </c>
      <c r="P73" s="16">
        <v>0</v>
      </c>
      <c r="Q73" s="14">
        <v>0</v>
      </c>
      <c r="R73" s="16">
        <v>0</v>
      </c>
    </row>
    <row r="74" spans="1:18" x14ac:dyDescent="0.25">
      <c r="A74" s="11" t="s">
        <v>207</v>
      </c>
      <c r="B74" s="17" t="s">
        <v>154</v>
      </c>
      <c r="C74" s="17" t="s">
        <v>154</v>
      </c>
      <c r="D74" s="18" t="s">
        <v>154</v>
      </c>
      <c r="E74" s="17" t="s">
        <v>154</v>
      </c>
      <c r="F74" s="18" t="s">
        <v>154</v>
      </c>
      <c r="G74" s="17" t="s">
        <v>154</v>
      </c>
      <c r="H74" s="18" t="s">
        <v>154</v>
      </c>
      <c r="I74" s="17" t="s">
        <v>154</v>
      </c>
      <c r="J74" s="18" t="s">
        <v>154</v>
      </c>
      <c r="K74" s="17" t="s">
        <v>154</v>
      </c>
      <c r="L74" s="18" t="s">
        <v>154</v>
      </c>
      <c r="M74" s="17" t="s">
        <v>154</v>
      </c>
      <c r="N74" s="18" t="s">
        <v>154</v>
      </c>
      <c r="O74" s="17" t="s">
        <v>154</v>
      </c>
      <c r="P74" s="18" t="s">
        <v>154</v>
      </c>
      <c r="Q74" s="17" t="s">
        <v>154</v>
      </c>
      <c r="R74" s="18" t="s">
        <v>154</v>
      </c>
    </row>
    <row r="75" spans="1:18" x14ac:dyDescent="0.25">
      <c r="A75" s="11" t="s">
        <v>208</v>
      </c>
      <c r="B75" s="13">
        <v>5375</v>
      </c>
      <c r="C75" s="14">
        <f>(4515/B75*100)</f>
        <v>84</v>
      </c>
      <c r="D75" s="15">
        <v>860</v>
      </c>
      <c r="E75" s="14">
        <v>57.879864810000001</v>
      </c>
      <c r="F75" s="16">
        <v>1.9931978400000001</v>
      </c>
      <c r="G75" s="14">
        <v>42.120135189999999</v>
      </c>
      <c r="H75" s="16">
        <v>1.9931978400000001</v>
      </c>
      <c r="I75" s="14" t="s">
        <v>139</v>
      </c>
      <c r="J75" s="16" t="s">
        <v>139</v>
      </c>
      <c r="K75" s="14">
        <v>0</v>
      </c>
      <c r="L75" s="16">
        <v>0</v>
      </c>
      <c r="M75" s="14">
        <v>0</v>
      </c>
      <c r="N75" s="16">
        <v>0</v>
      </c>
      <c r="O75" s="14">
        <v>0</v>
      </c>
      <c r="P75" s="16">
        <v>0</v>
      </c>
      <c r="Q75" s="14">
        <v>0</v>
      </c>
      <c r="R75" s="16">
        <v>0</v>
      </c>
    </row>
    <row r="76" spans="1:18" x14ac:dyDescent="0.25">
      <c r="A76" s="11" t="s">
        <v>209</v>
      </c>
      <c r="B76" s="13">
        <v>14167</v>
      </c>
      <c r="C76" s="14">
        <f>(11764/B76*100)</f>
        <v>83.038046163619683</v>
      </c>
      <c r="D76" s="15">
        <v>2403</v>
      </c>
      <c r="E76" s="14">
        <v>45.978661090000003</v>
      </c>
      <c r="F76" s="16">
        <v>1.1164399599999999</v>
      </c>
      <c r="G76" s="14">
        <v>54.021338909999997</v>
      </c>
      <c r="H76" s="16">
        <v>1.1164399599999999</v>
      </c>
      <c r="I76" s="14" t="s">
        <v>139</v>
      </c>
      <c r="J76" s="16" t="s">
        <v>139</v>
      </c>
      <c r="K76" s="14">
        <v>0</v>
      </c>
      <c r="L76" s="16">
        <v>0</v>
      </c>
      <c r="M76" s="14">
        <v>0</v>
      </c>
      <c r="N76" s="16">
        <v>0</v>
      </c>
      <c r="O76" s="14">
        <v>0</v>
      </c>
      <c r="P76" s="16">
        <v>0</v>
      </c>
      <c r="Q76" s="14">
        <v>0</v>
      </c>
      <c r="R76" s="16">
        <v>0</v>
      </c>
    </row>
    <row r="77" spans="1:18" x14ac:dyDescent="0.25">
      <c r="A77" s="11" t="s">
        <v>210</v>
      </c>
      <c r="B77" s="13">
        <v>6062</v>
      </c>
      <c r="C77" s="14">
        <f>(5037/B77*100)</f>
        <v>83.091388980534475</v>
      </c>
      <c r="D77" s="15">
        <v>1025</v>
      </c>
      <c r="E77" s="14">
        <v>43.150065769999998</v>
      </c>
      <c r="F77" s="16">
        <v>1.41068277</v>
      </c>
      <c r="G77" s="14">
        <v>56.849934230000002</v>
      </c>
      <c r="H77" s="16">
        <v>1.41068277</v>
      </c>
      <c r="I77" s="14" t="s">
        <v>139</v>
      </c>
      <c r="J77" s="16" t="s">
        <v>139</v>
      </c>
      <c r="K77" s="14">
        <v>0</v>
      </c>
      <c r="L77" s="16">
        <v>0</v>
      </c>
      <c r="M77" s="14">
        <v>0</v>
      </c>
      <c r="N77" s="16">
        <v>0</v>
      </c>
      <c r="O77" s="14">
        <v>0</v>
      </c>
      <c r="P77" s="16">
        <v>0</v>
      </c>
      <c r="Q77" s="14">
        <v>0</v>
      </c>
      <c r="R77" s="16">
        <v>0</v>
      </c>
    </row>
    <row r="78" spans="1:18" x14ac:dyDescent="0.25">
      <c r="A78" s="11" t="s">
        <v>211</v>
      </c>
      <c r="B78" s="17" t="s">
        <v>154</v>
      </c>
      <c r="C78" s="17" t="s">
        <v>154</v>
      </c>
      <c r="D78" s="18" t="s">
        <v>154</v>
      </c>
      <c r="E78" s="17" t="s">
        <v>154</v>
      </c>
      <c r="F78" s="18" t="s">
        <v>154</v>
      </c>
      <c r="G78" s="17" t="s">
        <v>154</v>
      </c>
      <c r="H78" s="18" t="s">
        <v>154</v>
      </c>
      <c r="I78" s="17" t="s">
        <v>154</v>
      </c>
      <c r="J78" s="18" t="s">
        <v>154</v>
      </c>
      <c r="K78" s="17" t="s">
        <v>154</v>
      </c>
      <c r="L78" s="18" t="s">
        <v>154</v>
      </c>
      <c r="M78" s="17" t="s">
        <v>154</v>
      </c>
      <c r="N78" s="18" t="s">
        <v>154</v>
      </c>
      <c r="O78" s="17" t="s">
        <v>154</v>
      </c>
      <c r="P78" s="18" t="s">
        <v>154</v>
      </c>
      <c r="Q78" s="17" t="s">
        <v>154</v>
      </c>
      <c r="R78" s="18" t="s">
        <v>154</v>
      </c>
    </row>
    <row r="79" spans="1:18" ht="24.95" customHeight="1" x14ac:dyDescent="0.25">
      <c r="A79" s="11" t="s">
        <v>212</v>
      </c>
      <c r="B79" s="17" t="s">
        <v>154</v>
      </c>
      <c r="C79" s="17" t="s">
        <v>154</v>
      </c>
      <c r="D79" s="18" t="s">
        <v>154</v>
      </c>
      <c r="E79" s="17" t="s">
        <v>154</v>
      </c>
      <c r="F79" s="18" t="s">
        <v>154</v>
      </c>
      <c r="G79" s="17" t="s">
        <v>154</v>
      </c>
      <c r="H79" s="18" t="s">
        <v>154</v>
      </c>
      <c r="I79" s="17" t="s">
        <v>154</v>
      </c>
      <c r="J79" s="18" t="s">
        <v>154</v>
      </c>
      <c r="K79" s="17" t="s">
        <v>154</v>
      </c>
      <c r="L79" s="18" t="s">
        <v>154</v>
      </c>
      <c r="M79" s="17" t="s">
        <v>154</v>
      </c>
      <c r="N79" s="18" t="s">
        <v>154</v>
      </c>
      <c r="O79" s="17" t="s">
        <v>154</v>
      </c>
      <c r="P79" s="18" t="s">
        <v>154</v>
      </c>
      <c r="Q79" s="17" t="s">
        <v>154</v>
      </c>
      <c r="R79" s="18" t="s">
        <v>154</v>
      </c>
    </row>
    <row r="80" spans="1:18" x14ac:dyDescent="0.25">
      <c r="A80" s="11" t="s">
        <v>213</v>
      </c>
      <c r="B80" s="17" t="s">
        <v>154</v>
      </c>
      <c r="C80" s="17" t="s">
        <v>154</v>
      </c>
      <c r="D80" s="18" t="s">
        <v>154</v>
      </c>
      <c r="E80" s="17" t="s">
        <v>154</v>
      </c>
      <c r="F80" s="18" t="s">
        <v>154</v>
      </c>
      <c r="G80" s="17" t="s">
        <v>154</v>
      </c>
      <c r="H80" s="18" t="s">
        <v>154</v>
      </c>
      <c r="I80" s="17" t="s">
        <v>154</v>
      </c>
      <c r="J80" s="18" t="s">
        <v>154</v>
      </c>
      <c r="K80" s="17" t="s">
        <v>154</v>
      </c>
      <c r="L80" s="18" t="s">
        <v>154</v>
      </c>
      <c r="M80" s="17" t="s">
        <v>154</v>
      </c>
      <c r="N80" s="18" t="s">
        <v>154</v>
      </c>
      <c r="O80" s="17" t="s">
        <v>154</v>
      </c>
      <c r="P80" s="18" t="s">
        <v>154</v>
      </c>
      <c r="Q80" s="17" t="s">
        <v>154</v>
      </c>
      <c r="R80" s="18" t="s">
        <v>154</v>
      </c>
    </row>
    <row r="81" spans="1:18" x14ac:dyDescent="0.25">
      <c r="A81" s="19" t="s">
        <v>214</v>
      </c>
      <c r="B81" s="13">
        <v>8861</v>
      </c>
      <c r="C81" s="14">
        <f>(7344/B81*100)</f>
        <v>82.880036113305493</v>
      </c>
      <c r="D81" s="15">
        <v>1517</v>
      </c>
      <c r="E81" s="14">
        <v>45.328376509999998</v>
      </c>
      <c r="F81" s="16">
        <v>1.7006861200000001</v>
      </c>
      <c r="G81" s="14">
        <v>54.671623490000002</v>
      </c>
      <c r="H81" s="16">
        <v>1.7006861200000001</v>
      </c>
      <c r="I81" s="14" t="s">
        <v>139</v>
      </c>
      <c r="J81" s="16" t="s">
        <v>139</v>
      </c>
      <c r="K81" s="14">
        <v>0</v>
      </c>
      <c r="L81" s="16">
        <v>0</v>
      </c>
      <c r="M81" s="14">
        <v>0</v>
      </c>
      <c r="N81" s="16">
        <v>0</v>
      </c>
      <c r="O81" s="14">
        <v>0</v>
      </c>
      <c r="P81" s="16">
        <v>0</v>
      </c>
      <c r="Q81" s="14">
        <v>0</v>
      </c>
      <c r="R81" s="16">
        <v>0</v>
      </c>
    </row>
    <row r="82" spans="1:18" x14ac:dyDescent="0.25">
      <c r="A82" s="20"/>
      <c r="B82" s="20" t="s">
        <v>215</v>
      </c>
      <c r="C82" s="20" t="s">
        <v>215</v>
      </c>
      <c r="D82" s="20" t="s">
        <v>215</v>
      </c>
      <c r="E82" s="20" t="s">
        <v>215</v>
      </c>
      <c r="F82" s="20" t="s">
        <v>215</v>
      </c>
      <c r="G82" s="20" t="s">
        <v>215</v>
      </c>
      <c r="H82" s="20" t="s">
        <v>215</v>
      </c>
      <c r="I82" s="20" t="s">
        <v>215</v>
      </c>
      <c r="J82" s="20" t="s">
        <v>215</v>
      </c>
      <c r="K82" s="20" t="s">
        <v>215</v>
      </c>
      <c r="L82" s="20" t="s">
        <v>215</v>
      </c>
      <c r="M82" s="20" t="s">
        <v>215</v>
      </c>
      <c r="N82" s="20" t="s">
        <v>215</v>
      </c>
      <c r="O82" s="20" t="s">
        <v>215</v>
      </c>
      <c r="P82" s="20" t="s">
        <v>215</v>
      </c>
      <c r="Q82" s="20" t="s">
        <v>215</v>
      </c>
      <c r="R82" s="20" t="s">
        <v>215</v>
      </c>
    </row>
    <row r="83" spans="1:18" x14ac:dyDescent="0.25">
      <c r="A83" s="3" t="s">
        <v>216</v>
      </c>
    </row>
    <row r="84" spans="1:18" x14ac:dyDescent="0.25">
      <c r="A84" s="22" t="s">
        <v>217</v>
      </c>
      <c r="B84" s="23"/>
      <c r="C84" s="23"/>
      <c r="D84" s="23"/>
      <c r="E84" s="23"/>
      <c r="F84" s="23"/>
      <c r="G84" s="23"/>
      <c r="H84" s="23"/>
      <c r="I84" s="23"/>
      <c r="J84" s="23"/>
      <c r="K84" s="23"/>
      <c r="L84" s="23"/>
      <c r="M84" s="23"/>
      <c r="N84" s="23"/>
      <c r="O84" s="23"/>
      <c r="P84" s="23"/>
      <c r="Q84" s="23"/>
      <c r="R84" s="23"/>
    </row>
    <row r="85" spans="1:18" x14ac:dyDescent="0.25">
      <c r="A85" s="22" t="s">
        <v>218</v>
      </c>
      <c r="B85" s="23"/>
      <c r="C85" s="23"/>
      <c r="D85" s="23"/>
      <c r="E85" s="23"/>
      <c r="F85" s="23"/>
      <c r="G85" s="23"/>
      <c r="H85" s="23"/>
      <c r="I85" s="23"/>
      <c r="J85" s="23"/>
      <c r="K85" s="23"/>
      <c r="L85" s="23"/>
      <c r="M85" s="23"/>
      <c r="N85" s="23"/>
      <c r="O85" s="23"/>
      <c r="P85" s="23"/>
      <c r="Q85" s="23"/>
      <c r="R85" s="23"/>
    </row>
    <row r="86" spans="1:18" ht="30" customHeight="1" x14ac:dyDescent="0.25">
      <c r="A86" s="22" t="s">
        <v>219</v>
      </c>
      <c r="B86" s="23"/>
      <c r="C86" s="23"/>
      <c r="D86" s="23"/>
      <c r="E86" s="23"/>
      <c r="F86" s="23"/>
      <c r="G86" s="23"/>
      <c r="H86" s="23"/>
      <c r="I86" s="23"/>
      <c r="J86" s="23"/>
      <c r="K86" s="23"/>
      <c r="L86" s="23"/>
      <c r="M86" s="23"/>
      <c r="N86" s="23"/>
      <c r="O86" s="23"/>
      <c r="P86" s="23"/>
      <c r="Q86" s="23"/>
      <c r="R86" s="23"/>
    </row>
    <row r="87" spans="1:18" ht="30" customHeight="1" x14ac:dyDescent="0.25">
      <c r="A87" s="22" t="s">
        <v>215</v>
      </c>
      <c r="B87" s="23"/>
      <c r="C87" s="23"/>
      <c r="D87" s="23"/>
      <c r="E87" s="23"/>
      <c r="F87" s="23"/>
      <c r="G87" s="23"/>
      <c r="H87" s="23"/>
      <c r="I87" s="23"/>
      <c r="J87" s="23"/>
      <c r="K87" s="23"/>
      <c r="L87" s="23"/>
      <c r="M87" s="23"/>
      <c r="N87" s="23"/>
      <c r="O87" s="23"/>
      <c r="P87" s="23"/>
      <c r="Q87" s="23"/>
      <c r="R87" s="23"/>
    </row>
    <row r="88" spans="1:18" ht="30" customHeight="1" x14ac:dyDescent="0.25">
      <c r="A88" s="22" t="s">
        <v>220</v>
      </c>
      <c r="B88" s="23"/>
      <c r="C88" s="23"/>
      <c r="D88" s="23"/>
      <c r="E88" s="23"/>
      <c r="F88" s="23"/>
      <c r="G88" s="23"/>
      <c r="H88" s="23"/>
      <c r="I88" s="23"/>
      <c r="J88" s="23"/>
      <c r="K88" s="23"/>
      <c r="L88" s="23"/>
      <c r="M88" s="23"/>
      <c r="N88" s="23"/>
      <c r="O88" s="23"/>
      <c r="P88" s="23"/>
      <c r="Q88" s="23"/>
      <c r="R88" s="23"/>
    </row>
    <row r="89" spans="1:18" ht="30" customHeight="1" x14ac:dyDescent="0.25">
      <c r="A89" s="22" t="s">
        <v>221</v>
      </c>
      <c r="B89" s="23"/>
      <c r="C89" s="23"/>
      <c r="D89" s="23"/>
      <c r="E89" s="23"/>
      <c r="F89" s="23"/>
      <c r="G89" s="23"/>
      <c r="H89" s="23"/>
      <c r="I89" s="23"/>
      <c r="J89" s="23"/>
      <c r="K89" s="23"/>
      <c r="L89" s="23"/>
      <c r="M89" s="23"/>
      <c r="N89" s="23"/>
      <c r="O89" s="23"/>
      <c r="P89" s="23"/>
      <c r="Q89" s="23"/>
      <c r="R89" s="23"/>
    </row>
    <row r="90" spans="1:18" ht="30" customHeight="1" x14ac:dyDescent="0.25">
      <c r="A90" s="22" t="s">
        <v>222</v>
      </c>
      <c r="B90" s="23"/>
      <c r="C90" s="23"/>
      <c r="D90" s="23"/>
      <c r="E90" s="23"/>
      <c r="F90" s="23"/>
      <c r="G90" s="23"/>
      <c r="H90" s="23"/>
      <c r="I90" s="23"/>
      <c r="J90" s="23"/>
      <c r="K90" s="23"/>
      <c r="L90" s="23"/>
      <c r="M90" s="23"/>
      <c r="N90" s="23"/>
      <c r="O90" s="23"/>
      <c r="P90" s="23"/>
      <c r="Q90" s="23"/>
      <c r="R90" s="23"/>
    </row>
    <row r="91" spans="1:18" ht="30" customHeight="1" x14ac:dyDescent="0.25">
      <c r="A91" s="22" t="s">
        <v>223</v>
      </c>
      <c r="B91" s="23"/>
      <c r="C91" s="23"/>
      <c r="D91" s="23"/>
      <c r="E91" s="23"/>
      <c r="F91" s="23"/>
      <c r="G91" s="23"/>
      <c r="H91" s="23"/>
      <c r="I91" s="23"/>
      <c r="J91" s="23"/>
      <c r="K91" s="23"/>
      <c r="L91" s="23"/>
      <c r="M91" s="23"/>
      <c r="N91" s="23"/>
      <c r="O91" s="23"/>
      <c r="P91" s="23"/>
      <c r="Q91" s="23"/>
      <c r="R91" s="23"/>
    </row>
    <row r="92" spans="1:18" ht="30" customHeight="1" x14ac:dyDescent="0.25">
      <c r="A92" s="22" t="s">
        <v>224</v>
      </c>
      <c r="B92" s="23"/>
      <c r="C92" s="23"/>
      <c r="D92" s="23"/>
      <c r="E92" s="23"/>
      <c r="F92" s="23"/>
      <c r="G92" s="23"/>
      <c r="H92" s="23"/>
      <c r="I92" s="23"/>
      <c r="J92" s="23"/>
      <c r="K92" s="23"/>
      <c r="L92" s="23"/>
      <c r="M92" s="23"/>
      <c r="N92" s="23"/>
      <c r="O92" s="23"/>
      <c r="P92" s="23"/>
      <c r="Q92" s="23"/>
      <c r="R92" s="23"/>
    </row>
    <row r="93" spans="1:18" ht="30" customHeight="1" x14ac:dyDescent="0.25">
      <c r="A93" s="22" t="s">
        <v>225</v>
      </c>
      <c r="B93" s="23"/>
      <c r="C93" s="23"/>
      <c r="D93" s="23"/>
      <c r="E93" s="23"/>
      <c r="F93" s="23"/>
      <c r="G93" s="23"/>
      <c r="H93" s="23"/>
      <c r="I93" s="23"/>
      <c r="J93" s="23"/>
      <c r="K93" s="23"/>
      <c r="L93" s="23"/>
      <c r="M93" s="23"/>
      <c r="N93" s="23"/>
      <c r="O93" s="23"/>
      <c r="P93" s="23"/>
      <c r="Q93" s="23"/>
      <c r="R93" s="23"/>
    </row>
    <row r="94" spans="1:18" ht="30" customHeight="1" x14ac:dyDescent="0.25">
      <c r="A94" s="22" t="s">
        <v>226</v>
      </c>
      <c r="B94" s="23"/>
      <c r="C94" s="23"/>
      <c r="D94" s="23"/>
      <c r="E94" s="23"/>
      <c r="F94" s="23"/>
      <c r="G94" s="23"/>
      <c r="H94" s="23"/>
      <c r="I94" s="23"/>
      <c r="J94" s="23"/>
      <c r="K94" s="23"/>
      <c r="L94" s="23"/>
      <c r="M94" s="23"/>
      <c r="N94" s="23"/>
      <c r="O94" s="23"/>
      <c r="P94" s="23"/>
      <c r="Q94" s="23"/>
      <c r="R94" s="23"/>
    </row>
    <row r="95" spans="1:18" ht="30" customHeight="1" x14ac:dyDescent="0.25">
      <c r="A95" s="22" t="s">
        <v>227</v>
      </c>
      <c r="B95" s="23"/>
      <c r="C95" s="23"/>
      <c r="D95" s="23"/>
      <c r="E95" s="23"/>
      <c r="F95" s="23"/>
      <c r="G95" s="23"/>
      <c r="H95" s="23"/>
      <c r="I95" s="23"/>
      <c r="J95" s="23"/>
      <c r="K95" s="23"/>
      <c r="L95" s="23"/>
      <c r="M95" s="23"/>
      <c r="N95" s="23"/>
      <c r="O95" s="23"/>
      <c r="P95" s="23"/>
      <c r="Q95" s="23"/>
      <c r="R95" s="23"/>
    </row>
    <row r="96" spans="1:18" ht="30" customHeight="1" x14ac:dyDescent="0.25">
      <c r="A96" s="22" t="s">
        <v>228</v>
      </c>
      <c r="B96" s="23"/>
      <c r="C96" s="23"/>
      <c r="D96" s="23"/>
      <c r="E96" s="23"/>
      <c r="F96" s="23"/>
      <c r="G96" s="23"/>
      <c r="H96" s="23"/>
      <c r="I96" s="23"/>
      <c r="J96" s="23"/>
      <c r="K96" s="23"/>
      <c r="L96" s="23"/>
      <c r="M96" s="23"/>
      <c r="N96" s="23"/>
      <c r="O96" s="23"/>
      <c r="P96" s="23"/>
      <c r="Q96" s="23"/>
      <c r="R96" s="23"/>
    </row>
  </sheetData>
  <mergeCells count="22">
    <mergeCell ref="O4:P4"/>
    <mergeCell ref="Q4:R4"/>
    <mergeCell ref="A1:R1"/>
    <mergeCell ref="A2:R2"/>
    <mergeCell ref="A84:R84"/>
    <mergeCell ref="E4:F4"/>
    <mergeCell ref="G4:H4"/>
    <mergeCell ref="I4:J4"/>
    <mergeCell ref="K4:L4"/>
    <mergeCell ref="M4:N4"/>
    <mergeCell ref="A85:R85"/>
    <mergeCell ref="A86:R86"/>
    <mergeCell ref="A87:R87"/>
    <mergeCell ref="A88:R88"/>
    <mergeCell ref="A89:R89"/>
    <mergeCell ref="A95:R95"/>
    <mergeCell ref="A96:R96"/>
    <mergeCell ref="A90:R90"/>
    <mergeCell ref="A91:R91"/>
    <mergeCell ref="A92:R92"/>
    <mergeCell ref="A93:R93"/>
    <mergeCell ref="A94:R94"/>
  </mergeCells>
  <pageMargins left="0.75" right="0.75" top="1" bottom="1" header="0.5" footer="0.5"/>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5"/>
  <dimension ref="A1:R96"/>
  <sheetViews>
    <sheetView zoomScale="80" workbookViewId="0">
      <pane xSplit="4" topLeftCell="E1" activePane="topRight" state="frozen"/>
      <selection sqref="A1:R1"/>
      <selection pane="topRight" sqref="A1:R1"/>
    </sheetView>
  </sheetViews>
  <sheetFormatPr defaultColWidth="11.42578125" defaultRowHeight="15" x14ac:dyDescent="0.25"/>
  <cols>
    <col min="1" max="1" width="50" customWidth="1"/>
  </cols>
  <sheetData>
    <row r="1" spans="1:18" x14ac:dyDescent="0.25">
      <c r="A1" s="26" t="s">
        <v>122</v>
      </c>
      <c r="B1" s="23"/>
      <c r="C1" s="23"/>
      <c r="D1" s="23"/>
      <c r="E1" s="23"/>
      <c r="F1" s="23"/>
      <c r="G1" s="23"/>
      <c r="H1" s="23"/>
      <c r="I1" s="23"/>
      <c r="J1" s="23"/>
      <c r="K1" s="23"/>
      <c r="L1" s="23"/>
      <c r="M1" s="23"/>
      <c r="N1" s="23"/>
      <c r="O1" s="23"/>
      <c r="P1" s="23"/>
      <c r="Q1" s="23"/>
      <c r="R1" s="23"/>
    </row>
    <row r="2" spans="1:18" x14ac:dyDescent="0.25">
      <c r="A2" s="27" t="s">
        <v>321</v>
      </c>
      <c r="B2" s="23"/>
      <c r="C2" s="23"/>
      <c r="D2" s="23"/>
      <c r="E2" s="23"/>
      <c r="F2" s="23"/>
      <c r="G2" s="23"/>
      <c r="H2" s="23"/>
      <c r="I2" s="23"/>
      <c r="J2" s="23"/>
      <c r="K2" s="23"/>
      <c r="L2" s="23"/>
      <c r="M2" s="23"/>
      <c r="N2" s="23"/>
      <c r="O2" s="23"/>
      <c r="P2" s="23"/>
      <c r="Q2" s="23"/>
      <c r="R2" s="23"/>
    </row>
    <row r="4" spans="1:18" ht="30" customHeight="1" x14ac:dyDescent="0.25">
      <c r="A4" s="4"/>
      <c r="B4" s="5" t="s">
        <v>123</v>
      </c>
      <c r="C4" s="5" t="s">
        <v>124</v>
      </c>
      <c r="D4" s="6" t="s">
        <v>123</v>
      </c>
      <c r="E4" s="24" t="s">
        <v>125</v>
      </c>
      <c r="F4" s="25"/>
      <c r="G4" s="24" t="s">
        <v>126</v>
      </c>
      <c r="H4" s="25"/>
      <c r="I4" s="24" t="s">
        <v>127</v>
      </c>
      <c r="J4" s="25"/>
      <c r="K4" s="24" t="s">
        <v>128</v>
      </c>
      <c r="L4" s="25"/>
      <c r="M4" s="24" t="s">
        <v>129</v>
      </c>
      <c r="N4" s="25"/>
      <c r="O4" s="24" t="s">
        <v>130</v>
      </c>
      <c r="P4" s="25"/>
      <c r="Q4" s="24" t="s">
        <v>131</v>
      </c>
      <c r="R4" s="25"/>
    </row>
    <row r="5" spans="1:18" x14ac:dyDescent="0.25">
      <c r="A5" s="7"/>
      <c r="B5" s="8" t="s">
        <v>132</v>
      </c>
      <c r="C5" s="8" t="s">
        <v>133</v>
      </c>
      <c r="D5" s="7" t="s">
        <v>134</v>
      </c>
      <c r="E5" s="8" t="s">
        <v>135</v>
      </c>
      <c r="F5" s="7" t="s">
        <v>136</v>
      </c>
      <c r="G5" s="8" t="s">
        <v>135</v>
      </c>
      <c r="H5" s="7" t="s">
        <v>136</v>
      </c>
      <c r="I5" s="8" t="s">
        <v>135</v>
      </c>
      <c r="J5" s="7" t="s">
        <v>136</v>
      </c>
      <c r="K5" s="8" t="s">
        <v>135</v>
      </c>
      <c r="L5" s="7" t="s">
        <v>136</v>
      </c>
      <c r="M5" s="8" t="s">
        <v>135</v>
      </c>
      <c r="N5" s="7" t="s">
        <v>136</v>
      </c>
      <c r="O5" s="8" t="s">
        <v>135</v>
      </c>
      <c r="P5" s="7" t="s">
        <v>136</v>
      </c>
      <c r="Q5" s="8" t="s">
        <v>135</v>
      </c>
      <c r="R5" s="7" t="s">
        <v>136</v>
      </c>
    </row>
    <row r="6" spans="1:18" x14ac:dyDescent="0.25">
      <c r="A6" s="9" t="s">
        <v>137</v>
      </c>
      <c r="B6" s="10"/>
      <c r="C6" s="10"/>
      <c r="D6" s="11"/>
      <c r="E6" s="10"/>
      <c r="F6" s="11"/>
      <c r="G6" s="10"/>
      <c r="H6" s="11"/>
      <c r="I6" s="10"/>
      <c r="J6" s="11"/>
      <c r="K6" s="10"/>
      <c r="L6" s="11"/>
      <c r="M6" s="10"/>
      <c r="N6" s="11"/>
      <c r="O6" s="10"/>
      <c r="P6" s="11"/>
      <c r="Q6" s="10"/>
      <c r="R6" s="12"/>
    </row>
    <row r="7" spans="1:18" x14ac:dyDescent="0.25">
      <c r="A7" s="11" t="s">
        <v>138</v>
      </c>
      <c r="B7" s="13">
        <v>14530</v>
      </c>
      <c r="C7" s="14">
        <f>(12048/B7*100)</f>
        <v>82.918100481761869</v>
      </c>
      <c r="D7" s="15">
        <v>2482</v>
      </c>
      <c r="E7" s="14">
        <v>41.239820799999997</v>
      </c>
      <c r="F7" s="16">
        <v>1.10264468</v>
      </c>
      <c r="G7" s="14">
        <v>58.760179200000003</v>
      </c>
      <c r="H7" s="16">
        <v>1.10264468</v>
      </c>
      <c r="I7" s="14" t="s">
        <v>139</v>
      </c>
      <c r="J7" s="16" t="s">
        <v>139</v>
      </c>
      <c r="K7" s="14">
        <v>0</v>
      </c>
      <c r="L7" s="16">
        <v>0</v>
      </c>
      <c r="M7" s="14">
        <v>0</v>
      </c>
      <c r="N7" s="16">
        <v>0</v>
      </c>
      <c r="O7" s="14">
        <v>0</v>
      </c>
      <c r="P7" s="16">
        <v>0</v>
      </c>
      <c r="Q7" s="14">
        <v>0</v>
      </c>
      <c r="R7" s="16">
        <v>0</v>
      </c>
    </row>
    <row r="8" spans="1:18" x14ac:dyDescent="0.25">
      <c r="A8" s="11" t="s">
        <v>140</v>
      </c>
      <c r="B8" s="13">
        <v>7007</v>
      </c>
      <c r="C8" s="14">
        <f>(5767/B8*100)</f>
        <v>82.303410874839443</v>
      </c>
      <c r="D8" s="15">
        <v>1240</v>
      </c>
      <c r="E8" s="14">
        <v>40.357871549999999</v>
      </c>
      <c r="F8" s="16">
        <v>1.46985706</v>
      </c>
      <c r="G8" s="14">
        <v>59.642128450000001</v>
      </c>
      <c r="H8" s="16">
        <v>1.46985706</v>
      </c>
      <c r="I8" s="14" t="s">
        <v>139</v>
      </c>
      <c r="J8" s="16" t="s">
        <v>139</v>
      </c>
      <c r="K8" s="14">
        <v>0</v>
      </c>
      <c r="L8" s="16">
        <v>0</v>
      </c>
      <c r="M8" s="14">
        <v>0</v>
      </c>
      <c r="N8" s="16">
        <v>0</v>
      </c>
      <c r="O8" s="14">
        <v>0</v>
      </c>
      <c r="P8" s="16">
        <v>0</v>
      </c>
      <c r="Q8" s="14">
        <v>0</v>
      </c>
      <c r="R8" s="16">
        <v>0</v>
      </c>
    </row>
    <row r="9" spans="1:18" x14ac:dyDescent="0.25">
      <c r="A9" s="11" t="s">
        <v>141</v>
      </c>
      <c r="B9" s="13">
        <v>9651</v>
      </c>
      <c r="C9" s="14">
        <f>(8033/B9*100)</f>
        <v>83.234897938037506</v>
      </c>
      <c r="D9" s="15">
        <v>1618</v>
      </c>
      <c r="E9" s="14">
        <v>47.097432779999998</v>
      </c>
      <c r="F9" s="16">
        <v>1.2238224099999999</v>
      </c>
      <c r="G9" s="14">
        <v>52.902567220000002</v>
      </c>
      <c r="H9" s="16">
        <v>1.2238224099999999</v>
      </c>
      <c r="I9" s="14" t="s">
        <v>139</v>
      </c>
      <c r="J9" s="16" t="s">
        <v>139</v>
      </c>
      <c r="K9" s="14">
        <v>0</v>
      </c>
      <c r="L9" s="16">
        <v>0</v>
      </c>
      <c r="M9" s="14">
        <v>0</v>
      </c>
      <c r="N9" s="16">
        <v>0</v>
      </c>
      <c r="O9" s="14">
        <v>0</v>
      </c>
      <c r="P9" s="16">
        <v>0</v>
      </c>
      <c r="Q9" s="14">
        <v>0</v>
      </c>
      <c r="R9" s="16">
        <v>0</v>
      </c>
    </row>
    <row r="10" spans="1:18" x14ac:dyDescent="0.25">
      <c r="A10" s="11" t="s">
        <v>142</v>
      </c>
      <c r="B10" s="13">
        <v>20058</v>
      </c>
      <c r="C10" s="14">
        <f>(16642/B10*100)</f>
        <v>82.969388772559583</v>
      </c>
      <c r="D10" s="15">
        <v>3416</v>
      </c>
      <c r="E10" s="14">
        <v>40.713626480000002</v>
      </c>
      <c r="F10" s="16">
        <v>1.1643929</v>
      </c>
      <c r="G10" s="14">
        <v>59.286373519999998</v>
      </c>
      <c r="H10" s="16">
        <v>1.1643929</v>
      </c>
      <c r="I10" s="14" t="s">
        <v>139</v>
      </c>
      <c r="J10" s="16" t="s">
        <v>139</v>
      </c>
      <c r="K10" s="14">
        <v>0</v>
      </c>
      <c r="L10" s="16">
        <v>0</v>
      </c>
      <c r="M10" s="14">
        <v>0</v>
      </c>
      <c r="N10" s="16">
        <v>0</v>
      </c>
      <c r="O10" s="14">
        <v>0</v>
      </c>
      <c r="P10" s="16">
        <v>0</v>
      </c>
      <c r="Q10" s="14">
        <v>0</v>
      </c>
      <c r="R10" s="16">
        <v>0</v>
      </c>
    </row>
    <row r="11" spans="1:18" x14ac:dyDescent="0.25">
      <c r="A11" s="11" t="s">
        <v>143</v>
      </c>
      <c r="B11" s="13">
        <v>7053</v>
      </c>
      <c r="C11" s="14">
        <f>(5822/B11*100)</f>
        <v>82.546434141500072</v>
      </c>
      <c r="D11" s="15">
        <v>1231</v>
      </c>
      <c r="E11" s="14">
        <v>60.912862930000003</v>
      </c>
      <c r="F11" s="16">
        <v>1.63741654</v>
      </c>
      <c r="G11" s="14">
        <v>39.087137069999997</v>
      </c>
      <c r="H11" s="16">
        <v>1.63741654</v>
      </c>
      <c r="I11" s="14" t="s">
        <v>139</v>
      </c>
      <c r="J11" s="16" t="s">
        <v>139</v>
      </c>
      <c r="K11" s="14">
        <v>0</v>
      </c>
      <c r="L11" s="16">
        <v>0</v>
      </c>
      <c r="M11" s="14">
        <v>0</v>
      </c>
      <c r="N11" s="16">
        <v>0</v>
      </c>
      <c r="O11" s="14">
        <v>0</v>
      </c>
      <c r="P11" s="16">
        <v>0</v>
      </c>
      <c r="Q11" s="14">
        <v>0</v>
      </c>
      <c r="R11" s="16">
        <v>0</v>
      </c>
    </row>
    <row r="12" spans="1:18" x14ac:dyDescent="0.25">
      <c r="A12" s="11" t="s">
        <v>144</v>
      </c>
      <c r="B12" s="13">
        <v>6894</v>
      </c>
      <c r="C12" s="14">
        <f>(5719/B12*100)</f>
        <v>82.95619379170293</v>
      </c>
      <c r="D12" s="15">
        <v>1175</v>
      </c>
      <c r="E12" s="14">
        <v>41.042416129999999</v>
      </c>
      <c r="F12" s="16">
        <v>1.55472217</v>
      </c>
      <c r="G12" s="14">
        <v>58.957583870000001</v>
      </c>
      <c r="H12" s="16">
        <v>1.55472217</v>
      </c>
      <c r="I12" s="14" t="s">
        <v>139</v>
      </c>
      <c r="J12" s="16" t="s">
        <v>139</v>
      </c>
      <c r="K12" s="14">
        <v>0</v>
      </c>
      <c r="L12" s="16">
        <v>0</v>
      </c>
      <c r="M12" s="14">
        <v>0</v>
      </c>
      <c r="N12" s="16">
        <v>0</v>
      </c>
      <c r="O12" s="14">
        <v>0</v>
      </c>
      <c r="P12" s="16">
        <v>0</v>
      </c>
      <c r="Q12" s="14">
        <v>0</v>
      </c>
      <c r="R12" s="16">
        <v>0</v>
      </c>
    </row>
    <row r="13" spans="1:18" x14ac:dyDescent="0.25">
      <c r="A13" s="11" t="s">
        <v>145</v>
      </c>
      <c r="B13" s="13">
        <v>7161</v>
      </c>
      <c r="C13" s="14">
        <f>(5990/B13*100)</f>
        <v>83.647535260438488</v>
      </c>
      <c r="D13" s="15">
        <v>1171</v>
      </c>
      <c r="E13" s="14">
        <v>52.248376579999999</v>
      </c>
      <c r="F13" s="16">
        <v>2.0002258400000001</v>
      </c>
      <c r="G13" s="14">
        <v>47.751623420000001</v>
      </c>
      <c r="H13" s="16">
        <v>2.0002258400000001</v>
      </c>
      <c r="I13" s="14" t="s">
        <v>139</v>
      </c>
      <c r="J13" s="16" t="s">
        <v>139</v>
      </c>
      <c r="K13" s="14">
        <v>0</v>
      </c>
      <c r="L13" s="16">
        <v>0</v>
      </c>
      <c r="M13" s="14">
        <v>0</v>
      </c>
      <c r="N13" s="16">
        <v>0</v>
      </c>
      <c r="O13" s="14">
        <v>0</v>
      </c>
      <c r="P13" s="16">
        <v>0</v>
      </c>
      <c r="Q13" s="14">
        <v>0</v>
      </c>
      <c r="R13" s="16">
        <v>0</v>
      </c>
    </row>
    <row r="14" spans="1:18" x14ac:dyDescent="0.25">
      <c r="A14" s="11" t="s">
        <v>146</v>
      </c>
      <c r="B14" s="13">
        <v>5587</v>
      </c>
      <c r="C14" s="14">
        <f>(4623/B14*100)</f>
        <v>82.745659566851614</v>
      </c>
      <c r="D14" s="15">
        <v>964</v>
      </c>
      <c r="E14" s="14">
        <v>34.054687029999997</v>
      </c>
      <c r="F14" s="16">
        <v>1.6028189900000001</v>
      </c>
      <c r="G14" s="14">
        <v>65.945312970000003</v>
      </c>
      <c r="H14" s="16">
        <v>1.6028189900000001</v>
      </c>
      <c r="I14" s="14" t="s">
        <v>139</v>
      </c>
      <c r="J14" s="16" t="s">
        <v>139</v>
      </c>
      <c r="K14" s="14">
        <v>0</v>
      </c>
      <c r="L14" s="16">
        <v>0</v>
      </c>
      <c r="M14" s="14">
        <v>0</v>
      </c>
      <c r="N14" s="16">
        <v>0</v>
      </c>
      <c r="O14" s="14">
        <v>0</v>
      </c>
      <c r="P14" s="16">
        <v>0</v>
      </c>
      <c r="Q14" s="14">
        <v>0</v>
      </c>
      <c r="R14" s="16">
        <v>0</v>
      </c>
    </row>
    <row r="15" spans="1:18" x14ac:dyDescent="0.25">
      <c r="A15" s="11" t="s">
        <v>147</v>
      </c>
      <c r="B15" s="13">
        <v>5882</v>
      </c>
      <c r="C15" s="14">
        <f>(4868/B15*100)</f>
        <v>82.760965657939479</v>
      </c>
      <c r="D15" s="15">
        <v>1014</v>
      </c>
      <c r="E15" s="14">
        <v>57.224761970000003</v>
      </c>
      <c r="F15" s="16">
        <v>1.4856718</v>
      </c>
      <c r="G15" s="14">
        <v>42.775238029999997</v>
      </c>
      <c r="H15" s="16">
        <v>1.4856718</v>
      </c>
      <c r="I15" s="14" t="s">
        <v>139</v>
      </c>
      <c r="J15" s="16" t="s">
        <v>139</v>
      </c>
      <c r="K15" s="14">
        <v>0</v>
      </c>
      <c r="L15" s="16">
        <v>0</v>
      </c>
      <c r="M15" s="14">
        <v>0</v>
      </c>
      <c r="N15" s="16">
        <v>0</v>
      </c>
      <c r="O15" s="14">
        <v>0</v>
      </c>
      <c r="P15" s="16">
        <v>0</v>
      </c>
      <c r="Q15" s="14">
        <v>0</v>
      </c>
      <c r="R15" s="16">
        <v>0</v>
      </c>
    </row>
    <row r="16" spans="1:18" x14ac:dyDescent="0.25">
      <c r="A16" s="11" t="s">
        <v>148</v>
      </c>
      <c r="B16" s="13">
        <v>6108</v>
      </c>
      <c r="C16" s="14">
        <f>(5075/B16*100)</f>
        <v>83.087753765553373</v>
      </c>
      <c r="D16" s="15">
        <v>1033</v>
      </c>
      <c r="E16" s="14">
        <v>44.621764030000001</v>
      </c>
      <c r="F16" s="16">
        <v>1.46231537</v>
      </c>
      <c r="G16" s="14">
        <v>55.378235969999999</v>
      </c>
      <c r="H16" s="16">
        <v>1.46231537</v>
      </c>
      <c r="I16" s="14" t="s">
        <v>139</v>
      </c>
      <c r="J16" s="16" t="s">
        <v>139</v>
      </c>
      <c r="K16" s="14">
        <v>0</v>
      </c>
      <c r="L16" s="16">
        <v>0</v>
      </c>
      <c r="M16" s="14">
        <v>0</v>
      </c>
      <c r="N16" s="16">
        <v>0</v>
      </c>
      <c r="O16" s="14">
        <v>0</v>
      </c>
      <c r="P16" s="16">
        <v>0</v>
      </c>
      <c r="Q16" s="14">
        <v>0</v>
      </c>
      <c r="R16" s="16">
        <v>0</v>
      </c>
    </row>
    <row r="17" spans="1:18" x14ac:dyDescent="0.25">
      <c r="A17" s="11" t="s">
        <v>149</v>
      </c>
      <c r="B17" s="13">
        <v>6504</v>
      </c>
      <c r="C17" s="14">
        <f>(5410/B17*100)</f>
        <v>83.179581795817953</v>
      </c>
      <c r="D17" s="15">
        <v>1094</v>
      </c>
      <c r="E17" s="14">
        <v>38.721753190000001</v>
      </c>
      <c r="F17" s="16">
        <v>1.63681126</v>
      </c>
      <c r="G17" s="14">
        <v>61.278246809999999</v>
      </c>
      <c r="H17" s="16">
        <v>1.63681126</v>
      </c>
      <c r="I17" s="14" t="s">
        <v>139</v>
      </c>
      <c r="J17" s="16" t="s">
        <v>139</v>
      </c>
      <c r="K17" s="14">
        <v>0</v>
      </c>
      <c r="L17" s="16">
        <v>0</v>
      </c>
      <c r="M17" s="14">
        <v>0</v>
      </c>
      <c r="N17" s="16">
        <v>0</v>
      </c>
      <c r="O17" s="14">
        <v>0</v>
      </c>
      <c r="P17" s="16">
        <v>0</v>
      </c>
      <c r="Q17" s="14">
        <v>0</v>
      </c>
      <c r="R17" s="16">
        <v>0</v>
      </c>
    </row>
    <row r="18" spans="1:18" x14ac:dyDescent="0.25">
      <c r="A18" s="11" t="s">
        <v>150</v>
      </c>
      <c r="B18" s="13">
        <v>5532</v>
      </c>
      <c r="C18" s="14">
        <f>(4578/B18*100)</f>
        <v>82.754880694143168</v>
      </c>
      <c r="D18" s="15">
        <v>954</v>
      </c>
      <c r="E18" s="14">
        <v>59.405244639999999</v>
      </c>
      <c r="F18" s="16">
        <v>1.98775312</v>
      </c>
      <c r="G18" s="14">
        <v>40.594755360000001</v>
      </c>
      <c r="H18" s="16">
        <v>1.98775312</v>
      </c>
      <c r="I18" s="14" t="s">
        <v>139</v>
      </c>
      <c r="J18" s="16" t="s">
        <v>139</v>
      </c>
      <c r="K18" s="14">
        <v>0</v>
      </c>
      <c r="L18" s="16">
        <v>0</v>
      </c>
      <c r="M18" s="14">
        <v>0</v>
      </c>
      <c r="N18" s="16">
        <v>0</v>
      </c>
      <c r="O18" s="14">
        <v>0</v>
      </c>
      <c r="P18" s="16">
        <v>0</v>
      </c>
      <c r="Q18" s="14">
        <v>0</v>
      </c>
      <c r="R18" s="16">
        <v>0</v>
      </c>
    </row>
    <row r="19" spans="1:18" x14ac:dyDescent="0.25">
      <c r="A19" s="11" t="s">
        <v>151</v>
      </c>
      <c r="B19" s="13">
        <v>5658</v>
      </c>
      <c r="C19" s="14">
        <f>(4690/B19*100)</f>
        <v>82.891481088723935</v>
      </c>
      <c r="D19" s="15">
        <v>968</v>
      </c>
      <c r="E19" s="14">
        <v>49.641235279999997</v>
      </c>
      <c r="F19" s="16">
        <v>1.67650275</v>
      </c>
      <c r="G19" s="14">
        <v>50.358764720000003</v>
      </c>
      <c r="H19" s="16">
        <v>1.67650275</v>
      </c>
      <c r="I19" s="14" t="s">
        <v>139</v>
      </c>
      <c r="J19" s="16" t="s">
        <v>139</v>
      </c>
      <c r="K19" s="14">
        <v>0</v>
      </c>
      <c r="L19" s="16">
        <v>0</v>
      </c>
      <c r="M19" s="14">
        <v>0</v>
      </c>
      <c r="N19" s="16">
        <v>0</v>
      </c>
      <c r="O19" s="14">
        <v>0</v>
      </c>
      <c r="P19" s="16">
        <v>0</v>
      </c>
      <c r="Q19" s="14">
        <v>0</v>
      </c>
      <c r="R19" s="16">
        <v>0</v>
      </c>
    </row>
    <row r="20" spans="1:18" x14ac:dyDescent="0.25">
      <c r="A20" s="11" t="s">
        <v>152</v>
      </c>
      <c r="B20" s="13">
        <v>3371</v>
      </c>
      <c r="C20" s="14">
        <f>(2798/B20*100)</f>
        <v>83.002076535152767</v>
      </c>
      <c r="D20" s="15">
        <v>573</v>
      </c>
      <c r="E20" s="14">
        <v>61.288881480000001</v>
      </c>
      <c r="F20" s="16">
        <v>2.05193095</v>
      </c>
      <c r="G20" s="14">
        <v>38.711118519999999</v>
      </c>
      <c r="H20" s="16">
        <v>2.05193095</v>
      </c>
      <c r="I20" s="14" t="s">
        <v>139</v>
      </c>
      <c r="J20" s="16" t="s">
        <v>139</v>
      </c>
      <c r="K20" s="14">
        <v>0</v>
      </c>
      <c r="L20" s="16">
        <v>0</v>
      </c>
      <c r="M20" s="14">
        <v>0</v>
      </c>
      <c r="N20" s="16">
        <v>0</v>
      </c>
      <c r="O20" s="14">
        <v>0</v>
      </c>
      <c r="P20" s="16">
        <v>0</v>
      </c>
      <c r="Q20" s="14">
        <v>0</v>
      </c>
      <c r="R20" s="16">
        <v>0</v>
      </c>
    </row>
    <row r="21" spans="1:18" x14ac:dyDescent="0.25">
      <c r="A21" s="11" t="s">
        <v>153</v>
      </c>
      <c r="B21" s="17" t="s">
        <v>154</v>
      </c>
      <c r="C21" s="17" t="s">
        <v>154</v>
      </c>
      <c r="D21" s="18" t="s">
        <v>154</v>
      </c>
      <c r="E21" s="17" t="s">
        <v>154</v>
      </c>
      <c r="F21" s="18" t="s">
        <v>154</v>
      </c>
      <c r="G21" s="17" t="s">
        <v>154</v>
      </c>
      <c r="H21" s="18" t="s">
        <v>154</v>
      </c>
      <c r="I21" s="17" t="s">
        <v>154</v>
      </c>
      <c r="J21" s="18" t="s">
        <v>154</v>
      </c>
      <c r="K21" s="17" t="s">
        <v>154</v>
      </c>
      <c r="L21" s="18" t="s">
        <v>154</v>
      </c>
      <c r="M21" s="17" t="s">
        <v>154</v>
      </c>
      <c r="N21" s="18" t="s">
        <v>154</v>
      </c>
      <c r="O21" s="17" t="s">
        <v>154</v>
      </c>
      <c r="P21" s="18" t="s">
        <v>154</v>
      </c>
      <c r="Q21" s="17" t="s">
        <v>154</v>
      </c>
      <c r="R21" s="18" t="s">
        <v>154</v>
      </c>
    </row>
    <row r="22" spans="1:18" x14ac:dyDescent="0.25">
      <c r="A22" s="11" t="s">
        <v>155</v>
      </c>
      <c r="B22" s="13">
        <v>6598</v>
      </c>
      <c r="C22" s="14">
        <f>(5569/B22*100)</f>
        <v>84.404364959078507</v>
      </c>
      <c r="D22" s="15">
        <v>1029</v>
      </c>
      <c r="E22" s="14">
        <v>60.467357980000003</v>
      </c>
      <c r="F22" s="16">
        <v>1.7456975699999999</v>
      </c>
      <c r="G22" s="14">
        <v>39.532642019999997</v>
      </c>
      <c r="H22" s="16">
        <v>1.7456975699999999</v>
      </c>
      <c r="I22" s="14" t="s">
        <v>139</v>
      </c>
      <c r="J22" s="16" t="s">
        <v>139</v>
      </c>
      <c r="K22" s="14">
        <v>0</v>
      </c>
      <c r="L22" s="16">
        <v>0</v>
      </c>
      <c r="M22" s="14">
        <v>0</v>
      </c>
      <c r="N22" s="16">
        <v>0</v>
      </c>
      <c r="O22" s="14">
        <v>0</v>
      </c>
      <c r="P22" s="16">
        <v>0</v>
      </c>
      <c r="Q22" s="14">
        <v>0</v>
      </c>
      <c r="R22" s="16">
        <v>0</v>
      </c>
    </row>
    <row r="23" spans="1:18" x14ac:dyDescent="0.25">
      <c r="A23" s="11" t="s">
        <v>156</v>
      </c>
      <c r="B23" s="13">
        <v>11583</v>
      </c>
      <c r="C23" s="14">
        <f>(9578/B23*100)</f>
        <v>82.690149356816022</v>
      </c>
      <c r="D23" s="15">
        <v>2005</v>
      </c>
      <c r="E23" s="14">
        <v>59.296539060000001</v>
      </c>
      <c r="F23" s="16">
        <v>1.37985516</v>
      </c>
      <c r="G23" s="14">
        <v>40.703460939999999</v>
      </c>
      <c r="H23" s="16">
        <v>1.37985516</v>
      </c>
      <c r="I23" s="14" t="s">
        <v>139</v>
      </c>
      <c r="J23" s="16" t="s">
        <v>139</v>
      </c>
      <c r="K23" s="14">
        <v>0</v>
      </c>
      <c r="L23" s="16">
        <v>0</v>
      </c>
      <c r="M23" s="14">
        <v>0</v>
      </c>
      <c r="N23" s="16">
        <v>0</v>
      </c>
      <c r="O23" s="14">
        <v>0</v>
      </c>
      <c r="P23" s="16">
        <v>0</v>
      </c>
      <c r="Q23" s="14">
        <v>0</v>
      </c>
      <c r="R23" s="16">
        <v>0</v>
      </c>
    </row>
    <row r="24" spans="1:18" x14ac:dyDescent="0.25">
      <c r="A24" s="11" t="s">
        <v>157</v>
      </c>
      <c r="B24" s="13">
        <v>6647</v>
      </c>
      <c r="C24" s="14">
        <f>(5489/B24*100)</f>
        <v>82.578606890326469</v>
      </c>
      <c r="D24" s="15">
        <v>1158</v>
      </c>
      <c r="E24" s="14">
        <v>24.571854609999999</v>
      </c>
      <c r="F24" s="16">
        <v>1.2318351400000001</v>
      </c>
      <c r="G24" s="14">
        <v>75.428145389999997</v>
      </c>
      <c r="H24" s="16">
        <v>1.2318351400000001</v>
      </c>
      <c r="I24" s="14" t="s">
        <v>139</v>
      </c>
      <c r="J24" s="16" t="s">
        <v>139</v>
      </c>
      <c r="K24" s="14">
        <v>0</v>
      </c>
      <c r="L24" s="16">
        <v>0</v>
      </c>
      <c r="M24" s="14">
        <v>0</v>
      </c>
      <c r="N24" s="16">
        <v>0</v>
      </c>
      <c r="O24" s="14">
        <v>0</v>
      </c>
      <c r="P24" s="16">
        <v>0</v>
      </c>
      <c r="Q24" s="14">
        <v>0</v>
      </c>
      <c r="R24" s="16">
        <v>0</v>
      </c>
    </row>
    <row r="25" spans="1:18" x14ac:dyDescent="0.25">
      <c r="A25" s="11" t="s">
        <v>158</v>
      </c>
      <c r="B25" s="13">
        <v>5581</v>
      </c>
      <c r="C25" s="14">
        <f>(4614/B25*100)</f>
        <v>82.673356029385417</v>
      </c>
      <c r="D25" s="15">
        <v>967</v>
      </c>
      <c r="E25" s="14">
        <v>31.664358750000002</v>
      </c>
      <c r="F25" s="16">
        <v>1.5025694000000001</v>
      </c>
      <c r="G25" s="14">
        <v>68.335641249999995</v>
      </c>
      <c r="H25" s="16">
        <v>1.5025694000000001</v>
      </c>
      <c r="I25" s="14" t="s">
        <v>139</v>
      </c>
      <c r="J25" s="16" t="s">
        <v>139</v>
      </c>
      <c r="K25" s="14">
        <v>0</v>
      </c>
      <c r="L25" s="16">
        <v>0</v>
      </c>
      <c r="M25" s="14">
        <v>0</v>
      </c>
      <c r="N25" s="16">
        <v>0</v>
      </c>
      <c r="O25" s="14">
        <v>0</v>
      </c>
      <c r="P25" s="16">
        <v>0</v>
      </c>
      <c r="Q25" s="14">
        <v>0</v>
      </c>
      <c r="R25" s="16">
        <v>0</v>
      </c>
    </row>
    <row r="26" spans="1:18" x14ac:dyDescent="0.25">
      <c r="A26" s="11" t="s">
        <v>159</v>
      </c>
      <c r="B26" s="13">
        <v>4869</v>
      </c>
      <c r="C26" s="14">
        <f>(4031/B26*100)</f>
        <v>82.789073731772433</v>
      </c>
      <c r="D26" s="15">
        <v>838</v>
      </c>
      <c r="E26" s="14">
        <v>53.361556090000001</v>
      </c>
      <c r="F26" s="16">
        <v>1.6262341199999999</v>
      </c>
      <c r="G26" s="14">
        <v>46.638443909999999</v>
      </c>
      <c r="H26" s="16">
        <v>1.6262341199999999</v>
      </c>
      <c r="I26" s="14" t="s">
        <v>139</v>
      </c>
      <c r="J26" s="16" t="s">
        <v>139</v>
      </c>
      <c r="K26" s="14">
        <v>0</v>
      </c>
      <c r="L26" s="16">
        <v>0</v>
      </c>
      <c r="M26" s="14">
        <v>0</v>
      </c>
      <c r="N26" s="16">
        <v>0</v>
      </c>
      <c r="O26" s="14">
        <v>0</v>
      </c>
      <c r="P26" s="16">
        <v>0</v>
      </c>
      <c r="Q26" s="14">
        <v>0</v>
      </c>
      <c r="R26" s="16">
        <v>0</v>
      </c>
    </row>
    <row r="27" spans="1:18" x14ac:dyDescent="0.25">
      <c r="A27" s="11" t="s">
        <v>160</v>
      </c>
      <c r="B27" s="13">
        <v>5299</v>
      </c>
      <c r="C27" s="14">
        <f>(4381/B27*100)</f>
        <v>82.675976599358364</v>
      </c>
      <c r="D27" s="15">
        <v>918</v>
      </c>
      <c r="E27" s="14">
        <v>47.147429389999999</v>
      </c>
      <c r="F27" s="16">
        <v>1.55211622</v>
      </c>
      <c r="G27" s="14">
        <v>52.852570610000001</v>
      </c>
      <c r="H27" s="16">
        <v>1.55211622</v>
      </c>
      <c r="I27" s="14" t="s">
        <v>139</v>
      </c>
      <c r="J27" s="16" t="s">
        <v>139</v>
      </c>
      <c r="K27" s="14">
        <v>0</v>
      </c>
      <c r="L27" s="16">
        <v>0</v>
      </c>
      <c r="M27" s="14">
        <v>0</v>
      </c>
      <c r="N27" s="16">
        <v>0</v>
      </c>
      <c r="O27" s="14">
        <v>0</v>
      </c>
      <c r="P27" s="16">
        <v>0</v>
      </c>
      <c r="Q27" s="14">
        <v>0</v>
      </c>
      <c r="R27" s="16">
        <v>0</v>
      </c>
    </row>
    <row r="28" spans="1:18" x14ac:dyDescent="0.25">
      <c r="A28" s="11" t="s">
        <v>161</v>
      </c>
      <c r="B28" s="13">
        <v>7568</v>
      </c>
      <c r="C28" s="14">
        <f>(6267/B28*100)</f>
        <v>82.809196617336156</v>
      </c>
      <c r="D28" s="15">
        <v>1301</v>
      </c>
      <c r="E28" s="14">
        <v>65.01026804</v>
      </c>
      <c r="F28" s="16">
        <v>1.3637785899999999</v>
      </c>
      <c r="G28" s="14">
        <v>34.98973196</v>
      </c>
      <c r="H28" s="16">
        <v>1.3637785899999999</v>
      </c>
      <c r="I28" s="14" t="s">
        <v>139</v>
      </c>
      <c r="J28" s="16" t="s">
        <v>139</v>
      </c>
      <c r="K28" s="14">
        <v>0</v>
      </c>
      <c r="L28" s="16">
        <v>0</v>
      </c>
      <c r="M28" s="14">
        <v>0</v>
      </c>
      <c r="N28" s="16">
        <v>0</v>
      </c>
      <c r="O28" s="14">
        <v>0</v>
      </c>
      <c r="P28" s="16">
        <v>0</v>
      </c>
      <c r="Q28" s="14">
        <v>0</v>
      </c>
      <c r="R28" s="16">
        <v>0</v>
      </c>
    </row>
    <row r="29" spans="1:18" x14ac:dyDescent="0.25">
      <c r="A29" s="11" t="s">
        <v>162</v>
      </c>
      <c r="B29" s="13">
        <v>5385</v>
      </c>
      <c r="C29" s="14">
        <f>(4499/B29*100)</f>
        <v>83.546889507892303</v>
      </c>
      <c r="D29" s="15">
        <v>886</v>
      </c>
      <c r="E29" s="14">
        <v>41.412868510000003</v>
      </c>
      <c r="F29" s="16">
        <v>1.5365745</v>
      </c>
      <c r="G29" s="14">
        <v>58.587131489999997</v>
      </c>
      <c r="H29" s="16">
        <v>1.5365745</v>
      </c>
      <c r="I29" s="14" t="s">
        <v>139</v>
      </c>
      <c r="J29" s="16" t="s">
        <v>139</v>
      </c>
      <c r="K29" s="14">
        <v>0</v>
      </c>
      <c r="L29" s="16">
        <v>0</v>
      </c>
      <c r="M29" s="14">
        <v>0</v>
      </c>
      <c r="N29" s="16">
        <v>0</v>
      </c>
      <c r="O29" s="14">
        <v>0</v>
      </c>
      <c r="P29" s="16">
        <v>0</v>
      </c>
      <c r="Q29" s="14">
        <v>0</v>
      </c>
      <c r="R29" s="16">
        <v>0</v>
      </c>
    </row>
    <row r="30" spans="1:18" x14ac:dyDescent="0.25">
      <c r="A30" s="11" t="s">
        <v>163</v>
      </c>
      <c r="B30" s="13">
        <v>4520</v>
      </c>
      <c r="C30" s="14">
        <f>(3777/B30*100)</f>
        <v>83.561946902654867</v>
      </c>
      <c r="D30" s="15">
        <v>743</v>
      </c>
      <c r="E30" s="14">
        <v>45.071470840000003</v>
      </c>
      <c r="F30" s="16">
        <v>1.9651358999999999</v>
      </c>
      <c r="G30" s="14">
        <v>54.928529159999997</v>
      </c>
      <c r="H30" s="16">
        <v>1.9651358999999999</v>
      </c>
      <c r="I30" s="14" t="s">
        <v>139</v>
      </c>
      <c r="J30" s="16" t="s">
        <v>139</v>
      </c>
      <c r="K30" s="14">
        <v>0</v>
      </c>
      <c r="L30" s="16">
        <v>0</v>
      </c>
      <c r="M30" s="14">
        <v>0</v>
      </c>
      <c r="N30" s="16">
        <v>0</v>
      </c>
      <c r="O30" s="14">
        <v>0</v>
      </c>
      <c r="P30" s="16">
        <v>0</v>
      </c>
      <c r="Q30" s="14">
        <v>0</v>
      </c>
      <c r="R30" s="16">
        <v>0</v>
      </c>
    </row>
    <row r="31" spans="1:18" x14ac:dyDescent="0.25">
      <c r="A31" s="11" t="s">
        <v>164</v>
      </c>
      <c r="B31" s="13">
        <v>5456</v>
      </c>
      <c r="C31" s="14">
        <f>(4533/B31*100)</f>
        <v>83.082844574780054</v>
      </c>
      <c r="D31" s="15">
        <v>923</v>
      </c>
      <c r="E31" s="14">
        <v>55.885385470000003</v>
      </c>
      <c r="F31" s="16">
        <v>1.7434831500000001</v>
      </c>
      <c r="G31" s="14">
        <v>44.114614529999997</v>
      </c>
      <c r="H31" s="16">
        <v>1.7434831500000001</v>
      </c>
      <c r="I31" s="14" t="s">
        <v>139</v>
      </c>
      <c r="J31" s="16" t="s">
        <v>139</v>
      </c>
      <c r="K31" s="14">
        <v>0</v>
      </c>
      <c r="L31" s="16">
        <v>0</v>
      </c>
      <c r="M31" s="14">
        <v>0</v>
      </c>
      <c r="N31" s="16">
        <v>0</v>
      </c>
      <c r="O31" s="14">
        <v>0</v>
      </c>
      <c r="P31" s="16">
        <v>0</v>
      </c>
      <c r="Q31" s="14">
        <v>0</v>
      </c>
      <c r="R31" s="16">
        <v>0</v>
      </c>
    </row>
    <row r="32" spans="1:18" x14ac:dyDescent="0.25">
      <c r="A32" s="11" t="s">
        <v>165</v>
      </c>
      <c r="B32" s="17" t="s">
        <v>154</v>
      </c>
      <c r="C32" s="17" t="s">
        <v>154</v>
      </c>
      <c r="D32" s="18" t="s">
        <v>154</v>
      </c>
      <c r="E32" s="17" t="s">
        <v>154</v>
      </c>
      <c r="F32" s="18" t="s">
        <v>154</v>
      </c>
      <c r="G32" s="17" t="s">
        <v>154</v>
      </c>
      <c r="H32" s="18" t="s">
        <v>154</v>
      </c>
      <c r="I32" s="17" t="s">
        <v>154</v>
      </c>
      <c r="J32" s="18" t="s">
        <v>154</v>
      </c>
      <c r="K32" s="17" t="s">
        <v>154</v>
      </c>
      <c r="L32" s="18" t="s">
        <v>154</v>
      </c>
      <c r="M32" s="17" t="s">
        <v>154</v>
      </c>
      <c r="N32" s="18" t="s">
        <v>154</v>
      </c>
      <c r="O32" s="17" t="s">
        <v>154</v>
      </c>
      <c r="P32" s="18" t="s">
        <v>154</v>
      </c>
      <c r="Q32" s="17" t="s">
        <v>154</v>
      </c>
      <c r="R32" s="18" t="s">
        <v>154</v>
      </c>
    </row>
    <row r="33" spans="1:18" x14ac:dyDescent="0.25">
      <c r="A33" s="11" t="s">
        <v>166</v>
      </c>
      <c r="B33" s="13">
        <v>7325</v>
      </c>
      <c r="C33" s="14">
        <f>(6079/B33*100)</f>
        <v>82.989761092150175</v>
      </c>
      <c r="D33" s="15">
        <v>1246</v>
      </c>
      <c r="E33" s="14">
        <v>47.157216429999998</v>
      </c>
      <c r="F33" s="16">
        <v>1.7387871699999999</v>
      </c>
      <c r="G33" s="14">
        <v>52.842783570000002</v>
      </c>
      <c r="H33" s="16">
        <v>1.7387871699999999</v>
      </c>
      <c r="I33" s="14" t="s">
        <v>139</v>
      </c>
      <c r="J33" s="16" t="s">
        <v>139</v>
      </c>
      <c r="K33" s="14">
        <v>0</v>
      </c>
      <c r="L33" s="16">
        <v>0</v>
      </c>
      <c r="M33" s="14">
        <v>0</v>
      </c>
      <c r="N33" s="16">
        <v>0</v>
      </c>
      <c r="O33" s="14">
        <v>0</v>
      </c>
      <c r="P33" s="16">
        <v>0</v>
      </c>
      <c r="Q33" s="14">
        <v>0</v>
      </c>
      <c r="R33" s="16">
        <v>0</v>
      </c>
    </row>
    <row r="34" spans="1:18" x14ac:dyDescent="0.25">
      <c r="A34" s="11" t="s">
        <v>167</v>
      </c>
      <c r="B34" s="13">
        <v>6350</v>
      </c>
      <c r="C34" s="14">
        <f>(5292/B34*100)</f>
        <v>83.338582677165348</v>
      </c>
      <c r="D34" s="15">
        <v>1058</v>
      </c>
      <c r="E34" s="14">
        <v>57.390123529999997</v>
      </c>
      <c r="F34" s="16">
        <v>1.8326221</v>
      </c>
      <c r="G34" s="14">
        <v>42.609876470000003</v>
      </c>
      <c r="H34" s="16">
        <v>1.8326221</v>
      </c>
      <c r="I34" s="14" t="s">
        <v>139</v>
      </c>
      <c r="J34" s="16" t="s">
        <v>139</v>
      </c>
      <c r="K34" s="14">
        <v>0</v>
      </c>
      <c r="L34" s="16">
        <v>0</v>
      </c>
      <c r="M34" s="14">
        <v>0</v>
      </c>
      <c r="N34" s="16">
        <v>0</v>
      </c>
      <c r="O34" s="14">
        <v>0</v>
      </c>
      <c r="P34" s="16">
        <v>0</v>
      </c>
      <c r="Q34" s="14">
        <v>0</v>
      </c>
      <c r="R34" s="16">
        <v>0</v>
      </c>
    </row>
    <row r="35" spans="1:18" x14ac:dyDescent="0.25">
      <c r="A35" s="11" t="s">
        <v>168</v>
      </c>
      <c r="B35" s="13">
        <v>6406</v>
      </c>
      <c r="C35" s="14">
        <f>(5349/B35*100)</f>
        <v>83.499843896347173</v>
      </c>
      <c r="D35" s="15">
        <v>1057</v>
      </c>
      <c r="E35" s="14">
        <v>44.820782100000002</v>
      </c>
      <c r="F35" s="16">
        <v>1.98129668</v>
      </c>
      <c r="G35" s="14">
        <v>55.179217899999998</v>
      </c>
      <c r="H35" s="16">
        <v>1.98129668</v>
      </c>
      <c r="I35" s="14" t="s">
        <v>139</v>
      </c>
      <c r="J35" s="16" t="s">
        <v>139</v>
      </c>
      <c r="K35" s="14">
        <v>0</v>
      </c>
      <c r="L35" s="16">
        <v>0</v>
      </c>
      <c r="M35" s="14">
        <v>0</v>
      </c>
      <c r="N35" s="16">
        <v>0</v>
      </c>
      <c r="O35" s="14">
        <v>0</v>
      </c>
      <c r="P35" s="16">
        <v>0</v>
      </c>
      <c r="Q35" s="14">
        <v>0</v>
      </c>
      <c r="R35" s="16">
        <v>0</v>
      </c>
    </row>
    <row r="36" spans="1:18" x14ac:dyDescent="0.25">
      <c r="A36" s="11" t="s">
        <v>169</v>
      </c>
      <c r="B36" s="13">
        <v>6736</v>
      </c>
      <c r="C36" s="14">
        <f>(5576/B36*100)</f>
        <v>82.779097387173394</v>
      </c>
      <c r="D36" s="15">
        <v>1160</v>
      </c>
      <c r="E36" s="14">
        <v>44.30868074</v>
      </c>
      <c r="F36" s="16">
        <v>1.3101030600000001</v>
      </c>
      <c r="G36" s="14">
        <v>55.69131926</v>
      </c>
      <c r="H36" s="16">
        <v>1.3101030600000001</v>
      </c>
      <c r="I36" s="14" t="s">
        <v>139</v>
      </c>
      <c r="J36" s="16" t="s">
        <v>139</v>
      </c>
      <c r="K36" s="14">
        <v>0</v>
      </c>
      <c r="L36" s="16">
        <v>0</v>
      </c>
      <c r="M36" s="14">
        <v>0</v>
      </c>
      <c r="N36" s="16">
        <v>0</v>
      </c>
      <c r="O36" s="14">
        <v>0</v>
      </c>
      <c r="P36" s="16">
        <v>0</v>
      </c>
      <c r="Q36" s="14">
        <v>0</v>
      </c>
      <c r="R36" s="16">
        <v>0</v>
      </c>
    </row>
    <row r="37" spans="1:18" x14ac:dyDescent="0.25">
      <c r="A37" s="11" t="s">
        <v>170</v>
      </c>
      <c r="B37" s="13">
        <v>5458</v>
      </c>
      <c r="C37" s="14">
        <f>(4538/B37*100)</f>
        <v>83.144008794430192</v>
      </c>
      <c r="D37" s="15">
        <v>920</v>
      </c>
      <c r="E37" s="14">
        <v>52.975861969999997</v>
      </c>
      <c r="F37" s="16">
        <v>1.8855447400000001</v>
      </c>
      <c r="G37" s="14">
        <v>47.024138030000003</v>
      </c>
      <c r="H37" s="16">
        <v>1.8855447400000001</v>
      </c>
      <c r="I37" s="14" t="s">
        <v>139</v>
      </c>
      <c r="J37" s="16" t="s">
        <v>139</v>
      </c>
      <c r="K37" s="14">
        <v>0</v>
      </c>
      <c r="L37" s="16">
        <v>0</v>
      </c>
      <c r="M37" s="14">
        <v>0</v>
      </c>
      <c r="N37" s="16">
        <v>0</v>
      </c>
      <c r="O37" s="14">
        <v>0</v>
      </c>
      <c r="P37" s="16">
        <v>0</v>
      </c>
      <c r="Q37" s="14">
        <v>0</v>
      </c>
      <c r="R37" s="16">
        <v>0</v>
      </c>
    </row>
    <row r="38" spans="1:18" x14ac:dyDescent="0.25">
      <c r="A38" s="11" t="s">
        <v>171</v>
      </c>
      <c r="B38" s="17" t="s">
        <v>154</v>
      </c>
      <c r="C38" s="17" t="s">
        <v>154</v>
      </c>
      <c r="D38" s="18" t="s">
        <v>154</v>
      </c>
      <c r="E38" s="17" t="s">
        <v>154</v>
      </c>
      <c r="F38" s="18" t="s">
        <v>154</v>
      </c>
      <c r="G38" s="17" t="s">
        <v>154</v>
      </c>
      <c r="H38" s="18" t="s">
        <v>154</v>
      </c>
      <c r="I38" s="17" t="s">
        <v>154</v>
      </c>
      <c r="J38" s="18" t="s">
        <v>154</v>
      </c>
      <c r="K38" s="17" t="s">
        <v>154</v>
      </c>
      <c r="L38" s="18" t="s">
        <v>154</v>
      </c>
      <c r="M38" s="17" t="s">
        <v>154</v>
      </c>
      <c r="N38" s="18" t="s">
        <v>154</v>
      </c>
      <c r="O38" s="17" t="s">
        <v>154</v>
      </c>
      <c r="P38" s="18" t="s">
        <v>154</v>
      </c>
      <c r="Q38" s="17" t="s">
        <v>154</v>
      </c>
      <c r="R38" s="18" t="s">
        <v>154</v>
      </c>
    </row>
    <row r="39" spans="1:18" x14ac:dyDescent="0.25">
      <c r="A39" s="11" t="s">
        <v>172</v>
      </c>
      <c r="B39" s="13">
        <v>5895</v>
      </c>
      <c r="C39" s="14">
        <f>(4863/B39*100)</f>
        <v>82.493638676844782</v>
      </c>
      <c r="D39" s="15">
        <v>1032</v>
      </c>
      <c r="E39" s="14">
        <v>62.726067929999999</v>
      </c>
      <c r="F39" s="16">
        <v>1.8400766099999999</v>
      </c>
      <c r="G39" s="14">
        <v>37.273932070000001</v>
      </c>
      <c r="H39" s="16">
        <v>1.8400766099999999</v>
      </c>
      <c r="I39" s="14" t="s">
        <v>139</v>
      </c>
      <c r="J39" s="16" t="s">
        <v>139</v>
      </c>
      <c r="K39" s="14">
        <v>0</v>
      </c>
      <c r="L39" s="16">
        <v>0</v>
      </c>
      <c r="M39" s="14">
        <v>0</v>
      </c>
      <c r="N39" s="16">
        <v>0</v>
      </c>
      <c r="O39" s="14">
        <v>0</v>
      </c>
      <c r="P39" s="16">
        <v>0</v>
      </c>
      <c r="Q39" s="14">
        <v>0</v>
      </c>
      <c r="R39" s="16">
        <v>0</v>
      </c>
    </row>
    <row r="40" spans="1:18" x14ac:dyDescent="0.25">
      <c r="A40" s="11" t="s">
        <v>173</v>
      </c>
      <c r="B40" s="13">
        <v>14157</v>
      </c>
      <c r="C40" s="14">
        <f>(11728/B40*100)</f>
        <v>82.842410115137383</v>
      </c>
      <c r="D40" s="15">
        <v>2429</v>
      </c>
      <c r="E40" s="14">
        <v>41.60726992</v>
      </c>
      <c r="F40" s="16">
        <v>1.67396162</v>
      </c>
      <c r="G40" s="14">
        <v>58.39273008</v>
      </c>
      <c r="H40" s="16">
        <v>1.67396162</v>
      </c>
      <c r="I40" s="14" t="s">
        <v>139</v>
      </c>
      <c r="J40" s="16" t="s">
        <v>139</v>
      </c>
      <c r="K40" s="14">
        <v>0</v>
      </c>
      <c r="L40" s="16">
        <v>0</v>
      </c>
      <c r="M40" s="14">
        <v>0</v>
      </c>
      <c r="N40" s="16">
        <v>0</v>
      </c>
      <c r="O40" s="14">
        <v>0</v>
      </c>
      <c r="P40" s="16">
        <v>0</v>
      </c>
      <c r="Q40" s="14">
        <v>0</v>
      </c>
      <c r="R40" s="16">
        <v>0</v>
      </c>
    </row>
    <row r="41" spans="1:18" x14ac:dyDescent="0.25">
      <c r="A41" s="11" t="s">
        <v>174</v>
      </c>
      <c r="B41" s="13">
        <v>5712</v>
      </c>
      <c r="C41" s="14">
        <f>(4723/B41*100)</f>
        <v>82.685574229691866</v>
      </c>
      <c r="D41" s="15">
        <v>989</v>
      </c>
      <c r="E41" s="14">
        <v>42.244846019999997</v>
      </c>
      <c r="F41" s="16">
        <v>1.8482306799999999</v>
      </c>
      <c r="G41" s="14">
        <v>57.755153980000003</v>
      </c>
      <c r="H41" s="16">
        <v>1.8482306799999999</v>
      </c>
      <c r="I41" s="14" t="s">
        <v>139</v>
      </c>
      <c r="J41" s="16" t="s">
        <v>139</v>
      </c>
      <c r="K41" s="14">
        <v>0</v>
      </c>
      <c r="L41" s="16">
        <v>0</v>
      </c>
      <c r="M41" s="14">
        <v>0</v>
      </c>
      <c r="N41" s="16">
        <v>0</v>
      </c>
      <c r="O41" s="14">
        <v>0</v>
      </c>
      <c r="P41" s="16">
        <v>0</v>
      </c>
      <c r="Q41" s="14">
        <v>0</v>
      </c>
      <c r="R41" s="16">
        <v>0</v>
      </c>
    </row>
    <row r="42" spans="1:18" x14ac:dyDescent="0.25">
      <c r="A42" s="11" t="s">
        <v>175</v>
      </c>
      <c r="B42" s="13">
        <f>IF(COUNT(B7:B41) &gt; 0, AVERAGE(B7:B41), "\u2014")</f>
        <v>7266.90625</v>
      </c>
      <c r="C42" s="14">
        <f>IF(COUNT(C7:C41) &gt; 0, AVERAGE(C7:C41), "—")</f>
        <v>82.986990075105098</v>
      </c>
      <c r="D42" s="15">
        <f>IF(COUNT(D7:D41) &gt; 0, AVERAGE(D7:D41), "—")</f>
        <v>1237.25</v>
      </c>
      <c r="E42" s="14">
        <f>IF(COUNT(E7:E41) &gt; 0, AVERAGE(E7:E41), "—")</f>
        <v>48.302833507812515</v>
      </c>
      <c r="F42" s="16">
        <f>IF(COUNT(F7:F41) &gt; 0, SQRT(SUMSQ(F7:F41)/(COUNT(F7:F41)*COUNT(F7:F41)) ), "—")</f>
        <v>0.28976833241877253</v>
      </c>
      <c r="G42" s="14">
        <f>IF(COUNT(G7:G41) &gt; 0, AVERAGE(G7:G41), "—")</f>
        <v>51.697166492187485</v>
      </c>
      <c r="H42" s="16">
        <f>IF(COUNT(H7:H41) &gt; 0, SQRT(SUMSQ(H7:H41)/(COUNT(H7:H41)*COUNT(H7:H41)) ), "—")</f>
        <v>0.28976833241877253</v>
      </c>
      <c r="I42" s="14" t="str">
        <f>IF(COUNT(I7:I41) &gt; 0, AVERAGE(I7:I41), "—")</f>
        <v>—</v>
      </c>
      <c r="J42" s="16" t="str">
        <f>IF(COUNT(J7:J41) &gt; 0, SQRT(SUMSQ(J7:J41)/(COUNT(J7:J41)*COUNT(J7:J41)) ), "—")</f>
        <v>—</v>
      </c>
      <c r="K42" s="14">
        <f>IF(COUNT(K7:K41) &gt; 0, AVERAGE(K7:K41), "—")</f>
        <v>0</v>
      </c>
      <c r="L42" s="16">
        <f>IF(COUNT(L7:L41) &gt; 0, SQRT(SUMSQ(L7:L41)/(COUNT(L7:L41)*COUNT(L7:L41)) ), "—")</f>
        <v>0</v>
      </c>
      <c r="M42" s="14">
        <f>IF(COUNT(M7:M41) &gt; 0, AVERAGE(M7:M41), "—")</f>
        <v>0</v>
      </c>
      <c r="N42" s="16">
        <f>IF(COUNT(N7:N41) &gt; 0, SQRT(SUMSQ(N7:N41)/(COUNT(N7:N41)*COUNT(N7:N41)) ), "—")</f>
        <v>0</v>
      </c>
      <c r="O42" s="14">
        <f>IF(COUNT(O7:O41) &gt; 0, AVERAGE(O7:O41), "—")</f>
        <v>0</v>
      </c>
      <c r="P42" s="16">
        <f>IF(COUNT(P7:P41) &gt; 0, SQRT(SUMSQ(P7:P41)/(COUNT(P7:P41)*COUNT(P7:P41)) ), "—")</f>
        <v>0</v>
      </c>
      <c r="Q42" s="14">
        <f>IF(COUNT(Q7:Q41) &gt; 0, AVERAGE(Q7:Q41), "—")</f>
        <v>0</v>
      </c>
      <c r="R42" s="16">
        <f>IF(COUNT(R7:R41) &gt; 0, SQRT(SUMSQ(R7:R41)/(COUNT(R7:R41)*COUNT(R7:R41)) ), "—")</f>
        <v>0</v>
      </c>
    </row>
    <row r="43" spans="1:18" x14ac:dyDescent="0.25">
      <c r="A43" s="9" t="s">
        <v>176</v>
      </c>
      <c r="B43" s="10"/>
      <c r="C43" s="10"/>
      <c r="D43" s="11"/>
      <c r="E43" s="10"/>
      <c r="F43" s="11"/>
      <c r="G43" s="10"/>
      <c r="H43" s="11"/>
      <c r="I43" s="10"/>
      <c r="J43" s="11"/>
      <c r="K43" s="10"/>
      <c r="L43" s="11"/>
      <c r="M43" s="10"/>
      <c r="N43" s="11"/>
      <c r="O43" s="10"/>
      <c r="P43" s="11"/>
      <c r="Q43" s="10"/>
      <c r="R43" s="12"/>
    </row>
    <row r="44" spans="1:18" x14ac:dyDescent="0.25">
      <c r="A44" s="11" t="s">
        <v>177</v>
      </c>
      <c r="B44" s="17" t="s">
        <v>154</v>
      </c>
      <c r="C44" s="17" t="s">
        <v>154</v>
      </c>
      <c r="D44" s="18" t="s">
        <v>154</v>
      </c>
      <c r="E44" s="17" t="s">
        <v>154</v>
      </c>
      <c r="F44" s="18" t="s">
        <v>154</v>
      </c>
      <c r="G44" s="17" t="s">
        <v>154</v>
      </c>
      <c r="H44" s="18" t="s">
        <v>154</v>
      </c>
      <c r="I44" s="17" t="s">
        <v>154</v>
      </c>
      <c r="J44" s="18" t="s">
        <v>154</v>
      </c>
      <c r="K44" s="17" t="s">
        <v>154</v>
      </c>
      <c r="L44" s="18" t="s">
        <v>154</v>
      </c>
      <c r="M44" s="17" t="s">
        <v>154</v>
      </c>
      <c r="N44" s="18" t="s">
        <v>154</v>
      </c>
      <c r="O44" s="17" t="s">
        <v>154</v>
      </c>
      <c r="P44" s="18" t="s">
        <v>154</v>
      </c>
      <c r="Q44" s="17" t="s">
        <v>154</v>
      </c>
      <c r="R44" s="18" t="s">
        <v>154</v>
      </c>
    </row>
    <row r="45" spans="1:18" x14ac:dyDescent="0.25">
      <c r="A45" s="11" t="s">
        <v>178</v>
      </c>
      <c r="B45" s="17" t="s">
        <v>154</v>
      </c>
      <c r="C45" s="17" t="s">
        <v>154</v>
      </c>
      <c r="D45" s="18" t="s">
        <v>154</v>
      </c>
      <c r="E45" s="17" t="s">
        <v>154</v>
      </c>
      <c r="F45" s="18" t="s">
        <v>154</v>
      </c>
      <c r="G45" s="17" t="s">
        <v>154</v>
      </c>
      <c r="H45" s="18" t="s">
        <v>154</v>
      </c>
      <c r="I45" s="17" t="s">
        <v>154</v>
      </c>
      <c r="J45" s="18" t="s">
        <v>154</v>
      </c>
      <c r="K45" s="17" t="s">
        <v>154</v>
      </c>
      <c r="L45" s="18" t="s">
        <v>154</v>
      </c>
      <c r="M45" s="17" t="s">
        <v>154</v>
      </c>
      <c r="N45" s="18" t="s">
        <v>154</v>
      </c>
      <c r="O45" s="17" t="s">
        <v>154</v>
      </c>
      <c r="P45" s="18" t="s">
        <v>154</v>
      </c>
      <c r="Q45" s="17" t="s">
        <v>154</v>
      </c>
      <c r="R45" s="18" t="s">
        <v>154</v>
      </c>
    </row>
    <row r="46" spans="1:18" x14ac:dyDescent="0.25">
      <c r="A46" s="11" t="s">
        <v>179</v>
      </c>
      <c r="B46" s="13">
        <v>23141</v>
      </c>
      <c r="C46" s="14">
        <f>(19486/B46*100)</f>
        <v>84.205522665399073</v>
      </c>
      <c r="D46" s="15">
        <v>3655</v>
      </c>
      <c r="E46" s="14">
        <v>63.511918479999999</v>
      </c>
      <c r="F46" s="16">
        <v>0.98330530000000005</v>
      </c>
      <c r="G46" s="14">
        <v>36.488081520000001</v>
      </c>
      <c r="H46" s="16">
        <v>0.98330530000000005</v>
      </c>
      <c r="I46" s="14" t="s">
        <v>139</v>
      </c>
      <c r="J46" s="16" t="s">
        <v>139</v>
      </c>
      <c r="K46" s="14">
        <v>0</v>
      </c>
      <c r="L46" s="16">
        <v>0</v>
      </c>
      <c r="M46" s="14">
        <v>0</v>
      </c>
      <c r="N46" s="16">
        <v>0</v>
      </c>
      <c r="O46" s="14">
        <v>0</v>
      </c>
      <c r="P46" s="16">
        <v>0</v>
      </c>
      <c r="Q46" s="14">
        <v>0</v>
      </c>
      <c r="R46" s="16">
        <v>0</v>
      </c>
    </row>
    <row r="47" spans="1:18" x14ac:dyDescent="0.25">
      <c r="A47" s="11" t="s">
        <v>180</v>
      </c>
      <c r="B47" s="13">
        <v>5928</v>
      </c>
      <c r="C47" s="14">
        <f>(4906/B47*100)</f>
        <v>82.759784075573549</v>
      </c>
      <c r="D47" s="15">
        <v>1022</v>
      </c>
      <c r="E47" s="14">
        <v>59.151221159999999</v>
      </c>
      <c r="F47" s="16">
        <v>1.46657759</v>
      </c>
      <c r="G47" s="14">
        <v>40.848778840000001</v>
      </c>
      <c r="H47" s="16">
        <v>1.46657759</v>
      </c>
      <c r="I47" s="14" t="s">
        <v>139</v>
      </c>
      <c r="J47" s="16" t="s">
        <v>139</v>
      </c>
      <c r="K47" s="14">
        <v>0</v>
      </c>
      <c r="L47" s="16">
        <v>0</v>
      </c>
      <c r="M47" s="14">
        <v>0</v>
      </c>
      <c r="N47" s="16">
        <v>0</v>
      </c>
      <c r="O47" s="14">
        <v>0</v>
      </c>
      <c r="P47" s="16">
        <v>0</v>
      </c>
      <c r="Q47" s="14">
        <v>0</v>
      </c>
      <c r="R47" s="16">
        <v>0</v>
      </c>
    </row>
    <row r="48" spans="1:18" x14ac:dyDescent="0.25">
      <c r="A48" s="11" t="s">
        <v>181</v>
      </c>
      <c r="B48" s="13">
        <v>9841</v>
      </c>
      <c r="C48" s="14">
        <f>(8164/B48*100)</f>
        <v>82.959048877146628</v>
      </c>
      <c r="D48" s="15">
        <v>1677</v>
      </c>
      <c r="E48" s="14">
        <v>34.556969420000001</v>
      </c>
      <c r="F48" s="16">
        <v>1.6969091999999999</v>
      </c>
      <c r="G48" s="14">
        <v>65.443030579999999</v>
      </c>
      <c r="H48" s="16">
        <v>1.6969091999999999</v>
      </c>
      <c r="I48" s="14" t="s">
        <v>139</v>
      </c>
      <c r="J48" s="16" t="s">
        <v>139</v>
      </c>
      <c r="K48" s="14">
        <v>0</v>
      </c>
      <c r="L48" s="16">
        <v>0</v>
      </c>
      <c r="M48" s="14">
        <v>0</v>
      </c>
      <c r="N48" s="16">
        <v>0</v>
      </c>
      <c r="O48" s="14">
        <v>0</v>
      </c>
      <c r="P48" s="16">
        <v>0</v>
      </c>
      <c r="Q48" s="14">
        <v>0</v>
      </c>
      <c r="R48" s="16">
        <v>0</v>
      </c>
    </row>
    <row r="49" spans="1:18" x14ac:dyDescent="0.25">
      <c r="A49" s="11" t="s">
        <v>182</v>
      </c>
      <c r="B49" s="17" t="s">
        <v>154</v>
      </c>
      <c r="C49" s="17" t="s">
        <v>154</v>
      </c>
      <c r="D49" s="18" t="s">
        <v>154</v>
      </c>
      <c r="E49" s="17" t="s">
        <v>154</v>
      </c>
      <c r="F49" s="18" t="s">
        <v>154</v>
      </c>
      <c r="G49" s="17" t="s">
        <v>154</v>
      </c>
      <c r="H49" s="18" t="s">
        <v>154</v>
      </c>
      <c r="I49" s="17" t="s">
        <v>154</v>
      </c>
      <c r="J49" s="18" t="s">
        <v>154</v>
      </c>
      <c r="K49" s="17" t="s">
        <v>154</v>
      </c>
      <c r="L49" s="18" t="s">
        <v>154</v>
      </c>
      <c r="M49" s="17" t="s">
        <v>154</v>
      </c>
      <c r="N49" s="18" t="s">
        <v>154</v>
      </c>
      <c r="O49" s="17" t="s">
        <v>154</v>
      </c>
      <c r="P49" s="18" t="s">
        <v>154</v>
      </c>
      <c r="Q49" s="17" t="s">
        <v>154</v>
      </c>
      <c r="R49" s="18" t="s">
        <v>154</v>
      </c>
    </row>
    <row r="50" spans="1:18" x14ac:dyDescent="0.25">
      <c r="A50" s="11" t="s">
        <v>183</v>
      </c>
      <c r="B50" s="13">
        <v>11795</v>
      </c>
      <c r="C50" s="14">
        <f>(9762/B50*100)</f>
        <v>82.763883001271722</v>
      </c>
      <c r="D50" s="15">
        <v>2033</v>
      </c>
      <c r="E50" s="14">
        <v>64.417325669999997</v>
      </c>
      <c r="F50" s="16">
        <v>1.3210590600000001</v>
      </c>
      <c r="G50" s="14">
        <v>35.582674330000003</v>
      </c>
      <c r="H50" s="16">
        <v>1.3210590600000001</v>
      </c>
      <c r="I50" s="14" t="s">
        <v>139</v>
      </c>
      <c r="J50" s="16" t="s">
        <v>139</v>
      </c>
      <c r="K50" s="14">
        <v>0</v>
      </c>
      <c r="L50" s="16">
        <v>0</v>
      </c>
      <c r="M50" s="14">
        <v>0</v>
      </c>
      <c r="N50" s="16">
        <v>0</v>
      </c>
      <c r="O50" s="14">
        <v>0</v>
      </c>
      <c r="P50" s="16">
        <v>0</v>
      </c>
      <c r="Q50" s="14">
        <v>0</v>
      </c>
      <c r="R50" s="16">
        <v>0</v>
      </c>
    </row>
    <row r="51" spans="1:18" x14ac:dyDescent="0.25">
      <c r="A51" s="11" t="s">
        <v>184</v>
      </c>
      <c r="B51" s="13">
        <v>6866</v>
      </c>
      <c r="C51" s="14">
        <f>(5811/B51*100)</f>
        <v>84.634430527235651</v>
      </c>
      <c r="D51" s="15">
        <v>1055</v>
      </c>
      <c r="E51" s="14">
        <v>58.962343779999998</v>
      </c>
      <c r="F51" s="16">
        <v>1.4148080300000001</v>
      </c>
      <c r="G51" s="14">
        <v>41.037656220000002</v>
      </c>
      <c r="H51" s="16">
        <v>1.4148080300000001</v>
      </c>
      <c r="I51" s="14" t="s">
        <v>139</v>
      </c>
      <c r="J51" s="16" t="s">
        <v>139</v>
      </c>
      <c r="K51" s="14">
        <v>0</v>
      </c>
      <c r="L51" s="16">
        <v>0</v>
      </c>
      <c r="M51" s="14">
        <v>0</v>
      </c>
      <c r="N51" s="16">
        <v>0</v>
      </c>
      <c r="O51" s="14">
        <v>0</v>
      </c>
      <c r="P51" s="16">
        <v>0</v>
      </c>
      <c r="Q51" s="14">
        <v>0</v>
      </c>
      <c r="R51" s="16">
        <v>0</v>
      </c>
    </row>
    <row r="52" spans="1:18" x14ac:dyDescent="0.25">
      <c r="A52" s="11" t="s">
        <v>185</v>
      </c>
      <c r="B52" s="13">
        <v>5809</v>
      </c>
      <c r="C52" s="14">
        <f>(4829/B52*100)</f>
        <v>83.129626441728348</v>
      </c>
      <c r="D52" s="15">
        <v>980</v>
      </c>
      <c r="E52" s="14">
        <v>55.420626949999999</v>
      </c>
      <c r="F52" s="16">
        <v>1.67377657</v>
      </c>
      <c r="G52" s="14">
        <v>44.579373050000001</v>
      </c>
      <c r="H52" s="16">
        <v>1.67377657</v>
      </c>
      <c r="I52" s="14" t="s">
        <v>139</v>
      </c>
      <c r="J52" s="16" t="s">
        <v>139</v>
      </c>
      <c r="K52" s="14">
        <v>0</v>
      </c>
      <c r="L52" s="16">
        <v>0</v>
      </c>
      <c r="M52" s="14">
        <v>0</v>
      </c>
      <c r="N52" s="16">
        <v>0</v>
      </c>
      <c r="O52" s="14">
        <v>0</v>
      </c>
      <c r="P52" s="16">
        <v>0</v>
      </c>
      <c r="Q52" s="14">
        <v>0</v>
      </c>
      <c r="R52" s="16">
        <v>0</v>
      </c>
    </row>
    <row r="53" spans="1:18" x14ac:dyDescent="0.25">
      <c r="A53" s="11" t="s">
        <v>186</v>
      </c>
      <c r="B53" s="13">
        <v>5571</v>
      </c>
      <c r="C53" s="14">
        <f>(4631/B53*100)</f>
        <v>83.126907197989581</v>
      </c>
      <c r="D53" s="15">
        <v>940</v>
      </c>
      <c r="E53" s="14">
        <v>55.567344919999996</v>
      </c>
      <c r="F53" s="16">
        <v>1.5473536999999999</v>
      </c>
      <c r="G53" s="14">
        <v>44.432655080000004</v>
      </c>
      <c r="H53" s="16">
        <v>1.5473536999999999</v>
      </c>
      <c r="I53" s="14" t="s">
        <v>139</v>
      </c>
      <c r="J53" s="16" t="s">
        <v>139</v>
      </c>
      <c r="K53" s="14">
        <v>0</v>
      </c>
      <c r="L53" s="16">
        <v>0</v>
      </c>
      <c r="M53" s="14">
        <v>0</v>
      </c>
      <c r="N53" s="16">
        <v>0</v>
      </c>
      <c r="O53" s="14">
        <v>0</v>
      </c>
      <c r="P53" s="16">
        <v>0</v>
      </c>
      <c r="Q53" s="14">
        <v>0</v>
      </c>
      <c r="R53" s="16">
        <v>0</v>
      </c>
    </row>
    <row r="54" spans="1:18" x14ac:dyDescent="0.25">
      <c r="A54" s="11" t="s">
        <v>187</v>
      </c>
      <c r="B54" s="17" t="s">
        <v>154</v>
      </c>
      <c r="C54" s="17" t="s">
        <v>154</v>
      </c>
      <c r="D54" s="18" t="s">
        <v>154</v>
      </c>
      <c r="E54" s="17" t="s">
        <v>154</v>
      </c>
      <c r="F54" s="18" t="s">
        <v>154</v>
      </c>
      <c r="G54" s="17" t="s">
        <v>154</v>
      </c>
      <c r="H54" s="18" t="s">
        <v>154</v>
      </c>
      <c r="I54" s="17" t="s">
        <v>154</v>
      </c>
      <c r="J54" s="18" t="s">
        <v>154</v>
      </c>
      <c r="K54" s="17" t="s">
        <v>154</v>
      </c>
      <c r="L54" s="18" t="s">
        <v>154</v>
      </c>
      <c r="M54" s="17" t="s">
        <v>154</v>
      </c>
      <c r="N54" s="18" t="s">
        <v>154</v>
      </c>
      <c r="O54" s="17" t="s">
        <v>154</v>
      </c>
      <c r="P54" s="18" t="s">
        <v>154</v>
      </c>
      <c r="Q54" s="17" t="s">
        <v>154</v>
      </c>
      <c r="R54" s="18" t="s">
        <v>154</v>
      </c>
    </row>
    <row r="55" spans="1:18" x14ac:dyDescent="0.25">
      <c r="A55" s="11" t="s">
        <v>188</v>
      </c>
      <c r="B55" s="17" t="s">
        <v>154</v>
      </c>
      <c r="C55" s="17" t="s">
        <v>154</v>
      </c>
      <c r="D55" s="18" t="s">
        <v>154</v>
      </c>
      <c r="E55" s="17" t="s">
        <v>154</v>
      </c>
      <c r="F55" s="18" t="s">
        <v>154</v>
      </c>
      <c r="G55" s="17" t="s">
        <v>154</v>
      </c>
      <c r="H55" s="18" t="s">
        <v>154</v>
      </c>
      <c r="I55" s="17" t="s">
        <v>154</v>
      </c>
      <c r="J55" s="18" t="s">
        <v>154</v>
      </c>
      <c r="K55" s="17" t="s">
        <v>154</v>
      </c>
      <c r="L55" s="18" t="s">
        <v>154</v>
      </c>
      <c r="M55" s="17" t="s">
        <v>154</v>
      </c>
      <c r="N55" s="18" t="s">
        <v>154</v>
      </c>
      <c r="O55" s="17" t="s">
        <v>154</v>
      </c>
      <c r="P55" s="18" t="s">
        <v>154</v>
      </c>
      <c r="Q55" s="17" t="s">
        <v>154</v>
      </c>
      <c r="R55" s="18" t="s">
        <v>154</v>
      </c>
    </row>
    <row r="56" spans="1:18" x14ac:dyDescent="0.25">
      <c r="A56" s="11" t="s">
        <v>189</v>
      </c>
      <c r="B56" s="13">
        <v>5359</v>
      </c>
      <c r="C56" s="14">
        <f>(4442/B56*100)</f>
        <v>82.888598619145355</v>
      </c>
      <c r="D56" s="15">
        <v>917</v>
      </c>
      <c r="E56" s="14">
        <v>21.081073440000001</v>
      </c>
      <c r="F56" s="16">
        <v>1.69532763</v>
      </c>
      <c r="G56" s="14">
        <v>78.918926560000003</v>
      </c>
      <c r="H56" s="16">
        <v>1.69532763</v>
      </c>
      <c r="I56" s="14" t="s">
        <v>139</v>
      </c>
      <c r="J56" s="16" t="s">
        <v>139</v>
      </c>
      <c r="K56" s="14">
        <v>0</v>
      </c>
      <c r="L56" s="16">
        <v>0</v>
      </c>
      <c r="M56" s="14">
        <v>0</v>
      </c>
      <c r="N56" s="16">
        <v>0</v>
      </c>
      <c r="O56" s="14">
        <v>0</v>
      </c>
      <c r="P56" s="16">
        <v>0</v>
      </c>
      <c r="Q56" s="14">
        <v>0</v>
      </c>
      <c r="R56" s="16">
        <v>0</v>
      </c>
    </row>
    <row r="57" spans="1:18" x14ac:dyDescent="0.25">
      <c r="A57" s="11" t="s">
        <v>190</v>
      </c>
      <c r="B57" s="17" t="s">
        <v>154</v>
      </c>
      <c r="C57" s="17" t="s">
        <v>154</v>
      </c>
      <c r="D57" s="18" t="s">
        <v>154</v>
      </c>
      <c r="E57" s="17" t="s">
        <v>154</v>
      </c>
      <c r="F57" s="18" t="s">
        <v>154</v>
      </c>
      <c r="G57" s="17" t="s">
        <v>154</v>
      </c>
      <c r="H57" s="18" t="s">
        <v>154</v>
      </c>
      <c r="I57" s="17" t="s">
        <v>154</v>
      </c>
      <c r="J57" s="18" t="s">
        <v>154</v>
      </c>
      <c r="K57" s="17" t="s">
        <v>154</v>
      </c>
      <c r="L57" s="18" t="s">
        <v>154</v>
      </c>
      <c r="M57" s="17" t="s">
        <v>154</v>
      </c>
      <c r="N57" s="18" t="s">
        <v>154</v>
      </c>
      <c r="O57" s="17" t="s">
        <v>154</v>
      </c>
      <c r="P57" s="18" t="s">
        <v>154</v>
      </c>
      <c r="Q57" s="17" t="s">
        <v>154</v>
      </c>
      <c r="R57" s="18" t="s">
        <v>154</v>
      </c>
    </row>
    <row r="58" spans="1:18" x14ac:dyDescent="0.25">
      <c r="A58" s="11" t="s">
        <v>191</v>
      </c>
      <c r="B58" s="17" t="s">
        <v>154</v>
      </c>
      <c r="C58" s="17" t="s">
        <v>154</v>
      </c>
      <c r="D58" s="18" t="s">
        <v>154</v>
      </c>
      <c r="E58" s="17" t="s">
        <v>154</v>
      </c>
      <c r="F58" s="18" t="s">
        <v>154</v>
      </c>
      <c r="G58" s="17" t="s">
        <v>154</v>
      </c>
      <c r="H58" s="18" t="s">
        <v>154</v>
      </c>
      <c r="I58" s="17" t="s">
        <v>154</v>
      </c>
      <c r="J58" s="18" t="s">
        <v>154</v>
      </c>
      <c r="K58" s="17" t="s">
        <v>154</v>
      </c>
      <c r="L58" s="18" t="s">
        <v>154</v>
      </c>
      <c r="M58" s="17" t="s">
        <v>154</v>
      </c>
      <c r="N58" s="18" t="s">
        <v>154</v>
      </c>
      <c r="O58" s="17" t="s">
        <v>154</v>
      </c>
      <c r="P58" s="18" t="s">
        <v>154</v>
      </c>
      <c r="Q58" s="17" t="s">
        <v>154</v>
      </c>
      <c r="R58" s="18" t="s">
        <v>154</v>
      </c>
    </row>
    <row r="59" spans="1:18" x14ac:dyDescent="0.25">
      <c r="A59" s="11" t="s">
        <v>192</v>
      </c>
      <c r="B59" s="17" t="s">
        <v>154</v>
      </c>
      <c r="C59" s="17" t="s">
        <v>154</v>
      </c>
      <c r="D59" s="18" t="s">
        <v>154</v>
      </c>
      <c r="E59" s="17" t="s">
        <v>154</v>
      </c>
      <c r="F59" s="18" t="s">
        <v>154</v>
      </c>
      <c r="G59" s="17" t="s">
        <v>154</v>
      </c>
      <c r="H59" s="18" t="s">
        <v>154</v>
      </c>
      <c r="I59" s="17" t="s">
        <v>154</v>
      </c>
      <c r="J59" s="18" t="s">
        <v>154</v>
      </c>
      <c r="K59" s="17" t="s">
        <v>154</v>
      </c>
      <c r="L59" s="18" t="s">
        <v>154</v>
      </c>
      <c r="M59" s="17" t="s">
        <v>154</v>
      </c>
      <c r="N59" s="18" t="s">
        <v>154</v>
      </c>
      <c r="O59" s="17" t="s">
        <v>154</v>
      </c>
      <c r="P59" s="18" t="s">
        <v>154</v>
      </c>
      <c r="Q59" s="17" t="s">
        <v>154</v>
      </c>
      <c r="R59" s="18" t="s">
        <v>154</v>
      </c>
    </row>
    <row r="60" spans="1:18" x14ac:dyDescent="0.25">
      <c r="A60" s="11" t="s">
        <v>193</v>
      </c>
      <c r="B60" s="17" t="s">
        <v>154</v>
      </c>
      <c r="C60" s="17" t="s">
        <v>154</v>
      </c>
      <c r="D60" s="18" t="s">
        <v>154</v>
      </c>
      <c r="E60" s="17" t="s">
        <v>154</v>
      </c>
      <c r="F60" s="18" t="s">
        <v>154</v>
      </c>
      <c r="G60" s="17" t="s">
        <v>154</v>
      </c>
      <c r="H60" s="18" t="s">
        <v>154</v>
      </c>
      <c r="I60" s="17" t="s">
        <v>154</v>
      </c>
      <c r="J60" s="18" t="s">
        <v>154</v>
      </c>
      <c r="K60" s="17" t="s">
        <v>154</v>
      </c>
      <c r="L60" s="18" t="s">
        <v>154</v>
      </c>
      <c r="M60" s="17" t="s">
        <v>154</v>
      </c>
      <c r="N60" s="18" t="s">
        <v>154</v>
      </c>
      <c r="O60" s="17" t="s">
        <v>154</v>
      </c>
      <c r="P60" s="18" t="s">
        <v>154</v>
      </c>
      <c r="Q60" s="17" t="s">
        <v>154</v>
      </c>
      <c r="R60" s="18" t="s">
        <v>154</v>
      </c>
    </row>
    <row r="61" spans="1:18" x14ac:dyDescent="0.25">
      <c r="A61" s="11" t="s">
        <v>194</v>
      </c>
      <c r="B61" s="13">
        <v>6525</v>
      </c>
      <c r="C61" s="14">
        <f>(5419/B61*100)</f>
        <v>83.049808429118769</v>
      </c>
      <c r="D61" s="15">
        <v>1106</v>
      </c>
      <c r="E61" s="14">
        <v>52.467332030000001</v>
      </c>
      <c r="F61" s="16">
        <v>1.4975039999999999</v>
      </c>
      <c r="G61" s="14">
        <v>47.532667969999999</v>
      </c>
      <c r="H61" s="16">
        <v>1.4975039999999999</v>
      </c>
      <c r="I61" s="14" t="s">
        <v>139</v>
      </c>
      <c r="J61" s="16" t="s">
        <v>139</v>
      </c>
      <c r="K61" s="14">
        <v>0</v>
      </c>
      <c r="L61" s="16">
        <v>0</v>
      </c>
      <c r="M61" s="14">
        <v>0</v>
      </c>
      <c r="N61" s="16">
        <v>0</v>
      </c>
      <c r="O61" s="14">
        <v>0</v>
      </c>
      <c r="P61" s="16">
        <v>0</v>
      </c>
      <c r="Q61" s="14">
        <v>0</v>
      </c>
      <c r="R61" s="16">
        <v>0</v>
      </c>
    </row>
    <row r="62" spans="1:18" x14ac:dyDescent="0.25">
      <c r="A62" s="11" t="s">
        <v>195</v>
      </c>
      <c r="B62" s="13">
        <v>4476</v>
      </c>
      <c r="C62" s="14">
        <f>(3700/B62*100)</f>
        <v>82.663092046470069</v>
      </c>
      <c r="D62" s="15">
        <v>776</v>
      </c>
      <c r="E62" s="14">
        <v>26.316670930000001</v>
      </c>
      <c r="F62" s="16">
        <v>1.4954994399999999</v>
      </c>
      <c r="G62" s="14">
        <v>73.683329069999999</v>
      </c>
      <c r="H62" s="16">
        <v>1.4954994399999999</v>
      </c>
      <c r="I62" s="14" t="s">
        <v>139</v>
      </c>
      <c r="J62" s="16" t="s">
        <v>139</v>
      </c>
      <c r="K62" s="14">
        <v>0</v>
      </c>
      <c r="L62" s="16">
        <v>0</v>
      </c>
      <c r="M62" s="14">
        <v>0</v>
      </c>
      <c r="N62" s="16">
        <v>0</v>
      </c>
      <c r="O62" s="14">
        <v>0</v>
      </c>
      <c r="P62" s="16">
        <v>0</v>
      </c>
      <c r="Q62" s="14">
        <v>0</v>
      </c>
      <c r="R62" s="16">
        <v>0</v>
      </c>
    </row>
    <row r="63" spans="1:18" x14ac:dyDescent="0.25">
      <c r="A63" s="11" t="s">
        <v>196</v>
      </c>
      <c r="B63" s="17" t="s">
        <v>154</v>
      </c>
      <c r="C63" s="17" t="s">
        <v>154</v>
      </c>
      <c r="D63" s="18" t="s">
        <v>154</v>
      </c>
      <c r="E63" s="17" t="s">
        <v>154</v>
      </c>
      <c r="F63" s="18" t="s">
        <v>154</v>
      </c>
      <c r="G63" s="17" t="s">
        <v>154</v>
      </c>
      <c r="H63" s="18" t="s">
        <v>154</v>
      </c>
      <c r="I63" s="17" t="s">
        <v>154</v>
      </c>
      <c r="J63" s="18" t="s">
        <v>154</v>
      </c>
      <c r="K63" s="17" t="s">
        <v>154</v>
      </c>
      <c r="L63" s="18" t="s">
        <v>154</v>
      </c>
      <c r="M63" s="17" t="s">
        <v>154</v>
      </c>
      <c r="N63" s="18" t="s">
        <v>154</v>
      </c>
      <c r="O63" s="17" t="s">
        <v>154</v>
      </c>
      <c r="P63" s="18" t="s">
        <v>154</v>
      </c>
      <c r="Q63" s="17" t="s">
        <v>154</v>
      </c>
      <c r="R63" s="18" t="s">
        <v>154</v>
      </c>
    </row>
    <row r="64" spans="1:18" x14ac:dyDescent="0.25">
      <c r="A64" s="11" t="s">
        <v>197</v>
      </c>
      <c r="B64" s="17" t="s">
        <v>154</v>
      </c>
      <c r="C64" s="17" t="s">
        <v>154</v>
      </c>
      <c r="D64" s="18" t="s">
        <v>154</v>
      </c>
      <c r="E64" s="17" t="s">
        <v>154</v>
      </c>
      <c r="F64" s="18" t="s">
        <v>154</v>
      </c>
      <c r="G64" s="17" t="s">
        <v>154</v>
      </c>
      <c r="H64" s="18" t="s">
        <v>154</v>
      </c>
      <c r="I64" s="17" t="s">
        <v>154</v>
      </c>
      <c r="J64" s="18" t="s">
        <v>154</v>
      </c>
      <c r="K64" s="17" t="s">
        <v>154</v>
      </c>
      <c r="L64" s="18" t="s">
        <v>154</v>
      </c>
      <c r="M64" s="17" t="s">
        <v>154</v>
      </c>
      <c r="N64" s="18" t="s">
        <v>154</v>
      </c>
      <c r="O64" s="17" t="s">
        <v>154</v>
      </c>
      <c r="P64" s="18" t="s">
        <v>154</v>
      </c>
      <c r="Q64" s="17" t="s">
        <v>154</v>
      </c>
      <c r="R64" s="18" t="s">
        <v>154</v>
      </c>
    </row>
    <row r="65" spans="1:18" x14ac:dyDescent="0.25">
      <c r="A65" s="11" t="s">
        <v>198</v>
      </c>
      <c r="B65" s="17" t="s">
        <v>154</v>
      </c>
      <c r="C65" s="17" t="s">
        <v>154</v>
      </c>
      <c r="D65" s="18" t="s">
        <v>154</v>
      </c>
      <c r="E65" s="17" t="s">
        <v>154</v>
      </c>
      <c r="F65" s="18" t="s">
        <v>154</v>
      </c>
      <c r="G65" s="17" t="s">
        <v>154</v>
      </c>
      <c r="H65" s="18" t="s">
        <v>154</v>
      </c>
      <c r="I65" s="17" t="s">
        <v>154</v>
      </c>
      <c r="J65" s="18" t="s">
        <v>154</v>
      </c>
      <c r="K65" s="17" t="s">
        <v>154</v>
      </c>
      <c r="L65" s="18" t="s">
        <v>154</v>
      </c>
      <c r="M65" s="17" t="s">
        <v>154</v>
      </c>
      <c r="N65" s="18" t="s">
        <v>154</v>
      </c>
      <c r="O65" s="17" t="s">
        <v>154</v>
      </c>
      <c r="P65" s="18" t="s">
        <v>154</v>
      </c>
      <c r="Q65" s="17" t="s">
        <v>154</v>
      </c>
      <c r="R65" s="18" t="s">
        <v>154</v>
      </c>
    </row>
    <row r="66" spans="1:18" x14ac:dyDescent="0.25">
      <c r="A66" s="11" t="s">
        <v>199</v>
      </c>
      <c r="B66" s="13">
        <v>5665</v>
      </c>
      <c r="C66" s="14">
        <f>(4710/B66*100)</f>
        <v>83.142100617828774</v>
      </c>
      <c r="D66" s="15">
        <v>955</v>
      </c>
      <c r="E66" s="14">
        <v>61.623672630000002</v>
      </c>
      <c r="F66" s="16">
        <v>1.5412206399999999</v>
      </c>
      <c r="G66" s="14">
        <v>38.376327369999998</v>
      </c>
      <c r="H66" s="16">
        <v>1.5412206399999999</v>
      </c>
      <c r="I66" s="14" t="s">
        <v>139</v>
      </c>
      <c r="J66" s="16" t="s">
        <v>139</v>
      </c>
      <c r="K66" s="14">
        <v>0</v>
      </c>
      <c r="L66" s="16">
        <v>0</v>
      </c>
      <c r="M66" s="14">
        <v>0</v>
      </c>
      <c r="N66" s="16">
        <v>0</v>
      </c>
      <c r="O66" s="14">
        <v>0</v>
      </c>
      <c r="P66" s="16">
        <v>0</v>
      </c>
      <c r="Q66" s="14">
        <v>0</v>
      </c>
      <c r="R66" s="16">
        <v>0</v>
      </c>
    </row>
    <row r="67" spans="1:18" x14ac:dyDescent="0.25">
      <c r="A67" s="11" t="s">
        <v>200</v>
      </c>
      <c r="B67" s="13">
        <v>6971</v>
      </c>
      <c r="C67" s="14">
        <f>(5835/B67*100)</f>
        <v>83.703916224358053</v>
      </c>
      <c r="D67" s="15">
        <v>1136</v>
      </c>
      <c r="E67" s="14">
        <v>64.343603160000001</v>
      </c>
      <c r="F67" s="16">
        <v>1.4651750800000001</v>
      </c>
      <c r="G67" s="14">
        <v>35.656396839999999</v>
      </c>
      <c r="H67" s="16">
        <v>1.4651750800000001</v>
      </c>
      <c r="I67" s="14" t="s">
        <v>139</v>
      </c>
      <c r="J67" s="16" t="s">
        <v>139</v>
      </c>
      <c r="K67" s="14">
        <v>0</v>
      </c>
      <c r="L67" s="16">
        <v>0</v>
      </c>
      <c r="M67" s="14">
        <v>0</v>
      </c>
      <c r="N67" s="16">
        <v>0</v>
      </c>
      <c r="O67" s="14">
        <v>0</v>
      </c>
      <c r="P67" s="16">
        <v>0</v>
      </c>
      <c r="Q67" s="14">
        <v>0</v>
      </c>
      <c r="R67" s="16">
        <v>0</v>
      </c>
    </row>
    <row r="68" spans="1:18" x14ac:dyDescent="0.25">
      <c r="A68" s="11" t="s">
        <v>201</v>
      </c>
      <c r="B68" s="17" t="s">
        <v>154</v>
      </c>
      <c r="C68" s="17" t="s">
        <v>154</v>
      </c>
      <c r="D68" s="18" t="s">
        <v>154</v>
      </c>
      <c r="E68" s="17" t="s">
        <v>154</v>
      </c>
      <c r="F68" s="18" t="s">
        <v>154</v>
      </c>
      <c r="G68" s="17" t="s">
        <v>154</v>
      </c>
      <c r="H68" s="18" t="s">
        <v>154</v>
      </c>
      <c r="I68" s="17" t="s">
        <v>154</v>
      </c>
      <c r="J68" s="18" t="s">
        <v>154</v>
      </c>
      <c r="K68" s="17" t="s">
        <v>154</v>
      </c>
      <c r="L68" s="18" t="s">
        <v>154</v>
      </c>
      <c r="M68" s="17" t="s">
        <v>154</v>
      </c>
      <c r="N68" s="18" t="s">
        <v>154</v>
      </c>
      <c r="O68" s="17" t="s">
        <v>154</v>
      </c>
      <c r="P68" s="18" t="s">
        <v>154</v>
      </c>
      <c r="Q68" s="17" t="s">
        <v>154</v>
      </c>
      <c r="R68" s="18" t="s">
        <v>154</v>
      </c>
    </row>
    <row r="69" spans="1:18" x14ac:dyDescent="0.25">
      <c r="A69" s="11" t="s">
        <v>202</v>
      </c>
      <c r="B69" s="17" t="s">
        <v>154</v>
      </c>
      <c r="C69" s="17" t="s">
        <v>154</v>
      </c>
      <c r="D69" s="18" t="s">
        <v>154</v>
      </c>
      <c r="E69" s="17" t="s">
        <v>154</v>
      </c>
      <c r="F69" s="18" t="s">
        <v>154</v>
      </c>
      <c r="G69" s="17" t="s">
        <v>154</v>
      </c>
      <c r="H69" s="18" t="s">
        <v>154</v>
      </c>
      <c r="I69" s="17" t="s">
        <v>154</v>
      </c>
      <c r="J69" s="18" t="s">
        <v>154</v>
      </c>
      <c r="K69" s="17" t="s">
        <v>154</v>
      </c>
      <c r="L69" s="18" t="s">
        <v>154</v>
      </c>
      <c r="M69" s="17" t="s">
        <v>154</v>
      </c>
      <c r="N69" s="18" t="s">
        <v>154</v>
      </c>
      <c r="O69" s="17" t="s">
        <v>154</v>
      </c>
      <c r="P69" s="18" t="s">
        <v>154</v>
      </c>
      <c r="Q69" s="17" t="s">
        <v>154</v>
      </c>
      <c r="R69" s="18" t="s">
        <v>154</v>
      </c>
    </row>
    <row r="70" spans="1:18" x14ac:dyDescent="0.25">
      <c r="A70" s="11" t="s">
        <v>203</v>
      </c>
      <c r="B70" s="13">
        <v>6036</v>
      </c>
      <c r="C70" s="14">
        <f>(4993/B70*100)</f>
        <v>82.720344599072234</v>
      </c>
      <c r="D70" s="15">
        <v>1043</v>
      </c>
      <c r="E70" s="14">
        <v>51.724332220000001</v>
      </c>
      <c r="F70" s="16">
        <v>1.7610686200000001</v>
      </c>
      <c r="G70" s="14">
        <v>48.275667779999999</v>
      </c>
      <c r="H70" s="16">
        <v>1.7610686200000001</v>
      </c>
      <c r="I70" s="14" t="s">
        <v>139</v>
      </c>
      <c r="J70" s="16" t="s">
        <v>139</v>
      </c>
      <c r="K70" s="14">
        <v>0</v>
      </c>
      <c r="L70" s="16">
        <v>0</v>
      </c>
      <c r="M70" s="14">
        <v>0</v>
      </c>
      <c r="N70" s="16">
        <v>0</v>
      </c>
      <c r="O70" s="14">
        <v>0</v>
      </c>
      <c r="P70" s="16">
        <v>0</v>
      </c>
      <c r="Q70" s="14">
        <v>0</v>
      </c>
      <c r="R70" s="16">
        <v>0</v>
      </c>
    </row>
    <row r="71" spans="1:18" x14ac:dyDescent="0.25">
      <c r="A71" s="11" t="s">
        <v>204</v>
      </c>
      <c r="B71" s="17" t="s">
        <v>154</v>
      </c>
      <c r="C71" s="17" t="s">
        <v>154</v>
      </c>
      <c r="D71" s="18" t="s">
        <v>154</v>
      </c>
      <c r="E71" s="17" t="s">
        <v>154</v>
      </c>
      <c r="F71" s="18" t="s">
        <v>154</v>
      </c>
      <c r="G71" s="17" t="s">
        <v>154</v>
      </c>
      <c r="H71" s="18" t="s">
        <v>154</v>
      </c>
      <c r="I71" s="17" t="s">
        <v>154</v>
      </c>
      <c r="J71" s="18" t="s">
        <v>154</v>
      </c>
      <c r="K71" s="17" t="s">
        <v>154</v>
      </c>
      <c r="L71" s="18" t="s">
        <v>154</v>
      </c>
      <c r="M71" s="17" t="s">
        <v>154</v>
      </c>
      <c r="N71" s="18" t="s">
        <v>154</v>
      </c>
      <c r="O71" s="17" t="s">
        <v>154</v>
      </c>
      <c r="P71" s="18" t="s">
        <v>154</v>
      </c>
      <c r="Q71" s="17" t="s">
        <v>154</v>
      </c>
      <c r="R71" s="18" t="s">
        <v>154</v>
      </c>
    </row>
    <row r="72" spans="1:18" x14ac:dyDescent="0.25">
      <c r="A72" s="11" t="s">
        <v>205</v>
      </c>
      <c r="B72" s="13">
        <v>7708</v>
      </c>
      <c r="C72" s="14">
        <f>(6364/B72*100)</f>
        <v>82.56357031655422</v>
      </c>
      <c r="D72" s="15">
        <v>1344</v>
      </c>
      <c r="E72" s="14">
        <v>33.4243478</v>
      </c>
      <c r="F72" s="16">
        <v>1.3168456900000001</v>
      </c>
      <c r="G72" s="14">
        <v>66.575652199999993</v>
      </c>
      <c r="H72" s="16">
        <v>1.3168456900000001</v>
      </c>
      <c r="I72" s="14" t="s">
        <v>139</v>
      </c>
      <c r="J72" s="16" t="s">
        <v>139</v>
      </c>
      <c r="K72" s="14">
        <v>0</v>
      </c>
      <c r="L72" s="16">
        <v>0</v>
      </c>
      <c r="M72" s="14">
        <v>0</v>
      </c>
      <c r="N72" s="16">
        <v>0</v>
      </c>
      <c r="O72" s="14">
        <v>0</v>
      </c>
      <c r="P72" s="16">
        <v>0</v>
      </c>
      <c r="Q72" s="14">
        <v>0</v>
      </c>
      <c r="R72" s="16">
        <v>0</v>
      </c>
    </row>
    <row r="73" spans="1:18" x14ac:dyDescent="0.25">
      <c r="A73" s="11" t="s">
        <v>206</v>
      </c>
      <c r="B73" s="13">
        <v>8249</v>
      </c>
      <c r="C73" s="14">
        <f>(6841/B73*100)</f>
        <v>82.931264395684323</v>
      </c>
      <c r="D73" s="15">
        <v>1408</v>
      </c>
      <c r="E73" s="14">
        <v>45.801312539999998</v>
      </c>
      <c r="F73" s="16">
        <v>1.81362132</v>
      </c>
      <c r="G73" s="14">
        <v>54.198687460000002</v>
      </c>
      <c r="H73" s="16">
        <v>1.81362132</v>
      </c>
      <c r="I73" s="14" t="s">
        <v>139</v>
      </c>
      <c r="J73" s="16" t="s">
        <v>139</v>
      </c>
      <c r="K73" s="14">
        <v>0</v>
      </c>
      <c r="L73" s="16">
        <v>0</v>
      </c>
      <c r="M73" s="14">
        <v>0</v>
      </c>
      <c r="N73" s="16">
        <v>0</v>
      </c>
      <c r="O73" s="14">
        <v>0</v>
      </c>
      <c r="P73" s="16">
        <v>0</v>
      </c>
      <c r="Q73" s="14">
        <v>0</v>
      </c>
      <c r="R73" s="16">
        <v>0</v>
      </c>
    </row>
    <row r="74" spans="1:18" x14ac:dyDescent="0.25">
      <c r="A74" s="11" t="s">
        <v>207</v>
      </c>
      <c r="B74" s="17" t="s">
        <v>154</v>
      </c>
      <c r="C74" s="17" t="s">
        <v>154</v>
      </c>
      <c r="D74" s="18" t="s">
        <v>154</v>
      </c>
      <c r="E74" s="17" t="s">
        <v>154</v>
      </c>
      <c r="F74" s="18" t="s">
        <v>154</v>
      </c>
      <c r="G74" s="17" t="s">
        <v>154</v>
      </c>
      <c r="H74" s="18" t="s">
        <v>154</v>
      </c>
      <c r="I74" s="17" t="s">
        <v>154</v>
      </c>
      <c r="J74" s="18" t="s">
        <v>154</v>
      </c>
      <c r="K74" s="17" t="s">
        <v>154</v>
      </c>
      <c r="L74" s="18" t="s">
        <v>154</v>
      </c>
      <c r="M74" s="17" t="s">
        <v>154</v>
      </c>
      <c r="N74" s="18" t="s">
        <v>154</v>
      </c>
      <c r="O74" s="17" t="s">
        <v>154</v>
      </c>
      <c r="P74" s="18" t="s">
        <v>154</v>
      </c>
      <c r="Q74" s="17" t="s">
        <v>154</v>
      </c>
      <c r="R74" s="18" t="s">
        <v>154</v>
      </c>
    </row>
    <row r="75" spans="1:18" x14ac:dyDescent="0.25">
      <c r="A75" s="11" t="s">
        <v>208</v>
      </c>
      <c r="B75" s="13">
        <v>5375</v>
      </c>
      <c r="C75" s="14">
        <f>(4515/B75*100)</f>
        <v>84</v>
      </c>
      <c r="D75" s="15">
        <v>860</v>
      </c>
      <c r="E75" s="14">
        <v>69.963252519999998</v>
      </c>
      <c r="F75" s="16">
        <v>1.56408415</v>
      </c>
      <c r="G75" s="14">
        <v>30.036747479999999</v>
      </c>
      <c r="H75" s="16">
        <v>1.56408415</v>
      </c>
      <c r="I75" s="14" t="s">
        <v>139</v>
      </c>
      <c r="J75" s="16" t="s">
        <v>139</v>
      </c>
      <c r="K75" s="14">
        <v>0</v>
      </c>
      <c r="L75" s="16">
        <v>0</v>
      </c>
      <c r="M75" s="14">
        <v>0</v>
      </c>
      <c r="N75" s="16">
        <v>0</v>
      </c>
      <c r="O75" s="14">
        <v>0</v>
      </c>
      <c r="P75" s="16">
        <v>0</v>
      </c>
      <c r="Q75" s="14">
        <v>0</v>
      </c>
      <c r="R75" s="16">
        <v>0</v>
      </c>
    </row>
    <row r="76" spans="1:18" x14ac:dyDescent="0.25">
      <c r="A76" s="11" t="s">
        <v>209</v>
      </c>
      <c r="B76" s="13">
        <v>14167</v>
      </c>
      <c r="C76" s="14">
        <f>(11764/B76*100)</f>
        <v>83.038046163619683</v>
      </c>
      <c r="D76" s="15">
        <v>2403</v>
      </c>
      <c r="E76" s="14">
        <v>49.995900499999998</v>
      </c>
      <c r="F76" s="16">
        <v>1.24942653</v>
      </c>
      <c r="G76" s="14">
        <v>50.004099500000002</v>
      </c>
      <c r="H76" s="16">
        <v>1.24942653</v>
      </c>
      <c r="I76" s="14" t="s">
        <v>139</v>
      </c>
      <c r="J76" s="16" t="s">
        <v>139</v>
      </c>
      <c r="K76" s="14">
        <v>0</v>
      </c>
      <c r="L76" s="16">
        <v>0</v>
      </c>
      <c r="M76" s="14">
        <v>0</v>
      </c>
      <c r="N76" s="16">
        <v>0</v>
      </c>
      <c r="O76" s="14">
        <v>0</v>
      </c>
      <c r="P76" s="16">
        <v>0</v>
      </c>
      <c r="Q76" s="14">
        <v>0</v>
      </c>
      <c r="R76" s="16">
        <v>0</v>
      </c>
    </row>
    <row r="77" spans="1:18" x14ac:dyDescent="0.25">
      <c r="A77" s="11" t="s">
        <v>210</v>
      </c>
      <c r="B77" s="13">
        <v>6062</v>
      </c>
      <c r="C77" s="14">
        <f>(5037/B77*100)</f>
        <v>83.091388980534475</v>
      </c>
      <c r="D77" s="15">
        <v>1025</v>
      </c>
      <c r="E77" s="14">
        <v>59.24814902</v>
      </c>
      <c r="F77" s="16">
        <v>1.5427842199999999</v>
      </c>
      <c r="G77" s="14">
        <v>40.75185098</v>
      </c>
      <c r="H77" s="16">
        <v>1.5427842199999999</v>
      </c>
      <c r="I77" s="14" t="s">
        <v>139</v>
      </c>
      <c r="J77" s="16" t="s">
        <v>139</v>
      </c>
      <c r="K77" s="14">
        <v>0</v>
      </c>
      <c r="L77" s="16">
        <v>0</v>
      </c>
      <c r="M77" s="14">
        <v>0</v>
      </c>
      <c r="N77" s="16">
        <v>0</v>
      </c>
      <c r="O77" s="14">
        <v>0</v>
      </c>
      <c r="P77" s="16">
        <v>0</v>
      </c>
      <c r="Q77" s="14">
        <v>0</v>
      </c>
      <c r="R77" s="16">
        <v>0</v>
      </c>
    </row>
    <row r="78" spans="1:18" x14ac:dyDescent="0.25">
      <c r="A78" s="11" t="s">
        <v>211</v>
      </c>
      <c r="B78" s="17" t="s">
        <v>154</v>
      </c>
      <c r="C78" s="17" t="s">
        <v>154</v>
      </c>
      <c r="D78" s="18" t="s">
        <v>154</v>
      </c>
      <c r="E78" s="17" t="s">
        <v>154</v>
      </c>
      <c r="F78" s="18" t="s">
        <v>154</v>
      </c>
      <c r="G78" s="17" t="s">
        <v>154</v>
      </c>
      <c r="H78" s="18" t="s">
        <v>154</v>
      </c>
      <c r="I78" s="17" t="s">
        <v>154</v>
      </c>
      <c r="J78" s="18" t="s">
        <v>154</v>
      </c>
      <c r="K78" s="17" t="s">
        <v>154</v>
      </c>
      <c r="L78" s="18" t="s">
        <v>154</v>
      </c>
      <c r="M78" s="17" t="s">
        <v>154</v>
      </c>
      <c r="N78" s="18" t="s">
        <v>154</v>
      </c>
      <c r="O78" s="17" t="s">
        <v>154</v>
      </c>
      <c r="P78" s="18" t="s">
        <v>154</v>
      </c>
      <c r="Q78" s="17" t="s">
        <v>154</v>
      </c>
      <c r="R78" s="18" t="s">
        <v>154</v>
      </c>
    </row>
    <row r="79" spans="1:18" ht="24.95" customHeight="1" x14ac:dyDescent="0.25">
      <c r="A79" s="11" t="s">
        <v>212</v>
      </c>
      <c r="B79" s="17" t="s">
        <v>154</v>
      </c>
      <c r="C79" s="17" t="s">
        <v>154</v>
      </c>
      <c r="D79" s="18" t="s">
        <v>154</v>
      </c>
      <c r="E79" s="17" t="s">
        <v>154</v>
      </c>
      <c r="F79" s="18" t="s">
        <v>154</v>
      </c>
      <c r="G79" s="17" t="s">
        <v>154</v>
      </c>
      <c r="H79" s="18" t="s">
        <v>154</v>
      </c>
      <c r="I79" s="17" t="s">
        <v>154</v>
      </c>
      <c r="J79" s="18" t="s">
        <v>154</v>
      </c>
      <c r="K79" s="17" t="s">
        <v>154</v>
      </c>
      <c r="L79" s="18" t="s">
        <v>154</v>
      </c>
      <c r="M79" s="17" t="s">
        <v>154</v>
      </c>
      <c r="N79" s="18" t="s">
        <v>154</v>
      </c>
      <c r="O79" s="17" t="s">
        <v>154</v>
      </c>
      <c r="P79" s="18" t="s">
        <v>154</v>
      </c>
      <c r="Q79" s="17" t="s">
        <v>154</v>
      </c>
      <c r="R79" s="18" t="s">
        <v>154</v>
      </c>
    </row>
    <row r="80" spans="1:18" x14ac:dyDescent="0.25">
      <c r="A80" s="11" t="s">
        <v>213</v>
      </c>
      <c r="B80" s="17" t="s">
        <v>154</v>
      </c>
      <c r="C80" s="17" t="s">
        <v>154</v>
      </c>
      <c r="D80" s="18" t="s">
        <v>154</v>
      </c>
      <c r="E80" s="17" t="s">
        <v>154</v>
      </c>
      <c r="F80" s="18" t="s">
        <v>154</v>
      </c>
      <c r="G80" s="17" t="s">
        <v>154</v>
      </c>
      <c r="H80" s="18" t="s">
        <v>154</v>
      </c>
      <c r="I80" s="17" t="s">
        <v>154</v>
      </c>
      <c r="J80" s="18" t="s">
        <v>154</v>
      </c>
      <c r="K80" s="17" t="s">
        <v>154</v>
      </c>
      <c r="L80" s="18" t="s">
        <v>154</v>
      </c>
      <c r="M80" s="17" t="s">
        <v>154</v>
      </c>
      <c r="N80" s="18" t="s">
        <v>154</v>
      </c>
      <c r="O80" s="17" t="s">
        <v>154</v>
      </c>
      <c r="P80" s="18" t="s">
        <v>154</v>
      </c>
      <c r="Q80" s="17" t="s">
        <v>154</v>
      </c>
      <c r="R80" s="18" t="s">
        <v>154</v>
      </c>
    </row>
    <row r="81" spans="1:18" x14ac:dyDescent="0.25">
      <c r="A81" s="19" t="s">
        <v>214</v>
      </c>
      <c r="B81" s="13">
        <v>8861</v>
      </c>
      <c r="C81" s="14">
        <f>(7344/B81*100)</f>
        <v>82.880036113305493</v>
      </c>
      <c r="D81" s="15">
        <v>1517</v>
      </c>
      <c r="E81" s="14">
        <v>40.920698819999998</v>
      </c>
      <c r="F81" s="16">
        <v>1.6799457799999999</v>
      </c>
      <c r="G81" s="14">
        <v>59.079301180000002</v>
      </c>
      <c r="H81" s="16">
        <v>1.6799457799999999</v>
      </c>
      <c r="I81" s="14" t="s">
        <v>139</v>
      </c>
      <c r="J81" s="16" t="s">
        <v>139</v>
      </c>
      <c r="K81" s="14">
        <v>0</v>
      </c>
      <c r="L81" s="16">
        <v>0</v>
      </c>
      <c r="M81" s="14">
        <v>0</v>
      </c>
      <c r="N81" s="16">
        <v>0</v>
      </c>
      <c r="O81" s="14">
        <v>0</v>
      </c>
      <c r="P81" s="16">
        <v>0</v>
      </c>
      <c r="Q81" s="14">
        <v>0</v>
      </c>
      <c r="R81" s="16">
        <v>0</v>
      </c>
    </row>
    <row r="82" spans="1:18" x14ac:dyDescent="0.25">
      <c r="A82" s="20"/>
      <c r="B82" s="20" t="s">
        <v>215</v>
      </c>
      <c r="C82" s="20" t="s">
        <v>215</v>
      </c>
      <c r="D82" s="20" t="s">
        <v>215</v>
      </c>
      <c r="E82" s="20" t="s">
        <v>215</v>
      </c>
      <c r="F82" s="20" t="s">
        <v>215</v>
      </c>
      <c r="G82" s="20" t="s">
        <v>215</v>
      </c>
      <c r="H82" s="20" t="s">
        <v>215</v>
      </c>
      <c r="I82" s="20" t="s">
        <v>215</v>
      </c>
      <c r="J82" s="20" t="s">
        <v>215</v>
      </c>
      <c r="K82" s="20" t="s">
        <v>215</v>
      </c>
      <c r="L82" s="20" t="s">
        <v>215</v>
      </c>
      <c r="M82" s="20" t="s">
        <v>215</v>
      </c>
      <c r="N82" s="20" t="s">
        <v>215</v>
      </c>
      <c r="O82" s="20" t="s">
        <v>215</v>
      </c>
      <c r="P82" s="20" t="s">
        <v>215</v>
      </c>
      <c r="Q82" s="20" t="s">
        <v>215</v>
      </c>
      <c r="R82" s="20" t="s">
        <v>215</v>
      </c>
    </row>
    <row r="83" spans="1:18" x14ac:dyDescent="0.25">
      <c r="A83" s="3" t="s">
        <v>216</v>
      </c>
    </row>
    <row r="84" spans="1:18" x14ac:dyDescent="0.25">
      <c r="A84" s="22" t="s">
        <v>217</v>
      </c>
      <c r="B84" s="23"/>
      <c r="C84" s="23"/>
      <c r="D84" s="23"/>
      <c r="E84" s="23"/>
      <c r="F84" s="23"/>
      <c r="G84" s="23"/>
      <c r="H84" s="23"/>
      <c r="I84" s="23"/>
      <c r="J84" s="23"/>
      <c r="K84" s="23"/>
      <c r="L84" s="23"/>
      <c r="M84" s="23"/>
      <c r="N84" s="23"/>
      <c r="O84" s="23"/>
      <c r="P84" s="23"/>
      <c r="Q84" s="23"/>
      <c r="R84" s="23"/>
    </row>
    <row r="85" spans="1:18" x14ac:dyDescent="0.25">
      <c r="A85" s="22" t="s">
        <v>218</v>
      </c>
      <c r="B85" s="23"/>
      <c r="C85" s="23"/>
      <c r="D85" s="23"/>
      <c r="E85" s="23"/>
      <c r="F85" s="23"/>
      <c r="G85" s="23"/>
      <c r="H85" s="23"/>
      <c r="I85" s="23"/>
      <c r="J85" s="23"/>
      <c r="K85" s="23"/>
      <c r="L85" s="23"/>
      <c r="M85" s="23"/>
      <c r="N85" s="23"/>
      <c r="O85" s="23"/>
      <c r="P85" s="23"/>
      <c r="Q85" s="23"/>
      <c r="R85" s="23"/>
    </row>
    <row r="86" spans="1:18" ht="30" customHeight="1" x14ac:dyDescent="0.25">
      <c r="A86" s="22" t="s">
        <v>219</v>
      </c>
      <c r="B86" s="23"/>
      <c r="C86" s="23"/>
      <c r="D86" s="23"/>
      <c r="E86" s="23"/>
      <c r="F86" s="23"/>
      <c r="G86" s="23"/>
      <c r="H86" s="23"/>
      <c r="I86" s="23"/>
      <c r="J86" s="23"/>
      <c r="K86" s="23"/>
      <c r="L86" s="23"/>
      <c r="M86" s="23"/>
      <c r="N86" s="23"/>
      <c r="O86" s="23"/>
      <c r="P86" s="23"/>
      <c r="Q86" s="23"/>
      <c r="R86" s="23"/>
    </row>
    <row r="87" spans="1:18" ht="30" customHeight="1" x14ac:dyDescent="0.25">
      <c r="A87" s="22" t="s">
        <v>215</v>
      </c>
      <c r="B87" s="23"/>
      <c r="C87" s="23"/>
      <c r="D87" s="23"/>
      <c r="E87" s="23"/>
      <c r="F87" s="23"/>
      <c r="G87" s="23"/>
      <c r="H87" s="23"/>
      <c r="I87" s="23"/>
      <c r="J87" s="23"/>
      <c r="K87" s="23"/>
      <c r="L87" s="23"/>
      <c r="M87" s="23"/>
      <c r="N87" s="23"/>
      <c r="O87" s="23"/>
      <c r="P87" s="23"/>
      <c r="Q87" s="23"/>
      <c r="R87" s="23"/>
    </row>
    <row r="88" spans="1:18" ht="30" customHeight="1" x14ac:dyDescent="0.25">
      <c r="A88" s="22" t="s">
        <v>220</v>
      </c>
      <c r="B88" s="23"/>
      <c r="C88" s="23"/>
      <c r="D88" s="23"/>
      <c r="E88" s="23"/>
      <c r="F88" s="23"/>
      <c r="G88" s="23"/>
      <c r="H88" s="23"/>
      <c r="I88" s="23"/>
      <c r="J88" s="23"/>
      <c r="K88" s="23"/>
      <c r="L88" s="23"/>
      <c r="M88" s="23"/>
      <c r="N88" s="23"/>
      <c r="O88" s="23"/>
      <c r="P88" s="23"/>
      <c r="Q88" s="23"/>
      <c r="R88" s="23"/>
    </row>
    <row r="89" spans="1:18" ht="30" customHeight="1" x14ac:dyDescent="0.25">
      <c r="A89" s="22" t="s">
        <v>221</v>
      </c>
      <c r="B89" s="23"/>
      <c r="C89" s="23"/>
      <c r="D89" s="23"/>
      <c r="E89" s="23"/>
      <c r="F89" s="23"/>
      <c r="G89" s="23"/>
      <c r="H89" s="23"/>
      <c r="I89" s="23"/>
      <c r="J89" s="23"/>
      <c r="K89" s="23"/>
      <c r="L89" s="23"/>
      <c r="M89" s="23"/>
      <c r="N89" s="23"/>
      <c r="O89" s="23"/>
      <c r="P89" s="23"/>
      <c r="Q89" s="23"/>
      <c r="R89" s="23"/>
    </row>
    <row r="90" spans="1:18" ht="30" customHeight="1" x14ac:dyDescent="0.25">
      <c r="A90" s="22" t="s">
        <v>222</v>
      </c>
      <c r="B90" s="23"/>
      <c r="C90" s="23"/>
      <c r="D90" s="23"/>
      <c r="E90" s="23"/>
      <c r="F90" s="23"/>
      <c r="G90" s="23"/>
      <c r="H90" s="23"/>
      <c r="I90" s="23"/>
      <c r="J90" s="23"/>
      <c r="K90" s="23"/>
      <c r="L90" s="23"/>
      <c r="M90" s="23"/>
      <c r="N90" s="23"/>
      <c r="O90" s="23"/>
      <c r="P90" s="23"/>
      <c r="Q90" s="23"/>
      <c r="R90" s="23"/>
    </row>
    <row r="91" spans="1:18" ht="30" customHeight="1" x14ac:dyDescent="0.25">
      <c r="A91" s="22" t="s">
        <v>223</v>
      </c>
      <c r="B91" s="23"/>
      <c r="C91" s="23"/>
      <c r="D91" s="23"/>
      <c r="E91" s="23"/>
      <c r="F91" s="23"/>
      <c r="G91" s="23"/>
      <c r="H91" s="23"/>
      <c r="I91" s="23"/>
      <c r="J91" s="23"/>
      <c r="K91" s="23"/>
      <c r="L91" s="23"/>
      <c r="M91" s="23"/>
      <c r="N91" s="23"/>
      <c r="O91" s="23"/>
      <c r="P91" s="23"/>
      <c r="Q91" s="23"/>
      <c r="R91" s="23"/>
    </row>
    <row r="92" spans="1:18" ht="30" customHeight="1" x14ac:dyDescent="0.25">
      <c r="A92" s="22" t="s">
        <v>224</v>
      </c>
      <c r="B92" s="23"/>
      <c r="C92" s="23"/>
      <c r="D92" s="23"/>
      <c r="E92" s="23"/>
      <c r="F92" s="23"/>
      <c r="G92" s="23"/>
      <c r="H92" s="23"/>
      <c r="I92" s="23"/>
      <c r="J92" s="23"/>
      <c r="K92" s="23"/>
      <c r="L92" s="23"/>
      <c r="M92" s="23"/>
      <c r="N92" s="23"/>
      <c r="O92" s="23"/>
      <c r="P92" s="23"/>
      <c r="Q92" s="23"/>
      <c r="R92" s="23"/>
    </row>
    <row r="93" spans="1:18" ht="30" customHeight="1" x14ac:dyDescent="0.25">
      <c r="A93" s="22" t="s">
        <v>225</v>
      </c>
      <c r="B93" s="23"/>
      <c r="C93" s="23"/>
      <c r="D93" s="23"/>
      <c r="E93" s="23"/>
      <c r="F93" s="23"/>
      <c r="G93" s="23"/>
      <c r="H93" s="23"/>
      <c r="I93" s="23"/>
      <c r="J93" s="23"/>
      <c r="K93" s="23"/>
      <c r="L93" s="23"/>
      <c r="M93" s="23"/>
      <c r="N93" s="23"/>
      <c r="O93" s="23"/>
      <c r="P93" s="23"/>
      <c r="Q93" s="23"/>
      <c r="R93" s="23"/>
    </row>
    <row r="94" spans="1:18" ht="30" customHeight="1" x14ac:dyDescent="0.25">
      <c r="A94" s="22" t="s">
        <v>226</v>
      </c>
      <c r="B94" s="23"/>
      <c r="C94" s="23"/>
      <c r="D94" s="23"/>
      <c r="E94" s="23"/>
      <c r="F94" s="23"/>
      <c r="G94" s="23"/>
      <c r="H94" s="23"/>
      <c r="I94" s="23"/>
      <c r="J94" s="23"/>
      <c r="K94" s="23"/>
      <c r="L94" s="23"/>
      <c r="M94" s="23"/>
      <c r="N94" s="23"/>
      <c r="O94" s="23"/>
      <c r="P94" s="23"/>
      <c r="Q94" s="23"/>
      <c r="R94" s="23"/>
    </row>
    <row r="95" spans="1:18" ht="30" customHeight="1" x14ac:dyDescent="0.25">
      <c r="A95" s="22" t="s">
        <v>227</v>
      </c>
      <c r="B95" s="23"/>
      <c r="C95" s="23"/>
      <c r="D95" s="23"/>
      <c r="E95" s="23"/>
      <c r="F95" s="23"/>
      <c r="G95" s="23"/>
      <c r="H95" s="23"/>
      <c r="I95" s="23"/>
      <c r="J95" s="23"/>
      <c r="K95" s="23"/>
      <c r="L95" s="23"/>
      <c r="M95" s="23"/>
      <c r="N95" s="23"/>
      <c r="O95" s="23"/>
      <c r="P95" s="23"/>
      <c r="Q95" s="23"/>
      <c r="R95" s="23"/>
    </row>
    <row r="96" spans="1:18" ht="30" customHeight="1" x14ac:dyDescent="0.25">
      <c r="A96" s="22" t="s">
        <v>228</v>
      </c>
      <c r="B96" s="23"/>
      <c r="C96" s="23"/>
      <c r="D96" s="23"/>
      <c r="E96" s="23"/>
      <c r="F96" s="23"/>
      <c r="G96" s="23"/>
      <c r="H96" s="23"/>
      <c r="I96" s="23"/>
      <c r="J96" s="23"/>
      <c r="K96" s="23"/>
      <c r="L96" s="23"/>
      <c r="M96" s="23"/>
      <c r="N96" s="23"/>
      <c r="O96" s="23"/>
      <c r="P96" s="23"/>
      <c r="Q96" s="23"/>
      <c r="R96" s="23"/>
    </row>
  </sheetData>
  <mergeCells count="22">
    <mergeCell ref="O4:P4"/>
    <mergeCell ref="Q4:R4"/>
    <mergeCell ref="A1:R1"/>
    <mergeCell ref="A2:R2"/>
    <mergeCell ref="A84:R84"/>
    <mergeCell ref="E4:F4"/>
    <mergeCell ref="G4:H4"/>
    <mergeCell ref="I4:J4"/>
    <mergeCell ref="K4:L4"/>
    <mergeCell ref="M4:N4"/>
    <mergeCell ref="A85:R85"/>
    <mergeCell ref="A86:R86"/>
    <mergeCell ref="A87:R87"/>
    <mergeCell ref="A88:R88"/>
    <mergeCell ref="A89:R89"/>
    <mergeCell ref="A95:R95"/>
    <mergeCell ref="A96:R96"/>
    <mergeCell ref="A90:R90"/>
    <mergeCell ref="A91:R91"/>
    <mergeCell ref="A92:R92"/>
    <mergeCell ref="A93:R93"/>
    <mergeCell ref="A94:R94"/>
  </mergeCells>
  <pageMargins left="0.75" right="0.75" top="1" bottom="1" header="0.5" footer="0.5"/>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6"/>
  <dimension ref="A1:R96"/>
  <sheetViews>
    <sheetView zoomScale="80" workbookViewId="0">
      <pane xSplit="4" topLeftCell="E1" activePane="topRight" state="frozen"/>
      <selection sqref="A1:R1"/>
      <selection pane="topRight" sqref="A1:R1"/>
    </sheetView>
  </sheetViews>
  <sheetFormatPr defaultColWidth="11.42578125" defaultRowHeight="15" x14ac:dyDescent="0.25"/>
  <cols>
    <col min="1" max="1" width="50" customWidth="1"/>
  </cols>
  <sheetData>
    <row r="1" spans="1:18" x14ac:dyDescent="0.25">
      <c r="A1" s="26" t="s">
        <v>122</v>
      </c>
      <c r="B1" s="23"/>
      <c r="C1" s="23"/>
      <c r="D1" s="23"/>
      <c r="E1" s="23"/>
      <c r="F1" s="23"/>
      <c r="G1" s="23"/>
      <c r="H1" s="23"/>
      <c r="I1" s="23"/>
      <c r="J1" s="23"/>
      <c r="K1" s="23"/>
      <c r="L1" s="23"/>
      <c r="M1" s="23"/>
      <c r="N1" s="23"/>
      <c r="O1" s="23"/>
      <c r="P1" s="23"/>
      <c r="Q1" s="23"/>
      <c r="R1" s="23"/>
    </row>
    <row r="2" spans="1:18" x14ac:dyDescent="0.25">
      <c r="A2" s="27" t="s">
        <v>322</v>
      </c>
      <c r="B2" s="23"/>
      <c r="C2" s="23"/>
      <c r="D2" s="23"/>
      <c r="E2" s="23"/>
      <c r="F2" s="23"/>
      <c r="G2" s="23"/>
      <c r="H2" s="23"/>
      <c r="I2" s="23"/>
      <c r="J2" s="23"/>
      <c r="K2" s="23"/>
      <c r="L2" s="23"/>
      <c r="M2" s="23"/>
      <c r="N2" s="23"/>
      <c r="O2" s="23"/>
      <c r="P2" s="23"/>
      <c r="Q2" s="23"/>
      <c r="R2" s="23"/>
    </row>
    <row r="4" spans="1:18" ht="30" customHeight="1" x14ac:dyDescent="0.25">
      <c r="A4" s="4"/>
      <c r="B4" s="5" t="s">
        <v>123</v>
      </c>
      <c r="C4" s="5" t="s">
        <v>124</v>
      </c>
      <c r="D4" s="6" t="s">
        <v>123</v>
      </c>
      <c r="E4" s="24" t="s">
        <v>125</v>
      </c>
      <c r="F4" s="25"/>
      <c r="G4" s="24" t="s">
        <v>126</v>
      </c>
      <c r="H4" s="25"/>
      <c r="I4" s="24" t="s">
        <v>127</v>
      </c>
      <c r="J4" s="25"/>
      <c r="K4" s="24" t="s">
        <v>128</v>
      </c>
      <c r="L4" s="25"/>
      <c r="M4" s="24" t="s">
        <v>129</v>
      </c>
      <c r="N4" s="25"/>
      <c r="O4" s="24" t="s">
        <v>130</v>
      </c>
      <c r="P4" s="25"/>
      <c r="Q4" s="24" t="s">
        <v>131</v>
      </c>
      <c r="R4" s="25"/>
    </row>
    <row r="5" spans="1:18" x14ac:dyDescent="0.25">
      <c r="A5" s="7"/>
      <c r="B5" s="8" t="s">
        <v>132</v>
      </c>
      <c r="C5" s="8" t="s">
        <v>133</v>
      </c>
      <c r="D5" s="7" t="s">
        <v>134</v>
      </c>
      <c r="E5" s="8" t="s">
        <v>135</v>
      </c>
      <c r="F5" s="7" t="s">
        <v>136</v>
      </c>
      <c r="G5" s="8" t="s">
        <v>135</v>
      </c>
      <c r="H5" s="7" t="s">
        <v>136</v>
      </c>
      <c r="I5" s="8" t="s">
        <v>135</v>
      </c>
      <c r="J5" s="7" t="s">
        <v>136</v>
      </c>
      <c r="K5" s="8" t="s">
        <v>135</v>
      </c>
      <c r="L5" s="7" t="s">
        <v>136</v>
      </c>
      <c r="M5" s="8" t="s">
        <v>135</v>
      </c>
      <c r="N5" s="7" t="s">
        <v>136</v>
      </c>
      <c r="O5" s="8" t="s">
        <v>135</v>
      </c>
      <c r="P5" s="7" t="s">
        <v>136</v>
      </c>
      <c r="Q5" s="8" t="s">
        <v>135</v>
      </c>
      <c r="R5" s="7" t="s">
        <v>136</v>
      </c>
    </row>
    <row r="6" spans="1:18" x14ac:dyDescent="0.25">
      <c r="A6" s="9" t="s">
        <v>137</v>
      </c>
      <c r="B6" s="10"/>
      <c r="C6" s="10"/>
      <c r="D6" s="11"/>
      <c r="E6" s="10"/>
      <c r="F6" s="11"/>
      <c r="G6" s="10"/>
      <c r="H6" s="11"/>
      <c r="I6" s="10"/>
      <c r="J6" s="11"/>
      <c r="K6" s="10"/>
      <c r="L6" s="11"/>
      <c r="M6" s="10"/>
      <c r="N6" s="11"/>
      <c r="O6" s="10"/>
      <c r="P6" s="11"/>
      <c r="Q6" s="10"/>
      <c r="R6" s="12"/>
    </row>
    <row r="7" spans="1:18" x14ac:dyDescent="0.25">
      <c r="A7" s="11" t="s">
        <v>138</v>
      </c>
      <c r="B7" s="13">
        <v>14530</v>
      </c>
      <c r="C7" s="14">
        <f>(12048/B7*100)</f>
        <v>82.918100481761869</v>
      </c>
      <c r="D7" s="15">
        <v>2482</v>
      </c>
      <c r="E7" s="14">
        <v>27.735375170000001</v>
      </c>
      <c r="F7" s="16">
        <v>1.0872005</v>
      </c>
      <c r="G7" s="14">
        <v>72.264624830000002</v>
      </c>
      <c r="H7" s="16">
        <v>1.0872005</v>
      </c>
      <c r="I7" s="14" t="s">
        <v>139</v>
      </c>
      <c r="J7" s="16" t="s">
        <v>139</v>
      </c>
      <c r="K7" s="14">
        <v>0</v>
      </c>
      <c r="L7" s="16">
        <v>0</v>
      </c>
      <c r="M7" s="14">
        <v>0</v>
      </c>
      <c r="N7" s="16">
        <v>0</v>
      </c>
      <c r="O7" s="14">
        <v>0</v>
      </c>
      <c r="P7" s="16">
        <v>0</v>
      </c>
      <c r="Q7" s="14">
        <v>0</v>
      </c>
      <c r="R7" s="16">
        <v>0</v>
      </c>
    </row>
    <row r="8" spans="1:18" x14ac:dyDescent="0.25">
      <c r="A8" s="11" t="s">
        <v>140</v>
      </c>
      <c r="B8" s="13">
        <v>7007</v>
      </c>
      <c r="C8" s="14">
        <f>(5767/B8*100)</f>
        <v>82.303410874839443</v>
      </c>
      <c r="D8" s="15">
        <v>1240</v>
      </c>
      <c r="E8" s="14">
        <v>26.837557329999999</v>
      </c>
      <c r="F8" s="16">
        <v>1.15782903</v>
      </c>
      <c r="G8" s="14">
        <v>73.162442670000004</v>
      </c>
      <c r="H8" s="16">
        <v>1.15782903</v>
      </c>
      <c r="I8" s="14" t="s">
        <v>139</v>
      </c>
      <c r="J8" s="16" t="s">
        <v>139</v>
      </c>
      <c r="K8" s="14">
        <v>0</v>
      </c>
      <c r="L8" s="16">
        <v>0</v>
      </c>
      <c r="M8" s="14">
        <v>0</v>
      </c>
      <c r="N8" s="16">
        <v>0</v>
      </c>
      <c r="O8" s="14">
        <v>0</v>
      </c>
      <c r="P8" s="16">
        <v>0</v>
      </c>
      <c r="Q8" s="14">
        <v>0</v>
      </c>
      <c r="R8" s="16">
        <v>0</v>
      </c>
    </row>
    <row r="9" spans="1:18" x14ac:dyDescent="0.25">
      <c r="A9" s="11" t="s">
        <v>141</v>
      </c>
      <c r="B9" s="13">
        <v>9651</v>
      </c>
      <c r="C9" s="14">
        <f>(8033/B9*100)</f>
        <v>83.234897938037506</v>
      </c>
      <c r="D9" s="15">
        <v>1618</v>
      </c>
      <c r="E9" s="14">
        <v>22.550000860000001</v>
      </c>
      <c r="F9" s="16">
        <v>1.2265471299999999</v>
      </c>
      <c r="G9" s="14">
        <v>77.449999140000003</v>
      </c>
      <c r="H9" s="16">
        <v>1.2265471299999999</v>
      </c>
      <c r="I9" s="14" t="s">
        <v>139</v>
      </c>
      <c r="J9" s="16" t="s">
        <v>139</v>
      </c>
      <c r="K9" s="14">
        <v>0</v>
      </c>
      <c r="L9" s="16">
        <v>0</v>
      </c>
      <c r="M9" s="14">
        <v>0</v>
      </c>
      <c r="N9" s="16">
        <v>0</v>
      </c>
      <c r="O9" s="14">
        <v>0</v>
      </c>
      <c r="P9" s="16">
        <v>0</v>
      </c>
      <c r="Q9" s="14">
        <v>0</v>
      </c>
      <c r="R9" s="16">
        <v>0</v>
      </c>
    </row>
    <row r="10" spans="1:18" x14ac:dyDescent="0.25">
      <c r="A10" s="11" t="s">
        <v>142</v>
      </c>
      <c r="B10" s="13">
        <v>20058</v>
      </c>
      <c r="C10" s="14">
        <f>(16642/B10*100)</f>
        <v>82.969388772559583</v>
      </c>
      <c r="D10" s="15">
        <v>3416</v>
      </c>
      <c r="E10" s="14">
        <v>25.733488489999999</v>
      </c>
      <c r="F10" s="16">
        <v>1.08236379</v>
      </c>
      <c r="G10" s="14">
        <v>74.266511510000001</v>
      </c>
      <c r="H10" s="16">
        <v>1.08236379</v>
      </c>
      <c r="I10" s="14" t="s">
        <v>139</v>
      </c>
      <c r="J10" s="16" t="s">
        <v>139</v>
      </c>
      <c r="K10" s="14">
        <v>0</v>
      </c>
      <c r="L10" s="16">
        <v>0</v>
      </c>
      <c r="M10" s="14">
        <v>0</v>
      </c>
      <c r="N10" s="16">
        <v>0</v>
      </c>
      <c r="O10" s="14">
        <v>0</v>
      </c>
      <c r="P10" s="16">
        <v>0</v>
      </c>
      <c r="Q10" s="14">
        <v>0</v>
      </c>
      <c r="R10" s="16">
        <v>0</v>
      </c>
    </row>
    <row r="11" spans="1:18" x14ac:dyDescent="0.25">
      <c r="A11" s="11" t="s">
        <v>143</v>
      </c>
      <c r="B11" s="13">
        <v>7053</v>
      </c>
      <c r="C11" s="14">
        <f>(5822/B11*100)</f>
        <v>82.546434141500072</v>
      </c>
      <c r="D11" s="15">
        <v>1231</v>
      </c>
      <c r="E11" s="14">
        <v>37.764323640000001</v>
      </c>
      <c r="F11" s="16">
        <v>1.51847643</v>
      </c>
      <c r="G11" s="14">
        <v>62.235676359999999</v>
      </c>
      <c r="H11" s="16">
        <v>1.51847643</v>
      </c>
      <c r="I11" s="14" t="s">
        <v>139</v>
      </c>
      <c r="J11" s="16" t="s">
        <v>139</v>
      </c>
      <c r="K11" s="14">
        <v>0</v>
      </c>
      <c r="L11" s="16">
        <v>0</v>
      </c>
      <c r="M11" s="14">
        <v>0</v>
      </c>
      <c r="N11" s="16">
        <v>0</v>
      </c>
      <c r="O11" s="14">
        <v>0</v>
      </c>
      <c r="P11" s="16">
        <v>0</v>
      </c>
      <c r="Q11" s="14">
        <v>0</v>
      </c>
      <c r="R11" s="16">
        <v>0</v>
      </c>
    </row>
    <row r="12" spans="1:18" x14ac:dyDescent="0.25">
      <c r="A12" s="11" t="s">
        <v>144</v>
      </c>
      <c r="B12" s="13">
        <v>6894</v>
      </c>
      <c r="C12" s="14">
        <f>(5719/B12*100)</f>
        <v>82.95619379170293</v>
      </c>
      <c r="D12" s="15">
        <v>1175</v>
      </c>
      <c r="E12" s="14">
        <v>27.139574620000001</v>
      </c>
      <c r="F12" s="16">
        <v>1.44255621</v>
      </c>
      <c r="G12" s="14">
        <v>72.860425379999995</v>
      </c>
      <c r="H12" s="16">
        <v>1.44255621</v>
      </c>
      <c r="I12" s="14" t="s">
        <v>139</v>
      </c>
      <c r="J12" s="16" t="s">
        <v>139</v>
      </c>
      <c r="K12" s="14">
        <v>0</v>
      </c>
      <c r="L12" s="16">
        <v>0</v>
      </c>
      <c r="M12" s="14">
        <v>0</v>
      </c>
      <c r="N12" s="16">
        <v>0</v>
      </c>
      <c r="O12" s="14">
        <v>0</v>
      </c>
      <c r="P12" s="16">
        <v>0</v>
      </c>
      <c r="Q12" s="14">
        <v>0</v>
      </c>
      <c r="R12" s="16">
        <v>0</v>
      </c>
    </row>
    <row r="13" spans="1:18" x14ac:dyDescent="0.25">
      <c r="A13" s="11" t="s">
        <v>145</v>
      </c>
      <c r="B13" s="13">
        <v>7161</v>
      </c>
      <c r="C13" s="14">
        <f>(5990/B13*100)</f>
        <v>83.647535260438488</v>
      </c>
      <c r="D13" s="15">
        <v>1171</v>
      </c>
      <c r="E13" s="14">
        <v>21.015452029999999</v>
      </c>
      <c r="F13" s="16">
        <v>1.4928245499999999</v>
      </c>
      <c r="G13" s="14">
        <v>78.984547969999994</v>
      </c>
      <c r="H13" s="16">
        <v>1.4928245499999999</v>
      </c>
      <c r="I13" s="14" t="s">
        <v>139</v>
      </c>
      <c r="J13" s="16" t="s">
        <v>139</v>
      </c>
      <c r="K13" s="14">
        <v>0</v>
      </c>
      <c r="L13" s="16">
        <v>0</v>
      </c>
      <c r="M13" s="14">
        <v>0</v>
      </c>
      <c r="N13" s="16">
        <v>0</v>
      </c>
      <c r="O13" s="14">
        <v>0</v>
      </c>
      <c r="P13" s="16">
        <v>0</v>
      </c>
      <c r="Q13" s="14">
        <v>0</v>
      </c>
      <c r="R13" s="16">
        <v>0</v>
      </c>
    </row>
    <row r="14" spans="1:18" x14ac:dyDescent="0.25">
      <c r="A14" s="11" t="s">
        <v>146</v>
      </c>
      <c r="B14" s="13">
        <v>5587</v>
      </c>
      <c r="C14" s="14">
        <f>(4623/B14*100)</f>
        <v>82.745659566851614</v>
      </c>
      <c r="D14" s="15">
        <v>964</v>
      </c>
      <c r="E14" s="14">
        <v>16.292241189999999</v>
      </c>
      <c r="F14" s="16">
        <v>1.17605921</v>
      </c>
      <c r="G14" s="14">
        <v>83.707758810000001</v>
      </c>
      <c r="H14" s="16">
        <v>1.17605921</v>
      </c>
      <c r="I14" s="14" t="s">
        <v>139</v>
      </c>
      <c r="J14" s="16" t="s">
        <v>139</v>
      </c>
      <c r="K14" s="14">
        <v>0</v>
      </c>
      <c r="L14" s="16">
        <v>0</v>
      </c>
      <c r="M14" s="14">
        <v>0</v>
      </c>
      <c r="N14" s="16">
        <v>0</v>
      </c>
      <c r="O14" s="14">
        <v>0</v>
      </c>
      <c r="P14" s="16">
        <v>0</v>
      </c>
      <c r="Q14" s="14">
        <v>0</v>
      </c>
      <c r="R14" s="16">
        <v>0</v>
      </c>
    </row>
    <row r="15" spans="1:18" x14ac:dyDescent="0.25">
      <c r="A15" s="11" t="s">
        <v>147</v>
      </c>
      <c r="B15" s="13">
        <v>5882</v>
      </c>
      <c r="C15" s="14">
        <f>(4868/B15*100)</f>
        <v>82.760965657939479</v>
      </c>
      <c r="D15" s="15">
        <v>1014</v>
      </c>
      <c r="E15" s="14">
        <v>15.1683232</v>
      </c>
      <c r="F15" s="16">
        <v>1.1820241600000001</v>
      </c>
      <c r="G15" s="14">
        <v>84.831676799999997</v>
      </c>
      <c r="H15" s="16">
        <v>1.1820241600000001</v>
      </c>
      <c r="I15" s="14" t="s">
        <v>139</v>
      </c>
      <c r="J15" s="16" t="s">
        <v>139</v>
      </c>
      <c r="K15" s="14">
        <v>0</v>
      </c>
      <c r="L15" s="16">
        <v>0</v>
      </c>
      <c r="M15" s="14">
        <v>0</v>
      </c>
      <c r="N15" s="16">
        <v>0</v>
      </c>
      <c r="O15" s="14">
        <v>0</v>
      </c>
      <c r="P15" s="16">
        <v>0</v>
      </c>
      <c r="Q15" s="14">
        <v>0</v>
      </c>
      <c r="R15" s="16">
        <v>0</v>
      </c>
    </row>
    <row r="16" spans="1:18" x14ac:dyDescent="0.25">
      <c r="A16" s="11" t="s">
        <v>148</v>
      </c>
      <c r="B16" s="13">
        <v>6108</v>
      </c>
      <c r="C16" s="14">
        <f>(5075/B16*100)</f>
        <v>83.087753765553373</v>
      </c>
      <c r="D16" s="15">
        <v>1033</v>
      </c>
      <c r="E16" s="14">
        <v>30.817698419999999</v>
      </c>
      <c r="F16" s="16">
        <v>1.3822140599999999</v>
      </c>
      <c r="G16" s="14">
        <v>69.182301580000001</v>
      </c>
      <c r="H16" s="16">
        <v>1.3822140599999999</v>
      </c>
      <c r="I16" s="14" t="s">
        <v>139</v>
      </c>
      <c r="J16" s="16" t="s">
        <v>139</v>
      </c>
      <c r="K16" s="14">
        <v>0</v>
      </c>
      <c r="L16" s="16">
        <v>0</v>
      </c>
      <c r="M16" s="14">
        <v>0</v>
      </c>
      <c r="N16" s="16">
        <v>0</v>
      </c>
      <c r="O16" s="14">
        <v>0</v>
      </c>
      <c r="P16" s="16">
        <v>0</v>
      </c>
      <c r="Q16" s="14">
        <v>0</v>
      </c>
      <c r="R16" s="16">
        <v>0</v>
      </c>
    </row>
    <row r="17" spans="1:18" x14ac:dyDescent="0.25">
      <c r="A17" s="11" t="s">
        <v>149</v>
      </c>
      <c r="B17" s="13">
        <v>6504</v>
      </c>
      <c r="C17" s="14">
        <f>(5410/B17*100)</f>
        <v>83.179581795817953</v>
      </c>
      <c r="D17" s="15">
        <v>1094</v>
      </c>
      <c r="E17" s="14">
        <v>22.987173819999999</v>
      </c>
      <c r="F17" s="16">
        <v>1.0727988399999999</v>
      </c>
      <c r="G17" s="14">
        <v>77.012826180000005</v>
      </c>
      <c r="H17" s="16">
        <v>1.0727988399999999</v>
      </c>
      <c r="I17" s="14" t="s">
        <v>139</v>
      </c>
      <c r="J17" s="16" t="s">
        <v>139</v>
      </c>
      <c r="K17" s="14">
        <v>0</v>
      </c>
      <c r="L17" s="16">
        <v>0</v>
      </c>
      <c r="M17" s="14">
        <v>0</v>
      </c>
      <c r="N17" s="16">
        <v>0</v>
      </c>
      <c r="O17" s="14">
        <v>0</v>
      </c>
      <c r="P17" s="16">
        <v>0</v>
      </c>
      <c r="Q17" s="14">
        <v>0</v>
      </c>
      <c r="R17" s="16">
        <v>0</v>
      </c>
    </row>
    <row r="18" spans="1:18" x14ac:dyDescent="0.25">
      <c r="A18" s="11" t="s">
        <v>150</v>
      </c>
      <c r="B18" s="13">
        <v>5532</v>
      </c>
      <c r="C18" s="14">
        <f>(4578/B18*100)</f>
        <v>82.754880694143168</v>
      </c>
      <c r="D18" s="15">
        <v>954</v>
      </c>
      <c r="E18" s="14">
        <v>26.964719819999999</v>
      </c>
      <c r="F18" s="16">
        <v>1.9771424500000001</v>
      </c>
      <c r="G18" s="14">
        <v>73.035280180000001</v>
      </c>
      <c r="H18" s="16">
        <v>1.9771424500000001</v>
      </c>
      <c r="I18" s="14" t="s">
        <v>139</v>
      </c>
      <c r="J18" s="16" t="s">
        <v>139</v>
      </c>
      <c r="K18" s="14">
        <v>0</v>
      </c>
      <c r="L18" s="16">
        <v>0</v>
      </c>
      <c r="M18" s="14">
        <v>0</v>
      </c>
      <c r="N18" s="16">
        <v>0</v>
      </c>
      <c r="O18" s="14">
        <v>0</v>
      </c>
      <c r="P18" s="16">
        <v>0</v>
      </c>
      <c r="Q18" s="14">
        <v>0</v>
      </c>
      <c r="R18" s="16">
        <v>0</v>
      </c>
    </row>
    <row r="19" spans="1:18" x14ac:dyDescent="0.25">
      <c r="A19" s="11" t="s">
        <v>151</v>
      </c>
      <c r="B19" s="13">
        <v>5658</v>
      </c>
      <c r="C19" s="14">
        <f>(4690/B19*100)</f>
        <v>82.891481088723935</v>
      </c>
      <c r="D19" s="15">
        <v>968</v>
      </c>
      <c r="E19" s="14">
        <v>33.203932350000002</v>
      </c>
      <c r="F19" s="16">
        <v>1.64556334</v>
      </c>
      <c r="G19" s="14">
        <v>66.796067649999998</v>
      </c>
      <c r="H19" s="16">
        <v>1.64556334</v>
      </c>
      <c r="I19" s="14" t="s">
        <v>139</v>
      </c>
      <c r="J19" s="16" t="s">
        <v>139</v>
      </c>
      <c r="K19" s="14">
        <v>0</v>
      </c>
      <c r="L19" s="16">
        <v>0</v>
      </c>
      <c r="M19" s="14">
        <v>0</v>
      </c>
      <c r="N19" s="16">
        <v>0</v>
      </c>
      <c r="O19" s="14">
        <v>0</v>
      </c>
      <c r="P19" s="16">
        <v>0</v>
      </c>
      <c r="Q19" s="14">
        <v>0</v>
      </c>
      <c r="R19" s="16">
        <v>0</v>
      </c>
    </row>
    <row r="20" spans="1:18" x14ac:dyDescent="0.25">
      <c r="A20" s="11" t="s">
        <v>152</v>
      </c>
      <c r="B20" s="13">
        <v>3371</v>
      </c>
      <c r="C20" s="14">
        <f>(2798/B20*100)</f>
        <v>83.002076535152767</v>
      </c>
      <c r="D20" s="15">
        <v>573</v>
      </c>
      <c r="E20" s="14">
        <v>31.16417302</v>
      </c>
      <c r="F20" s="16">
        <v>1.9313494600000001</v>
      </c>
      <c r="G20" s="14">
        <v>68.835826979999993</v>
      </c>
      <c r="H20" s="16">
        <v>1.9313494600000001</v>
      </c>
      <c r="I20" s="14" t="s">
        <v>139</v>
      </c>
      <c r="J20" s="16" t="s">
        <v>139</v>
      </c>
      <c r="K20" s="14">
        <v>0</v>
      </c>
      <c r="L20" s="16">
        <v>0</v>
      </c>
      <c r="M20" s="14">
        <v>0</v>
      </c>
      <c r="N20" s="16">
        <v>0</v>
      </c>
      <c r="O20" s="14">
        <v>0</v>
      </c>
      <c r="P20" s="16">
        <v>0</v>
      </c>
      <c r="Q20" s="14">
        <v>0</v>
      </c>
      <c r="R20" s="16">
        <v>0</v>
      </c>
    </row>
    <row r="21" spans="1:18" x14ac:dyDescent="0.25">
      <c r="A21" s="11" t="s">
        <v>153</v>
      </c>
      <c r="B21" s="17" t="s">
        <v>154</v>
      </c>
      <c r="C21" s="17" t="s">
        <v>154</v>
      </c>
      <c r="D21" s="18" t="s">
        <v>154</v>
      </c>
      <c r="E21" s="17" t="s">
        <v>154</v>
      </c>
      <c r="F21" s="18" t="s">
        <v>154</v>
      </c>
      <c r="G21" s="17" t="s">
        <v>154</v>
      </c>
      <c r="H21" s="18" t="s">
        <v>154</v>
      </c>
      <c r="I21" s="17" t="s">
        <v>154</v>
      </c>
      <c r="J21" s="18" t="s">
        <v>154</v>
      </c>
      <c r="K21" s="17" t="s">
        <v>154</v>
      </c>
      <c r="L21" s="18" t="s">
        <v>154</v>
      </c>
      <c r="M21" s="17" t="s">
        <v>154</v>
      </c>
      <c r="N21" s="18" t="s">
        <v>154</v>
      </c>
      <c r="O21" s="17" t="s">
        <v>154</v>
      </c>
      <c r="P21" s="18" t="s">
        <v>154</v>
      </c>
      <c r="Q21" s="17" t="s">
        <v>154</v>
      </c>
      <c r="R21" s="18" t="s">
        <v>154</v>
      </c>
    </row>
    <row r="22" spans="1:18" x14ac:dyDescent="0.25">
      <c r="A22" s="11" t="s">
        <v>155</v>
      </c>
      <c r="B22" s="13">
        <v>6598</v>
      </c>
      <c r="C22" s="14">
        <f>(5569/B22*100)</f>
        <v>84.404364959078507</v>
      </c>
      <c r="D22" s="15">
        <v>1029</v>
      </c>
      <c r="E22" s="14">
        <v>32.89379916</v>
      </c>
      <c r="F22" s="16">
        <v>1.3250367599999999</v>
      </c>
      <c r="G22" s="14">
        <v>67.10620084</v>
      </c>
      <c r="H22" s="16">
        <v>1.3250367599999999</v>
      </c>
      <c r="I22" s="14" t="s">
        <v>139</v>
      </c>
      <c r="J22" s="16" t="s">
        <v>139</v>
      </c>
      <c r="K22" s="14">
        <v>0</v>
      </c>
      <c r="L22" s="16">
        <v>0</v>
      </c>
      <c r="M22" s="14">
        <v>0</v>
      </c>
      <c r="N22" s="16">
        <v>0</v>
      </c>
      <c r="O22" s="14">
        <v>0</v>
      </c>
      <c r="P22" s="16">
        <v>0</v>
      </c>
      <c r="Q22" s="14">
        <v>0</v>
      </c>
      <c r="R22" s="16">
        <v>0</v>
      </c>
    </row>
    <row r="23" spans="1:18" x14ac:dyDescent="0.25">
      <c r="A23" s="11" t="s">
        <v>156</v>
      </c>
      <c r="B23" s="13">
        <v>11583</v>
      </c>
      <c r="C23" s="14">
        <f>(9578/B23*100)</f>
        <v>82.690149356816022</v>
      </c>
      <c r="D23" s="15">
        <v>2005</v>
      </c>
      <c r="E23" s="14">
        <v>35.621126169999997</v>
      </c>
      <c r="F23" s="16">
        <v>1.55960718</v>
      </c>
      <c r="G23" s="14">
        <v>64.378873830000003</v>
      </c>
      <c r="H23" s="16">
        <v>1.55960718</v>
      </c>
      <c r="I23" s="14" t="s">
        <v>139</v>
      </c>
      <c r="J23" s="16" t="s">
        <v>139</v>
      </c>
      <c r="K23" s="14">
        <v>0</v>
      </c>
      <c r="L23" s="16">
        <v>0</v>
      </c>
      <c r="M23" s="14">
        <v>0</v>
      </c>
      <c r="N23" s="16">
        <v>0</v>
      </c>
      <c r="O23" s="14">
        <v>0</v>
      </c>
      <c r="P23" s="16">
        <v>0</v>
      </c>
      <c r="Q23" s="14">
        <v>0</v>
      </c>
      <c r="R23" s="16">
        <v>0</v>
      </c>
    </row>
    <row r="24" spans="1:18" x14ac:dyDescent="0.25">
      <c r="A24" s="11" t="s">
        <v>157</v>
      </c>
      <c r="B24" s="13">
        <v>6647</v>
      </c>
      <c r="C24" s="14">
        <f>(5489/B24*100)</f>
        <v>82.578606890326469</v>
      </c>
      <c r="D24" s="15">
        <v>1158</v>
      </c>
      <c r="E24" s="14">
        <v>27.421486000000002</v>
      </c>
      <c r="F24" s="16">
        <v>1.2930127300000001</v>
      </c>
      <c r="G24" s="14">
        <v>72.578513999999998</v>
      </c>
      <c r="H24" s="16">
        <v>1.2930127300000001</v>
      </c>
      <c r="I24" s="14" t="s">
        <v>139</v>
      </c>
      <c r="J24" s="16" t="s">
        <v>139</v>
      </c>
      <c r="K24" s="14">
        <v>0</v>
      </c>
      <c r="L24" s="16">
        <v>0</v>
      </c>
      <c r="M24" s="14">
        <v>0</v>
      </c>
      <c r="N24" s="16">
        <v>0</v>
      </c>
      <c r="O24" s="14">
        <v>0</v>
      </c>
      <c r="P24" s="16">
        <v>0</v>
      </c>
      <c r="Q24" s="14">
        <v>0</v>
      </c>
      <c r="R24" s="16">
        <v>0</v>
      </c>
    </row>
    <row r="25" spans="1:18" x14ac:dyDescent="0.25">
      <c r="A25" s="11" t="s">
        <v>158</v>
      </c>
      <c r="B25" s="13">
        <v>5581</v>
      </c>
      <c r="C25" s="14">
        <f>(4614/B25*100)</f>
        <v>82.673356029385417</v>
      </c>
      <c r="D25" s="15">
        <v>967</v>
      </c>
      <c r="E25" s="14">
        <v>29.951923180000001</v>
      </c>
      <c r="F25" s="16">
        <v>1.3935903999999999</v>
      </c>
      <c r="G25" s="14">
        <v>70.048076820000006</v>
      </c>
      <c r="H25" s="16">
        <v>1.3935903999999999</v>
      </c>
      <c r="I25" s="14" t="s">
        <v>139</v>
      </c>
      <c r="J25" s="16" t="s">
        <v>139</v>
      </c>
      <c r="K25" s="14">
        <v>0</v>
      </c>
      <c r="L25" s="16">
        <v>0</v>
      </c>
      <c r="M25" s="14">
        <v>0</v>
      </c>
      <c r="N25" s="16">
        <v>0</v>
      </c>
      <c r="O25" s="14">
        <v>0</v>
      </c>
      <c r="P25" s="16">
        <v>0</v>
      </c>
      <c r="Q25" s="14">
        <v>0</v>
      </c>
      <c r="R25" s="16">
        <v>0</v>
      </c>
    </row>
    <row r="26" spans="1:18" x14ac:dyDescent="0.25">
      <c r="A26" s="11" t="s">
        <v>159</v>
      </c>
      <c r="B26" s="13">
        <v>4869</v>
      </c>
      <c r="C26" s="14">
        <f>(4031/B26*100)</f>
        <v>82.789073731772433</v>
      </c>
      <c r="D26" s="15">
        <v>838</v>
      </c>
      <c r="E26" s="14">
        <v>32.31232705</v>
      </c>
      <c r="F26" s="16">
        <v>1.76608747</v>
      </c>
      <c r="G26" s="14">
        <v>67.687672950000007</v>
      </c>
      <c r="H26" s="16">
        <v>1.76608747</v>
      </c>
      <c r="I26" s="14" t="s">
        <v>139</v>
      </c>
      <c r="J26" s="16" t="s">
        <v>139</v>
      </c>
      <c r="K26" s="14">
        <v>0</v>
      </c>
      <c r="L26" s="16">
        <v>0</v>
      </c>
      <c r="M26" s="14">
        <v>0</v>
      </c>
      <c r="N26" s="16">
        <v>0</v>
      </c>
      <c r="O26" s="14">
        <v>0</v>
      </c>
      <c r="P26" s="16">
        <v>0</v>
      </c>
      <c r="Q26" s="14">
        <v>0</v>
      </c>
      <c r="R26" s="16">
        <v>0</v>
      </c>
    </row>
    <row r="27" spans="1:18" x14ac:dyDescent="0.25">
      <c r="A27" s="11" t="s">
        <v>160</v>
      </c>
      <c r="B27" s="13">
        <v>5299</v>
      </c>
      <c r="C27" s="14">
        <f>(4381/B27*100)</f>
        <v>82.675976599358364</v>
      </c>
      <c r="D27" s="15">
        <v>918</v>
      </c>
      <c r="E27" s="14">
        <v>30.432425500000001</v>
      </c>
      <c r="F27" s="16">
        <v>1.6077792900000001</v>
      </c>
      <c r="G27" s="14">
        <v>69.567574500000006</v>
      </c>
      <c r="H27" s="16">
        <v>1.6077792900000001</v>
      </c>
      <c r="I27" s="14" t="s">
        <v>139</v>
      </c>
      <c r="J27" s="16" t="s">
        <v>139</v>
      </c>
      <c r="K27" s="14">
        <v>0</v>
      </c>
      <c r="L27" s="16">
        <v>0</v>
      </c>
      <c r="M27" s="14">
        <v>0</v>
      </c>
      <c r="N27" s="16">
        <v>0</v>
      </c>
      <c r="O27" s="14">
        <v>0</v>
      </c>
      <c r="P27" s="16">
        <v>0</v>
      </c>
      <c r="Q27" s="14">
        <v>0</v>
      </c>
      <c r="R27" s="16">
        <v>0</v>
      </c>
    </row>
    <row r="28" spans="1:18" x14ac:dyDescent="0.25">
      <c r="A28" s="11" t="s">
        <v>161</v>
      </c>
      <c r="B28" s="13">
        <v>7568</v>
      </c>
      <c r="C28" s="14">
        <f>(6267/B28*100)</f>
        <v>82.809196617336156</v>
      </c>
      <c r="D28" s="15">
        <v>1301</v>
      </c>
      <c r="E28" s="14">
        <v>27.1780638</v>
      </c>
      <c r="F28" s="16">
        <v>1.3114023699999999</v>
      </c>
      <c r="G28" s="14">
        <v>72.821936199999996</v>
      </c>
      <c r="H28" s="16">
        <v>1.3114023699999999</v>
      </c>
      <c r="I28" s="14" t="s">
        <v>139</v>
      </c>
      <c r="J28" s="16" t="s">
        <v>139</v>
      </c>
      <c r="K28" s="14">
        <v>0</v>
      </c>
      <c r="L28" s="16">
        <v>0</v>
      </c>
      <c r="M28" s="14">
        <v>0</v>
      </c>
      <c r="N28" s="16">
        <v>0</v>
      </c>
      <c r="O28" s="14">
        <v>0</v>
      </c>
      <c r="P28" s="16">
        <v>0</v>
      </c>
      <c r="Q28" s="14">
        <v>0</v>
      </c>
      <c r="R28" s="16">
        <v>0</v>
      </c>
    </row>
    <row r="29" spans="1:18" x14ac:dyDescent="0.25">
      <c r="A29" s="11" t="s">
        <v>162</v>
      </c>
      <c r="B29" s="13">
        <v>5385</v>
      </c>
      <c r="C29" s="14">
        <f>(4499/B29*100)</f>
        <v>83.546889507892303</v>
      </c>
      <c r="D29" s="15">
        <v>886</v>
      </c>
      <c r="E29" s="14">
        <v>23.618624010000001</v>
      </c>
      <c r="F29" s="16">
        <v>1.3644497799999999</v>
      </c>
      <c r="G29" s="14">
        <v>76.381375989999995</v>
      </c>
      <c r="H29" s="16">
        <v>1.3644497799999999</v>
      </c>
      <c r="I29" s="14" t="s">
        <v>139</v>
      </c>
      <c r="J29" s="16" t="s">
        <v>139</v>
      </c>
      <c r="K29" s="14">
        <v>0</v>
      </c>
      <c r="L29" s="16">
        <v>0</v>
      </c>
      <c r="M29" s="14">
        <v>0</v>
      </c>
      <c r="N29" s="16">
        <v>0</v>
      </c>
      <c r="O29" s="14">
        <v>0</v>
      </c>
      <c r="P29" s="16">
        <v>0</v>
      </c>
      <c r="Q29" s="14">
        <v>0</v>
      </c>
      <c r="R29" s="16">
        <v>0</v>
      </c>
    </row>
    <row r="30" spans="1:18" x14ac:dyDescent="0.25">
      <c r="A30" s="11" t="s">
        <v>163</v>
      </c>
      <c r="B30" s="13">
        <v>4520</v>
      </c>
      <c r="C30" s="14">
        <f>(3777/B30*100)</f>
        <v>83.561946902654867</v>
      </c>
      <c r="D30" s="15">
        <v>743</v>
      </c>
      <c r="E30" s="14">
        <v>29.172488120000001</v>
      </c>
      <c r="F30" s="16">
        <v>2.0019417000000002</v>
      </c>
      <c r="G30" s="14">
        <v>70.827511880000003</v>
      </c>
      <c r="H30" s="16">
        <v>2.0019417000000002</v>
      </c>
      <c r="I30" s="14" t="s">
        <v>139</v>
      </c>
      <c r="J30" s="16" t="s">
        <v>139</v>
      </c>
      <c r="K30" s="14">
        <v>0</v>
      </c>
      <c r="L30" s="16">
        <v>0</v>
      </c>
      <c r="M30" s="14">
        <v>0</v>
      </c>
      <c r="N30" s="16">
        <v>0</v>
      </c>
      <c r="O30" s="14">
        <v>0</v>
      </c>
      <c r="P30" s="16">
        <v>0</v>
      </c>
      <c r="Q30" s="14">
        <v>0</v>
      </c>
      <c r="R30" s="16">
        <v>0</v>
      </c>
    </row>
    <row r="31" spans="1:18" x14ac:dyDescent="0.25">
      <c r="A31" s="11" t="s">
        <v>164</v>
      </c>
      <c r="B31" s="13">
        <v>5456</v>
      </c>
      <c r="C31" s="14">
        <f>(4533/B31*100)</f>
        <v>83.082844574780054</v>
      </c>
      <c r="D31" s="15">
        <v>923</v>
      </c>
      <c r="E31" s="14">
        <v>23.001699980000001</v>
      </c>
      <c r="F31" s="16">
        <v>1.48052473</v>
      </c>
      <c r="G31" s="14">
        <v>76.998300020000002</v>
      </c>
      <c r="H31" s="16">
        <v>1.48052473</v>
      </c>
      <c r="I31" s="14" t="s">
        <v>139</v>
      </c>
      <c r="J31" s="16" t="s">
        <v>139</v>
      </c>
      <c r="K31" s="14">
        <v>0</v>
      </c>
      <c r="L31" s="16">
        <v>0</v>
      </c>
      <c r="M31" s="14">
        <v>0</v>
      </c>
      <c r="N31" s="16">
        <v>0</v>
      </c>
      <c r="O31" s="14">
        <v>0</v>
      </c>
      <c r="P31" s="16">
        <v>0</v>
      </c>
      <c r="Q31" s="14">
        <v>0</v>
      </c>
      <c r="R31" s="16">
        <v>0</v>
      </c>
    </row>
    <row r="32" spans="1:18" x14ac:dyDescent="0.25">
      <c r="A32" s="11" t="s">
        <v>165</v>
      </c>
      <c r="B32" s="17" t="s">
        <v>154</v>
      </c>
      <c r="C32" s="17" t="s">
        <v>154</v>
      </c>
      <c r="D32" s="18" t="s">
        <v>154</v>
      </c>
      <c r="E32" s="17" t="s">
        <v>154</v>
      </c>
      <c r="F32" s="18" t="s">
        <v>154</v>
      </c>
      <c r="G32" s="17" t="s">
        <v>154</v>
      </c>
      <c r="H32" s="18" t="s">
        <v>154</v>
      </c>
      <c r="I32" s="17" t="s">
        <v>154</v>
      </c>
      <c r="J32" s="18" t="s">
        <v>154</v>
      </c>
      <c r="K32" s="17" t="s">
        <v>154</v>
      </c>
      <c r="L32" s="18" t="s">
        <v>154</v>
      </c>
      <c r="M32" s="17" t="s">
        <v>154</v>
      </c>
      <c r="N32" s="18" t="s">
        <v>154</v>
      </c>
      <c r="O32" s="17" t="s">
        <v>154</v>
      </c>
      <c r="P32" s="18" t="s">
        <v>154</v>
      </c>
      <c r="Q32" s="17" t="s">
        <v>154</v>
      </c>
      <c r="R32" s="18" t="s">
        <v>154</v>
      </c>
    </row>
    <row r="33" spans="1:18" x14ac:dyDescent="0.25">
      <c r="A33" s="11" t="s">
        <v>166</v>
      </c>
      <c r="B33" s="13">
        <v>7325</v>
      </c>
      <c r="C33" s="14">
        <f>(6079/B33*100)</f>
        <v>82.989761092150175</v>
      </c>
      <c r="D33" s="15">
        <v>1246</v>
      </c>
      <c r="E33" s="14">
        <v>25.98918449</v>
      </c>
      <c r="F33" s="16">
        <v>1.46523856</v>
      </c>
      <c r="G33" s="14">
        <v>74.01081551</v>
      </c>
      <c r="H33" s="16">
        <v>1.46523856</v>
      </c>
      <c r="I33" s="14" t="s">
        <v>139</v>
      </c>
      <c r="J33" s="16" t="s">
        <v>139</v>
      </c>
      <c r="K33" s="14">
        <v>0</v>
      </c>
      <c r="L33" s="16">
        <v>0</v>
      </c>
      <c r="M33" s="14">
        <v>0</v>
      </c>
      <c r="N33" s="16">
        <v>0</v>
      </c>
      <c r="O33" s="14">
        <v>0</v>
      </c>
      <c r="P33" s="16">
        <v>0</v>
      </c>
      <c r="Q33" s="14">
        <v>0</v>
      </c>
      <c r="R33" s="16">
        <v>0</v>
      </c>
    </row>
    <row r="34" spans="1:18" x14ac:dyDescent="0.25">
      <c r="A34" s="11" t="s">
        <v>167</v>
      </c>
      <c r="B34" s="13">
        <v>6350</v>
      </c>
      <c r="C34" s="14">
        <f>(5292/B34*100)</f>
        <v>83.338582677165348</v>
      </c>
      <c r="D34" s="15">
        <v>1058</v>
      </c>
      <c r="E34" s="14">
        <v>31.428781900000001</v>
      </c>
      <c r="F34" s="16">
        <v>1.45313106</v>
      </c>
      <c r="G34" s="14">
        <v>68.571218099999996</v>
      </c>
      <c r="H34" s="16">
        <v>1.45313106</v>
      </c>
      <c r="I34" s="14" t="s">
        <v>139</v>
      </c>
      <c r="J34" s="16" t="s">
        <v>139</v>
      </c>
      <c r="K34" s="14">
        <v>0</v>
      </c>
      <c r="L34" s="16">
        <v>0</v>
      </c>
      <c r="M34" s="14">
        <v>0</v>
      </c>
      <c r="N34" s="16">
        <v>0</v>
      </c>
      <c r="O34" s="14">
        <v>0</v>
      </c>
      <c r="P34" s="16">
        <v>0</v>
      </c>
      <c r="Q34" s="14">
        <v>0</v>
      </c>
      <c r="R34" s="16">
        <v>0</v>
      </c>
    </row>
    <row r="35" spans="1:18" x14ac:dyDescent="0.25">
      <c r="A35" s="11" t="s">
        <v>168</v>
      </c>
      <c r="B35" s="13">
        <v>6406</v>
      </c>
      <c r="C35" s="14">
        <f>(5349/B35*100)</f>
        <v>83.499843896347173</v>
      </c>
      <c r="D35" s="15">
        <v>1057</v>
      </c>
      <c r="E35" s="14">
        <v>19.86128038</v>
      </c>
      <c r="F35" s="16">
        <v>1.54860299</v>
      </c>
      <c r="G35" s="14">
        <v>80.138719620000003</v>
      </c>
      <c r="H35" s="16">
        <v>1.54860299</v>
      </c>
      <c r="I35" s="14" t="s">
        <v>139</v>
      </c>
      <c r="J35" s="16" t="s">
        <v>139</v>
      </c>
      <c r="K35" s="14">
        <v>0</v>
      </c>
      <c r="L35" s="16">
        <v>0</v>
      </c>
      <c r="M35" s="14">
        <v>0</v>
      </c>
      <c r="N35" s="16">
        <v>0</v>
      </c>
      <c r="O35" s="14">
        <v>0</v>
      </c>
      <c r="P35" s="16">
        <v>0</v>
      </c>
      <c r="Q35" s="14">
        <v>0</v>
      </c>
      <c r="R35" s="16">
        <v>0</v>
      </c>
    </row>
    <row r="36" spans="1:18" x14ac:dyDescent="0.25">
      <c r="A36" s="11" t="s">
        <v>169</v>
      </c>
      <c r="B36" s="13">
        <v>6736</v>
      </c>
      <c r="C36" s="14">
        <f>(5576/B36*100)</f>
        <v>82.779097387173394</v>
      </c>
      <c r="D36" s="15">
        <v>1160</v>
      </c>
      <c r="E36" s="14">
        <v>23.524008819999999</v>
      </c>
      <c r="F36" s="16">
        <v>1.3155819499999999</v>
      </c>
      <c r="G36" s="14">
        <v>76.475991179999994</v>
      </c>
      <c r="H36" s="16">
        <v>1.3155819499999999</v>
      </c>
      <c r="I36" s="14" t="s">
        <v>139</v>
      </c>
      <c r="J36" s="16" t="s">
        <v>139</v>
      </c>
      <c r="K36" s="14">
        <v>0</v>
      </c>
      <c r="L36" s="16">
        <v>0</v>
      </c>
      <c r="M36" s="14">
        <v>0</v>
      </c>
      <c r="N36" s="16">
        <v>0</v>
      </c>
      <c r="O36" s="14">
        <v>0</v>
      </c>
      <c r="P36" s="16">
        <v>0</v>
      </c>
      <c r="Q36" s="14">
        <v>0</v>
      </c>
      <c r="R36" s="16">
        <v>0</v>
      </c>
    </row>
    <row r="37" spans="1:18" x14ac:dyDescent="0.25">
      <c r="A37" s="11" t="s">
        <v>170</v>
      </c>
      <c r="B37" s="13">
        <v>5458</v>
      </c>
      <c r="C37" s="14">
        <f>(4538/B37*100)</f>
        <v>83.144008794430192</v>
      </c>
      <c r="D37" s="15">
        <v>920</v>
      </c>
      <c r="E37" s="14">
        <v>20.269849740000002</v>
      </c>
      <c r="F37" s="16">
        <v>1.2446065900000001</v>
      </c>
      <c r="G37" s="14">
        <v>79.730150260000002</v>
      </c>
      <c r="H37" s="16">
        <v>1.2446065900000001</v>
      </c>
      <c r="I37" s="14" t="s">
        <v>139</v>
      </c>
      <c r="J37" s="16" t="s">
        <v>139</v>
      </c>
      <c r="K37" s="14">
        <v>0</v>
      </c>
      <c r="L37" s="16">
        <v>0</v>
      </c>
      <c r="M37" s="14">
        <v>0</v>
      </c>
      <c r="N37" s="16">
        <v>0</v>
      </c>
      <c r="O37" s="14">
        <v>0</v>
      </c>
      <c r="P37" s="16">
        <v>0</v>
      </c>
      <c r="Q37" s="14">
        <v>0</v>
      </c>
      <c r="R37" s="16">
        <v>0</v>
      </c>
    </row>
    <row r="38" spans="1:18" x14ac:dyDescent="0.25">
      <c r="A38" s="11" t="s">
        <v>171</v>
      </c>
      <c r="B38" s="17" t="s">
        <v>154</v>
      </c>
      <c r="C38" s="17" t="s">
        <v>154</v>
      </c>
      <c r="D38" s="18" t="s">
        <v>154</v>
      </c>
      <c r="E38" s="17" t="s">
        <v>154</v>
      </c>
      <c r="F38" s="18" t="s">
        <v>154</v>
      </c>
      <c r="G38" s="17" t="s">
        <v>154</v>
      </c>
      <c r="H38" s="18" t="s">
        <v>154</v>
      </c>
      <c r="I38" s="17" t="s">
        <v>154</v>
      </c>
      <c r="J38" s="18" t="s">
        <v>154</v>
      </c>
      <c r="K38" s="17" t="s">
        <v>154</v>
      </c>
      <c r="L38" s="18" t="s">
        <v>154</v>
      </c>
      <c r="M38" s="17" t="s">
        <v>154</v>
      </c>
      <c r="N38" s="18" t="s">
        <v>154</v>
      </c>
      <c r="O38" s="17" t="s">
        <v>154</v>
      </c>
      <c r="P38" s="18" t="s">
        <v>154</v>
      </c>
      <c r="Q38" s="17" t="s">
        <v>154</v>
      </c>
      <c r="R38" s="18" t="s">
        <v>154</v>
      </c>
    </row>
    <row r="39" spans="1:18" x14ac:dyDescent="0.25">
      <c r="A39" s="11" t="s">
        <v>172</v>
      </c>
      <c r="B39" s="13">
        <v>5895</v>
      </c>
      <c r="C39" s="14">
        <f>(4863/B39*100)</f>
        <v>82.493638676844782</v>
      </c>
      <c r="D39" s="15">
        <v>1032</v>
      </c>
      <c r="E39" s="14">
        <v>47.85458277</v>
      </c>
      <c r="F39" s="16">
        <v>1.4855852899999999</v>
      </c>
      <c r="G39" s="14">
        <v>52.14541723</v>
      </c>
      <c r="H39" s="16">
        <v>1.4855852899999999</v>
      </c>
      <c r="I39" s="14" t="s">
        <v>139</v>
      </c>
      <c r="J39" s="16" t="s">
        <v>139</v>
      </c>
      <c r="K39" s="14">
        <v>0</v>
      </c>
      <c r="L39" s="16">
        <v>0</v>
      </c>
      <c r="M39" s="14">
        <v>0</v>
      </c>
      <c r="N39" s="16">
        <v>0</v>
      </c>
      <c r="O39" s="14">
        <v>0</v>
      </c>
      <c r="P39" s="16">
        <v>0</v>
      </c>
      <c r="Q39" s="14">
        <v>0</v>
      </c>
      <c r="R39" s="16">
        <v>0</v>
      </c>
    </row>
    <row r="40" spans="1:18" x14ac:dyDescent="0.25">
      <c r="A40" s="11" t="s">
        <v>173</v>
      </c>
      <c r="B40" s="13">
        <v>14157</v>
      </c>
      <c r="C40" s="14">
        <f>(11728/B40*100)</f>
        <v>82.842410115137383</v>
      </c>
      <c r="D40" s="15">
        <v>2429</v>
      </c>
      <c r="E40" s="14">
        <v>27.024772209999998</v>
      </c>
      <c r="F40" s="16">
        <v>1.4406523600000001</v>
      </c>
      <c r="G40" s="14">
        <v>72.975227790000005</v>
      </c>
      <c r="H40" s="16">
        <v>1.4406523600000001</v>
      </c>
      <c r="I40" s="14" t="s">
        <v>139</v>
      </c>
      <c r="J40" s="16" t="s">
        <v>139</v>
      </c>
      <c r="K40" s="14">
        <v>0</v>
      </c>
      <c r="L40" s="16">
        <v>0</v>
      </c>
      <c r="M40" s="14">
        <v>0</v>
      </c>
      <c r="N40" s="16">
        <v>0</v>
      </c>
      <c r="O40" s="14">
        <v>0</v>
      </c>
      <c r="P40" s="16">
        <v>0</v>
      </c>
      <c r="Q40" s="14">
        <v>0</v>
      </c>
      <c r="R40" s="16">
        <v>0</v>
      </c>
    </row>
    <row r="41" spans="1:18" x14ac:dyDescent="0.25">
      <c r="A41" s="11" t="s">
        <v>174</v>
      </c>
      <c r="B41" s="13">
        <v>5712</v>
      </c>
      <c r="C41" s="14">
        <f>(4723/B41*100)</f>
        <v>82.685574229691866</v>
      </c>
      <c r="D41" s="15">
        <v>989</v>
      </c>
      <c r="E41" s="14">
        <v>34.104688469999999</v>
      </c>
      <c r="F41" s="16">
        <v>1.9430015</v>
      </c>
      <c r="G41" s="14">
        <v>65.895311530000001</v>
      </c>
      <c r="H41" s="16">
        <v>1.9430015</v>
      </c>
      <c r="I41" s="14" t="s">
        <v>139</v>
      </c>
      <c r="J41" s="16" t="s">
        <v>139</v>
      </c>
      <c r="K41" s="14">
        <v>0</v>
      </c>
      <c r="L41" s="16">
        <v>0</v>
      </c>
      <c r="M41" s="14">
        <v>0</v>
      </c>
      <c r="N41" s="16">
        <v>0</v>
      </c>
      <c r="O41" s="14">
        <v>0</v>
      </c>
      <c r="P41" s="16">
        <v>0</v>
      </c>
      <c r="Q41" s="14">
        <v>0</v>
      </c>
      <c r="R41" s="16">
        <v>0</v>
      </c>
    </row>
    <row r="42" spans="1:18" x14ac:dyDescent="0.25">
      <c r="A42" s="11" t="s">
        <v>175</v>
      </c>
      <c r="B42" s="13">
        <f>IF(COUNT(B7:B41) &gt; 0, AVERAGE(B7:B41), "\u2014")</f>
        <v>7266.90625</v>
      </c>
      <c r="C42" s="14">
        <f>IF(COUNT(C7:C41) &gt; 0, AVERAGE(C7:C41), "—")</f>
        <v>82.986990075105098</v>
      </c>
      <c r="D42" s="15">
        <f>IF(COUNT(D7:D41) &gt; 0, AVERAGE(D7:D41), "—")</f>
        <v>1237.25</v>
      </c>
      <c r="E42" s="14">
        <f>IF(COUNT(E7:E41) &gt; 0, AVERAGE(E7:E41), "—")</f>
        <v>27.719848303437502</v>
      </c>
      <c r="F42" s="16">
        <f>IF(COUNT(F7:F41) &gt; 0, SQRT(SUMSQ(F7:F41)/(COUNT(F7:F41)*COUNT(F7:F41)) ), "—")</f>
        <v>0.26011576747263893</v>
      </c>
      <c r="G42" s="14">
        <f>IF(COUNT(G7:G41) &gt; 0, AVERAGE(G7:G41), "—")</f>
        <v>72.280151696562498</v>
      </c>
      <c r="H42" s="16">
        <f>IF(COUNT(H7:H41) &gt; 0, SQRT(SUMSQ(H7:H41)/(COUNT(H7:H41)*COUNT(H7:H41)) ), "—")</f>
        <v>0.26011576747263893</v>
      </c>
      <c r="I42" s="14" t="str">
        <f>IF(COUNT(I7:I41) &gt; 0, AVERAGE(I7:I41), "—")</f>
        <v>—</v>
      </c>
      <c r="J42" s="16" t="str">
        <f>IF(COUNT(J7:J41) &gt; 0, SQRT(SUMSQ(J7:J41)/(COUNT(J7:J41)*COUNT(J7:J41)) ), "—")</f>
        <v>—</v>
      </c>
      <c r="K42" s="14">
        <f>IF(COUNT(K7:K41) &gt; 0, AVERAGE(K7:K41), "—")</f>
        <v>0</v>
      </c>
      <c r="L42" s="16">
        <f>IF(COUNT(L7:L41) &gt; 0, SQRT(SUMSQ(L7:L41)/(COUNT(L7:L41)*COUNT(L7:L41)) ), "—")</f>
        <v>0</v>
      </c>
      <c r="M42" s="14">
        <f>IF(COUNT(M7:M41) &gt; 0, AVERAGE(M7:M41), "—")</f>
        <v>0</v>
      </c>
      <c r="N42" s="16">
        <f>IF(COUNT(N7:N41) &gt; 0, SQRT(SUMSQ(N7:N41)/(COUNT(N7:N41)*COUNT(N7:N41)) ), "—")</f>
        <v>0</v>
      </c>
      <c r="O42" s="14">
        <f>IF(COUNT(O7:O41) &gt; 0, AVERAGE(O7:O41), "—")</f>
        <v>0</v>
      </c>
      <c r="P42" s="16">
        <f>IF(COUNT(P7:P41) &gt; 0, SQRT(SUMSQ(P7:P41)/(COUNT(P7:P41)*COUNT(P7:P41)) ), "—")</f>
        <v>0</v>
      </c>
      <c r="Q42" s="14">
        <f>IF(COUNT(Q7:Q41) &gt; 0, AVERAGE(Q7:Q41), "—")</f>
        <v>0</v>
      </c>
      <c r="R42" s="16">
        <f>IF(COUNT(R7:R41) &gt; 0, SQRT(SUMSQ(R7:R41)/(COUNT(R7:R41)*COUNT(R7:R41)) ), "—")</f>
        <v>0</v>
      </c>
    </row>
    <row r="43" spans="1:18" x14ac:dyDescent="0.25">
      <c r="A43" s="9" t="s">
        <v>176</v>
      </c>
      <c r="B43" s="10"/>
      <c r="C43" s="10"/>
      <c r="D43" s="11"/>
      <c r="E43" s="10"/>
      <c r="F43" s="11"/>
      <c r="G43" s="10"/>
      <c r="H43" s="11"/>
      <c r="I43" s="10"/>
      <c r="J43" s="11"/>
      <c r="K43" s="10"/>
      <c r="L43" s="11"/>
      <c r="M43" s="10"/>
      <c r="N43" s="11"/>
      <c r="O43" s="10"/>
      <c r="P43" s="11"/>
      <c r="Q43" s="10"/>
      <c r="R43" s="12"/>
    </row>
    <row r="44" spans="1:18" x14ac:dyDescent="0.25">
      <c r="A44" s="11" t="s">
        <v>177</v>
      </c>
      <c r="B44" s="17" t="s">
        <v>154</v>
      </c>
      <c r="C44" s="17" t="s">
        <v>154</v>
      </c>
      <c r="D44" s="18" t="s">
        <v>154</v>
      </c>
      <c r="E44" s="17" t="s">
        <v>154</v>
      </c>
      <c r="F44" s="18" t="s">
        <v>154</v>
      </c>
      <c r="G44" s="17" t="s">
        <v>154</v>
      </c>
      <c r="H44" s="18" t="s">
        <v>154</v>
      </c>
      <c r="I44" s="17" t="s">
        <v>154</v>
      </c>
      <c r="J44" s="18" t="s">
        <v>154</v>
      </c>
      <c r="K44" s="17" t="s">
        <v>154</v>
      </c>
      <c r="L44" s="18" t="s">
        <v>154</v>
      </c>
      <c r="M44" s="17" t="s">
        <v>154</v>
      </c>
      <c r="N44" s="18" t="s">
        <v>154</v>
      </c>
      <c r="O44" s="17" t="s">
        <v>154</v>
      </c>
      <c r="P44" s="18" t="s">
        <v>154</v>
      </c>
      <c r="Q44" s="17" t="s">
        <v>154</v>
      </c>
      <c r="R44" s="18" t="s">
        <v>154</v>
      </c>
    </row>
    <row r="45" spans="1:18" x14ac:dyDescent="0.25">
      <c r="A45" s="11" t="s">
        <v>178</v>
      </c>
      <c r="B45" s="17" t="s">
        <v>154</v>
      </c>
      <c r="C45" s="17" t="s">
        <v>154</v>
      </c>
      <c r="D45" s="18" t="s">
        <v>154</v>
      </c>
      <c r="E45" s="17" t="s">
        <v>154</v>
      </c>
      <c r="F45" s="18" t="s">
        <v>154</v>
      </c>
      <c r="G45" s="17" t="s">
        <v>154</v>
      </c>
      <c r="H45" s="18" t="s">
        <v>154</v>
      </c>
      <c r="I45" s="17" t="s">
        <v>154</v>
      </c>
      <c r="J45" s="18" t="s">
        <v>154</v>
      </c>
      <c r="K45" s="17" t="s">
        <v>154</v>
      </c>
      <c r="L45" s="18" t="s">
        <v>154</v>
      </c>
      <c r="M45" s="17" t="s">
        <v>154</v>
      </c>
      <c r="N45" s="18" t="s">
        <v>154</v>
      </c>
      <c r="O45" s="17" t="s">
        <v>154</v>
      </c>
      <c r="P45" s="18" t="s">
        <v>154</v>
      </c>
      <c r="Q45" s="17" t="s">
        <v>154</v>
      </c>
      <c r="R45" s="18" t="s">
        <v>154</v>
      </c>
    </row>
    <row r="46" spans="1:18" x14ac:dyDescent="0.25">
      <c r="A46" s="11" t="s">
        <v>179</v>
      </c>
      <c r="B46" s="13">
        <v>23141</v>
      </c>
      <c r="C46" s="14">
        <f>(19486/B46*100)</f>
        <v>84.205522665399073</v>
      </c>
      <c r="D46" s="15">
        <v>3655</v>
      </c>
      <c r="E46" s="14">
        <v>52.809570260000001</v>
      </c>
      <c r="F46" s="16">
        <v>1.1014767700000001</v>
      </c>
      <c r="G46" s="14">
        <v>47.190429739999999</v>
      </c>
      <c r="H46" s="16">
        <v>1.1014767700000001</v>
      </c>
      <c r="I46" s="14" t="s">
        <v>139</v>
      </c>
      <c r="J46" s="16" t="s">
        <v>139</v>
      </c>
      <c r="K46" s="14">
        <v>0</v>
      </c>
      <c r="L46" s="16">
        <v>0</v>
      </c>
      <c r="M46" s="14">
        <v>0</v>
      </c>
      <c r="N46" s="16">
        <v>0</v>
      </c>
      <c r="O46" s="14">
        <v>0</v>
      </c>
      <c r="P46" s="16">
        <v>0</v>
      </c>
      <c r="Q46" s="14">
        <v>0</v>
      </c>
      <c r="R46" s="16">
        <v>0</v>
      </c>
    </row>
    <row r="47" spans="1:18" x14ac:dyDescent="0.25">
      <c r="A47" s="11" t="s">
        <v>180</v>
      </c>
      <c r="B47" s="13">
        <v>5928</v>
      </c>
      <c r="C47" s="14">
        <f>(4906/B47*100)</f>
        <v>82.759784075573549</v>
      </c>
      <c r="D47" s="15">
        <v>1022</v>
      </c>
      <c r="E47" s="14">
        <v>35.082260359999999</v>
      </c>
      <c r="F47" s="16">
        <v>1.49271029</v>
      </c>
      <c r="G47" s="14">
        <v>64.917739639999994</v>
      </c>
      <c r="H47" s="16">
        <v>1.49271029</v>
      </c>
      <c r="I47" s="14" t="s">
        <v>139</v>
      </c>
      <c r="J47" s="16" t="s">
        <v>139</v>
      </c>
      <c r="K47" s="14">
        <v>0</v>
      </c>
      <c r="L47" s="16">
        <v>0</v>
      </c>
      <c r="M47" s="14">
        <v>0</v>
      </c>
      <c r="N47" s="16">
        <v>0</v>
      </c>
      <c r="O47" s="14">
        <v>0</v>
      </c>
      <c r="P47" s="16">
        <v>0</v>
      </c>
      <c r="Q47" s="14">
        <v>0</v>
      </c>
      <c r="R47" s="16">
        <v>0</v>
      </c>
    </row>
    <row r="48" spans="1:18" x14ac:dyDescent="0.25">
      <c r="A48" s="11" t="s">
        <v>181</v>
      </c>
      <c r="B48" s="13">
        <v>9841</v>
      </c>
      <c r="C48" s="14">
        <f>(8164/B48*100)</f>
        <v>82.959048877146628</v>
      </c>
      <c r="D48" s="15">
        <v>1677</v>
      </c>
      <c r="E48" s="14">
        <v>39.558907089999998</v>
      </c>
      <c r="F48" s="16">
        <v>1.7247270299999999</v>
      </c>
      <c r="G48" s="14">
        <v>60.441092910000002</v>
      </c>
      <c r="H48" s="16">
        <v>1.7247270299999999</v>
      </c>
      <c r="I48" s="14" t="s">
        <v>139</v>
      </c>
      <c r="J48" s="16" t="s">
        <v>139</v>
      </c>
      <c r="K48" s="14">
        <v>0</v>
      </c>
      <c r="L48" s="16">
        <v>0</v>
      </c>
      <c r="M48" s="14">
        <v>0</v>
      </c>
      <c r="N48" s="16">
        <v>0</v>
      </c>
      <c r="O48" s="14">
        <v>0</v>
      </c>
      <c r="P48" s="16">
        <v>0</v>
      </c>
      <c r="Q48" s="14">
        <v>0</v>
      </c>
      <c r="R48" s="16">
        <v>0</v>
      </c>
    </row>
    <row r="49" spans="1:18" x14ac:dyDescent="0.25">
      <c r="A49" s="11" t="s">
        <v>182</v>
      </c>
      <c r="B49" s="17" t="s">
        <v>154</v>
      </c>
      <c r="C49" s="17" t="s">
        <v>154</v>
      </c>
      <c r="D49" s="18" t="s">
        <v>154</v>
      </c>
      <c r="E49" s="17" t="s">
        <v>154</v>
      </c>
      <c r="F49" s="18" t="s">
        <v>154</v>
      </c>
      <c r="G49" s="17" t="s">
        <v>154</v>
      </c>
      <c r="H49" s="18" t="s">
        <v>154</v>
      </c>
      <c r="I49" s="17" t="s">
        <v>154</v>
      </c>
      <c r="J49" s="18" t="s">
        <v>154</v>
      </c>
      <c r="K49" s="17" t="s">
        <v>154</v>
      </c>
      <c r="L49" s="18" t="s">
        <v>154</v>
      </c>
      <c r="M49" s="17" t="s">
        <v>154</v>
      </c>
      <c r="N49" s="18" t="s">
        <v>154</v>
      </c>
      <c r="O49" s="17" t="s">
        <v>154</v>
      </c>
      <c r="P49" s="18" t="s">
        <v>154</v>
      </c>
      <c r="Q49" s="17" t="s">
        <v>154</v>
      </c>
      <c r="R49" s="18" t="s">
        <v>154</v>
      </c>
    </row>
    <row r="50" spans="1:18" x14ac:dyDescent="0.25">
      <c r="A50" s="11" t="s">
        <v>183</v>
      </c>
      <c r="B50" s="13">
        <v>11795</v>
      </c>
      <c r="C50" s="14">
        <f>(9762/B50*100)</f>
        <v>82.763883001271722</v>
      </c>
      <c r="D50" s="15">
        <v>2033</v>
      </c>
      <c r="E50" s="14">
        <v>46.607523860000001</v>
      </c>
      <c r="F50" s="16">
        <v>1.29284719</v>
      </c>
      <c r="G50" s="14">
        <v>53.392476139999999</v>
      </c>
      <c r="H50" s="16">
        <v>1.29284719</v>
      </c>
      <c r="I50" s="14" t="s">
        <v>139</v>
      </c>
      <c r="J50" s="16" t="s">
        <v>139</v>
      </c>
      <c r="K50" s="14">
        <v>0</v>
      </c>
      <c r="L50" s="16">
        <v>0</v>
      </c>
      <c r="M50" s="14">
        <v>0</v>
      </c>
      <c r="N50" s="16">
        <v>0</v>
      </c>
      <c r="O50" s="14">
        <v>0</v>
      </c>
      <c r="P50" s="16">
        <v>0</v>
      </c>
      <c r="Q50" s="14">
        <v>0</v>
      </c>
      <c r="R50" s="16">
        <v>0</v>
      </c>
    </row>
    <row r="51" spans="1:18" x14ac:dyDescent="0.25">
      <c r="A51" s="11" t="s">
        <v>184</v>
      </c>
      <c r="B51" s="13">
        <v>6866</v>
      </c>
      <c r="C51" s="14">
        <f>(5811/B51*100)</f>
        <v>84.634430527235651</v>
      </c>
      <c r="D51" s="15">
        <v>1055</v>
      </c>
      <c r="E51" s="14">
        <v>43.648209700000002</v>
      </c>
      <c r="F51" s="16">
        <v>1.6640285699999999</v>
      </c>
      <c r="G51" s="14">
        <v>56.351790299999998</v>
      </c>
      <c r="H51" s="16">
        <v>1.6640285699999999</v>
      </c>
      <c r="I51" s="14" t="s">
        <v>139</v>
      </c>
      <c r="J51" s="16" t="s">
        <v>139</v>
      </c>
      <c r="K51" s="14">
        <v>0</v>
      </c>
      <c r="L51" s="16">
        <v>0</v>
      </c>
      <c r="M51" s="14">
        <v>0</v>
      </c>
      <c r="N51" s="16">
        <v>0</v>
      </c>
      <c r="O51" s="14">
        <v>0</v>
      </c>
      <c r="P51" s="16">
        <v>0</v>
      </c>
      <c r="Q51" s="14">
        <v>0</v>
      </c>
      <c r="R51" s="16">
        <v>0</v>
      </c>
    </row>
    <row r="52" spans="1:18" x14ac:dyDescent="0.25">
      <c r="A52" s="11" t="s">
        <v>185</v>
      </c>
      <c r="B52" s="13">
        <v>5809</v>
      </c>
      <c r="C52" s="14">
        <f>(4829/B52*100)</f>
        <v>83.129626441728348</v>
      </c>
      <c r="D52" s="15">
        <v>980</v>
      </c>
      <c r="E52" s="14">
        <v>31.087301650000001</v>
      </c>
      <c r="F52" s="16">
        <v>1.5512425700000001</v>
      </c>
      <c r="G52" s="14">
        <v>68.912698349999999</v>
      </c>
      <c r="H52" s="16">
        <v>1.5512425700000001</v>
      </c>
      <c r="I52" s="14" t="s">
        <v>139</v>
      </c>
      <c r="J52" s="16" t="s">
        <v>139</v>
      </c>
      <c r="K52" s="14">
        <v>0</v>
      </c>
      <c r="L52" s="16">
        <v>0</v>
      </c>
      <c r="M52" s="14">
        <v>0</v>
      </c>
      <c r="N52" s="16">
        <v>0</v>
      </c>
      <c r="O52" s="14">
        <v>0</v>
      </c>
      <c r="P52" s="16">
        <v>0</v>
      </c>
      <c r="Q52" s="14">
        <v>0</v>
      </c>
      <c r="R52" s="16">
        <v>0</v>
      </c>
    </row>
    <row r="53" spans="1:18" x14ac:dyDescent="0.25">
      <c r="A53" s="11" t="s">
        <v>186</v>
      </c>
      <c r="B53" s="13">
        <v>5571</v>
      </c>
      <c r="C53" s="14">
        <f>(4631/B53*100)</f>
        <v>83.126907197989581</v>
      </c>
      <c r="D53" s="15">
        <v>940</v>
      </c>
      <c r="E53" s="14">
        <v>40.07214097</v>
      </c>
      <c r="F53" s="16">
        <v>1.4221256200000001</v>
      </c>
      <c r="G53" s="14">
        <v>59.92785903</v>
      </c>
      <c r="H53" s="16">
        <v>1.4221256200000001</v>
      </c>
      <c r="I53" s="14" t="s">
        <v>139</v>
      </c>
      <c r="J53" s="16" t="s">
        <v>139</v>
      </c>
      <c r="K53" s="14">
        <v>0</v>
      </c>
      <c r="L53" s="16">
        <v>0</v>
      </c>
      <c r="M53" s="14">
        <v>0</v>
      </c>
      <c r="N53" s="16">
        <v>0</v>
      </c>
      <c r="O53" s="14">
        <v>0</v>
      </c>
      <c r="P53" s="16">
        <v>0</v>
      </c>
      <c r="Q53" s="14">
        <v>0</v>
      </c>
      <c r="R53" s="16">
        <v>0</v>
      </c>
    </row>
    <row r="54" spans="1:18" x14ac:dyDescent="0.25">
      <c r="A54" s="11" t="s">
        <v>187</v>
      </c>
      <c r="B54" s="17" t="s">
        <v>154</v>
      </c>
      <c r="C54" s="17" t="s">
        <v>154</v>
      </c>
      <c r="D54" s="18" t="s">
        <v>154</v>
      </c>
      <c r="E54" s="17" t="s">
        <v>154</v>
      </c>
      <c r="F54" s="18" t="s">
        <v>154</v>
      </c>
      <c r="G54" s="17" t="s">
        <v>154</v>
      </c>
      <c r="H54" s="18" t="s">
        <v>154</v>
      </c>
      <c r="I54" s="17" t="s">
        <v>154</v>
      </c>
      <c r="J54" s="18" t="s">
        <v>154</v>
      </c>
      <c r="K54" s="17" t="s">
        <v>154</v>
      </c>
      <c r="L54" s="18" t="s">
        <v>154</v>
      </c>
      <c r="M54" s="17" t="s">
        <v>154</v>
      </c>
      <c r="N54" s="18" t="s">
        <v>154</v>
      </c>
      <c r="O54" s="17" t="s">
        <v>154</v>
      </c>
      <c r="P54" s="18" t="s">
        <v>154</v>
      </c>
      <c r="Q54" s="17" t="s">
        <v>154</v>
      </c>
      <c r="R54" s="18" t="s">
        <v>154</v>
      </c>
    </row>
    <row r="55" spans="1:18" x14ac:dyDescent="0.25">
      <c r="A55" s="11" t="s">
        <v>188</v>
      </c>
      <c r="B55" s="17" t="s">
        <v>154</v>
      </c>
      <c r="C55" s="17" t="s">
        <v>154</v>
      </c>
      <c r="D55" s="18" t="s">
        <v>154</v>
      </c>
      <c r="E55" s="17" t="s">
        <v>154</v>
      </c>
      <c r="F55" s="18" t="s">
        <v>154</v>
      </c>
      <c r="G55" s="17" t="s">
        <v>154</v>
      </c>
      <c r="H55" s="18" t="s">
        <v>154</v>
      </c>
      <c r="I55" s="17" t="s">
        <v>154</v>
      </c>
      <c r="J55" s="18" t="s">
        <v>154</v>
      </c>
      <c r="K55" s="17" t="s">
        <v>154</v>
      </c>
      <c r="L55" s="18" t="s">
        <v>154</v>
      </c>
      <c r="M55" s="17" t="s">
        <v>154</v>
      </c>
      <c r="N55" s="18" t="s">
        <v>154</v>
      </c>
      <c r="O55" s="17" t="s">
        <v>154</v>
      </c>
      <c r="P55" s="18" t="s">
        <v>154</v>
      </c>
      <c r="Q55" s="17" t="s">
        <v>154</v>
      </c>
      <c r="R55" s="18" t="s">
        <v>154</v>
      </c>
    </row>
    <row r="56" spans="1:18" x14ac:dyDescent="0.25">
      <c r="A56" s="11" t="s">
        <v>189</v>
      </c>
      <c r="B56" s="13">
        <v>5359</v>
      </c>
      <c r="C56" s="14">
        <f>(4442/B56*100)</f>
        <v>82.888598619145355</v>
      </c>
      <c r="D56" s="15">
        <v>917</v>
      </c>
      <c r="E56" s="14">
        <v>30.577284599999999</v>
      </c>
      <c r="F56" s="16">
        <v>1.4192256400000001</v>
      </c>
      <c r="G56" s="14">
        <v>69.422715400000001</v>
      </c>
      <c r="H56" s="16">
        <v>1.4192256400000001</v>
      </c>
      <c r="I56" s="14" t="s">
        <v>139</v>
      </c>
      <c r="J56" s="16" t="s">
        <v>139</v>
      </c>
      <c r="K56" s="14">
        <v>0</v>
      </c>
      <c r="L56" s="16">
        <v>0</v>
      </c>
      <c r="M56" s="14">
        <v>0</v>
      </c>
      <c r="N56" s="16">
        <v>0</v>
      </c>
      <c r="O56" s="14">
        <v>0</v>
      </c>
      <c r="P56" s="16">
        <v>0</v>
      </c>
      <c r="Q56" s="14">
        <v>0</v>
      </c>
      <c r="R56" s="16">
        <v>0</v>
      </c>
    </row>
    <row r="57" spans="1:18" x14ac:dyDescent="0.25">
      <c r="A57" s="11" t="s">
        <v>190</v>
      </c>
      <c r="B57" s="17" t="s">
        <v>154</v>
      </c>
      <c r="C57" s="17" t="s">
        <v>154</v>
      </c>
      <c r="D57" s="18" t="s">
        <v>154</v>
      </c>
      <c r="E57" s="17" t="s">
        <v>154</v>
      </c>
      <c r="F57" s="18" t="s">
        <v>154</v>
      </c>
      <c r="G57" s="17" t="s">
        <v>154</v>
      </c>
      <c r="H57" s="18" t="s">
        <v>154</v>
      </c>
      <c r="I57" s="17" t="s">
        <v>154</v>
      </c>
      <c r="J57" s="18" t="s">
        <v>154</v>
      </c>
      <c r="K57" s="17" t="s">
        <v>154</v>
      </c>
      <c r="L57" s="18" t="s">
        <v>154</v>
      </c>
      <c r="M57" s="17" t="s">
        <v>154</v>
      </c>
      <c r="N57" s="18" t="s">
        <v>154</v>
      </c>
      <c r="O57" s="17" t="s">
        <v>154</v>
      </c>
      <c r="P57" s="18" t="s">
        <v>154</v>
      </c>
      <c r="Q57" s="17" t="s">
        <v>154</v>
      </c>
      <c r="R57" s="18" t="s">
        <v>154</v>
      </c>
    </row>
    <row r="58" spans="1:18" x14ac:dyDescent="0.25">
      <c r="A58" s="11" t="s">
        <v>191</v>
      </c>
      <c r="B58" s="17" t="s">
        <v>154</v>
      </c>
      <c r="C58" s="17" t="s">
        <v>154</v>
      </c>
      <c r="D58" s="18" t="s">
        <v>154</v>
      </c>
      <c r="E58" s="17" t="s">
        <v>154</v>
      </c>
      <c r="F58" s="18" t="s">
        <v>154</v>
      </c>
      <c r="G58" s="17" t="s">
        <v>154</v>
      </c>
      <c r="H58" s="18" t="s">
        <v>154</v>
      </c>
      <c r="I58" s="17" t="s">
        <v>154</v>
      </c>
      <c r="J58" s="18" t="s">
        <v>154</v>
      </c>
      <c r="K58" s="17" t="s">
        <v>154</v>
      </c>
      <c r="L58" s="18" t="s">
        <v>154</v>
      </c>
      <c r="M58" s="17" t="s">
        <v>154</v>
      </c>
      <c r="N58" s="18" t="s">
        <v>154</v>
      </c>
      <c r="O58" s="17" t="s">
        <v>154</v>
      </c>
      <c r="P58" s="18" t="s">
        <v>154</v>
      </c>
      <c r="Q58" s="17" t="s">
        <v>154</v>
      </c>
      <c r="R58" s="18" t="s">
        <v>154</v>
      </c>
    </row>
    <row r="59" spans="1:18" x14ac:dyDescent="0.25">
      <c r="A59" s="11" t="s">
        <v>192</v>
      </c>
      <c r="B59" s="17" t="s">
        <v>154</v>
      </c>
      <c r="C59" s="17" t="s">
        <v>154</v>
      </c>
      <c r="D59" s="18" t="s">
        <v>154</v>
      </c>
      <c r="E59" s="17" t="s">
        <v>154</v>
      </c>
      <c r="F59" s="18" t="s">
        <v>154</v>
      </c>
      <c r="G59" s="17" t="s">
        <v>154</v>
      </c>
      <c r="H59" s="18" t="s">
        <v>154</v>
      </c>
      <c r="I59" s="17" t="s">
        <v>154</v>
      </c>
      <c r="J59" s="18" t="s">
        <v>154</v>
      </c>
      <c r="K59" s="17" t="s">
        <v>154</v>
      </c>
      <c r="L59" s="18" t="s">
        <v>154</v>
      </c>
      <c r="M59" s="17" t="s">
        <v>154</v>
      </c>
      <c r="N59" s="18" t="s">
        <v>154</v>
      </c>
      <c r="O59" s="17" t="s">
        <v>154</v>
      </c>
      <c r="P59" s="18" t="s">
        <v>154</v>
      </c>
      <c r="Q59" s="17" t="s">
        <v>154</v>
      </c>
      <c r="R59" s="18" t="s">
        <v>154</v>
      </c>
    </row>
    <row r="60" spans="1:18" x14ac:dyDescent="0.25">
      <c r="A60" s="11" t="s">
        <v>193</v>
      </c>
      <c r="B60" s="17" t="s">
        <v>154</v>
      </c>
      <c r="C60" s="17" t="s">
        <v>154</v>
      </c>
      <c r="D60" s="18" t="s">
        <v>154</v>
      </c>
      <c r="E60" s="17" t="s">
        <v>154</v>
      </c>
      <c r="F60" s="18" t="s">
        <v>154</v>
      </c>
      <c r="G60" s="17" t="s">
        <v>154</v>
      </c>
      <c r="H60" s="18" t="s">
        <v>154</v>
      </c>
      <c r="I60" s="17" t="s">
        <v>154</v>
      </c>
      <c r="J60" s="18" t="s">
        <v>154</v>
      </c>
      <c r="K60" s="17" t="s">
        <v>154</v>
      </c>
      <c r="L60" s="18" t="s">
        <v>154</v>
      </c>
      <c r="M60" s="17" t="s">
        <v>154</v>
      </c>
      <c r="N60" s="18" t="s">
        <v>154</v>
      </c>
      <c r="O60" s="17" t="s">
        <v>154</v>
      </c>
      <c r="P60" s="18" t="s">
        <v>154</v>
      </c>
      <c r="Q60" s="17" t="s">
        <v>154</v>
      </c>
      <c r="R60" s="18" t="s">
        <v>154</v>
      </c>
    </row>
    <row r="61" spans="1:18" x14ac:dyDescent="0.25">
      <c r="A61" s="11" t="s">
        <v>194</v>
      </c>
      <c r="B61" s="13">
        <v>6525</v>
      </c>
      <c r="C61" s="14">
        <f>(5419/B61*100)</f>
        <v>83.049808429118769</v>
      </c>
      <c r="D61" s="15">
        <v>1106</v>
      </c>
      <c r="E61" s="14">
        <v>23.234646380000001</v>
      </c>
      <c r="F61" s="16">
        <v>1.58900744</v>
      </c>
      <c r="G61" s="14">
        <v>76.765353619999999</v>
      </c>
      <c r="H61" s="16">
        <v>1.58900744</v>
      </c>
      <c r="I61" s="14" t="s">
        <v>139</v>
      </c>
      <c r="J61" s="16" t="s">
        <v>139</v>
      </c>
      <c r="K61" s="14">
        <v>0</v>
      </c>
      <c r="L61" s="16">
        <v>0</v>
      </c>
      <c r="M61" s="14">
        <v>0</v>
      </c>
      <c r="N61" s="16">
        <v>0</v>
      </c>
      <c r="O61" s="14">
        <v>0</v>
      </c>
      <c r="P61" s="16">
        <v>0</v>
      </c>
      <c r="Q61" s="14">
        <v>0</v>
      </c>
      <c r="R61" s="16">
        <v>0</v>
      </c>
    </row>
    <row r="62" spans="1:18" x14ac:dyDescent="0.25">
      <c r="A62" s="11" t="s">
        <v>195</v>
      </c>
      <c r="B62" s="13">
        <v>4476</v>
      </c>
      <c r="C62" s="14">
        <f>(3700/B62*100)</f>
        <v>82.663092046470069</v>
      </c>
      <c r="D62" s="15">
        <v>776</v>
      </c>
      <c r="E62" s="14">
        <v>40.237682800000002</v>
      </c>
      <c r="F62" s="16">
        <v>1.8565773800000001</v>
      </c>
      <c r="G62" s="14">
        <v>59.762317199999998</v>
      </c>
      <c r="H62" s="16">
        <v>1.8565773800000001</v>
      </c>
      <c r="I62" s="14" t="s">
        <v>139</v>
      </c>
      <c r="J62" s="16" t="s">
        <v>139</v>
      </c>
      <c r="K62" s="14">
        <v>0</v>
      </c>
      <c r="L62" s="16">
        <v>0</v>
      </c>
      <c r="M62" s="14">
        <v>0</v>
      </c>
      <c r="N62" s="16">
        <v>0</v>
      </c>
      <c r="O62" s="14">
        <v>0</v>
      </c>
      <c r="P62" s="16">
        <v>0</v>
      </c>
      <c r="Q62" s="14">
        <v>0</v>
      </c>
      <c r="R62" s="16">
        <v>0</v>
      </c>
    </row>
    <row r="63" spans="1:18" x14ac:dyDescent="0.25">
      <c r="A63" s="11" t="s">
        <v>196</v>
      </c>
      <c r="B63" s="17" t="s">
        <v>154</v>
      </c>
      <c r="C63" s="17" t="s">
        <v>154</v>
      </c>
      <c r="D63" s="18" t="s">
        <v>154</v>
      </c>
      <c r="E63" s="17" t="s">
        <v>154</v>
      </c>
      <c r="F63" s="18" t="s">
        <v>154</v>
      </c>
      <c r="G63" s="17" t="s">
        <v>154</v>
      </c>
      <c r="H63" s="18" t="s">
        <v>154</v>
      </c>
      <c r="I63" s="17" t="s">
        <v>154</v>
      </c>
      <c r="J63" s="18" t="s">
        <v>154</v>
      </c>
      <c r="K63" s="17" t="s">
        <v>154</v>
      </c>
      <c r="L63" s="18" t="s">
        <v>154</v>
      </c>
      <c r="M63" s="17" t="s">
        <v>154</v>
      </c>
      <c r="N63" s="18" t="s">
        <v>154</v>
      </c>
      <c r="O63" s="17" t="s">
        <v>154</v>
      </c>
      <c r="P63" s="18" t="s">
        <v>154</v>
      </c>
      <c r="Q63" s="17" t="s">
        <v>154</v>
      </c>
      <c r="R63" s="18" t="s">
        <v>154</v>
      </c>
    </row>
    <row r="64" spans="1:18" x14ac:dyDescent="0.25">
      <c r="A64" s="11" t="s">
        <v>197</v>
      </c>
      <c r="B64" s="17" t="s">
        <v>154</v>
      </c>
      <c r="C64" s="17" t="s">
        <v>154</v>
      </c>
      <c r="D64" s="18" t="s">
        <v>154</v>
      </c>
      <c r="E64" s="17" t="s">
        <v>154</v>
      </c>
      <c r="F64" s="18" t="s">
        <v>154</v>
      </c>
      <c r="G64" s="17" t="s">
        <v>154</v>
      </c>
      <c r="H64" s="18" t="s">
        <v>154</v>
      </c>
      <c r="I64" s="17" t="s">
        <v>154</v>
      </c>
      <c r="J64" s="18" t="s">
        <v>154</v>
      </c>
      <c r="K64" s="17" t="s">
        <v>154</v>
      </c>
      <c r="L64" s="18" t="s">
        <v>154</v>
      </c>
      <c r="M64" s="17" t="s">
        <v>154</v>
      </c>
      <c r="N64" s="18" t="s">
        <v>154</v>
      </c>
      <c r="O64" s="17" t="s">
        <v>154</v>
      </c>
      <c r="P64" s="18" t="s">
        <v>154</v>
      </c>
      <c r="Q64" s="17" t="s">
        <v>154</v>
      </c>
      <c r="R64" s="18" t="s">
        <v>154</v>
      </c>
    </row>
    <row r="65" spans="1:18" x14ac:dyDescent="0.25">
      <c r="A65" s="11" t="s">
        <v>198</v>
      </c>
      <c r="B65" s="17" t="s">
        <v>154</v>
      </c>
      <c r="C65" s="17" t="s">
        <v>154</v>
      </c>
      <c r="D65" s="18" t="s">
        <v>154</v>
      </c>
      <c r="E65" s="17" t="s">
        <v>154</v>
      </c>
      <c r="F65" s="18" t="s">
        <v>154</v>
      </c>
      <c r="G65" s="17" t="s">
        <v>154</v>
      </c>
      <c r="H65" s="18" t="s">
        <v>154</v>
      </c>
      <c r="I65" s="17" t="s">
        <v>154</v>
      </c>
      <c r="J65" s="18" t="s">
        <v>154</v>
      </c>
      <c r="K65" s="17" t="s">
        <v>154</v>
      </c>
      <c r="L65" s="18" t="s">
        <v>154</v>
      </c>
      <c r="M65" s="17" t="s">
        <v>154</v>
      </c>
      <c r="N65" s="18" t="s">
        <v>154</v>
      </c>
      <c r="O65" s="17" t="s">
        <v>154</v>
      </c>
      <c r="P65" s="18" t="s">
        <v>154</v>
      </c>
      <c r="Q65" s="17" t="s">
        <v>154</v>
      </c>
      <c r="R65" s="18" t="s">
        <v>154</v>
      </c>
    </row>
    <row r="66" spans="1:18" x14ac:dyDescent="0.25">
      <c r="A66" s="11" t="s">
        <v>199</v>
      </c>
      <c r="B66" s="13">
        <v>5665</v>
      </c>
      <c r="C66" s="14">
        <f>(4710/B66*100)</f>
        <v>83.142100617828774</v>
      </c>
      <c r="D66" s="15">
        <v>955</v>
      </c>
      <c r="E66" s="14">
        <v>37.095268830000002</v>
      </c>
      <c r="F66" s="16">
        <v>1.5223026399999999</v>
      </c>
      <c r="G66" s="14">
        <v>62.904731169999998</v>
      </c>
      <c r="H66" s="16">
        <v>1.5223026399999999</v>
      </c>
      <c r="I66" s="14" t="s">
        <v>139</v>
      </c>
      <c r="J66" s="16" t="s">
        <v>139</v>
      </c>
      <c r="K66" s="14">
        <v>0</v>
      </c>
      <c r="L66" s="16">
        <v>0</v>
      </c>
      <c r="M66" s="14">
        <v>0</v>
      </c>
      <c r="N66" s="16">
        <v>0</v>
      </c>
      <c r="O66" s="14">
        <v>0</v>
      </c>
      <c r="P66" s="16">
        <v>0</v>
      </c>
      <c r="Q66" s="14">
        <v>0</v>
      </c>
      <c r="R66" s="16">
        <v>0</v>
      </c>
    </row>
    <row r="67" spans="1:18" x14ac:dyDescent="0.25">
      <c r="A67" s="11" t="s">
        <v>200</v>
      </c>
      <c r="B67" s="13">
        <v>6971</v>
      </c>
      <c r="C67" s="14">
        <f>(5835/B67*100)</f>
        <v>83.703916224358053</v>
      </c>
      <c r="D67" s="15">
        <v>1136</v>
      </c>
      <c r="E67" s="14">
        <v>46.378479489999997</v>
      </c>
      <c r="F67" s="16">
        <v>1.5752092499999999</v>
      </c>
      <c r="G67" s="14">
        <v>53.621520510000003</v>
      </c>
      <c r="H67" s="16">
        <v>1.5752092499999999</v>
      </c>
      <c r="I67" s="14" t="s">
        <v>139</v>
      </c>
      <c r="J67" s="16" t="s">
        <v>139</v>
      </c>
      <c r="K67" s="14">
        <v>0</v>
      </c>
      <c r="L67" s="16">
        <v>0</v>
      </c>
      <c r="M67" s="14">
        <v>0</v>
      </c>
      <c r="N67" s="16">
        <v>0</v>
      </c>
      <c r="O67" s="14">
        <v>0</v>
      </c>
      <c r="P67" s="16">
        <v>0</v>
      </c>
      <c r="Q67" s="14">
        <v>0</v>
      </c>
      <c r="R67" s="16">
        <v>0</v>
      </c>
    </row>
    <row r="68" spans="1:18" x14ac:dyDescent="0.25">
      <c r="A68" s="11" t="s">
        <v>201</v>
      </c>
      <c r="B68" s="17" t="s">
        <v>154</v>
      </c>
      <c r="C68" s="17" t="s">
        <v>154</v>
      </c>
      <c r="D68" s="18" t="s">
        <v>154</v>
      </c>
      <c r="E68" s="17" t="s">
        <v>154</v>
      </c>
      <c r="F68" s="18" t="s">
        <v>154</v>
      </c>
      <c r="G68" s="17" t="s">
        <v>154</v>
      </c>
      <c r="H68" s="18" t="s">
        <v>154</v>
      </c>
      <c r="I68" s="17" t="s">
        <v>154</v>
      </c>
      <c r="J68" s="18" t="s">
        <v>154</v>
      </c>
      <c r="K68" s="17" t="s">
        <v>154</v>
      </c>
      <c r="L68" s="18" t="s">
        <v>154</v>
      </c>
      <c r="M68" s="17" t="s">
        <v>154</v>
      </c>
      <c r="N68" s="18" t="s">
        <v>154</v>
      </c>
      <c r="O68" s="17" t="s">
        <v>154</v>
      </c>
      <c r="P68" s="18" t="s">
        <v>154</v>
      </c>
      <c r="Q68" s="17" t="s">
        <v>154</v>
      </c>
      <c r="R68" s="18" t="s">
        <v>154</v>
      </c>
    </row>
    <row r="69" spans="1:18" x14ac:dyDescent="0.25">
      <c r="A69" s="11" t="s">
        <v>202</v>
      </c>
      <c r="B69" s="17" t="s">
        <v>154</v>
      </c>
      <c r="C69" s="17" t="s">
        <v>154</v>
      </c>
      <c r="D69" s="18" t="s">
        <v>154</v>
      </c>
      <c r="E69" s="17" t="s">
        <v>154</v>
      </c>
      <c r="F69" s="18" t="s">
        <v>154</v>
      </c>
      <c r="G69" s="17" t="s">
        <v>154</v>
      </c>
      <c r="H69" s="18" t="s">
        <v>154</v>
      </c>
      <c r="I69" s="17" t="s">
        <v>154</v>
      </c>
      <c r="J69" s="18" t="s">
        <v>154</v>
      </c>
      <c r="K69" s="17" t="s">
        <v>154</v>
      </c>
      <c r="L69" s="18" t="s">
        <v>154</v>
      </c>
      <c r="M69" s="17" t="s">
        <v>154</v>
      </c>
      <c r="N69" s="18" t="s">
        <v>154</v>
      </c>
      <c r="O69" s="17" t="s">
        <v>154</v>
      </c>
      <c r="P69" s="18" t="s">
        <v>154</v>
      </c>
      <c r="Q69" s="17" t="s">
        <v>154</v>
      </c>
      <c r="R69" s="18" t="s">
        <v>154</v>
      </c>
    </row>
    <row r="70" spans="1:18" x14ac:dyDescent="0.25">
      <c r="A70" s="11" t="s">
        <v>203</v>
      </c>
      <c r="B70" s="13">
        <v>6036</v>
      </c>
      <c r="C70" s="14">
        <f>(4993/B70*100)</f>
        <v>82.720344599072234</v>
      </c>
      <c r="D70" s="15">
        <v>1043</v>
      </c>
      <c r="E70" s="14">
        <v>31.846381560000001</v>
      </c>
      <c r="F70" s="16">
        <v>1.6130943</v>
      </c>
      <c r="G70" s="14">
        <v>68.153618440000002</v>
      </c>
      <c r="H70" s="16">
        <v>1.6130943</v>
      </c>
      <c r="I70" s="14" t="s">
        <v>139</v>
      </c>
      <c r="J70" s="16" t="s">
        <v>139</v>
      </c>
      <c r="K70" s="14">
        <v>0</v>
      </c>
      <c r="L70" s="16">
        <v>0</v>
      </c>
      <c r="M70" s="14">
        <v>0</v>
      </c>
      <c r="N70" s="16">
        <v>0</v>
      </c>
      <c r="O70" s="14">
        <v>0</v>
      </c>
      <c r="P70" s="16">
        <v>0</v>
      </c>
      <c r="Q70" s="14">
        <v>0</v>
      </c>
      <c r="R70" s="16">
        <v>0</v>
      </c>
    </row>
    <row r="71" spans="1:18" x14ac:dyDescent="0.25">
      <c r="A71" s="11" t="s">
        <v>204</v>
      </c>
      <c r="B71" s="17" t="s">
        <v>154</v>
      </c>
      <c r="C71" s="17" t="s">
        <v>154</v>
      </c>
      <c r="D71" s="18" t="s">
        <v>154</v>
      </c>
      <c r="E71" s="17" t="s">
        <v>154</v>
      </c>
      <c r="F71" s="18" t="s">
        <v>154</v>
      </c>
      <c r="G71" s="17" t="s">
        <v>154</v>
      </c>
      <c r="H71" s="18" t="s">
        <v>154</v>
      </c>
      <c r="I71" s="17" t="s">
        <v>154</v>
      </c>
      <c r="J71" s="18" t="s">
        <v>154</v>
      </c>
      <c r="K71" s="17" t="s">
        <v>154</v>
      </c>
      <c r="L71" s="18" t="s">
        <v>154</v>
      </c>
      <c r="M71" s="17" t="s">
        <v>154</v>
      </c>
      <c r="N71" s="18" t="s">
        <v>154</v>
      </c>
      <c r="O71" s="17" t="s">
        <v>154</v>
      </c>
      <c r="P71" s="18" t="s">
        <v>154</v>
      </c>
      <c r="Q71" s="17" t="s">
        <v>154</v>
      </c>
      <c r="R71" s="18" t="s">
        <v>154</v>
      </c>
    </row>
    <row r="72" spans="1:18" x14ac:dyDescent="0.25">
      <c r="A72" s="11" t="s">
        <v>205</v>
      </c>
      <c r="B72" s="13">
        <v>7708</v>
      </c>
      <c r="C72" s="14">
        <f>(6364/B72*100)</f>
        <v>82.56357031655422</v>
      </c>
      <c r="D72" s="15">
        <v>1344</v>
      </c>
      <c r="E72" s="14">
        <v>33.08672387</v>
      </c>
      <c r="F72" s="16">
        <v>1.26832396</v>
      </c>
      <c r="G72" s="14">
        <v>66.91327613</v>
      </c>
      <c r="H72" s="16">
        <v>1.26832396</v>
      </c>
      <c r="I72" s="14" t="s">
        <v>139</v>
      </c>
      <c r="J72" s="16" t="s">
        <v>139</v>
      </c>
      <c r="K72" s="14">
        <v>0</v>
      </c>
      <c r="L72" s="16">
        <v>0</v>
      </c>
      <c r="M72" s="14">
        <v>0</v>
      </c>
      <c r="N72" s="16">
        <v>0</v>
      </c>
      <c r="O72" s="14">
        <v>0</v>
      </c>
      <c r="P72" s="16">
        <v>0</v>
      </c>
      <c r="Q72" s="14">
        <v>0</v>
      </c>
      <c r="R72" s="16">
        <v>0</v>
      </c>
    </row>
    <row r="73" spans="1:18" x14ac:dyDescent="0.25">
      <c r="A73" s="11" t="s">
        <v>206</v>
      </c>
      <c r="B73" s="13">
        <v>8249</v>
      </c>
      <c r="C73" s="14">
        <f>(6841/B73*100)</f>
        <v>82.931264395684323</v>
      </c>
      <c r="D73" s="15">
        <v>1408</v>
      </c>
      <c r="E73" s="14">
        <v>47.684926449999999</v>
      </c>
      <c r="F73" s="16">
        <v>1.46812214</v>
      </c>
      <c r="G73" s="14">
        <v>52.315073550000001</v>
      </c>
      <c r="H73" s="16">
        <v>1.46812214</v>
      </c>
      <c r="I73" s="14" t="s">
        <v>139</v>
      </c>
      <c r="J73" s="16" t="s">
        <v>139</v>
      </c>
      <c r="K73" s="14">
        <v>0</v>
      </c>
      <c r="L73" s="16">
        <v>0</v>
      </c>
      <c r="M73" s="14">
        <v>0</v>
      </c>
      <c r="N73" s="16">
        <v>0</v>
      </c>
      <c r="O73" s="14">
        <v>0</v>
      </c>
      <c r="P73" s="16">
        <v>0</v>
      </c>
      <c r="Q73" s="14">
        <v>0</v>
      </c>
      <c r="R73" s="16">
        <v>0</v>
      </c>
    </row>
    <row r="74" spans="1:18" x14ac:dyDescent="0.25">
      <c r="A74" s="11" t="s">
        <v>207</v>
      </c>
      <c r="B74" s="17" t="s">
        <v>154</v>
      </c>
      <c r="C74" s="17" t="s">
        <v>154</v>
      </c>
      <c r="D74" s="18" t="s">
        <v>154</v>
      </c>
      <c r="E74" s="17" t="s">
        <v>154</v>
      </c>
      <c r="F74" s="18" t="s">
        <v>154</v>
      </c>
      <c r="G74" s="17" t="s">
        <v>154</v>
      </c>
      <c r="H74" s="18" t="s">
        <v>154</v>
      </c>
      <c r="I74" s="17" t="s">
        <v>154</v>
      </c>
      <c r="J74" s="18" t="s">
        <v>154</v>
      </c>
      <c r="K74" s="17" t="s">
        <v>154</v>
      </c>
      <c r="L74" s="18" t="s">
        <v>154</v>
      </c>
      <c r="M74" s="17" t="s">
        <v>154</v>
      </c>
      <c r="N74" s="18" t="s">
        <v>154</v>
      </c>
      <c r="O74" s="17" t="s">
        <v>154</v>
      </c>
      <c r="P74" s="18" t="s">
        <v>154</v>
      </c>
      <c r="Q74" s="17" t="s">
        <v>154</v>
      </c>
      <c r="R74" s="18" t="s">
        <v>154</v>
      </c>
    </row>
    <row r="75" spans="1:18" x14ac:dyDescent="0.25">
      <c r="A75" s="11" t="s">
        <v>208</v>
      </c>
      <c r="B75" s="13">
        <v>5375</v>
      </c>
      <c r="C75" s="14">
        <f>(4515/B75*100)</f>
        <v>84</v>
      </c>
      <c r="D75" s="15">
        <v>860</v>
      </c>
      <c r="E75" s="14">
        <v>50.780048069999999</v>
      </c>
      <c r="F75" s="16">
        <v>1.7033842699999999</v>
      </c>
      <c r="G75" s="14">
        <v>49.219951930000001</v>
      </c>
      <c r="H75" s="16">
        <v>1.7033842699999999</v>
      </c>
      <c r="I75" s="14" t="s">
        <v>139</v>
      </c>
      <c r="J75" s="16" t="s">
        <v>139</v>
      </c>
      <c r="K75" s="14">
        <v>0</v>
      </c>
      <c r="L75" s="16">
        <v>0</v>
      </c>
      <c r="M75" s="14">
        <v>0</v>
      </c>
      <c r="N75" s="16">
        <v>0</v>
      </c>
      <c r="O75" s="14">
        <v>0</v>
      </c>
      <c r="P75" s="16">
        <v>0</v>
      </c>
      <c r="Q75" s="14">
        <v>0</v>
      </c>
      <c r="R75" s="16">
        <v>0</v>
      </c>
    </row>
    <row r="76" spans="1:18" x14ac:dyDescent="0.25">
      <c r="A76" s="11" t="s">
        <v>209</v>
      </c>
      <c r="B76" s="13">
        <v>14167</v>
      </c>
      <c r="C76" s="14">
        <f>(11764/B76*100)</f>
        <v>83.038046163619683</v>
      </c>
      <c r="D76" s="15">
        <v>2403</v>
      </c>
      <c r="E76" s="14">
        <v>48.749238560000002</v>
      </c>
      <c r="F76" s="16">
        <v>1.2607180600000001</v>
      </c>
      <c r="G76" s="14">
        <v>51.250761439999998</v>
      </c>
      <c r="H76" s="16">
        <v>1.2607180600000001</v>
      </c>
      <c r="I76" s="14" t="s">
        <v>139</v>
      </c>
      <c r="J76" s="16" t="s">
        <v>139</v>
      </c>
      <c r="K76" s="14">
        <v>0</v>
      </c>
      <c r="L76" s="16">
        <v>0</v>
      </c>
      <c r="M76" s="14">
        <v>0</v>
      </c>
      <c r="N76" s="16">
        <v>0</v>
      </c>
      <c r="O76" s="14">
        <v>0</v>
      </c>
      <c r="P76" s="16">
        <v>0</v>
      </c>
      <c r="Q76" s="14">
        <v>0</v>
      </c>
      <c r="R76" s="16">
        <v>0</v>
      </c>
    </row>
    <row r="77" spans="1:18" x14ac:dyDescent="0.25">
      <c r="A77" s="11" t="s">
        <v>210</v>
      </c>
      <c r="B77" s="13">
        <v>6062</v>
      </c>
      <c r="C77" s="14">
        <f>(5037/B77*100)</f>
        <v>83.091388980534475</v>
      </c>
      <c r="D77" s="15">
        <v>1025</v>
      </c>
      <c r="E77" s="14">
        <v>33.95476944</v>
      </c>
      <c r="F77" s="16">
        <v>1.4822106900000001</v>
      </c>
      <c r="G77" s="14">
        <v>66.045230559999993</v>
      </c>
      <c r="H77" s="16">
        <v>1.4822106900000001</v>
      </c>
      <c r="I77" s="14" t="s">
        <v>139</v>
      </c>
      <c r="J77" s="16" t="s">
        <v>139</v>
      </c>
      <c r="K77" s="14">
        <v>0</v>
      </c>
      <c r="L77" s="16">
        <v>0</v>
      </c>
      <c r="M77" s="14">
        <v>0</v>
      </c>
      <c r="N77" s="16">
        <v>0</v>
      </c>
      <c r="O77" s="14">
        <v>0</v>
      </c>
      <c r="P77" s="16">
        <v>0</v>
      </c>
      <c r="Q77" s="14">
        <v>0</v>
      </c>
      <c r="R77" s="16">
        <v>0</v>
      </c>
    </row>
    <row r="78" spans="1:18" x14ac:dyDescent="0.25">
      <c r="A78" s="11" t="s">
        <v>211</v>
      </c>
      <c r="B78" s="17" t="s">
        <v>154</v>
      </c>
      <c r="C78" s="17" t="s">
        <v>154</v>
      </c>
      <c r="D78" s="18" t="s">
        <v>154</v>
      </c>
      <c r="E78" s="17" t="s">
        <v>154</v>
      </c>
      <c r="F78" s="18" t="s">
        <v>154</v>
      </c>
      <c r="G78" s="17" t="s">
        <v>154</v>
      </c>
      <c r="H78" s="18" t="s">
        <v>154</v>
      </c>
      <c r="I78" s="17" t="s">
        <v>154</v>
      </c>
      <c r="J78" s="18" t="s">
        <v>154</v>
      </c>
      <c r="K78" s="17" t="s">
        <v>154</v>
      </c>
      <c r="L78" s="18" t="s">
        <v>154</v>
      </c>
      <c r="M78" s="17" t="s">
        <v>154</v>
      </c>
      <c r="N78" s="18" t="s">
        <v>154</v>
      </c>
      <c r="O78" s="17" t="s">
        <v>154</v>
      </c>
      <c r="P78" s="18" t="s">
        <v>154</v>
      </c>
      <c r="Q78" s="17" t="s">
        <v>154</v>
      </c>
      <c r="R78" s="18" t="s">
        <v>154</v>
      </c>
    </row>
    <row r="79" spans="1:18" ht="24.95" customHeight="1" x14ac:dyDescent="0.25">
      <c r="A79" s="11" t="s">
        <v>212</v>
      </c>
      <c r="B79" s="17" t="s">
        <v>154</v>
      </c>
      <c r="C79" s="17" t="s">
        <v>154</v>
      </c>
      <c r="D79" s="18" t="s">
        <v>154</v>
      </c>
      <c r="E79" s="17" t="s">
        <v>154</v>
      </c>
      <c r="F79" s="18" t="s">
        <v>154</v>
      </c>
      <c r="G79" s="17" t="s">
        <v>154</v>
      </c>
      <c r="H79" s="18" t="s">
        <v>154</v>
      </c>
      <c r="I79" s="17" t="s">
        <v>154</v>
      </c>
      <c r="J79" s="18" t="s">
        <v>154</v>
      </c>
      <c r="K79" s="17" t="s">
        <v>154</v>
      </c>
      <c r="L79" s="18" t="s">
        <v>154</v>
      </c>
      <c r="M79" s="17" t="s">
        <v>154</v>
      </c>
      <c r="N79" s="18" t="s">
        <v>154</v>
      </c>
      <c r="O79" s="17" t="s">
        <v>154</v>
      </c>
      <c r="P79" s="18" t="s">
        <v>154</v>
      </c>
      <c r="Q79" s="17" t="s">
        <v>154</v>
      </c>
      <c r="R79" s="18" t="s">
        <v>154</v>
      </c>
    </row>
    <row r="80" spans="1:18" x14ac:dyDescent="0.25">
      <c r="A80" s="11" t="s">
        <v>213</v>
      </c>
      <c r="B80" s="17" t="s">
        <v>154</v>
      </c>
      <c r="C80" s="17" t="s">
        <v>154</v>
      </c>
      <c r="D80" s="18" t="s">
        <v>154</v>
      </c>
      <c r="E80" s="17" t="s">
        <v>154</v>
      </c>
      <c r="F80" s="18" t="s">
        <v>154</v>
      </c>
      <c r="G80" s="17" t="s">
        <v>154</v>
      </c>
      <c r="H80" s="18" t="s">
        <v>154</v>
      </c>
      <c r="I80" s="17" t="s">
        <v>154</v>
      </c>
      <c r="J80" s="18" t="s">
        <v>154</v>
      </c>
      <c r="K80" s="17" t="s">
        <v>154</v>
      </c>
      <c r="L80" s="18" t="s">
        <v>154</v>
      </c>
      <c r="M80" s="17" t="s">
        <v>154</v>
      </c>
      <c r="N80" s="18" t="s">
        <v>154</v>
      </c>
      <c r="O80" s="17" t="s">
        <v>154</v>
      </c>
      <c r="P80" s="18" t="s">
        <v>154</v>
      </c>
      <c r="Q80" s="17" t="s">
        <v>154</v>
      </c>
      <c r="R80" s="18" t="s">
        <v>154</v>
      </c>
    </row>
    <row r="81" spans="1:18" x14ac:dyDescent="0.25">
      <c r="A81" s="19" t="s">
        <v>214</v>
      </c>
      <c r="B81" s="13">
        <v>8861</v>
      </c>
      <c r="C81" s="14">
        <f>(7344/B81*100)</f>
        <v>82.880036113305493</v>
      </c>
      <c r="D81" s="15">
        <v>1517</v>
      </c>
      <c r="E81" s="14">
        <v>48.341824510000002</v>
      </c>
      <c r="F81" s="16">
        <v>1.8202007499999999</v>
      </c>
      <c r="G81" s="14">
        <v>51.658175489999998</v>
      </c>
      <c r="H81" s="16">
        <v>1.8202007499999999</v>
      </c>
      <c r="I81" s="14" t="s">
        <v>139</v>
      </c>
      <c r="J81" s="16" t="s">
        <v>139</v>
      </c>
      <c r="K81" s="14">
        <v>0</v>
      </c>
      <c r="L81" s="16">
        <v>0</v>
      </c>
      <c r="M81" s="14">
        <v>0</v>
      </c>
      <c r="N81" s="16">
        <v>0</v>
      </c>
      <c r="O81" s="14">
        <v>0</v>
      </c>
      <c r="P81" s="16">
        <v>0</v>
      </c>
      <c r="Q81" s="14">
        <v>0</v>
      </c>
      <c r="R81" s="16">
        <v>0</v>
      </c>
    </row>
    <row r="82" spans="1:18" x14ac:dyDescent="0.25">
      <c r="A82" s="20"/>
      <c r="B82" s="20" t="s">
        <v>215</v>
      </c>
      <c r="C82" s="20" t="s">
        <v>215</v>
      </c>
      <c r="D82" s="20" t="s">
        <v>215</v>
      </c>
      <c r="E82" s="20" t="s">
        <v>215</v>
      </c>
      <c r="F82" s="20" t="s">
        <v>215</v>
      </c>
      <c r="G82" s="20" t="s">
        <v>215</v>
      </c>
      <c r="H82" s="20" t="s">
        <v>215</v>
      </c>
      <c r="I82" s="20" t="s">
        <v>215</v>
      </c>
      <c r="J82" s="20" t="s">
        <v>215</v>
      </c>
      <c r="K82" s="20" t="s">
        <v>215</v>
      </c>
      <c r="L82" s="20" t="s">
        <v>215</v>
      </c>
      <c r="M82" s="20" t="s">
        <v>215</v>
      </c>
      <c r="N82" s="20" t="s">
        <v>215</v>
      </c>
      <c r="O82" s="20" t="s">
        <v>215</v>
      </c>
      <c r="P82" s="20" t="s">
        <v>215</v>
      </c>
      <c r="Q82" s="20" t="s">
        <v>215</v>
      </c>
      <c r="R82" s="20" t="s">
        <v>215</v>
      </c>
    </row>
    <row r="83" spans="1:18" x14ac:dyDescent="0.25">
      <c r="A83" s="3" t="s">
        <v>216</v>
      </c>
    </row>
    <row r="84" spans="1:18" x14ac:dyDescent="0.25">
      <c r="A84" s="22" t="s">
        <v>217</v>
      </c>
      <c r="B84" s="23"/>
      <c r="C84" s="23"/>
      <c r="D84" s="23"/>
      <c r="E84" s="23"/>
      <c r="F84" s="23"/>
      <c r="G84" s="23"/>
      <c r="H84" s="23"/>
      <c r="I84" s="23"/>
      <c r="J84" s="23"/>
      <c r="K84" s="23"/>
      <c r="L84" s="23"/>
      <c r="M84" s="23"/>
      <c r="N84" s="23"/>
      <c r="O84" s="23"/>
      <c r="P84" s="23"/>
      <c r="Q84" s="23"/>
      <c r="R84" s="23"/>
    </row>
    <row r="85" spans="1:18" x14ac:dyDescent="0.25">
      <c r="A85" s="22" t="s">
        <v>218</v>
      </c>
      <c r="B85" s="23"/>
      <c r="C85" s="23"/>
      <c r="D85" s="23"/>
      <c r="E85" s="23"/>
      <c r="F85" s="23"/>
      <c r="G85" s="23"/>
      <c r="H85" s="23"/>
      <c r="I85" s="23"/>
      <c r="J85" s="23"/>
      <c r="K85" s="23"/>
      <c r="L85" s="23"/>
      <c r="M85" s="23"/>
      <c r="N85" s="23"/>
      <c r="O85" s="23"/>
      <c r="P85" s="23"/>
      <c r="Q85" s="23"/>
      <c r="R85" s="23"/>
    </row>
    <row r="86" spans="1:18" ht="30" customHeight="1" x14ac:dyDescent="0.25">
      <c r="A86" s="22" t="s">
        <v>219</v>
      </c>
      <c r="B86" s="23"/>
      <c r="C86" s="23"/>
      <c r="D86" s="23"/>
      <c r="E86" s="23"/>
      <c r="F86" s="23"/>
      <c r="G86" s="23"/>
      <c r="H86" s="23"/>
      <c r="I86" s="23"/>
      <c r="J86" s="23"/>
      <c r="K86" s="23"/>
      <c r="L86" s="23"/>
      <c r="M86" s="23"/>
      <c r="N86" s="23"/>
      <c r="O86" s="23"/>
      <c r="P86" s="23"/>
      <c r="Q86" s="23"/>
      <c r="R86" s="23"/>
    </row>
    <row r="87" spans="1:18" ht="30" customHeight="1" x14ac:dyDescent="0.25">
      <c r="A87" s="22" t="s">
        <v>215</v>
      </c>
      <c r="B87" s="23"/>
      <c r="C87" s="23"/>
      <c r="D87" s="23"/>
      <c r="E87" s="23"/>
      <c r="F87" s="23"/>
      <c r="G87" s="23"/>
      <c r="H87" s="23"/>
      <c r="I87" s="23"/>
      <c r="J87" s="23"/>
      <c r="K87" s="23"/>
      <c r="L87" s="23"/>
      <c r="M87" s="23"/>
      <c r="N87" s="23"/>
      <c r="O87" s="23"/>
      <c r="P87" s="23"/>
      <c r="Q87" s="23"/>
      <c r="R87" s="23"/>
    </row>
    <row r="88" spans="1:18" ht="30" customHeight="1" x14ac:dyDescent="0.25">
      <c r="A88" s="22" t="s">
        <v>220</v>
      </c>
      <c r="B88" s="23"/>
      <c r="C88" s="23"/>
      <c r="D88" s="23"/>
      <c r="E88" s="23"/>
      <c r="F88" s="23"/>
      <c r="G88" s="23"/>
      <c r="H88" s="23"/>
      <c r="I88" s="23"/>
      <c r="J88" s="23"/>
      <c r="K88" s="23"/>
      <c r="L88" s="23"/>
      <c r="M88" s="23"/>
      <c r="N88" s="23"/>
      <c r="O88" s="23"/>
      <c r="P88" s="23"/>
      <c r="Q88" s="23"/>
      <c r="R88" s="23"/>
    </row>
    <row r="89" spans="1:18" ht="30" customHeight="1" x14ac:dyDescent="0.25">
      <c r="A89" s="22" t="s">
        <v>221</v>
      </c>
      <c r="B89" s="23"/>
      <c r="C89" s="23"/>
      <c r="D89" s="23"/>
      <c r="E89" s="23"/>
      <c r="F89" s="23"/>
      <c r="G89" s="23"/>
      <c r="H89" s="23"/>
      <c r="I89" s="23"/>
      <c r="J89" s="23"/>
      <c r="K89" s="23"/>
      <c r="L89" s="23"/>
      <c r="M89" s="23"/>
      <c r="N89" s="23"/>
      <c r="O89" s="23"/>
      <c r="P89" s="23"/>
      <c r="Q89" s="23"/>
      <c r="R89" s="23"/>
    </row>
    <row r="90" spans="1:18" ht="30" customHeight="1" x14ac:dyDescent="0.25">
      <c r="A90" s="22" t="s">
        <v>222</v>
      </c>
      <c r="B90" s="23"/>
      <c r="C90" s="23"/>
      <c r="D90" s="23"/>
      <c r="E90" s="23"/>
      <c r="F90" s="23"/>
      <c r="G90" s="23"/>
      <c r="H90" s="23"/>
      <c r="I90" s="23"/>
      <c r="J90" s="23"/>
      <c r="K90" s="23"/>
      <c r="L90" s="23"/>
      <c r="M90" s="23"/>
      <c r="N90" s="23"/>
      <c r="O90" s="23"/>
      <c r="P90" s="23"/>
      <c r="Q90" s="23"/>
      <c r="R90" s="23"/>
    </row>
    <row r="91" spans="1:18" ht="30" customHeight="1" x14ac:dyDescent="0.25">
      <c r="A91" s="22" t="s">
        <v>223</v>
      </c>
      <c r="B91" s="23"/>
      <c r="C91" s="23"/>
      <c r="D91" s="23"/>
      <c r="E91" s="23"/>
      <c r="F91" s="23"/>
      <c r="G91" s="23"/>
      <c r="H91" s="23"/>
      <c r="I91" s="23"/>
      <c r="J91" s="23"/>
      <c r="K91" s="23"/>
      <c r="L91" s="23"/>
      <c r="M91" s="23"/>
      <c r="N91" s="23"/>
      <c r="O91" s="23"/>
      <c r="P91" s="23"/>
      <c r="Q91" s="23"/>
      <c r="R91" s="23"/>
    </row>
    <row r="92" spans="1:18" ht="30" customHeight="1" x14ac:dyDescent="0.25">
      <c r="A92" s="22" t="s">
        <v>224</v>
      </c>
      <c r="B92" s="23"/>
      <c r="C92" s="23"/>
      <c r="D92" s="23"/>
      <c r="E92" s="23"/>
      <c r="F92" s="23"/>
      <c r="G92" s="23"/>
      <c r="H92" s="23"/>
      <c r="I92" s="23"/>
      <c r="J92" s="23"/>
      <c r="K92" s="23"/>
      <c r="L92" s="23"/>
      <c r="M92" s="23"/>
      <c r="N92" s="23"/>
      <c r="O92" s="23"/>
      <c r="P92" s="23"/>
      <c r="Q92" s="23"/>
      <c r="R92" s="23"/>
    </row>
    <row r="93" spans="1:18" ht="30" customHeight="1" x14ac:dyDescent="0.25">
      <c r="A93" s="22" t="s">
        <v>225</v>
      </c>
      <c r="B93" s="23"/>
      <c r="C93" s="23"/>
      <c r="D93" s="23"/>
      <c r="E93" s="23"/>
      <c r="F93" s="23"/>
      <c r="G93" s="23"/>
      <c r="H93" s="23"/>
      <c r="I93" s="23"/>
      <c r="J93" s="23"/>
      <c r="K93" s="23"/>
      <c r="L93" s="23"/>
      <c r="M93" s="23"/>
      <c r="N93" s="23"/>
      <c r="O93" s="23"/>
      <c r="P93" s="23"/>
      <c r="Q93" s="23"/>
      <c r="R93" s="23"/>
    </row>
    <row r="94" spans="1:18" ht="30" customHeight="1" x14ac:dyDescent="0.25">
      <c r="A94" s="22" t="s">
        <v>226</v>
      </c>
      <c r="B94" s="23"/>
      <c r="C94" s="23"/>
      <c r="D94" s="23"/>
      <c r="E94" s="23"/>
      <c r="F94" s="23"/>
      <c r="G94" s="23"/>
      <c r="H94" s="23"/>
      <c r="I94" s="23"/>
      <c r="J94" s="23"/>
      <c r="K94" s="23"/>
      <c r="L94" s="23"/>
      <c r="M94" s="23"/>
      <c r="N94" s="23"/>
      <c r="O94" s="23"/>
      <c r="P94" s="23"/>
      <c r="Q94" s="23"/>
      <c r="R94" s="23"/>
    </row>
    <row r="95" spans="1:18" ht="30" customHeight="1" x14ac:dyDescent="0.25">
      <c r="A95" s="22" t="s">
        <v>227</v>
      </c>
      <c r="B95" s="23"/>
      <c r="C95" s="23"/>
      <c r="D95" s="23"/>
      <c r="E95" s="23"/>
      <c r="F95" s="23"/>
      <c r="G95" s="23"/>
      <c r="H95" s="23"/>
      <c r="I95" s="23"/>
      <c r="J95" s="23"/>
      <c r="K95" s="23"/>
      <c r="L95" s="23"/>
      <c r="M95" s="23"/>
      <c r="N95" s="23"/>
      <c r="O95" s="23"/>
      <c r="P95" s="23"/>
      <c r="Q95" s="23"/>
      <c r="R95" s="23"/>
    </row>
    <row r="96" spans="1:18" ht="30" customHeight="1" x14ac:dyDescent="0.25">
      <c r="A96" s="22" t="s">
        <v>228</v>
      </c>
      <c r="B96" s="23"/>
      <c r="C96" s="23"/>
      <c r="D96" s="23"/>
      <c r="E96" s="23"/>
      <c r="F96" s="23"/>
      <c r="G96" s="23"/>
      <c r="H96" s="23"/>
      <c r="I96" s="23"/>
      <c r="J96" s="23"/>
      <c r="K96" s="23"/>
      <c r="L96" s="23"/>
      <c r="M96" s="23"/>
      <c r="N96" s="23"/>
      <c r="O96" s="23"/>
      <c r="P96" s="23"/>
      <c r="Q96" s="23"/>
      <c r="R96" s="23"/>
    </row>
  </sheetData>
  <mergeCells count="22">
    <mergeCell ref="O4:P4"/>
    <mergeCell ref="Q4:R4"/>
    <mergeCell ref="A1:R1"/>
    <mergeCell ref="A2:R2"/>
    <mergeCell ref="A84:R84"/>
    <mergeCell ref="E4:F4"/>
    <mergeCell ref="G4:H4"/>
    <mergeCell ref="I4:J4"/>
    <mergeCell ref="K4:L4"/>
    <mergeCell ref="M4:N4"/>
    <mergeCell ref="A85:R85"/>
    <mergeCell ref="A86:R86"/>
    <mergeCell ref="A87:R87"/>
    <mergeCell ref="A88:R88"/>
    <mergeCell ref="A89:R89"/>
    <mergeCell ref="A95:R95"/>
    <mergeCell ref="A96:R96"/>
    <mergeCell ref="A90:R90"/>
    <mergeCell ref="A91:R91"/>
    <mergeCell ref="A92:R92"/>
    <mergeCell ref="A93:R93"/>
    <mergeCell ref="A94:R94"/>
  </mergeCells>
  <pageMargins left="0.75" right="0.75" top="1" bottom="1" header="0.5" footer="0.5"/>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7"/>
  <dimension ref="A1:R96"/>
  <sheetViews>
    <sheetView zoomScale="80" workbookViewId="0">
      <pane xSplit="4" topLeftCell="E1" activePane="topRight" state="frozen"/>
      <selection sqref="A1:R1"/>
      <selection pane="topRight" sqref="A1:R1"/>
    </sheetView>
  </sheetViews>
  <sheetFormatPr defaultColWidth="11.42578125" defaultRowHeight="15" x14ac:dyDescent="0.25"/>
  <cols>
    <col min="1" max="1" width="50" customWidth="1"/>
  </cols>
  <sheetData>
    <row r="1" spans="1:18" x14ac:dyDescent="0.25">
      <c r="A1" s="26" t="s">
        <v>122</v>
      </c>
      <c r="B1" s="23"/>
      <c r="C1" s="23"/>
      <c r="D1" s="23"/>
      <c r="E1" s="23"/>
      <c r="F1" s="23"/>
      <c r="G1" s="23"/>
      <c r="H1" s="23"/>
      <c r="I1" s="23"/>
      <c r="J1" s="23"/>
      <c r="K1" s="23"/>
      <c r="L1" s="23"/>
      <c r="M1" s="23"/>
      <c r="N1" s="23"/>
      <c r="O1" s="23"/>
      <c r="P1" s="23"/>
      <c r="Q1" s="23"/>
      <c r="R1" s="23"/>
    </row>
    <row r="2" spans="1:18" x14ac:dyDescent="0.25">
      <c r="A2" s="27" t="s">
        <v>323</v>
      </c>
      <c r="B2" s="23"/>
      <c r="C2" s="23"/>
      <c r="D2" s="23"/>
      <c r="E2" s="23"/>
      <c r="F2" s="23"/>
      <c r="G2" s="23"/>
      <c r="H2" s="23"/>
      <c r="I2" s="23"/>
      <c r="J2" s="23"/>
      <c r="K2" s="23"/>
      <c r="L2" s="23"/>
      <c r="M2" s="23"/>
      <c r="N2" s="23"/>
      <c r="O2" s="23"/>
      <c r="P2" s="23"/>
      <c r="Q2" s="23"/>
      <c r="R2" s="23"/>
    </row>
    <row r="4" spans="1:18" ht="30" customHeight="1" x14ac:dyDescent="0.25">
      <c r="A4" s="4"/>
      <c r="B4" s="5" t="s">
        <v>123</v>
      </c>
      <c r="C4" s="5" t="s">
        <v>124</v>
      </c>
      <c r="D4" s="6" t="s">
        <v>123</v>
      </c>
      <c r="E4" s="24" t="s">
        <v>125</v>
      </c>
      <c r="F4" s="25"/>
      <c r="G4" s="24" t="s">
        <v>126</v>
      </c>
      <c r="H4" s="25"/>
      <c r="I4" s="24" t="s">
        <v>127</v>
      </c>
      <c r="J4" s="25"/>
      <c r="K4" s="24" t="s">
        <v>128</v>
      </c>
      <c r="L4" s="25"/>
      <c r="M4" s="24" t="s">
        <v>129</v>
      </c>
      <c r="N4" s="25"/>
      <c r="O4" s="24" t="s">
        <v>130</v>
      </c>
      <c r="P4" s="25"/>
      <c r="Q4" s="24" t="s">
        <v>131</v>
      </c>
      <c r="R4" s="25"/>
    </row>
    <row r="5" spans="1:18" x14ac:dyDescent="0.25">
      <c r="A5" s="7"/>
      <c r="B5" s="8" t="s">
        <v>132</v>
      </c>
      <c r="C5" s="8" t="s">
        <v>133</v>
      </c>
      <c r="D5" s="7" t="s">
        <v>134</v>
      </c>
      <c r="E5" s="8" t="s">
        <v>135</v>
      </c>
      <c r="F5" s="7" t="s">
        <v>136</v>
      </c>
      <c r="G5" s="8" t="s">
        <v>135</v>
      </c>
      <c r="H5" s="7" t="s">
        <v>136</v>
      </c>
      <c r="I5" s="8" t="s">
        <v>135</v>
      </c>
      <c r="J5" s="7" t="s">
        <v>136</v>
      </c>
      <c r="K5" s="8" t="s">
        <v>135</v>
      </c>
      <c r="L5" s="7" t="s">
        <v>136</v>
      </c>
      <c r="M5" s="8" t="s">
        <v>135</v>
      </c>
      <c r="N5" s="7" t="s">
        <v>136</v>
      </c>
      <c r="O5" s="8" t="s">
        <v>135</v>
      </c>
      <c r="P5" s="7" t="s">
        <v>136</v>
      </c>
      <c r="Q5" s="8" t="s">
        <v>135</v>
      </c>
      <c r="R5" s="7" t="s">
        <v>136</v>
      </c>
    </row>
    <row r="6" spans="1:18" x14ac:dyDescent="0.25">
      <c r="A6" s="9" t="s">
        <v>137</v>
      </c>
      <c r="B6" s="10"/>
      <c r="C6" s="10"/>
      <c r="D6" s="11"/>
      <c r="E6" s="10"/>
      <c r="F6" s="11"/>
      <c r="G6" s="10"/>
      <c r="H6" s="11"/>
      <c r="I6" s="10"/>
      <c r="J6" s="11"/>
      <c r="K6" s="10"/>
      <c r="L6" s="11"/>
      <c r="M6" s="10"/>
      <c r="N6" s="11"/>
      <c r="O6" s="10"/>
      <c r="P6" s="11"/>
      <c r="Q6" s="10"/>
      <c r="R6" s="12"/>
    </row>
    <row r="7" spans="1:18" x14ac:dyDescent="0.25">
      <c r="A7" s="11" t="s">
        <v>138</v>
      </c>
      <c r="B7" s="13">
        <v>14530</v>
      </c>
      <c r="C7" s="14">
        <f>(12048/B7*100)</f>
        <v>82.918100481761869</v>
      </c>
      <c r="D7" s="15">
        <v>2482</v>
      </c>
      <c r="E7" s="14">
        <v>45.307886019999998</v>
      </c>
      <c r="F7" s="16">
        <v>1.1326205199999999</v>
      </c>
      <c r="G7" s="14">
        <v>54.692113980000002</v>
      </c>
      <c r="H7" s="16">
        <v>1.1326205199999999</v>
      </c>
      <c r="I7" s="14" t="s">
        <v>139</v>
      </c>
      <c r="J7" s="16" t="s">
        <v>139</v>
      </c>
      <c r="K7" s="14">
        <v>0</v>
      </c>
      <c r="L7" s="16">
        <v>0</v>
      </c>
      <c r="M7" s="14">
        <v>0</v>
      </c>
      <c r="N7" s="16">
        <v>0</v>
      </c>
      <c r="O7" s="14">
        <v>0</v>
      </c>
      <c r="P7" s="16">
        <v>0</v>
      </c>
      <c r="Q7" s="14">
        <v>0</v>
      </c>
      <c r="R7" s="16">
        <v>0</v>
      </c>
    </row>
    <row r="8" spans="1:18" x14ac:dyDescent="0.25">
      <c r="A8" s="11" t="s">
        <v>140</v>
      </c>
      <c r="B8" s="13">
        <v>7007</v>
      </c>
      <c r="C8" s="14">
        <f>(5768/B8*100)</f>
        <v>82.317682317682312</v>
      </c>
      <c r="D8" s="15">
        <v>1239</v>
      </c>
      <c r="E8" s="14">
        <v>55.874781130000002</v>
      </c>
      <c r="F8" s="16">
        <v>1.55318304</v>
      </c>
      <c r="G8" s="14">
        <v>44.125218869999998</v>
      </c>
      <c r="H8" s="16">
        <v>1.55318304</v>
      </c>
      <c r="I8" s="14" t="s">
        <v>139</v>
      </c>
      <c r="J8" s="16" t="s">
        <v>139</v>
      </c>
      <c r="K8" s="14">
        <v>0</v>
      </c>
      <c r="L8" s="16">
        <v>0</v>
      </c>
      <c r="M8" s="14">
        <v>0</v>
      </c>
      <c r="N8" s="16">
        <v>0</v>
      </c>
      <c r="O8" s="14">
        <v>0</v>
      </c>
      <c r="P8" s="16">
        <v>0</v>
      </c>
      <c r="Q8" s="14">
        <v>0</v>
      </c>
      <c r="R8" s="16">
        <v>0</v>
      </c>
    </row>
    <row r="9" spans="1:18" x14ac:dyDescent="0.25">
      <c r="A9" s="11" t="s">
        <v>141</v>
      </c>
      <c r="B9" s="13">
        <v>9651</v>
      </c>
      <c r="C9" s="14">
        <f>(8035/B9*100)</f>
        <v>83.255621179152413</v>
      </c>
      <c r="D9" s="15">
        <v>1616</v>
      </c>
      <c r="E9" s="14">
        <v>62.305315499999999</v>
      </c>
      <c r="F9" s="16">
        <v>1.1674654799999999</v>
      </c>
      <c r="G9" s="14">
        <v>37.694684500000001</v>
      </c>
      <c r="H9" s="16">
        <v>1.1674654799999999</v>
      </c>
      <c r="I9" s="14" t="s">
        <v>139</v>
      </c>
      <c r="J9" s="16" t="s">
        <v>139</v>
      </c>
      <c r="K9" s="14">
        <v>0</v>
      </c>
      <c r="L9" s="16">
        <v>0</v>
      </c>
      <c r="M9" s="14">
        <v>0</v>
      </c>
      <c r="N9" s="16">
        <v>0</v>
      </c>
      <c r="O9" s="14">
        <v>0</v>
      </c>
      <c r="P9" s="16">
        <v>0</v>
      </c>
      <c r="Q9" s="14">
        <v>0</v>
      </c>
      <c r="R9" s="16">
        <v>0</v>
      </c>
    </row>
    <row r="10" spans="1:18" x14ac:dyDescent="0.25">
      <c r="A10" s="11" t="s">
        <v>142</v>
      </c>
      <c r="B10" s="13">
        <v>20058</v>
      </c>
      <c r="C10" s="14">
        <f>(16648/B10*100)</f>
        <v>82.999302024130031</v>
      </c>
      <c r="D10" s="15">
        <v>3410</v>
      </c>
      <c r="E10" s="14">
        <v>47.272837979999998</v>
      </c>
      <c r="F10" s="16">
        <v>1.20652603</v>
      </c>
      <c r="G10" s="14">
        <v>52.727162020000002</v>
      </c>
      <c r="H10" s="16">
        <v>1.20652603</v>
      </c>
      <c r="I10" s="14" t="s">
        <v>139</v>
      </c>
      <c r="J10" s="16" t="s">
        <v>139</v>
      </c>
      <c r="K10" s="14">
        <v>0</v>
      </c>
      <c r="L10" s="16">
        <v>0</v>
      </c>
      <c r="M10" s="14">
        <v>0</v>
      </c>
      <c r="N10" s="16">
        <v>0</v>
      </c>
      <c r="O10" s="14">
        <v>0</v>
      </c>
      <c r="P10" s="16">
        <v>0</v>
      </c>
      <c r="Q10" s="14">
        <v>0</v>
      </c>
      <c r="R10" s="16">
        <v>0</v>
      </c>
    </row>
    <row r="11" spans="1:18" x14ac:dyDescent="0.25">
      <c r="A11" s="11" t="s">
        <v>143</v>
      </c>
      <c r="B11" s="13">
        <v>7053</v>
      </c>
      <c r="C11" s="14">
        <f>(5824/B11*100)</f>
        <v>82.574790869133707</v>
      </c>
      <c r="D11" s="15">
        <v>1229</v>
      </c>
      <c r="E11" s="14">
        <v>66.538999329999996</v>
      </c>
      <c r="F11" s="16">
        <v>1.70506209</v>
      </c>
      <c r="G11" s="14">
        <v>33.461000669999997</v>
      </c>
      <c r="H11" s="16">
        <v>1.70506209</v>
      </c>
      <c r="I11" s="14" t="s">
        <v>139</v>
      </c>
      <c r="J11" s="16" t="s">
        <v>139</v>
      </c>
      <c r="K11" s="14">
        <v>0</v>
      </c>
      <c r="L11" s="16">
        <v>0</v>
      </c>
      <c r="M11" s="14">
        <v>0</v>
      </c>
      <c r="N11" s="16">
        <v>0</v>
      </c>
      <c r="O11" s="14">
        <v>0</v>
      </c>
      <c r="P11" s="16">
        <v>0</v>
      </c>
      <c r="Q11" s="14">
        <v>0</v>
      </c>
      <c r="R11" s="16">
        <v>0</v>
      </c>
    </row>
    <row r="12" spans="1:18" x14ac:dyDescent="0.25">
      <c r="A12" s="11" t="s">
        <v>144</v>
      </c>
      <c r="B12" s="13">
        <v>6894</v>
      </c>
      <c r="C12" s="14">
        <f>(5719/B12*100)</f>
        <v>82.95619379170293</v>
      </c>
      <c r="D12" s="15">
        <v>1175</v>
      </c>
      <c r="E12" s="14">
        <v>74.55853682</v>
      </c>
      <c r="F12" s="16">
        <v>1.38953233</v>
      </c>
      <c r="G12" s="14">
        <v>25.44146318</v>
      </c>
      <c r="H12" s="16">
        <v>1.38953233</v>
      </c>
      <c r="I12" s="14" t="s">
        <v>139</v>
      </c>
      <c r="J12" s="16" t="s">
        <v>139</v>
      </c>
      <c r="K12" s="14">
        <v>0</v>
      </c>
      <c r="L12" s="16">
        <v>0</v>
      </c>
      <c r="M12" s="14">
        <v>0</v>
      </c>
      <c r="N12" s="16">
        <v>0</v>
      </c>
      <c r="O12" s="14">
        <v>0</v>
      </c>
      <c r="P12" s="16">
        <v>0</v>
      </c>
      <c r="Q12" s="14">
        <v>0</v>
      </c>
      <c r="R12" s="16">
        <v>0</v>
      </c>
    </row>
    <row r="13" spans="1:18" x14ac:dyDescent="0.25">
      <c r="A13" s="11" t="s">
        <v>145</v>
      </c>
      <c r="B13" s="13">
        <v>7161</v>
      </c>
      <c r="C13" s="14">
        <f>(5990/B13*100)</f>
        <v>83.647535260438488</v>
      </c>
      <c r="D13" s="15">
        <v>1171</v>
      </c>
      <c r="E13" s="14">
        <v>58.33084143</v>
      </c>
      <c r="F13" s="16">
        <v>1.66040115</v>
      </c>
      <c r="G13" s="14">
        <v>41.66915857</v>
      </c>
      <c r="H13" s="16">
        <v>1.66040115</v>
      </c>
      <c r="I13" s="14" t="s">
        <v>139</v>
      </c>
      <c r="J13" s="16" t="s">
        <v>139</v>
      </c>
      <c r="K13" s="14">
        <v>0</v>
      </c>
      <c r="L13" s="16">
        <v>0</v>
      </c>
      <c r="M13" s="14">
        <v>0</v>
      </c>
      <c r="N13" s="16">
        <v>0</v>
      </c>
      <c r="O13" s="14">
        <v>0</v>
      </c>
      <c r="P13" s="16">
        <v>0</v>
      </c>
      <c r="Q13" s="14">
        <v>0</v>
      </c>
      <c r="R13" s="16">
        <v>0</v>
      </c>
    </row>
    <row r="14" spans="1:18" x14ac:dyDescent="0.25">
      <c r="A14" s="11" t="s">
        <v>146</v>
      </c>
      <c r="B14" s="13">
        <v>5587</v>
      </c>
      <c r="C14" s="14">
        <f>(4623/B14*100)</f>
        <v>82.745659566851614</v>
      </c>
      <c r="D14" s="15">
        <v>964</v>
      </c>
      <c r="E14" s="14">
        <v>50.127532950000003</v>
      </c>
      <c r="F14" s="16">
        <v>1.7908779500000001</v>
      </c>
      <c r="G14" s="14">
        <v>49.872467049999997</v>
      </c>
      <c r="H14" s="16">
        <v>1.7908779500000001</v>
      </c>
      <c r="I14" s="14" t="s">
        <v>139</v>
      </c>
      <c r="J14" s="16" t="s">
        <v>139</v>
      </c>
      <c r="K14" s="14">
        <v>0</v>
      </c>
      <c r="L14" s="16">
        <v>0</v>
      </c>
      <c r="M14" s="14">
        <v>0</v>
      </c>
      <c r="N14" s="16">
        <v>0</v>
      </c>
      <c r="O14" s="14">
        <v>0</v>
      </c>
      <c r="P14" s="16">
        <v>0</v>
      </c>
      <c r="Q14" s="14">
        <v>0</v>
      </c>
      <c r="R14" s="16">
        <v>0</v>
      </c>
    </row>
    <row r="15" spans="1:18" x14ac:dyDescent="0.25">
      <c r="A15" s="11" t="s">
        <v>147</v>
      </c>
      <c r="B15" s="13">
        <v>5882</v>
      </c>
      <c r="C15" s="14">
        <f>(4868/B15*100)</f>
        <v>82.760965657939479</v>
      </c>
      <c r="D15" s="15">
        <v>1014</v>
      </c>
      <c r="E15" s="14">
        <v>58.075559660000003</v>
      </c>
      <c r="F15" s="16">
        <v>1.5096921999999999</v>
      </c>
      <c r="G15" s="14">
        <v>41.924440339999997</v>
      </c>
      <c r="H15" s="16">
        <v>1.5096921999999999</v>
      </c>
      <c r="I15" s="14" t="s">
        <v>139</v>
      </c>
      <c r="J15" s="16" t="s">
        <v>139</v>
      </c>
      <c r="K15" s="14">
        <v>0</v>
      </c>
      <c r="L15" s="16">
        <v>0</v>
      </c>
      <c r="M15" s="14">
        <v>0</v>
      </c>
      <c r="N15" s="16">
        <v>0</v>
      </c>
      <c r="O15" s="14">
        <v>0</v>
      </c>
      <c r="P15" s="16">
        <v>0</v>
      </c>
      <c r="Q15" s="14">
        <v>0</v>
      </c>
      <c r="R15" s="16">
        <v>0</v>
      </c>
    </row>
    <row r="16" spans="1:18" x14ac:dyDescent="0.25">
      <c r="A16" s="11" t="s">
        <v>148</v>
      </c>
      <c r="B16" s="13">
        <v>6108</v>
      </c>
      <c r="C16" s="14">
        <f>(5076/B16*100)</f>
        <v>83.104125736738695</v>
      </c>
      <c r="D16" s="15">
        <v>1032</v>
      </c>
      <c r="E16" s="14">
        <v>66.125118290000003</v>
      </c>
      <c r="F16" s="16">
        <v>1.5870118799999999</v>
      </c>
      <c r="G16" s="14">
        <v>33.874881709999997</v>
      </c>
      <c r="H16" s="16">
        <v>1.5870118799999999</v>
      </c>
      <c r="I16" s="14" t="s">
        <v>139</v>
      </c>
      <c r="J16" s="16" t="s">
        <v>139</v>
      </c>
      <c r="K16" s="14">
        <v>0</v>
      </c>
      <c r="L16" s="16">
        <v>0</v>
      </c>
      <c r="M16" s="14">
        <v>0</v>
      </c>
      <c r="N16" s="16">
        <v>0</v>
      </c>
      <c r="O16" s="14">
        <v>0</v>
      </c>
      <c r="P16" s="16">
        <v>0</v>
      </c>
      <c r="Q16" s="14">
        <v>0</v>
      </c>
      <c r="R16" s="16">
        <v>0</v>
      </c>
    </row>
    <row r="17" spans="1:18" x14ac:dyDescent="0.25">
      <c r="A17" s="11" t="s">
        <v>149</v>
      </c>
      <c r="B17" s="13">
        <v>6504</v>
      </c>
      <c r="C17" s="14">
        <f>(5410/B17*100)</f>
        <v>83.179581795817953</v>
      </c>
      <c r="D17" s="15">
        <v>1094</v>
      </c>
      <c r="E17" s="14">
        <v>52.705549089999998</v>
      </c>
      <c r="F17" s="16">
        <v>1.4439196299999999</v>
      </c>
      <c r="G17" s="14">
        <v>47.294450910000002</v>
      </c>
      <c r="H17" s="16">
        <v>1.4439196299999999</v>
      </c>
      <c r="I17" s="14" t="s">
        <v>139</v>
      </c>
      <c r="J17" s="16" t="s">
        <v>139</v>
      </c>
      <c r="K17" s="14">
        <v>0</v>
      </c>
      <c r="L17" s="16">
        <v>0</v>
      </c>
      <c r="M17" s="14">
        <v>0</v>
      </c>
      <c r="N17" s="16">
        <v>0</v>
      </c>
      <c r="O17" s="14">
        <v>0</v>
      </c>
      <c r="P17" s="16">
        <v>0</v>
      </c>
      <c r="Q17" s="14">
        <v>0</v>
      </c>
      <c r="R17" s="16">
        <v>0</v>
      </c>
    </row>
    <row r="18" spans="1:18" x14ac:dyDescent="0.25">
      <c r="A18" s="11" t="s">
        <v>150</v>
      </c>
      <c r="B18" s="13">
        <v>5532</v>
      </c>
      <c r="C18" s="14">
        <f>(4579/B18*100)</f>
        <v>82.772957339117852</v>
      </c>
      <c r="D18" s="15">
        <v>953</v>
      </c>
      <c r="E18" s="14">
        <v>73.315270190000007</v>
      </c>
      <c r="F18" s="16">
        <v>1.39297304</v>
      </c>
      <c r="G18" s="14">
        <v>26.68472981</v>
      </c>
      <c r="H18" s="16">
        <v>1.39297304</v>
      </c>
      <c r="I18" s="14" t="s">
        <v>139</v>
      </c>
      <c r="J18" s="16" t="s">
        <v>139</v>
      </c>
      <c r="K18" s="14">
        <v>0</v>
      </c>
      <c r="L18" s="16">
        <v>0</v>
      </c>
      <c r="M18" s="14">
        <v>0</v>
      </c>
      <c r="N18" s="16">
        <v>0</v>
      </c>
      <c r="O18" s="14">
        <v>0</v>
      </c>
      <c r="P18" s="16">
        <v>0</v>
      </c>
      <c r="Q18" s="14">
        <v>0</v>
      </c>
      <c r="R18" s="16">
        <v>0</v>
      </c>
    </row>
    <row r="19" spans="1:18" x14ac:dyDescent="0.25">
      <c r="A19" s="11" t="s">
        <v>151</v>
      </c>
      <c r="B19" s="13">
        <v>5658</v>
      </c>
      <c r="C19" s="14">
        <f>(4691/B19*100)</f>
        <v>82.909155178508314</v>
      </c>
      <c r="D19" s="15">
        <v>967</v>
      </c>
      <c r="E19" s="14">
        <v>69.172320630000002</v>
      </c>
      <c r="F19" s="16">
        <v>1.5676635999999999</v>
      </c>
      <c r="G19" s="14">
        <v>30.827679369999998</v>
      </c>
      <c r="H19" s="16">
        <v>1.5676635999999999</v>
      </c>
      <c r="I19" s="14" t="s">
        <v>139</v>
      </c>
      <c r="J19" s="16" t="s">
        <v>139</v>
      </c>
      <c r="K19" s="14">
        <v>0</v>
      </c>
      <c r="L19" s="16">
        <v>0</v>
      </c>
      <c r="M19" s="14">
        <v>0</v>
      </c>
      <c r="N19" s="16">
        <v>0</v>
      </c>
      <c r="O19" s="14">
        <v>0</v>
      </c>
      <c r="P19" s="16">
        <v>0</v>
      </c>
      <c r="Q19" s="14">
        <v>0</v>
      </c>
      <c r="R19" s="16">
        <v>0</v>
      </c>
    </row>
    <row r="20" spans="1:18" x14ac:dyDescent="0.25">
      <c r="A20" s="11" t="s">
        <v>152</v>
      </c>
      <c r="B20" s="13">
        <v>3371</v>
      </c>
      <c r="C20" s="14">
        <f>(2798/B20*100)</f>
        <v>83.002076535152767</v>
      </c>
      <c r="D20" s="15">
        <v>573</v>
      </c>
      <c r="E20" s="14">
        <v>55.129804409999998</v>
      </c>
      <c r="F20" s="16">
        <v>2.1415501400000001</v>
      </c>
      <c r="G20" s="14">
        <v>44.870195590000002</v>
      </c>
      <c r="H20" s="16">
        <v>2.1415501400000001</v>
      </c>
      <c r="I20" s="14" t="s">
        <v>139</v>
      </c>
      <c r="J20" s="16" t="s">
        <v>139</v>
      </c>
      <c r="K20" s="14">
        <v>0</v>
      </c>
      <c r="L20" s="16">
        <v>0</v>
      </c>
      <c r="M20" s="14">
        <v>0</v>
      </c>
      <c r="N20" s="16">
        <v>0</v>
      </c>
      <c r="O20" s="14">
        <v>0</v>
      </c>
      <c r="P20" s="16">
        <v>0</v>
      </c>
      <c r="Q20" s="14">
        <v>0</v>
      </c>
      <c r="R20" s="16">
        <v>0</v>
      </c>
    </row>
    <row r="21" spans="1:18" x14ac:dyDescent="0.25">
      <c r="A21" s="11" t="s">
        <v>153</v>
      </c>
      <c r="B21" s="17" t="s">
        <v>154</v>
      </c>
      <c r="C21" s="17" t="s">
        <v>154</v>
      </c>
      <c r="D21" s="18" t="s">
        <v>154</v>
      </c>
      <c r="E21" s="17" t="s">
        <v>154</v>
      </c>
      <c r="F21" s="18" t="s">
        <v>154</v>
      </c>
      <c r="G21" s="17" t="s">
        <v>154</v>
      </c>
      <c r="H21" s="18" t="s">
        <v>154</v>
      </c>
      <c r="I21" s="17" t="s">
        <v>154</v>
      </c>
      <c r="J21" s="18" t="s">
        <v>154</v>
      </c>
      <c r="K21" s="17" t="s">
        <v>154</v>
      </c>
      <c r="L21" s="18" t="s">
        <v>154</v>
      </c>
      <c r="M21" s="17" t="s">
        <v>154</v>
      </c>
      <c r="N21" s="18" t="s">
        <v>154</v>
      </c>
      <c r="O21" s="17" t="s">
        <v>154</v>
      </c>
      <c r="P21" s="18" t="s">
        <v>154</v>
      </c>
      <c r="Q21" s="17" t="s">
        <v>154</v>
      </c>
      <c r="R21" s="18" t="s">
        <v>154</v>
      </c>
    </row>
    <row r="22" spans="1:18" x14ac:dyDescent="0.25">
      <c r="A22" s="11" t="s">
        <v>155</v>
      </c>
      <c r="B22" s="13">
        <v>6598</v>
      </c>
      <c r="C22" s="14">
        <f>(5570/B22*100)</f>
        <v>84.419521066990001</v>
      </c>
      <c r="D22" s="15">
        <v>1028</v>
      </c>
      <c r="E22" s="14">
        <v>69.275554850000006</v>
      </c>
      <c r="F22" s="16">
        <v>1.4544139599999999</v>
      </c>
      <c r="G22" s="14">
        <v>30.724445150000001</v>
      </c>
      <c r="H22" s="16">
        <v>1.4544139599999999</v>
      </c>
      <c r="I22" s="14" t="s">
        <v>139</v>
      </c>
      <c r="J22" s="16" t="s">
        <v>139</v>
      </c>
      <c r="K22" s="14">
        <v>0</v>
      </c>
      <c r="L22" s="16">
        <v>0</v>
      </c>
      <c r="M22" s="14">
        <v>0</v>
      </c>
      <c r="N22" s="16">
        <v>0</v>
      </c>
      <c r="O22" s="14">
        <v>0</v>
      </c>
      <c r="P22" s="16">
        <v>0</v>
      </c>
      <c r="Q22" s="14">
        <v>0</v>
      </c>
      <c r="R22" s="16">
        <v>0</v>
      </c>
    </row>
    <row r="23" spans="1:18" x14ac:dyDescent="0.25">
      <c r="A23" s="11" t="s">
        <v>156</v>
      </c>
      <c r="B23" s="13">
        <v>11583</v>
      </c>
      <c r="C23" s="14">
        <f>(9579/B23*100)</f>
        <v>82.698782698782708</v>
      </c>
      <c r="D23" s="15">
        <v>2004</v>
      </c>
      <c r="E23" s="14">
        <v>77.685825649999998</v>
      </c>
      <c r="F23" s="16">
        <v>1.1922571</v>
      </c>
      <c r="G23" s="14">
        <v>22.314174349999998</v>
      </c>
      <c r="H23" s="16">
        <v>1.1922571</v>
      </c>
      <c r="I23" s="14" t="s">
        <v>139</v>
      </c>
      <c r="J23" s="16" t="s">
        <v>139</v>
      </c>
      <c r="K23" s="14">
        <v>0</v>
      </c>
      <c r="L23" s="16">
        <v>0</v>
      </c>
      <c r="M23" s="14">
        <v>0</v>
      </c>
      <c r="N23" s="16">
        <v>0</v>
      </c>
      <c r="O23" s="14">
        <v>0</v>
      </c>
      <c r="P23" s="16">
        <v>0</v>
      </c>
      <c r="Q23" s="14">
        <v>0</v>
      </c>
      <c r="R23" s="16">
        <v>0</v>
      </c>
    </row>
    <row r="24" spans="1:18" x14ac:dyDescent="0.25">
      <c r="A24" s="11" t="s">
        <v>157</v>
      </c>
      <c r="B24" s="13">
        <v>6647</v>
      </c>
      <c r="C24" s="14">
        <f>(5489/B24*100)</f>
        <v>82.578606890326469</v>
      </c>
      <c r="D24" s="15">
        <v>1158</v>
      </c>
      <c r="E24" s="14">
        <v>42.990924219999997</v>
      </c>
      <c r="F24" s="16">
        <v>1.54765573</v>
      </c>
      <c r="G24" s="14">
        <v>57.009075780000003</v>
      </c>
      <c r="H24" s="16">
        <v>1.54765573</v>
      </c>
      <c r="I24" s="14" t="s">
        <v>139</v>
      </c>
      <c r="J24" s="16" t="s">
        <v>139</v>
      </c>
      <c r="K24" s="14">
        <v>0</v>
      </c>
      <c r="L24" s="16">
        <v>0</v>
      </c>
      <c r="M24" s="14">
        <v>0</v>
      </c>
      <c r="N24" s="16">
        <v>0</v>
      </c>
      <c r="O24" s="14">
        <v>0</v>
      </c>
      <c r="P24" s="16">
        <v>0</v>
      </c>
      <c r="Q24" s="14">
        <v>0</v>
      </c>
      <c r="R24" s="16">
        <v>0</v>
      </c>
    </row>
    <row r="25" spans="1:18" x14ac:dyDescent="0.25">
      <c r="A25" s="11" t="s">
        <v>158</v>
      </c>
      <c r="B25" s="13">
        <v>5581</v>
      </c>
      <c r="C25" s="14">
        <f>(4614/B25*100)</f>
        <v>82.673356029385417</v>
      </c>
      <c r="D25" s="15">
        <v>967</v>
      </c>
      <c r="E25" s="14">
        <v>14.209897890000001</v>
      </c>
      <c r="F25" s="16">
        <v>1.1184691</v>
      </c>
      <c r="G25" s="14">
        <v>85.790102110000007</v>
      </c>
      <c r="H25" s="16">
        <v>1.1184691</v>
      </c>
      <c r="I25" s="14" t="s">
        <v>139</v>
      </c>
      <c r="J25" s="16" t="s">
        <v>139</v>
      </c>
      <c r="K25" s="14">
        <v>0</v>
      </c>
      <c r="L25" s="16">
        <v>0</v>
      </c>
      <c r="M25" s="14">
        <v>0</v>
      </c>
      <c r="N25" s="16">
        <v>0</v>
      </c>
      <c r="O25" s="14">
        <v>0</v>
      </c>
      <c r="P25" s="16">
        <v>0</v>
      </c>
      <c r="Q25" s="14">
        <v>0</v>
      </c>
      <c r="R25" s="16">
        <v>0</v>
      </c>
    </row>
    <row r="26" spans="1:18" x14ac:dyDescent="0.25">
      <c r="A26" s="11" t="s">
        <v>159</v>
      </c>
      <c r="B26" s="13">
        <v>4869</v>
      </c>
      <c r="C26" s="14">
        <f>(4031/B26*100)</f>
        <v>82.789073731772433</v>
      </c>
      <c r="D26" s="15">
        <v>838</v>
      </c>
      <c r="E26" s="14">
        <v>64.473383519999999</v>
      </c>
      <c r="F26" s="16">
        <v>1.7913553</v>
      </c>
      <c r="G26" s="14">
        <v>35.526616480000001</v>
      </c>
      <c r="H26" s="16">
        <v>1.7913553</v>
      </c>
      <c r="I26" s="14" t="s">
        <v>139</v>
      </c>
      <c r="J26" s="16" t="s">
        <v>139</v>
      </c>
      <c r="K26" s="14">
        <v>0</v>
      </c>
      <c r="L26" s="16">
        <v>0</v>
      </c>
      <c r="M26" s="14">
        <v>0</v>
      </c>
      <c r="N26" s="16">
        <v>0</v>
      </c>
      <c r="O26" s="14">
        <v>0</v>
      </c>
      <c r="P26" s="16">
        <v>0</v>
      </c>
      <c r="Q26" s="14">
        <v>0</v>
      </c>
      <c r="R26" s="16">
        <v>0</v>
      </c>
    </row>
    <row r="27" spans="1:18" x14ac:dyDescent="0.25">
      <c r="A27" s="11" t="s">
        <v>160</v>
      </c>
      <c r="B27" s="13">
        <v>5299</v>
      </c>
      <c r="C27" s="14">
        <f>(4381/B27*100)</f>
        <v>82.675976599358364</v>
      </c>
      <c r="D27" s="15">
        <v>918</v>
      </c>
      <c r="E27" s="14">
        <v>60.90095831</v>
      </c>
      <c r="F27" s="16">
        <v>1.7446435199999999</v>
      </c>
      <c r="G27" s="14">
        <v>39.09904169</v>
      </c>
      <c r="H27" s="16">
        <v>1.7446435199999999</v>
      </c>
      <c r="I27" s="14" t="s">
        <v>139</v>
      </c>
      <c r="J27" s="16" t="s">
        <v>139</v>
      </c>
      <c r="K27" s="14">
        <v>0</v>
      </c>
      <c r="L27" s="16">
        <v>0</v>
      </c>
      <c r="M27" s="14">
        <v>0</v>
      </c>
      <c r="N27" s="16">
        <v>0</v>
      </c>
      <c r="O27" s="14">
        <v>0</v>
      </c>
      <c r="P27" s="16">
        <v>0</v>
      </c>
      <c r="Q27" s="14">
        <v>0</v>
      </c>
      <c r="R27" s="16">
        <v>0</v>
      </c>
    </row>
    <row r="28" spans="1:18" x14ac:dyDescent="0.25">
      <c r="A28" s="11" t="s">
        <v>161</v>
      </c>
      <c r="B28" s="13">
        <v>7568</v>
      </c>
      <c r="C28" s="14">
        <f>(6276/B28*100)</f>
        <v>82.928118393234669</v>
      </c>
      <c r="D28" s="15">
        <v>1292</v>
      </c>
      <c r="E28" s="14">
        <v>68.337301420000003</v>
      </c>
      <c r="F28" s="16">
        <v>1.2665713300000001</v>
      </c>
      <c r="G28" s="14">
        <v>31.662698580000001</v>
      </c>
      <c r="H28" s="16">
        <v>1.2665713300000001</v>
      </c>
      <c r="I28" s="14" t="s">
        <v>139</v>
      </c>
      <c r="J28" s="16" t="s">
        <v>139</v>
      </c>
      <c r="K28" s="14">
        <v>0</v>
      </c>
      <c r="L28" s="16">
        <v>0</v>
      </c>
      <c r="M28" s="14">
        <v>0</v>
      </c>
      <c r="N28" s="16">
        <v>0</v>
      </c>
      <c r="O28" s="14">
        <v>0</v>
      </c>
      <c r="P28" s="16">
        <v>0</v>
      </c>
      <c r="Q28" s="14">
        <v>0</v>
      </c>
      <c r="R28" s="16">
        <v>0</v>
      </c>
    </row>
    <row r="29" spans="1:18" x14ac:dyDescent="0.25">
      <c r="A29" s="11" t="s">
        <v>162</v>
      </c>
      <c r="B29" s="13">
        <v>5385</v>
      </c>
      <c r="C29" s="14">
        <f>(4499/B29*100)</f>
        <v>83.546889507892303</v>
      </c>
      <c r="D29" s="15">
        <v>886</v>
      </c>
      <c r="E29" s="14">
        <v>58.461777769999998</v>
      </c>
      <c r="F29" s="16">
        <v>1.65925246</v>
      </c>
      <c r="G29" s="14">
        <v>41.538222230000002</v>
      </c>
      <c r="H29" s="16">
        <v>1.65925246</v>
      </c>
      <c r="I29" s="14" t="s">
        <v>139</v>
      </c>
      <c r="J29" s="16" t="s">
        <v>139</v>
      </c>
      <c r="K29" s="14">
        <v>0</v>
      </c>
      <c r="L29" s="16">
        <v>0</v>
      </c>
      <c r="M29" s="14">
        <v>0</v>
      </c>
      <c r="N29" s="16">
        <v>0</v>
      </c>
      <c r="O29" s="14">
        <v>0</v>
      </c>
      <c r="P29" s="16">
        <v>0</v>
      </c>
      <c r="Q29" s="14">
        <v>0</v>
      </c>
      <c r="R29" s="16">
        <v>0</v>
      </c>
    </row>
    <row r="30" spans="1:18" x14ac:dyDescent="0.25">
      <c r="A30" s="11" t="s">
        <v>163</v>
      </c>
      <c r="B30" s="13">
        <v>4520</v>
      </c>
      <c r="C30" s="14">
        <f>(3777/B30*100)</f>
        <v>83.561946902654867</v>
      </c>
      <c r="D30" s="15">
        <v>743</v>
      </c>
      <c r="E30" s="14">
        <v>44.19617968</v>
      </c>
      <c r="F30" s="16">
        <v>1.9406595200000001</v>
      </c>
      <c r="G30" s="14">
        <v>55.80382032</v>
      </c>
      <c r="H30" s="16">
        <v>1.9406595200000001</v>
      </c>
      <c r="I30" s="14" t="s">
        <v>139</v>
      </c>
      <c r="J30" s="16" t="s">
        <v>139</v>
      </c>
      <c r="K30" s="14">
        <v>0</v>
      </c>
      <c r="L30" s="16">
        <v>0</v>
      </c>
      <c r="M30" s="14">
        <v>0</v>
      </c>
      <c r="N30" s="16">
        <v>0</v>
      </c>
      <c r="O30" s="14">
        <v>0</v>
      </c>
      <c r="P30" s="16">
        <v>0</v>
      </c>
      <c r="Q30" s="14">
        <v>0</v>
      </c>
      <c r="R30" s="16">
        <v>0</v>
      </c>
    </row>
    <row r="31" spans="1:18" x14ac:dyDescent="0.25">
      <c r="A31" s="11" t="s">
        <v>164</v>
      </c>
      <c r="B31" s="13">
        <v>5456</v>
      </c>
      <c r="C31" s="14">
        <f>(4534/B31*100)</f>
        <v>83.101173020527867</v>
      </c>
      <c r="D31" s="15">
        <v>922</v>
      </c>
      <c r="E31" s="14">
        <v>65.662414100000007</v>
      </c>
      <c r="F31" s="16">
        <v>1.56869774</v>
      </c>
      <c r="G31" s="14">
        <v>34.337585900000001</v>
      </c>
      <c r="H31" s="16">
        <v>1.56869774</v>
      </c>
      <c r="I31" s="14" t="s">
        <v>139</v>
      </c>
      <c r="J31" s="16" t="s">
        <v>139</v>
      </c>
      <c r="K31" s="14">
        <v>0</v>
      </c>
      <c r="L31" s="16">
        <v>0</v>
      </c>
      <c r="M31" s="14">
        <v>0</v>
      </c>
      <c r="N31" s="16">
        <v>0</v>
      </c>
      <c r="O31" s="14">
        <v>0</v>
      </c>
      <c r="P31" s="16">
        <v>0</v>
      </c>
      <c r="Q31" s="14">
        <v>0</v>
      </c>
      <c r="R31" s="16">
        <v>0</v>
      </c>
    </row>
    <row r="32" spans="1:18" x14ac:dyDescent="0.25">
      <c r="A32" s="11" t="s">
        <v>165</v>
      </c>
      <c r="B32" s="17" t="s">
        <v>154</v>
      </c>
      <c r="C32" s="17" t="s">
        <v>154</v>
      </c>
      <c r="D32" s="18" t="s">
        <v>154</v>
      </c>
      <c r="E32" s="17" t="s">
        <v>154</v>
      </c>
      <c r="F32" s="18" t="s">
        <v>154</v>
      </c>
      <c r="G32" s="17" t="s">
        <v>154</v>
      </c>
      <c r="H32" s="18" t="s">
        <v>154</v>
      </c>
      <c r="I32" s="17" t="s">
        <v>154</v>
      </c>
      <c r="J32" s="18" t="s">
        <v>154</v>
      </c>
      <c r="K32" s="17" t="s">
        <v>154</v>
      </c>
      <c r="L32" s="18" t="s">
        <v>154</v>
      </c>
      <c r="M32" s="17" t="s">
        <v>154</v>
      </c>
      <c r="N32" s="18" t="s">
        <v>154</v>
      </c>
      <c r="O32" s="17" t="s">
        <v>154</v>
      </c>
      <c r="P32" s="18" t="s">
        <v>154</v>
      </c>
      <c r="Q32" s="17" t="s">
        <v>154</v>
      </c>
      <c r="R32" s="18" t="s">
        <v>154</v>
      </c>
    </row>
    <row r="33" spans="1:18" x14ac:dyDescent="0.25">
      <c r="A33" s="11" t="s">
        <v>166</v>
      </c>
      <c r="B33" s="13">
        <v>7325</v>
      </c>
      <c r="C33" s="14">
        <f>(6080/B33*100)</f>
        <v>83.003412969283275</v>
      </c>
      <c r="D33" s="15">
        <v>1245</v>
      </c>
      <c r="E33" s="14">
        <v>58.831408789999998</v>
      </c>
      <c r="F33" s="16">
        <v>1.4309561799999999</v>
      </c>
      <c r="G33" s="14">
        <v>41.168591210000002</v>
      </c>
      <c r="H33" s="16">
        <v>1.4309561799999999</v>
      </c>
      <c r="I33" s="14" t="s">
        <v>139</v>
      </c>
      <c r="J33" s="16" t="s">
        <v>139</v>
      </c>
      <c r="K33" s="14">
        <v>0</v>
      </c>
      <c r="L33" s="16">
        <v>0</v>
      </c>
      <c r="M33" s="14">
        <v>0</v>
      </c>
      <c r="N33" s="16">
        <v>0</v>
      </c>
      <c r="O33" s="14">
        <v>0</v>
      </c>
      <c r="P33" s="16">
        <v>0</v>
      </c>
      <c r="Q33" s="14">
        <v>0</v>
      </c>
      <c r="R33" s="16">
        <v>0</v>
      </c>
    </row>
    <row r="34" spans="1:18" x14ac:dyDescent="0.25">
      <c r="A34" s="11" t="s">
        <v>167</v>
      </c>
      <c r="B34" s="13">
        <v>6350</v>
      </c>
      <c r="C34" s="14">
        <f>(5292/B34*100)</f>
        <v>83.338582677165348</v>
      </c>
      <c r="D34" s="15">
        <v>1058</v>
      </c>
      <c r="E34" s="14">
        <v>63.310568119999999</v>
      </c>
      <c r="F34" s="16">
        <v>1.5952924900000001</v>
      </c>
      <c r="G34" s="14">
        <v>36.689431880000001</v>
      </c>
      <c r="H34" s="16">
        <v>1.5952924900000001</v>
      </c>
      <c r="I34" s="14" t="s">
        <v>139</v>
      </c>
      <c r="J34" s="16" t="s">
        <v>139</v>
      </c>
      <c r="K34" s="14">
        <v>0</v>
      </c>
      <c r="L34" s="16">
        <v>0</v>
      </c>
      <c r="M34" s="14">
        <v>0</v>
      </c>
      <c r="N34" s="16">
        <v>0</v>
      </c>
      <c r="O34" s="14">
        <v>0</v>
      </c>
      <c r="P34" s="16">
        <v>0</v>
      </c>
      <c r="Q34" s="14">
        <v>0</v>
      </c>
      <c r="R34" s="16">
        <v>0</v>
      </c>
    </row>
    <row r="35" spans="1:18" x14ac:dyDescent="0.25">
      <c r="A35" s="11" t="s">
        <v>168</v>
      </c>
      <c r="B35" s="13">
        <v>6406</v>
      </c>
      <c r="C35" s="14">
        <f>(5349/B35*100)</f>
        <v>83.499843896347173</v>
      </c>
      <c r="D35" s="15">
        <v>1057</v>
      </c>
      <c r="E35" s="14">
        <v>69.863229340000004</v>
      </c>
      <c r="F35" s="16">
        <v>1.85798796</v>
      </c>
      <c r="G35" s="14">
        <v>30.13677066</v>
      </c>
      <c r="H35" s="16">
        <v>1.85798796</v>
      </c>
      <c r="I35" s="14" t="s">
        <v>139</v>
      </c>
      <c r="J35" s="16" t="s">
        <v>139</v>
      </c>
      <c r="K35" s="14">
        <v>0</v>
      </c>
      <c r="L35" s="16">
        <v>0</v>
      </c>
      <c r="M35" s="14">
        <v>0</v>
      </c>
      <c r="N35" s="16">
        <v>0</v>
      </c>
      <c r="O35" s="14">
        <v>0</v>
      </c>
      <c r="P35" s="16">
        <v>0</v>
      </c>
      <c r="Q35" s="14">
        <v>0</v>
      </c>
      <c r="R35" s="16">
        <v>0</v>
      </c>
    </row>
    <row r="36" spans="1:18" x14ac:dyDescent="0.25">
      <c r="A36" s="11" t="s">
        <v>169</v>
      </c>
      <c r="B36" s="13">
        <v>6736</v>
      </c>
      <c r="C36" s="14">
        <f>(5576/B36*100)</f>
        <v>82.779097387173394</v>
      </c>
      <c r="D36" s="15">
        <v>1160</v>
      </c>
      <c r="E36" s="14">
        <v>65.996261110000006</v>
      </c>
      <c r="F36" s="16">
        <v>1.2720771399999999</v>
      </c>
      <c r="G36" s="14">
        <v>34.003738890000001</v>
      </c>
      <c r="H36" s="16">
        <v>1.2720771399999999</v>
      </c>
      <c r="I36" s="14" t="s">
        <v>139</v>
      </c>
      <c r="J36" s="16" t="s">
        <v>139</v>
      </c>
      <c r="K36" s="14">
        <v>0</v>
      </c>
      <c r="L36" s="16">
        <v>0</v>
      </c>
      <c r="M36" s="14">
        <v>0</v>
      </c>
      <c r="N36" s="16">
        <v>0</v>
      </c>
      <c r="O36" s="14">
        <v>0</v>
      </c>
      <c r="P36" s="16">
        <v>0</v>
      </c>
      <c r="Q36" s="14">
        <v>0</v>
      </c>
      <c r="R36" s="16">
        <v>0</v>
      </c>
    </row>
    <row r="37" spans="1:18" x14ac:dyDescent="0.25">
      <c r="A37" s="11" t="s">
        <v>170</v>
      </c>
      <c r="B37" s="13">
        <v>5458</v>
      </c>
      <c r="C37" s="14">
        <f>(4538/B37*100)</f>
        <v>83.144008794430192</v>
      </c>
      <c r="D37" s="15">
        <v>920</v>
      </c>
      <c r="E37" s="14">
        <v>68.127765240000002</v>
      </c>
      <c r="F37" s="16">
        <v>1.61420819</v>
      </c>
      <c r="G37" s="14">
        <v>31.872234760000001</v>
      </c>
      <c r="H37" s="16">
        <v>1.61420819</v>
      </c>
      <c r="I37" s="14" t="s">
        <v>139</v>
      </c>
      <c r="J37" s="16" t="s">
        <v>139</v>
      </c>
      <c r="K37" s="14">
        <v>0</v>
      </c>
      <c r="L37" s="16">
        <v>0</v>
      </c>
      <c r="M37" s="14">
        <v>0</v>
      </c>
      <c r="N37" s="16">
        <v>0</v>
      </c>
      <c r="O37" s="14">
        <v>0</v>
      </c>
      <c r="P37" s="16">
        <v>0</v>
      </c>
      <c r="Q37" s="14">
        <v>0</v>
      </c>
      <c r="R37" s="16">
        <v>0</v>
      </c>
    </row>
    <row r="38" spans="1:18" x14ac:dyDescent="0.25">
      <c r="A38" s="11" t="s">
        <v>171</v>
      </c>
      <c r="B38" s="17" t="s">
        <v>154</v>
      </c>
      <c r="C38" s="17" t="s">
        <v>154</v>
      </c>
      <c r="D38" s="18" t="s">
        <v>154</v>
      </c>
      <c r="E38" s="17" t="s">
        <v>154</v>
      </c>
      <c r="F38" s="18" t="s">
        <v>154</v>
      </c>
      <c r="G38" s="17" t="s">
        <v>154</v>
      </c>
      <c r="H38" s="18" t="s">
        <v>154</v>
      </c>
      <c r="I38" s="17" t="s">
        <v>154</v>
      </c>
      <c r="J38" s="18" t="s">
        <v>154</v>
      </c>
      <c r="K38" s="17" t="s">
        <v>154</v>
      </c>
      <c r="L38" s="18" t="s">
        <v>154</v>
      </c>
      <c r="M38" s="17" t="s">
        <v>154</v>
      </c>
      <c r="N38" s="18" t="s">
        <v>154</v>
      </c>
      <c r="O38" s="17" t="s">
        <v>154</v>
      </c>
      <c r="P38" s="18" t="s">
        <v>154</v>
      </c>
      <c r="Q38" s="17" t="s">
        <v>154</v>
      </c>
      <c r="R38" s="18" t="s">
        <v>154</v>
      </c>
    </row>
    <row r="39" spans="1:18" x14ac:dyDescent="0.25">
      <c r="A39" s="11" t="s">
        <v>172</v>
      </c>
      <c r="B39" s="13">
        <v>5895</v>
      </c>
      <c r="C39" s="14">
        <f>(4863/B39*100)</f>
        <v>82.493638676844782</v>
      </c>
      <c r="D39" s="15">
        <v>1032</v>
      </c>
      <c r="E39" s="14">
        <v>61.246179230000003</v>
      </c>
      <c r="F39" s="16">
        <v>1.4790692700000001</v>
      </c>
      <c r="G39" s="14">
        <v>38.753820769999997</v>
      </c>
      <c r="H39" s="16">
        <v>1.4790692700000001</v>
      </c>
      <c r="I39" s="14" t="s">
        <v>139</v>
      </c>
      <c r="J39" s="16" t="s">
        <v>139</v>
      </c>
      <c r="K39" s="14">
        <v>0</v>
      </c>
      <c r="L39" s="16">
        <v>0</v>
      </c>
      <c r="M39" s="14">
        <v>0</v>
      </c>
      <c r="N39" s="16">
        <v>0</v>
      </c>
      <c r="O39" s="14">
        <v>0</v>
      </c>
      <c r="P39" s="16">
        <v>0</v>
      </c>
      <c r="Q39" s="14">
        <v>0</v>
      </c>
      <c r="R39" s="16">
        <v>0</v>
      </c>
    </row>
    <row r="40" spans="1:18" x14ac:dyDescent="0.25">
      <c r="A40" s="11" t="s">
        <v>173</v>
      </c>
      <c r="B40" s="13">
        <v>14157</v>
      </c>
      <c r="C40" s="14">
        <f>(11729/B40*100)</f>
        <v>82.849473758564656</v>
      </c>
      <c r="D40" s="15">
        <v>2428</v>
      </c>
      <c r="E40" s="14">
        <v>47.071747799999997</v>
      </c>
      <c r="F40" s="16">
        <v>1.4840156099999999</v>
      </c>
      <c r="G40" s="14">
        <v>52.928252200000003</v>
      </c>
      <c r="H40" s="16">
        <v>1.4840156099999999</v>
      </c>
      <c r="I40" s="14" t="s">
        <v>139</v>
      </c>
      <c r="J40" s="16" t="s">
        <v>139</v>
      </c>
      <c r="K40" s="14">
        <v>0</v>
      </c>
      <c r="L40" s="16">
        <v>0</v>
      </c>
      <c r="M40" s="14">
        <v>0</v>
      </c>
      <c r="N40" s="16">
        <v>0</v>
      </c>
      <c r="O40" s="14">
        <v>0</v>
      </c>
      <c r="P40" s="16">
        <v>0</v>
      </c>
      <c r="Q40" s="14">
        <v>0</v>
      </c>
      <c r="R40" s="16">
        <v>0</v>
      </c>
    </row>
    <row r="41" spans="1:18" x14ac:dyDescent="0.25">
      <c r="A41" s="11" t="s">
        <v>174</v>
      </c>
      <c r="B41" s="13">
        <v>5712</v>
      </c>
      <c r="C41" s="14">
        <f>(4725/B41*100)</f>
        <v>82.720588235294116</v>
      </c>
      <c r="D41" s="15">
        <v>987</v>
      </c>
      <c r="E41" s="14">
        <v>50.692988200000002</v>
      </c>
      <c r="F41" s="16">
        <v>1.7053866099999999</v>
      </c>
      <c r="G41" s="14">
        <v>49.307011799999998</v>
      </c>
      <c r="H41" s="16">
        <v>1.7053866099999999</v>
      </c>
      <c r="I41" s="14" t="s">
        <v>139</v>
      </c>
      <c r="J41" s="16" t="s">
        <v>139</v>
      </c>
      <c r="K41" s="14">
        <v>0</v>
      </c>
      <c r="L41" s="16">
        <v>0</v>
      </c>
      <c r="M41" s="14">
        <v>0</v>
      </c>
      <c r="N41" s="16">
        <v>0</v>
      </c>
      <c r="O41" s="14">
        <v>0</v>
      </c>
      <c r="P41" s="16">
        <v>0</v>
      </c>
      <c r="Q41" s="14">
        <v>0</v>
      </c>
      <c r="R41" s="16">
        <v>0</v>
      </c>
    </row>
    <row r="42" spans="1:18" x14ac:dyDescent="0.25">
      <c r="A42" s="11" t="s">
        <v>175</v>
      </c>
      <c r="B42" s="13">
        <f>IF(COUNT(B7:B41) &gt; 0, AVERAGE(B7:B41), "\u2014")</f>
        <v>7266.90625</v>
      </c>
      <c r="C42" s="14">
        <f>IF(COUNT(C7:C41) &gt; 0, AVERAGE(C7:C41), "—")</f>
        <v>82.998307467817398</v>
      </c>
      <c r="D42" s="15">
        <f>IF(COUNT(D7:D41) &gt; 0, AVERAGE(D7:D41), "—")</f>
        <v>1236.3125</v>
      </c>
      <c r="E42" s="14">
        <f>IF(COUNT(E7:E41) &gt; 0, AVERAGE(E7:E41), "—")</f>
        <v>58.942959958437491</v>
      </c>
      <c r="F42" s="16">
        <f>IF(COUNT(F7:F41) &gt; 0, SQRT(SUMSQ(F7:F41)/(COUNT(F7:F41)*COUNT(F7:F41)) ), "—")</f>
        <v>0.27380751960097505</v>
      </c>
      <c r="G42" s="14">
        <f>IF(COUNT(G7:G41) &gt; 0, AVERAGE(G7:G41), "—")</f>
        <v>41.057040041562509</v>
      </c>
      <c r="H42" s="16">
        <f>IF(COUNT(H7:H41) &gt; 0, SQRT(SUMSQ(H7:H41)/(COUNT(H7:H41)*COUNT(H7:H41)) ), "—")</f>
        <v>0.27380751960097505</v>
      </c>
      <c r="I42" s="14" t="str">
        <f>IF(COUNT(I7:I41) &gt; 0, AVERAGE(I7:I41), "—")</f>
        <v>—</v>
      </c>
      <c r="J42" s="16" t="str">
        <f>IF(COUNT(J7:J41) &gt; 0, SQRT(SUMSQ(J7:J41)/(COUNT(J7:J41)*COUNT(J7:J41)) ), "—")</f>
        <v>—</v>
      </c>
      <c r="K42" s="14">
        <f>IF(COUNT(K7:K41) &gt; 0, AVERAGE(K7:K41), "—")</f>
        <v>0</v>
      </c>
      <c r="L42" s="16">
        <f>IF(COUNT(L7:L41) &gt; 0, SQRT(SUMSQ(L7:L41)/(COUNT(L7:L41)*COUNT(L7:L41)) ), "—")</f>
        <v>0</v>
      </c>
      <c r="M42" s="14">
        <f>IF(COUNT(M7:M41) &gt; 0, AVERAGE(M7:M41), "—")</f>
        <v>0</v>
      </c>
      <c r="N42" s="16">
        <f>IF(COUNT(N7:N41) &gt; 0, SQRT(SUMSQ(N7:N41)/(COUNT(N7:N41)*COUNT(N7:N41)) ), "—")</f>
        <v>0</v>
      </c>
      <c r="O42" s="14">
        <f>IF(COUNT(O7:O41) &gt; 0, AVERAGE(O7:O41), "—")</f>
        <v>0</v>
      </c>
      <c r="P42" s="16">
        <f>IF(COUNT(P7:P41) &gt; 0, SQRT(SUMSQ(P7:P41)/(COUNT(P7:P41)*COUNT(P7:P41)) ), "—")</f>
        <v>0</v>
      </c>
      <c r="Q42" s="14">
        <f>IF(COUNT(Q7:Q41) &gt; 0, AVERAGE(Q7:Q41), "—")</f>
        <v>0</v>
      </c>
      <c r="R42" s="16">
        <f>IF(COUNT(R7:R41) &gt; 0, SQRT(SUMSQ(R7:R41)/(COUNT(R7:R41)*COUNT(R7:R41)) ), "—")</f>
        <v>0</v>
      </c>
    </row>
    <row r="43" spans="1:18" x14ac:dyDescent="0.25">
      <c r="A43" s="9" t="s">
        <v>176</v>
      </c>
      <c r="B43" s="10"/>
      <c r="C43" s="10"/>
      <c r="D43" s="11"/>
      <c r="E43" s="10"/>
      <c r="F43" s="11"/>
      <c r="G43" s="10"/>
      <c r="H43" s="11"/>
      <c r="I43" s="10"/>
      <c r="J43" s="11"/>
      <c r="K43" s="10"/>
      <c r="L43" s="11"/>
      <c r="M43" s="10"/>
      <c r="N43" s="11"/>
      <c r="O43" s="10"/>
      <c r="P43" s="11"/>
      <c r="Q43" s="10"/>
      <c r="R43" s="12"/>
    </row>
    <row r="44" spans="1:18" x14ac:dyDescent="0.25">
      <c r="A44" s="11" t="s">
        <v>177</v>
      </c>
      <c r="B44" s="17" t="s">
        <v>154</v>
      </c>
      <c r="C44" s="17" t="s">
        <v>154</v>
      </c>
      <c r="D44" s="18" t="s">
        <v>154</v>
      </c>
      <c r="E44" s="17" t="s">
        <v>154</v>
      </c>
      <c r="F44" s="18" t="s">
        <v>154</v>
      </c>
      <c r="G44" s="17" t="s">
        <v>154</v>
      </c>
      <c r="H44" s="18" t="s">
        <v>154</v>
      </c>
      <c r="I44" s="17" t="s">
        <v>154</v>
      </c>
      <c r="J44" s="18" t="s">
        <v>154</v>
      </c>
      <c r="K44" s="17" t="s">
        <v>154</v>
      </c>
      <c r="L44" s="18" t="s">
        <v>154</v>
      </c>
      <c r="M44" s="17" t="s">
        <v>154</v>
      </c>
      <c r="N44" s="18" t="s">
        <v>154</v>
      </c>
      <c r="O44" s="17" t="s">
        <v>154</v>
      </c>
      <c r="P44" s="18" t="s">
        <v>154</v>
      </c>
      <c r="Q44" s="17" t="s">
        <v>154</v>
      </c>
      <c r="R44" s="18" t="s">
        <v>154</v>
      </c>
    </row>
    <row r="45" spans="1:18" x14ac:dyDescent="0.25">
      <c r="A45" s="11" t="s">
        <v>178</v>
      </c>
      <c r="B45" s="17" t="s">
        <v>154</v>
      </c>
      <c r="C45" s="17" t="s">
        <v>154</v>
      </c>
      <c r="D45" s="18" t="s">
        <v>154</v>
      </c>
      <c r="E45" s="17" t="s">
        <v>154</v>
      </c>
      <c r="F45" s="18" t="s">
        <v>154</v>
      </c>
      <c r="G45" s="17" t="s">
        <v>154</v>
      </c>
      <c r="H45" s="18" t="s">
        <v>154</v>
      </c>
      <c r="I45" s="17" t="s">
        <v>154</v>
      </c>
      <c r="J45" s="18" t="s">
        <v>154</v>
      </c>
      <c r="K45" s="17" t="s">
        <v>154</v>
      </c>
      <c r="L45" s="18" t="s">
        <v>154</v>
      </c>
      <c r="M45" s="17" t="s">
        <v>154</v>
      </c>
      <c r="N45" s="18" t="s">
        <v>154</v>
      </c>
      <c r="O45" s="17" t="s">
        <v>154</v>
      </c>
      <c r="P45" s="18" t="s">
        <v>154</v>
      </c>
      <c r="Q45" s="17" t="s">
        <v>154</v>
      </c>
      <c r="R45" s="18" t="s">
        <v>154</v>
      </c>
    </row>
    <row r="46" spans="1:18" x14ac:dyDescent="0.25">
      <c r="A46" s="11" t="s">
        <v>179</v>
      </c>
      <c r="B46" s="13">
        <v>23141</v>
      </c>
      <c r="C46" s="14">
        <f>(19527/B46*100)</f>
        <v>84.382697376950006</v>
      </c>
      <c r="D46" s="15">
        <v>3614</v>
      </c>
      <c r="E46" s="14">
        <v>72.371306919999995</v>
      </c>
      <c r="F46" s="16">
        <v>0.90786157000000001</v>
      </c>
      <c r="G46" s="14">
        <v>27.628693080000001</v>
      </c>
      <c r="H46" s="16">
        <v>0.90786157000000001</v>
      </c>
      <c r="I46" s="14" t="s">
        <v>139</v>
      </c>
      <c r="J46" s="16" t="s">
        <v>139</v>
      </c>
      <c r="K46" s="14">
        <v>0</v>
      </c>
      <c r="L46" s="16">
        <v>0</v>
      </c>
      <c r="M46" s="14">
        <v>0</v>
      </c>
      <c r="N46" s="16">
        <v>0</v>
      </c>
      <c r="O46" s="14">
        <v>0</v>
      </c>
      <c r="P46" s="16">
        <v>0</v>
      </c>
      <c r="Q46" s="14">
        <v>0</v>
      </c>
      <c r="R46" s="16">
        <v>0</v>
      </c>
    </row>
    <row r="47" spans="1:18" x14ac:dyDescent="0.25">
      <c r="A47" s="11" t="s">
        <v>180</v>
      </c>
      <c r="B47" s="13">
        <v>5928</v>
      </c>
      <c r="C47" s="14">
        <f>(4910/B47*100)</f>
        <v>82.827260458839405</v>
      </c>
      <c r="D47" s="15">
        <v>1018</v>
      </c>
      <c r="E47" s="14">
        <v>66.750819250000006</v>
      </c>
      <c r="F47" s="16">
        <v>1.61929831</v>
      </c>
      <c r="G47" s="14">
        <v>33.249180750000001</v>
      </c>
      <c r="H47" s="16">
        <v>1.61929831</v>
      </c>
      <c r="I47" s="14" t="s">
        <v>139</v>
      </c>
      <c r="J47" s="16" t="s">
        <v>139</v>
      </c>
      <c r="K47" s="14">
        <v>0</v>
      </c>
      <c r="L47" s="16">
        <v>0</v>
      </c>
      <c r="M47" s="14">
        <v>0</v>
      </c>
      <c r="N47" s="16">
        <v>0</v>
      </c>
      <c r="O47" s="14">
        <v>0</v>
      </c>
      <c r="P47" s="16">
        <v>0</v>
      </c>
      <c r="Q47" s="14">
        <v>0</v>
      </c>
      <c r="R47" s="16">
        <v>0</v>
      </c>
    </row>
    <row r="48" spans="1:18" x14ac:dyDescent="0.25">
      <c r="A48" s="11" t="s">
        <v>181</v>
      </c>
      <c r="B48" s="13">
        <v>9841</v>
      </c>
      <c r="C48" s="14">
        <f>(8164/B48*100)</f>
        <v>82.959048877146628</v>
      </c>
      <c r="D48" s="15">
        <v>1677</v>
      </c>
      <c r="E48" s="14">
        <v>32.283659839999999</v>
      </c>
      <c r="F48" s="16">
        <v>1.7200905799999999</v>
      </c>
      <c r="G48" s="14">
        <v>67.716340160000001</v>
      </c>
      <c r="H48" s="16">
        <v>1.7200905799999999</v>
      </c>
      <c r="I48" s="14" t="s">
        <v>139</v>
      </c>
      <c r="J48" s="16" t="s">
        <v>139</v>
      </c>
      <c r="K48" s="14">
        <v>0</v>
      </c>
      <c r="L48" s="16">
        <v>0</v>
      </c>
      <c r="M48" s="14">
        <v>0</v>
      </c>
      <c r="N48" s="16">
        <v>0</v>
      </c>
      <c r="O48" s="14">
        <v>0</v>
      </c>
      <c r="P48" s="16">
        <v>0</v>
      </c>
      <c r="Q48" s="14">
        <v>0</v>
      </c>
      <c r="R48" s="16">
        <v>0</v>
      </c>
    </row>
    <row r="49" spans="1:18" x14ac:dyDescent="0.25">
      <c r="A49" s="11" t="s">
        <v>182</v>
      </c>
      <c r="B49" s="17" t="s">
        <v>154</v>
      </c>
      <c r="C49" s="17" t="s">
        <v>154</v>
      </c>
      <c r="D49" s="18" t="s">
        <v>154</v>
      </c>
      <c r="E49" s="17" t="s">
        <v>154</v>
      </c>
      <c r="F49" s="18" t="s">
        <v>154</v>
      </c>
      <c r="G49" s="17" t="s">
        <v>154</v>
      </c>
      <c r="H49" s="18" t="s">
        <v>154</v>
      </c>
      <c r="I49" s="17" t="s">
        <v>154</v>
      </c>
      <c r="J49" s="18" t="s">
        <v>154</v>
      </c>
      <c r="K49" s="17" t="s">
        <v>154</v>
      </c>
      <c r="L49" s="18" t="s">
        <v>154</v>
      </c>
      <c r="M49" s="17" t="s">
        <v>154</v>
      </c>
      <c r="N49" s="18" t="s">
        <v>154</v>
      </c>
      <c r="O49" s="17" t="s">
        <v>154</v>
      </c>
      <c r="P49" s="18" t="s">
        <v>154</v>
      </c>
      <c r="Q49" s="17" t="s">
        <v>154</v>
      </c>
      <c r="R49" s="18" t="s">
        <v>154</v>
      </c>
    </row>
    <row r="50" spans="1:18" x14ac:dyDescent="0.25">
      <c r="A50" s="11" t="s">
        <v>183</v>
      </c>
      <c r="B50" s="13">
        <v>11795</v>
      </c>
      <c r="C50" s="14">
        <f>(9770/B50*100)</f>
        <v>82.83170835099618</v>
      </c>
      <c r="D50" s="15">
        <v>2025</v>
      </c>
      <c r="E50" s="14">
        <v>64.746622990000006</v>
      </c>
      <c r="F50" s="16">
        <v>1.23105978</v>
      </c>
      <c r="G50" s="14">
        <v>35.253377010000001</v>
      </c>
      <c r="H50" s="16">
        <v>1.23105978</v>
      </c>
      <c r="I50" s="14" t="s">
        <v>139</v>
      </c>
      <c r="J50" s="16" t="s">
        <v>139</v>
      </c>
      <c r="K50" s="14">
        <v>0</v>
      </c>
      <c r="L50" s="16">
        <v>0</v>
      </c>
      <c r="M50" s="14">
        <v>0</v>
      </c>
      <c r="N50" s="16">
        <v>0</v>
      </c>
      <c r="O50" s="14">
        <v>0</v>
      </c>
      <c r="P50" s="16">
        <v>0</v>
      </c>
      <c r="Q50" s="14">
        <v>0</v>
      </c>
      <c r="R50" s="16">
        <v>0</v>
      </c>
    </row>
    <row r="51" spans="1:18" x14ac:dyDescent="0.25">
      <c r="A51" s="11" t="s">
        <v>184</v>
      </c>
      <c r="B51" s="13">
        <v>6866</v>
      </c>
      <c r="C51" s="14">
        <f>(5818/B51*100)</f>
        <v>84.736382173026499</v>
      </c>
      <c r="D51" s="15">
        <v>1048</v>
      </c>
      <c r="E51" s="14">
        <v>76.44236214</v>
      </c>
      <c r="F51" s="16">
        <v>1.4009320700000001</v>
      </c>
      <c r="G51" s="14">
        <v>23.55763786</v>
      </c>
      <c r="H51" s="16">
        <v>1.4009320700000001</v>
      </c>
      <c r="I51" s="14" t="s">
        <v>139</v>
      </c>
      <c r="J51" s="16" t="s">
        <v>139</v>
      </c>
      <c r="K51" s="14">
        <v>0</v>
      </c>
      <c r="L51" s="16">
        <v>0</v>
      </c>
      <c r="M51" s="14">
        <v>0</v>
      </c>
      <c r="N51" s="16">
        <v>0</v>
      </c>
      <c r="O51" s="14">
        <v>0</v>
      </c>
      <c r="P51" s="16">
        <v>0</v>
      </c>
      <c r="Q51" s="14">
        <v>0</v>
      </c>
      <c r="R51" s="16">
        <v>0</v>
      </c>
    </row>
    <row r="52" spans="1:18" x14ac:dyDescent="0.25">
      <c r="A52" s="11" t="s">
        <v>185</v>
      </c>
      <c r="B52" s="13">
        <v>5809</v>
      </c>
      <c r="C52" s="14">
        <f>(4829/B52*100)</f>
        <v>83.129626441728348</v>
      </c>
      <c r="D52" s="15">
        <v>980</v>
      </c>
      <c r="E52" s="14">
        <v>72.745762139999997</v>
      </c>
      <c r="F52" s="16">
        <v>1.3069340300000001</v>
      </c>
      <c r="G52" s="14">
        <v>27.25423786</v>
      </c>
      <c r="H52" s="16">
        <v>1.3069340300000001</v>
      </c>
      <c r="I52" s="14" t="s">
        <v>139</v>
      </c>
      <c r="J52" s="16" t="s">
        <v>139</v>
      </c>
      <c r="K52" s="14">
        <v>0</v>
      </c>
      <c r="L52" s="16">
        <v>0</v>
      </c>
      <c r="M52" s="14">
        <v>0</v>
      </c>
      <c r="N52" s="16">
        <v>0</v>
      </c>
      <c r="O52" s="14">
        <v>0</v>
      </c>
      <c r="P52" s="16">
        <v>0</v>
      </c>
      <c r="Q52" s="14">
        <v>0</v>
      </c>
      <c r="R52" s="16">
        <v>0</v>
      </c>
    </row>
    <row r="53" spans="1:18" x14ac:dyDescent="0.25">
      <c r="A53" s="11" t="s">
        <v>186</v>
      </c>
      <c r="B53" s="13">
        <v>5571</v>
      </c>
      <c r="C53" s="14">
        <f>(4631/B53*100)</f>
        <v>83.126907197989581</v>
      </c>
      <c r="D53" s="15">
        <v>940</v>
      </c>
      <c r="E53" s="14">
        <v>56.303099199999998</v>
      </c>
      <c r="F53" s="16">
        <v>1.59627147</v>
      </c>
      <c r="G53" s="14">
        <v>43.696900800000002</v>
      </c>
      <c r="H53" s="16">
        <v>1.59627147</v>
      </c>
      <c r="I53" s="14" t="s">
        <v>139</v>
      </c>
      <c r="J53" s="16" t="s">
        <v>139</v>
      </c>
      <c r="K53" s="14">
        <v>0</v>
      </c>
      <c r="L53" s="16">
        <v>0</v>
      </c>
      <c r="M53" s="14">
        <v>0</v>
      </c>
      <c r="N53" s="16">
        <v>0</v>
      </c>
      <c r="O53" s="14">
        <v>0</v>
      </c>
      <c r="P53" s="16">
        <v>0</v>
      </c>
      <c r="Q53" s="14">
        <v>0</v>
      </c>
      <c r="R53" s="16">
        <v>0</v>
      </c>
    </row>
    <row r="54" spans="1:18" x14ac:dyDescent="0.25">
      <c r="A54" s="11" t="s">
        <v>187</v>
      </c>
      <c r="B54" s="17" t="s">
        <v>154</v>
      </c>
      <c r="C54" s="17" t="s">
        <v>154</v>
      </c>
      <c r="D54" s="18" t="s">
        <v>154</v>
      </c>
      <c r="E54" s="17" t="s">
        <v>154</v>
      </c>
      <c r="F54" s="18" t="s">
        <v>154</v>
      </c>
      <c r="G54" s="17" t="s">
        <v>154</v>
      </c>
      <c r="H54" s="18" t="s">
        <v>154</v>
      </c>
      <c r="I54" s="17" t="s">
        <v>154</v>
      </c>
      <c r="J54" s="18" t="s">
        <v>154</v>
      </c>
      <c r="K54" s="17" t="s">
        <v>154</v>
      </c>
      <c r="L54" s="18" t="s">
        <v>154</v>
      </c>
      <c r="M54" s="17" t="s">
        <v>154</v>
      </c>
      <c r="N54" s="18" t="s">
        <v>154</v>
      </c>
      <c r="O54" s="17" t="s">
        <v>154</v>
      </c>
      <c r="P54" s="18" t="s">
        <v>154</v>
      </c>
      <c r="Q54" s="17" t="s">
        <v>154</v>
      </c>
      <c r="R54" s="18" t="s">
        <v>154</v>
      </c>
    </row>
    <row r="55" spans="1:18" x14ac:dyDescent="0.25">
      <c r="A55" s="11" t="s">
        <v>188</v>
      </c>
      <c r="B55" s="17" t="s">
        <v>154</v>
      </c>
      <c r="C55" s="17" t="s">
        <v>154</v>
      </c>
      <c r="D55" s="18" t="s">
        <v>154</v>
      </c>
      <c r="E55" s="17" t="s">
        <v>154</v>
      </c>
      <c r="F55" s="18" t="s">
        <v>154</v>
      </c>
      <c r="G55" s="17" t="s">
        <v>154</v>
      </c>
      <c r="H55" s="18" t="s">
        <v>154</v>
      </c>
      <c r="I55" s="17" t="s">
        <v>154</v>
      </c>
      <c r="J55" s="18" t="s">
        <v>154</v>
      </c>
      <c r="K55" s="17" t="s">
        <v>154</v>
      </c>
      <c r="L55" s="18" t="s">
        <v>154</v>
      </c>
      <c r="M55" s="17" t="s">
        <v>154</v>
      </c>
      <c r="N55" s="18" t="s">
        <v>154</v>
      </c>
      <c r="O55" s="17" t="s">
        <v>154</v>
      </c>
      <c r="P55" s="18" t="s">
        <v>154</v>
      </c>
      <c r="Q55" s="17" t="s">
        <v>154</v>
      </c>
      <c r="R55" s="18" t="s">
        <v>154</v>
      </c>
    </row>
    <row r="56" spans="1:18" x14ac:dyDescent="0.25">
      <c r="A56" s="11" t="s">
        <v>189</v>
      </c>
      <c r="B56" s="13">
        <v>5359</v>
      </c>
      <c r="C56" s="14">
        <f>(4445/B56*100)</f>
        <v>82.944579212539651</v>
      </c>
      <c r="D56" s="15">
        <v>914</v>
      </c>
      <c r="E56" s="14">
        <v>27.206428420000002</v>
      </c>
      <c r="F56" s="16">
        <v>1.62356487</v>
      </c>
      <c r="G56" s="14">
        <v>72.793571580000005</v>
      </c>
      <c r="H56" s="16">
        <v>1.62356487</v>
      </c>
      <c r="I56" s="14" t="s">
        <v>139</v>
      </c>
      <c r="J56" s="16" t="s">
        <v>139</v>
      </c>
      <c r="K56" s="14">
        <v>0</v>
      </c>
      <c r="L56" s="16">
        <v>0</v>
      </c>
      <c r="M56" s="14">
        <v>0</v>
      </c>
      <c r="N56" s="16">
        <v>0</v>
      </c>
      <c r="O56" s="14">
        <v>0</v>
      </c>
      <c r="P56" s="16">
        <v>0</v>
      </c>
      <c r="Q56" s="14">
        <v>0</v>
      </c>
      <c r="R56" s="16">
        <v>0</v>
      </c>
    </row>
    <row r="57" spans="1:18" x14ac:dyDescent="0.25">
      <c r="A57" s="11" t="s">
        <v>190</v>
      </c>
      <c r="B57" s="17" t="s">
        <v>154</v>
      </c>
      <c r="C57" s="17" t="s">
        <v>154</v>
      </c>
      <c r="D57" s="18" t="s">
        <v>154</v>
      </c>
      <c r="E57" s="17" t="s">
        <v>154</v>
      </c>
      <c r="F57" s="18" t="s">
        <v>154</v>
      </c>
      <c r="G57" s="17" t="s">
        <v>154</v>
      </c>
      <c r="H57" s="18" t="s">
        <v>154</v>
      </c>
      <c r="I57" s="17" t="s">
        <v>154</v>
      </c>
      <c r="J57" s="18" t="s">
        <v>154</v>
      </c>
      <c r="K57" s="17" t="s">
        <v>154</v>
      </c>
      <c r="L57" s="18" t="s">
        <v>154</v>
      </c>
      <c r="M57" s="17" t="s">
        <v>154</v>
      </c>
      <c r="N57" s="18" t="s">
        <v>154</v>
      </c>
      <c r="O57" s="17" t="s">
        <v>154</v>
      </c>
      <c r="P57" s="18" t="s">
        <v>154</v>
      </c>
      <c r="Q57" s="17" t="s">
        <v>154</v>
      </c>
      <c r="R57" s="18" t="s">
        <v>154</v>
      </c>
    </row>
    <row r="58" spans="1:18" x14ac:dyDescent="0.25">
      <c r="A58" s="11" t="s">
        <v>191</v>
      </c>
      <c r="B58" s="17" t="s">
        <v>154</v>
      </c>
      <c r="C58" s="17" t="s">
        <v>154</v>
      </c>
      <c r="D58" s="18" t="s">
        <v>154</v>
      </c>
      <c r="E58" s="17" t="s">
        <v>154</v>
      </c>
      <c r="F58" s="18" t="s">
        <v>154</v>
      </c>
      <c r="G58" s="17" t="s">
        <v>154</v>
      </c>
      <c r="H58" s="18" t="s">
        <v>154</v>
      </c>
      <c r="I58" s="17" t="s">
        <v>154</v>
      </c>
      <c r="J58" s="18" t="s">
        <v>154</v>
      </c>
      <c r="K58" s="17" t="s">
        <v>154</v>
      </c>
      <c r="L58" s="18" t="s">
        <v>154</v>
      </c>
      <c r="M58" s="17" t="s">
        <v>154</v>
      </c>
      <c r="N58" s="18" t="s">
        <v>154</v>
      </c>
      <c r="O58" s="17" t="s">
        <v>154</v>
      </c>
      <c r="P58" s="18" t="s">
        <v>154</v>
      </c>
      <c r="Q58" s="17" t="s">
        <v>154</v>
      </c>
      <c r="R58" s="18" t="s">
        <v>154</v>
      </c>
    </row>
    <row r="59" spans="1:18" x14ac:dyDescent="0.25">
      <c r="A59" s="11" t="s">
        <v>192</v>
      </c>
      <c r="B59" s="17" t="s">
        <v>154</v>
      </c>
      <c r="C59" s="17" t="s">
        <v>154</v>
      </c>
      <c r="D59" s="18" t="s">
        <v>154</v>
      </c>
      <c r="E59" s="17" t="s">
        <v>154</v>
      </c>
      <c r="F59" s="18" t="s">
        <v>154</v>
      </c>
      <c r="G59" s="17" t="s">
        <v>154</v>
      </c>
      <c r="H59" s="18" t="s">
        <v>154</v>
      </c>
      <c r="I59" s="17" t="s">
        <v>154</v>
      </c>
      <c r="J59" s="18" t="s">
        <v>154</v>
      </c>
      <c r="K59" s="17" t="s">
        <v>154</v>
      </c>
      <c r="L59" s="18" t="s">
        <v>154</v>
      </c>
      <c r="M59" s="17" t="s">
        <v>154</v>
      </c>
      <c r="N59" s="18" t="s">
        <v>154</v>
      </c>
      <c r="O59" s="17" t="s">
        <v>154</v>
      </c>
      <c r="P59" s="18" t="s">
        <v>154</v>
      </c>
      <c r="Q59" s="17" t="s">
        <v>154</v>
      </c>
      <c r="R59" s="18" t="s">
        <v>154</v>
      </c>
    </row>
    <row r="60" spans="1:18" x14ac:dyDescent="0.25">
      <c r="A60" s="11" t="s">
        <v>193</v>
      </c>
      <c r="B60" s="17" t="s">
        <v>154</v>
      </c>
      <c r="C60" s="17" t="s">
        <v>154</v>
      </c>
      <c r="D60" s="18" t="s">
        <v>154</v>
      </c>
      <c r="E60" s="17" t="s">
        <v>154</v>
      </c>
      <c r="F60" s="18" t="s">
        <v>154</v>
      </c>
      <c r="G60" s="17" t="s">
        <v>154</v>
      </c>
      <c r="H60" s="18" t="s">
        <v>154</v>
      </c>
      <c r="I60" s="17" t="s">
        <v>154</v>
      </c>
      <c r="J60" s="18" t="s">
        <v>154</v>
      </c>
      <c r="K60" s="17" t="s">
        <v>154</v>
      </c>
      <c r="L60" s="18" t="s">
        <v>154</v>
      </c>
      <c r="M60" s="17" t="s">
        <v>154</v>
      </c>
      <c r="N60" s="18" t="s">
        <v>154</v>
      </c>
      <c r="O60" s="17" t="s">
        <v>154</v>
      </c>
      <c r="P60" s="18" t="s">
        <v>154</v>
      </c>
      <c r="Q60" s="17" t="s">
        <v>154</v>
      </c>
      <c r="R60" s="18" t="s">
        <v>154</v>
      </c>
    </row>
    <row r="61" spans="1:18" x14ac:dyDescent="0.25">
      <c r="A61" s="11" t="s">
        <v>194</v>
      </c>
      <c r="B61" s="13">
        <v>6525</v>
      </c>
      <c r="C61" s="14">
        <f>(5418/B61*100)</f>
        <v>83.034482758620683</v>
      </c>
      <c r="D61" s="15">
        <v>1107</v>
      </c>
      <c r="E61" s="14">
        <v>69.622777560000003</v>
      </c>
      <c r="F61" s="16">
        <v>1.8423052600000001</v>
      </c>
      <c r="G61" s="14">
        <v>30.377222440000001</v>
      </c>
      <c r="H61" s="16">
        <v>1.8423052600000001</v>
      </c>
      <c r="I61" s="14" t="s">
        <v>139</v>
      </c>
      <c r="J61" s="16" t="s">
        <v>139</v>
      </c>
      <c r="K61" s="14">
        <v>0</v>
      </c>
      <c r="L61" s="16">
        <v>0</v>
      </c>
      <c r="M61" s="14">
        <v>0</v>
      </c>
      <c r="N61" s="16">
        <v>0</v>
      </c>
      <c r="O61" s="14">
        <v>0</v>
      </c>
      <c r="P61" s="16">
        <v>0</v>
      </c>
      <c r="Q61" s="14">
        <v>0</v>
      </c>
      <c r="R61" s="16">
        <v>0</v>
      </c>
    </row>
    <row r="62" spans="1:18" x14ac:dyDescent="0.25">
      <c r="A62" s="11" t="s">
        <v>195</v>
      </c>
      <c r="B62" s="13">
        <v>4476</v>
      </c>
      <c r="C62" s="14">
        <f>(3700/B62*100)</f>
        <v>82.663092046470069</v>
      </c>
      <c r="D62" s="15">
        <v>776</v>
      </c>
      <c r="E62" s="14">
        <v>29.021766169999999</v>
      </c>
      <c r="F62" s="16">
        <v>1.74181662</v>
      </c>
      <c r="G62" s="14">
        <v>70.978233829999994</v>
      </c>
      <c r="H62" s="16">
        <v>1.74181662</v>
      </c>
      <c r="I62" s="14" t="s">
        <v>139</v>
      </c>
      <c r="J62" s="16" t="s">
        <v>139</v>
      </c>
      <c r="K62" s="14">
        <v>0</v>
      </c>
      <c r="L62" s="16">
        <v>0</v>
      </c>
      <c r="M62" s="14">
        <v>0</v>
      </c>
      <c r="N62" s="16">
        <v>0</v>
      </c>
      <c r="O62" s="14">
        <v>0</v>
      </c>
      <c r="P62" s="16">
        <v>0</v>
      </c>
      <c r="Q62" s="14">
        <v>0</v>
      </c>
      <c r="R62" s="16">
        <v>0</v>
      </c>
    </row>
    <row r="63" spans="1:18" x14ac:dyDescent="0.25">
      <c r="A63" s="11" t="s">
        <v>196</v>
      </c>
      <c r="B63" s="17" t="s">
        <v>154</v>
      </c>
      <c r="C63" s="17" t="s">
        <v>154</v>
      </c>
      <c r="D63" s="18" t="s">
        <v>154</v>
      </c>
      <c r="E63" s="17" t="s">
        <v>154</v>
      </c>
      <c r="F63" s="18" t="s">
        <v>154</v>
      </c>
      <c r="G63" s="17" t="s">
        <v>154</v>
      </c>
      <c r="H63" s="18" t="s">
        <v>154</v>
      </c>
      <c r="I63" s="17" t="s">
        <v>154</v>
      </c>
      <c r="J63" s="18" t="s">
        <v>154</v>
      </c>
      <c r="K63" s="17" t="s">
        <v>154</v>
      </c>
      <c r="L63" s="18" t="s">
        <v>154</v>
      </c>
      <c r="M63" s="17" t="s">
        <v>154</v>
      </c>
      <c r="N63" s="18" t="s">
        <v>154</v>
      </c>
      <c r="O63" s="17" t="s">
        <v>154</v>
      </c>
      <c r="P63" s="18" t="s">
        <v>154</v>
      </c>
      <c r="Q63" s="17" t="s">
        <v>154</v>
      </c>
      <c r="R63" s="18" t="s">
        <v>154</v>
      </c>
    </row>
    <row r="64" spans="1:18" x14ac:dyDescent="0.25">
      <c r="A64" s="11" t="s">
        <v>197</v>
      </c>
      <c r="B64" s="17" t="s">
        <v>154</v>
      </c>
      <c r="C64" s="17" t="s">
        <v>154</v>
      </c>
      <c r="D64" s="18" t="s">
        <v>154</v>
      </c>
      <c r="E64" s="17" t="s">
        <v>154</v>
      </c>
      <c r="F64" s="18" t="s">
        <v>154</v>
      </c>
      <c r="G64" s="17" t="s">
        <v>154</v>
      </c>
      <c r="H64" s="18" t="s">
        <v>154</v>
      </c>
      <c r="I64" s="17" t="s">
        <v>154</v>
      </c>
      <c r="J64" s="18" t="s">
        <v>154</v>
      </c>
      <c r="K64" s="17" t="s">
        <v>154</v>
      </c>
      <c r="L64" s="18" t="s">
        <v>154</v>
      </c>
      <c r="M64" s="17" t="s">
        <v>154</v>
      </c>
      <c r="N64" s="18" t="s">
        <v>154</v>
      </c>
      <c r="O64" s="17" t="s">
        <v>154</v>
      </c>
      <c r="P64" s="18" t="s">
        <v>154</v>
      </c>
      <c r="Q64" s="17" t="s">
        <v>154</v>
      </c>
      <c r="R64" s="18" t="s">
        <v>154</v>
      </c>
    </row>
    <row r="65" spans="1:18" x14ac:dyDescent="0.25">
      <c r="A65" s="11" t="s">
        <v>198</v>
      </c>
      <c r="B65" s="17" t="s">
        <v>154</v>
      </c>
      <c r="C65" s="17" t="s">
        <v>154</v>
      </c>
      <c r="D65" s="18" t="s">
        <v>154</v>
      </c>
      <c r="E65" s="17" t="s">
        <v>154</v>
      </c>
      <c r="F65" s="18" t="s">
        <v>154</v>
      </c>
      <c r="G65" s="17" t="s">
        <v>154</v>
      </c>
      <c r="H65" s="18" t="s">
        <v>154</v>
      </c>
      <c r="I65" s="17" t="s">
        <v>154</v>
      </c>
      <c r="J65" s="18" t="s">
        <v>154</v>
      </c>
      <c r="K65" s="17" t="s">
        <v>154</v>
      </c>
      <c r="L65" s="18" t="s">
        <v>154</v>
      </c>
      <c r="M65" s="17" t="s">
        <v>154</v>
      </c>
      <c r="N65" s="18" t="s">
        <v>154</v>
      </c>
      <c r="O65" s="17" t="s">
        <v>154</v>
      </c>
      <c r="P65" s="18" t="s">
        <v>154</v>
      </c>
      <c r="Q65" s="17" t="s">
        <v>154</v>
      </c>
      <c r="R65" s="18" t="s">
        <v>154</v>
      </c>
    </row>
    <row r="66" spans="1:18" x14ac:dyDescent="0.25">
      <c r="A66" s="11" t="s">
        <v>199</v>
      </c>
      <c r="B66" s="13">
        <v>5665</v>
      </c>
      <c r="C66" s="14">
        <f>(4711/B66*100)</f>
        <v>83.159752868490727</v>
      </c>
      <c r="D66" s="15">
        <v>954</v>
      </c>
      <c r="E66" s="14">
        <v>75.126198180000003</v>
      </c>
      <c r="F66" s="16">
        <v>1.4004516499999999</v>
      </c>
      <c r="G66" s="14">
        <v>24.873801820000001</v>
      </c>
      <c r="H66" s="16">
        <v>1.4004516499999999</v>
      </c>
      <c r="I66" s="14" t="s">
        <v>139</v>
      </c>
      <c r="J66" s="16" t="s">
        <v>139</v>
      </c>
      <c r="K66" s="14">
        <v>0</v>
      </c>
      <c r="L66" s="16">
        <v>0</v>
      </c>
      <c r="M66" s="14">
        <v>0</v>
      </c>
      <c r="N66" s="16">
        <v>0</v>
      </c>
      <c r="O66" s="14">
        <v>0</v>
      </c>
      <c r="P66" s="16">
        <v>0</v>
      </c>
      <c r="Q66" s="14">
        <v>0</v>
      </c>
      <c r="R66" s="16">
        <v>0</v>
      </c>
    </row>
    <row r="67" spans="1:18" x14ac:dyDescent="0.25">
      <c r="A67" s="11" t="s">
        <v>200</v>
      </c>
      <c r="B67" s="13">
        <v>6971</v>
      </c>
      <c r="C67" s="14">
        <f>(5847/B67*100)</f>
        <v>83.876057954382446</v>
      </c>
      <c r="D67" s="15">
        <v>1124</v>
      </c>
      <c r="E67" s="14">
        <v>69.70696212</v>
      </c>
      <c r="F67" s="16">
        <v>1.3527924899999999</v>
      </c>
      <c r="G67" s="14">
        <v>30.29303788</v>
      </c>
      <c r="H67" s="16">
        <v>1.3527924899999999</v>
      </c>
      <c r="I67" s="14" t="s">
        <v>139</v>
      </c>
      <c r="J67" s="16" t="s">
        <v>139</v>
      </c>
      <c r="K67" s="14">
        <v>0</v>
      </c>
      <c r="L67" s="16">
        <v>0</v>
      </c>
      <c r="M67" s="14">
        <v>0</v>
      </c>
      <c r="N67" s="16">
        <v>0</v>
      </c>
      <c r="O67" s="14">
        <v>0</v>
      </c>
      <c r="P67" s="16">
        <v>0</v>
      </c>
      <c r="Q67" s="14">
        <v>0</v>
      </c>
      <c r="R67" s="16">
        <v>0</v>
      </c>
    </row>
    <row r="68" spans="1:18" x14ac:dyDescent="0.25">
      <c r="A68" s="11" t="s">
        <v>201</v>
      </c>
      <c r="B68" s="17" t="s">
        <v>154</v>
      </c>
      <c r="C68" s="17" t="s">
        <v>154</v>
      </c>
      <c r="D68" s="18" t="s">
        <v>154</v>
      </c>
      <c r="E68" s="17" t="s">
        <v>154</v>
      </c>
      <c r="F68" s="18" t="s">
        <v>154</v>
      </c>
      <c r="G68" s="17" t="s">
        <v>154</v>
      </c>
      <c r="H68" s="18" t="s">
        <v>154</v>
      </c>
      <c r="I68" s="17" t="s">
        <v>154</v>
      </c>
      <c r="J68" s="18" t="s">
        <v>154</v>
      </c>
      <c r="K68" s="17" t="s">
        <v>154</v>
      </c>
      <c r="L68" s="18" t="s">
        <v>154</v>
      </c>
      <c r="M68" s="17" t="s">
        <v>154</v>
      </c>
      <c r="N68" s="18" t="s">
        <v>154</v>
      </c>
      <c r="O68" s="17" t="s">
        <v>154</v>
      </c>
      <c r="P68" s="18" t="s">
        <v>154</v>
      </c>
      <c r="Q68" s="17" t="s">
        <v>154</v>
      </c>
      <c r="R68" s="18" t="s">
        <v>154</v>
      </c>
    </row>
    <row r="69" spans="1:18" x14ac:dyDescent="0.25">
      <c r="A69" s="11" t="s">
        <v>202</v>
      </c>
      <c r="B69" s="17" t="s">
        <v>154</v>
      </c>
      <c r="C69" s="17" t="s">
        <v>154</v>
      </c>
      <c r="D69" s="18" t="s">
        <v>154</v>
      </c>
      <c r="E69" s="17" t="s">
        <v>154</v>
      </c>
      <c r="F69" s="18" t="s">
        <v>154</v>
      </c>
      <c r="G69" s="17" t="s">
        <v>154</v>
      </c>
      <c r="H69" s="18" t="s">
        <v>154</v>
      </c>
      <c r="I69" s="17" t="s">
        <v>154</v>
      </c>
      <c r="J69" s="18" t="s">
        <v>154</v>
      </c>
      <c r="K69" s="17" t="s">
        <v>154</v>
      </c>
      <c r="L69" s="18" t="s">
        <v>154</v>
      </c>
      <c r="M69" s="17" t="s">
        <v>154</v>
      </c>
      <c r="N69" s="18" t="s">
        <v>154</v>
      </c>
      <c r="O69" s="17" t="s">
        <v>154</v>
      </c>
      <c r="P69" s="18" t="s">
        <v>154</v>
      </c>
      <c r="Q69" s="17" t="s">
        <v>154</v>
      </c>
      <c r="R69" s="18" t="s">
        <v>154</v>
      </c>
    </row>
    <row r="70" spans="1:18" x14ac:dyDescent="0.25">
      <c r="A70" s="11" t="s">
        <v>203</v>
      </c>
      <c r="B70" s="13">
        <v>6036</v>
      </c>
      <c r="C70" s="14">
        <f>(4994/B70*100)</f>
        <v>82.736911862160369</v>
      </c>
      <c r="D70" s="15">
        <v>1042</v>
      </c>
      <c r="E70" s="14">
        <v>65.598511930000001</v>
      </c>
      <c r="F70" s="16">
        <v>1.5154106300000001</v>
      </c>
      <c r="G70" s="14">
        <v>34.401488069999999</v>
      </c>
      <c r="H70" s="16">
        <v>1.5154106300000001</v>
      </c>
      <c r="I70" s="14" t="s">
        <v>139</v>
      </c>
      <c r="J70" s="16" t="s">
        <v>139</v>
      </c>
      <c r="K70" s="14">
        <v>0</v>
      </c>
      <c r="L70" s="16">
        <v>0</v>
      </c>
      <c r="M70" s="14">
        <v>0</v>
      </c>
      <c r="N70" s="16">
        <v>0</v>
      </c>
      <c r="O70" s="14">
        <v>0</v>
      </c>
      <c r="P70" s="16">
        <v>0</v>
      </c>
      <c r="Q70" s="14">
        <v>0</v>
      </c>
      <c r="R70" s="16">
        <v>0</v>
      </c>
    </row>
    <row r="71" spans="1:18" x14ac:dyDescent="0.25">
      <c r="A71" s="11" t="s">
        <v>204</v>
      </c>
      <c r="B71" s="17" t="s">
        <v>154</v>
      </c>
      <c r="C71" s="17" t="s">
        <v>154</v>
      </c>
      <c r="D71" s="18" t="s">
        <v>154</v>
      </c>
      <c r="E71" s="17" t="s">
        <v>154</v>
      </c>
      <c r="F71" s="18" t="s">
        <v>154</v>
      </c>
      <c r="G71" s="17" t="s">
        <v>154</v>
      </c>
      <c r="H71" s="18" t="s">
        <v>154</v>
      </c>
      <c r="I71" s="17" t="s">
        <v>154</v>
      </c>
      <c r="J71" s="18" t="s">
        <v>154</v>
      </c>
      <c r="K71" s="17" t="s">
        <v>154</v>
      </c>
      <c r="L71" s="18" t="s">
        <v>154</v>
      </c>
      <c r="M71" s="17" t="s">
        <v>154</v>
      </c>
      <c r="N71" s="18" t="s">
        <v>154</v>
      </c>
      <c r="O71" s="17" t="s">
        <v>154</v>
      </c>
      <c r="P71" s="18" t="s">
        <v>154</v>
      </c>
      <c r="Q71" s="17" t="s">
        <v>154</v>
      </c>
      <c r="R71" s="18" t="s">
        <v>154</v>
      </c>
    </row>
    <row r="72" spans="1:18" x14ac:dyDescent="0.25">
      <c r="A72" s="11" t="s">
        <v>205</v>
      </c>
      <c r="B72" s="13">
        <v>7708</v>
      </c>
      <c r="C72" s="14">
        <f>(6364/B72*100)</f>
        <v>82.56357031655422</v>
      </c>
      <c r="D72" s="15">
        <v>1344</v>
      </c>
      <c r="E72" s="14">
        <v>33.909777900000002</v>
      </c>
      <c r="F72" s="16">
        <v>1.5987412700000001</v>
      </c>
      <c r="G72" s="14">
        <v>66.090222100000005</v>
      </c>
      <c r="H72" s="16">
        <v>1.5987412700000001</v>
      </c>
      <c r="I72" s="14" t="s">
        <v>139</v>
      </c>
      <c r="J72" s="16" t="s">
        <v>139</v>
      </c>
      <c r="K72" s="14">
        <v>0</v>
      </c>
      <c r="L72" s="16">
        <v>0</v>
      </c>
      <c r="M72" s="14">
        <v>0</v>
      </c>
      <c r="N72" s="16">
        <v>0</v>
      </c>
      <c r="O72" s="14">
        <v>0</v>
      </c>
      <c r="P72" s="16">
        <v>0</v>
      </c>
      <c r="Q72" s="14">
        <v>0</v>
      </c>
      <c r="R72" s="16">
        <v>0</v>
      </c>
    </row>
    <row r="73" spans="1:18" x14ac:dyDescent="0.25">
      <c r="A73" s="11" t="s">
        <v>206</v>
      </c>
      <c r="B73" s="13">
        <v>8249</v>
      </c>
      <c r="C73" s="14">
        <f>(6848/B73*100)</f>
        <v>83.016123166444416</v>
      </c>
      <c r="D73" s="15">
        <v>1401</v>
      </c>
      <c r="E73" s="14">
        <v>35.898862100000002</v>
      </c>
      <c r="F73" s="16">
        <v>1.5053799699999999</v>
      </c>
      <c r="G73" s="14">
        <v>64.101137899999998</v>
      </c>
      <c r="H73" s="16">
        <v>1.5053799699999999</v>
      </c>
      <c r="I73" s="14" t="s">
        <v>139</v>
      </c>
      <c r="J73" s="16" t="s">
        <v>139</v>
      </c>
      <c r="K73" s="14">
        <v>0</v>
      </c>
      <c r="L73" s="16">
        <v>0</v>
      </c>
      <c r="M73" s="14">
        <v>0</v>
      </c>
      <c r="N73" s="16">
        <v>0</v>
      </c>
      <c r="O73" s="14">
        <v>0</v>
      </c>
      <c r="P73" s="16">
        <v>0</v>
      </c>
      <c r="Q73" s="14">
        <v>0</v>
      </c>
      <c r="R73" s="16">
        <v>0</v>
      </c>
    </row>
    <row r="74" spans="1:18" x14ac:dyDescent="0.25">
      <c r="A74" s="11" t="s">
        <v>207</v>
      </c>
      <c r="B74" s="17" t="s">
        <v>154</v>
      </c>
      <c r="C74" s="17" t="s">
        <v>154</v>
      </c>
      <c r="D74" s="18" t="s">
        <v>154</v>
      </c>
      <c r="E74" s="17" t="s">
        <v>154</v>
      </c>
      <c r="F74" s="18" t="s">
        <v>154</v>
      </c>
      <c r="G74" s="17" t="s">
        <v>154</v>
      </c>
      <c r="H74" s="18" t="s">
        <v>154</v>
      </c>
      <c r="I74" s="17" t="s">
        <v>154</v>
      </c>
      <c r="J74" s="18" t="s">
        <v>154</v>
      </c>
      <c r="K74" s="17" t="s">
        <v>154</v>
      </c>
      <c r="L74" s="18" t="s">
        <v>154</v>
      </c>
      <c r="M74" s="17" t="s">
        <v>154</v>
      </c>
      <c r="N74" s="18" t="s">
        <v>154</v>
      </c>
      <c r="O74" s="17" t="s">
        <v>154</v>
      </c>
      <c r="P74" s="18" t="s">
        <v>154</v>
      </c>
      <c r="Q74" s="17" t="s">
        <v>154</v>
      </c>
      <c r="R74" s="18" t="s">
        <v>154</v>
      </c>
    </row>
    <row r="75" spans="1:18" x14ac:dyDescent="0.25">
      <c r="A75" s="11" t="s">
        <v>208</v>
      </c>
      <c r="B75" s="13">
        <v>5375</v>
      </c>
      <c r="C75" s="14">
        <f>(4516/B75*100)</f>
        <v>84.018604651162789</v>
      </c>
      <c r="D75" s="15">
        <v>859</v>
      </c>
      <c r="E75" s="14">
        <v>79.716553790000006</v>
      </c>
      <c r="F75" s="16">
        <v>1.3856945000000001</v>
      </c>
      <c r="G75" s="14">
        <v>20.283446210000001</v>
      </c>
      <c r="H75" s="16">
        <v>1.3856945000000001</v>
      </c>
      <c r="I75" s="14" t="s">
        <v>139</v>
      </c>
      <c r="J75" s="16" t="s">
        <v>139</v>
      </c>
      <c r="K75" s="14">
        <v>0</v>
      </c>
      <c r="L75" s="16">
        <v>0</v>
      </c>
      <c r="M75" s="14">
        <v>0</v>
      </c>
      <c r="N75" s="16">
        <v>0</v>
      </c>
      <c r="O75" s="14">
        <v>0</v>
      </c>
      <c r="P75" s="16">
        <v>0</v>
      </c>
      <c r="Q75" s="14">
        <v>0</v>
      </c>
      <c r="R75" s="16">
        <v>0</v>
      </c>
    </row>
    <row r="76" spans="1:18" x14ac:dyDescent="0.25">
      <c r="A76" s="11" t="s">
        <v>209</v>
      </c>
      <c r="B76" s="13">
        <v>14167</v>
      </c>
      <c r="C76" s="14">
        <f>(11765/B76*100)</f>
        <v>83.045104821063035</v>
      </c>
      <c r="D76" s="15">
        <v>2402</v>
      </c>
      <c r="E76" s="14">
        <v>63.658950269999998</v>
      </c>
      <c r="F76" s="16">
        <v>1.1380782700000001</v>
      </c>
      <c r="G76" s="14">
        <v>36.341049730000002</v>
      </c>
      <c r="H76" s="16">
        <v>1.1380782700000001</v>
      </c>
      <c r="I76" s="14" t="s">
        <v>139</v>
      </c>
      <c r="J76" s="16" t="s">
        <v>139</v>
      </c>
      <c r="K76" s="14">
        <v>0</v>
      </c>
      <c r="L76" s="16">
        <v>0</v>
      </c>
      <c r="M76" s="14">
        <v>0</v>
      </c>
      <c r="N76" s="16">
        <v>0</v>
      </c>
      <c r="O76" s="14">
        <v>0</v>
      </c>
      <c r="P76" s="16">
        <v>0</v>
      </c>
      <c r="Q76" s="14">
        <v>0</v>
      </c>
      <c r="R76" s="16">
        <v>0</v>
      </c>
    </row>
    <row r="77" spans="1:18" x14ac:dyDescent="0.25">
      <c r="A77" s="11" t="s">
        <v>210</v>
      </c>
      <c r="B77" s="13">
        <v>6062</v>
      </c>
      <c r="C77" s="14">
        <f>(5040/B77*100)</f>
        <v>83.140877598152429</v>
      </c>
      <c r="D77" s="15">
        <v>1022</v>
      </c>
      <c r="E77" s="14">
        <v>62.803944989999998</v>
      </c>
      <c r="F77" s="16">
        <v>1.67449395</v>
      </c>
      <c r="G77" s="14">
        <v>37.196055010000002</v>
      </c>
      <c r="H77" s="16">
        <v>1.67449395</v>
      </c>
      <c r="I77" s="14" t="s">
        <v>139</v>
      </c>
      <c r="J77" s="16" t="s">
        <v>139</v>
      </c>
      <c r="K77" s="14">
        <v>0</v>
      </c>
      <c r="L77" s="16">
        <v>0</v>
      </c>
      <c r="M77" s="14">
        <v>0</v>
      </c>
      <c r="N77" s="16">
        <v>0</v>
      </c>
      <c r="O77" s="14">
        <v>0</v>
      </c>
      <c r="P77" s="16">
        <v>0</v>
      </c>
      <c r="Q77" s="14">
        <v>0</v>
      </c>
      <c r="R77" s="16">
        <v>0</v>
      </c>
    </row>
    <row r="78" spans="1:18" x14ac:dyDescent="0.25">
      <c r="A78" s="11" t="s">
        <v>211</v>
      </c>
      <c r="B78" s="17" t="s">
        <v>154</v>
      </c>
      <c r="C78" s="17" t="s">
        <v>154</v>
      </c>
      <c r="D78" s="18" t="s">
        <v>154</v>
      </c>
      <c r="E78" s="17" t="s">
        <v>154</v>
      </c>
      <c r="F78" s="18" t="s">
        <v>154</v>
      </c>
      <c r="G78" s="17" t="s">
        <v>154</v>
      </c>
      <c r="H78" s="18" t="s">
        <v>154</v>
      </c>
      <c r="I78" s="17" t="s">
        <v>154</v>
      </c>
      <c r="J78" s="18" t="s">
        <v>154</v>
      </c>
      <c r="K78" s="17" t="s">
        <v>154</v>
      </c>
      <c r="L78" s="18" t="s">
        <v>154</v>
      </c>
      <c r="M78" s="17" t="s">
        <v>154</v>
      </c>
      <c r="N78" s="18" t="s">
        <v>154</v>
      </c>
      <c r="O78" s="17" t="s">
        <v>154</v>
      </c>
      <c r="P78" s="18" t="s">
        <v>154</v>
      </c>
      <c r="Q78" s="17" t="s">
        <v>154</v>
      </c>
      <c r="R78" s="18" t="s">
        <v>154</v>
      </c>
    </row>
    <row r="79" spans="1:18" ht="24.95" customHeight="1" x14ac:dyDescent="0.25">
      <c r="A79" s="11" t="s">
        <v>212</v>
      </c>
      <c r="B79" s="17" t="s">
        <v>154</v>
      </c>
      <c r="C79" s="17" t="s">
        <v>154</v>
      </c>
      <c r="D79" s="18" t="s">
        <v>154</v>
      </c>
      <c r="E79" s="17" t="s">
        <v>154</v>
      </c>
      <c r="F79" s="18" t="s">
        <v>154</v>
      </c>
      <c r="G79" s="17" t="s">
        <v>154</v>
      </c>
      <c r="H79" s="18" t="s">
        <v>154</v>
      </c>
      <c r="I79" s="17" t="s">
        <v>154</v>
      </c>
      <c r="J79" s="18" t="s">
        <v>154</v>
      </c>
      <c r="K79" s="17" t="s">
        <v>154</v>
      </c>
      <c r="L79" s="18" t="s">
        <v>154</v>
      </c>
      <c r="M79" s="17" t="s">
        <v>154</v>
      </c>
      <c r="N79" s="18" t="s">
        <v>154</v>
      </c>
      <c r="O79" s="17" t="s">
        <v>154</v>
      </c>
      <c r="P79" s="18" t="s">
        <v>154</v>
      </c>
      <c r="Q79" s="17" t="s">
        <v>154</v>
      </c>
      <c r="R79" s="18" t="s">
        <v>154</v>
      </c>
    </row>
    <row r="80" spans="1:18" x14ac:dyDescent="0.25">
      <c r="A80" s="11" t="s">
        <v>213</v>
      </c>
      <c r="B80" s="17" t="s">
        <v>154</v>
      </c>
      <c r="C80" s="17" t="s">
        <v>154</v>
      </c>
      <c r="D80" s="18" t="s">
        <v>154</v>
      </c>
      <c r="E80" s="17" t="s">
        <v>154</v>
      </c>
      <c r="F80" s="18" t="s">
        <v>154</v>
      </c>
      <c r="G80" s="17" t="s">
        <v>154</v>
      </c>
      <c r="H80" s="18" t="s">
        <v>154</v>
      </c>
      <c r="I80" s="17" t="s">
        <v>154</v>
      </c>
      <c r="J80" s="18" t="s">
        <v>154</v>
      </c>
      <c r="K80" s="17" t="s">
        <v>154</v>
      </c>
      <c r="L80" s="18" t="s">
        <v>154</v>
      </c>
      <c r="M80" s="17" t="s">
        <v>154</v>
      </c>
      <c r="N80" s="18" t="s">
        <v>154</v>
      </c>
      <c r="O80" s="17" t="s">
        <v>154</v>
      </c>
      <c r="P80" s="18" t="s">
        <v>154</v>
      </c>
      <c r="Q80" s="17" t="s">
        <v>154</v>
      </c>
      <c r="R80" s="18" t="s">
        <v>154</v>
      </c>
    </row>
    <row r="81" spans="1:18" x14ac:dyDescent="0.25">
      <c r="A81" s="19" t="s">
        <v>214</v>
      </c>
      <c r="B81" s="13">
        <v>8861</v>
      </c>
      <c r="C81" s="14">
        <f>(7341/B81*100)</f>
        <v>82.846179889403004</v>
      </c>
      <c r="D81" s="15">
        <v>1520</v>
      </c>
      <c r="E81" s="14">
        <v>47.605185710000001</v>
      </c>
      <c r="F81" s="16">
        <v>1.4901499300000001</v>
      </c>
      <c r="G81" s="14">
        <v>52.394814289999999</v>
      </c>
      <c r="H81" s="16">
        <v>1.4901499300000001</v>
      </c>
      <c r="I81" s="14" t="s">
        <v>139</v>
      </c>
      <c r="J81" s="16" t="s">
        <v>139</v>
      </c>
      <c r="K81" s="14">
        <v>0</v>
      </c>
      <c r="L81" s="16">
        <v>0</v>
      </c>
      <c r="M81" s="14">
        <v>0</v>
      </c>
      <c r="N81" s="16">
        <v>0</v>
      </c>
      <c r="O81" s="14">
        <v>0</v>
      </c>
      <c r="P81" s="16">
        <v>0</v>
      </c>
      <c r="Q81" s="14">
        <v>0</v>
      </c>
      <c r="R81" s="16">
        <v>0</v>
      </c>
    </row>
    <row r="82" spans="1:18" x14ac:dyDescent="0.25">
      <c r="A82" s="20"/>
      <c r="B82" s="20" t="s">
        <v>215</v>
      </c>
      <c r="C82" s="20" t="s">
        <v>215</v>
      </c>
      <c r="D82" s="20" t="s">
        <v>215</v>
      </c>
      <c r="E82" s="20" t="s">
        <v>215</v>
      </c>
      <c r="F82" s="20" t="s">
        <v>215</v>
      </c>
      <c r="G82" s="20" t="s">
        <v>215</v>
      </c>
      <c r="H82" s="20" t="s">
        <v>215</v>
      </c>
      <c r="I82" s="20" t="s">
        <v>215</v>
      </c>
      <c r="J82" s="20" t="s">
        <v>215</v>
      </c>
      <c r="K82" s="20" t="s">
        <v>215</v>
      </c>
      <c r="L82" s="20" t="s">
        <v>215</v>
      </c>
      <c r="M82" s="20" t="s">
        <v>215</v>
      </c>
      <c r="N82" s="20" t="s">
        <v>215</v>
      </c>
      <c r="O82" s="20" t="s">
        <v>215</v>
      </c>
      <c r="P82" s="20" t="s">
        <v>215</v>
      </c>
      <c r="Q82" s="20" t="s">
        <v>215</v>
      </c>
      <c r="R82" s="20" t="s">
        <v>215</v>
      </c>
    </row>
    <row r="83" spans="1:18" x14ac:dyDescent="0.25">
      <c r="A83" s="3" t="s">
        <v>216</v>
      </c>
    </row>
    <row r="84" spans="1:18" x14ac:dyDescent="0.25">
      <c r="A84" s="22" t="s">
        <v>217</v>
      </c>
      <c r="B84" s="23"/>
      <c r="C84" s="23"/>
      <c r="D84" s="23"/>
      <c r="E84" s="23"/>
      <c r="F84" s="23"/>
      <c r="G84" s="23"/>
      <c r="H84" s="23"/>
      <c r="I84" s="23"/>
      <c r="J84" s="23"/>
      <c r="K84" s="23"/>
      <c r="L84" s="23"/>
      <c r="M84" s="23"/>
      <c r="N84" s="23"/>
      <c r="O84" s="23"/>
      <c r="P84" s="23"/>
      <c r="Q84" s="23"/>
      <c r="R84" s="23"/>
    </row>
    <row r="85" spans="1:18" x14ac:dyDescent="0.25">
      <c r="A85" s="22" t="s">
        <v>218</v>
      </c>
      <c r="B85" s="23"/>
      <c r="C85" s="23"/>
      <c r="D85" s="23"/>
      <c r="E85" s="23"/>
      <c r="F85" s="23"/>
      <c r="G85" s="23"/>
      <c r="H85" s="23"/>
      <c r="I85" s="23"/>
      <c r="J85" s="23"/>
      <c r="K85" s="23"/>
      <c r="L85" s="23"/>
      <c r="M85" s="23"/>
      <c r="N85" s="23"/>
      <c r="O85" s="23"/>
      <c r="P85" s="23"/>
      <c r="Q85" s="23"/>
      <c r="R85" s="23"/>
    </row>
    <row r="86" spans="1:18" ht="30" customHeight="1" x14ac:dyDescent="0.25">
      <c r="A86" s="22" t="s">
        <v>219</v>
      </c>
      <c r="B86" s="23"/>
      <c r="C86" s="23"/>
      <c r="D86" s="23"/>
      <c r="E86" s="23"/>
      <c r="F86" s="23"/>
      <c r="G86" s="23"/>
      <c r="H86" s="23"/>
      <c r="I86" s="23"/>
      <c r="J86" s="23"/>
      <c r="K86" s="23"/>
      <c r="L86" s="23"/>
      <c r="M86" s="23"/>
      <c r="N86" s="23"/>
      <c r="O86" s="23"/>
      <c r="P86" s="23"/>
      <c r="Q86" s="23"/>
      <c r="R86" s="23"/>
    </row>
    <row r="87" spans="1:18" ht="30" customHeight="1" x14ac:dyDescent="0.25">
      <c r="A87" s="22" t="s">
        <v>215</v>
      </c>
      <c r="B87" s="23"/>
      <c r="C87" s="23"/>
      <c r="D87" s="23"/>
      <c r="E87" s="23"/>
      <c r="F87" s="23"/>
      <c r="G87" s="23"/>
      <c r="H87" s="23"/>
      <c r="I87" s="23"/>
      <c r="J87" s="23"/>
      <c r="K87" s="23"/>
      <c r="L87" s="23"/>
      <c r="M87" s="23"/>
      <c r="N87" s="23"/>
      <c r="O87" s="23"/>
      <c r="P87" s="23"/>
      <c r="Q87" s="23"/>
      <c r="R87" s="23"/>
    </row>
    <row r="88" spans="1:18" ht="30" customHeight="1" x14ac:dyDescent="0.25">
      <c r="A88" s="22" t="s">
        <v>220</v>
      </c>
      <c r="B88" s="23"/>
      <c r="C88" s="23"/>
      <c r="D88" s="23"/>
      <c r="E88" s="23"/>
      <c r="F88" s="23"/>
      <c r="G88" s="23"/>
      <c r="H88" s="23"/>
      <c r="I88" s="23"/>
      <c r="J88" s="23"/>
      <c r="K88" s="23"/>
      <c r="L88" s="23"/>
      <c r="M88" s="23"/>
      <c r="N88" s="23"/>
      <c r="O88" s="23"/>
      <c r="P88" s="23"/>
      <c r="Q88" s="23"/>
      <c r="R88" s="23"/>
    </row>
    <row r="89" spans="1:18" ht="30" customHeight="1" x14ac:dyDescent="0.25">
      <c r="A89" s="22" t="s">
        <v>221</v>
      </c>
      <c r="B89" s="23"/>
      <c r="C89" s="23"/>
      <c r="D89" s="23"/>
      <c r="E89" s="23"/>
      <c r="F89" s="23"/>
      <c r="G89" s="23"/>
      <c r="H89" s="23"/>
      <c r="I89" s="23"/>
      <c r="J89" s="23"/>
      <c r="K89" s="23"/>
      <c r="L89" s="23"/>
      <c r="M89" s="23"/>
      <c r="N89" s="23"/>
      <c r="O89" s="23"/>
      <c r="P89" s="23"/>
      <c r="Q89" s="23"/>
      <c r="R89" s="23"/>
    </row>
    <row r="90" spans="1:18" ht="30" customHeight="1" x14ac:dyDescent="0.25">
      <c r="A90" s="22" t="s">
        <v>222</v>
      </c>
      <c r="B90" s="23"/>
      <c r="C90" s="23"/>
      <c r="D90" s="23"/>
      <c r="E90" s="23"/>
      <c r="F90" s="23"/>
      <c r="G90" s="23"/>
      <c r="H90" s="23"/>
      <c r="I90" s="23"/>
      <c r="J90" s="23"/>
      <c r="K90" s="23"/>
      <c r="L90" s="23"/>
      <c r="M90" s="23"/>
      <c r="N90" s="23"/>
      <c r="O90" s="23"/>
      <c r="P90" s="23"/>
      <c r="Q90" s="23"/>
      <c r="R90" s="23"/>
    </row>
    <row r="91" spans="1:18" ht="30" customHeight="1" x14ac:dyDescent="0.25">
      <c r="A91" s="22" t="s">
        <v>223</v>
      </c>
      <c r="B91" s="23"/>
      <c r="C91" s="23"/>
      <c r="D91" s="23"/>
      <c r="E91" s="23"/>
      <c r="F91" s="23"/>
      <c r="G91" s="23"/>
      <c r="H91" s="23"/>
      <c r="I91" s="23"/>
      <c r="J91" s="23"/>
      <c r="K91" s="23"/>
      <c r="L91" s="23"/>
      <c r="M91" s="23"/>
      <c r="N91" s="23"/>
      <c r="O91" s="23"/>
      <c r="P91" s="23"/>
      <c r="Q91" s="23"/>
      <c r="R91" s="23"/>
    </row>
    <row r="92" spans="1:18" ht="30" customHeight="1" x14ac:dyDescent="0.25">
      <c r="A92" s="22" t="s">
        <v>224</v>
      </c>
      <c r="B92" s="23"/>
      <c r="C92" s="23"/>
      <c r="D92" s="23"/>
      <c r="E92" s="23"/>
      <c r="F92" s="23"/>
      <c r="G92" s="23"/>
      <c r="H92" s="23"/>
      <c r="I92" s="23"/>
      <c r="J92" s="23"/>
      <c r="K92" s="23"/>
      <c r="L92" s="23"/>
      <c r="M92" s="23"/>
      <c r="N92" s="23"/>
      <c r="O92" s="23"/>
      <c r="P92" s="23"/>
      <c r="Q92" s="23"/>
      <c r="R92" s="23"/>
    </row>
    <row r="93" spans="1:18" ht="30" customHeight="1" x14ac:dyDescent="0.25">
      <c r="A93" s="22" t="s">
        <v>225</v>
      </c>
      <c r="B93" s="23"/>
      <c r="C93" s="23"/>
      <c r="D93" s="23"/>
      <c r="E93" s="23"/>
      <c r="F93" s="23"/>
      <c r="G93" s="23"/>
      <c r="H93" s="23"/>
      <c r="I93" s="23"/>
      <c r="J93" s="23"/>
      <c r="K93" s="23"/>
      <c r="L93" s="23"/>
      <c r="M93" s="23"/>
      <c r="N93" s="23"/>
      <c r="O93" s="23"/>
      <c r="P93" s="23"/>
      <c r="Q93" s="23"/>
      <c r="R93" s="23"/>
    </row>
    <row r="94" spans="1:18" ht="30" customHeight="1" x14ac:dyDescent="0.25">
      <c r="A94" s="22" t="s">
        <v>226</v>
      </c>
      <c r="B94" s="23"/>
      <c r="C94" s="23"/>
      <c r="D94" s="23"/>
      <c r="E94" s="23"/>
      <c r="F94" s="23"/>
      <c r="G94" s="23"/>
      <c r="H94" s="23"/>
      <c r="I94" s="23"/>
      <c r="J94" s="23"/>
      <c r="K94" s="23"/>
      <c r="L94" s="23"/>
      <c r="M94" s="23"/>
      <c r="N94" s="23"/>
      <c r="O94" s="23"/>
      <c r="P94" s="23"/>
      <c r="Q94" s="23"/>
      <c r="R94" s="23"/>
    </row>
    <row r="95" spans="1:18" ht="30" customHeight="1" x14ac:dyDescent="0.25">
      <c r="A95" s="22" t="s">
        <v>227</v>
      </c>
      <c r="B95" s="23"/>
      <c r="C95" s="23"/>
      <c r="D95" s="23"/>
      <c r="E95" s="23"/>
      <c r="F95" s="23"/>
      <c r="G95" s="23"/>
      <c r="H95" s="23"/>
      <c r="I95" s="23"/>
      <c r="J95" s="23"/>
      <c r="K95" s="23"/>
      <c r="L95" s="23"/>
      <c r="M95" s="23"/>
      <c r="N95" s="23"/>
      <c r="O95" s="23"/>
      <c r="P95" s="23"/>
      <c r="Q95" s="23"/>
      <c r="R95" s="23"/>
    </row>
    <row r="96" spans="1:18" ht="30" customHeight="1" x14ac:dyDescent="0.25">
      <c r="A96" s="22" t="s">
        <v>228</v>
      </c>
      <c r="B96" s="23"/>
      <c r="C96" s="23"/>
      <c r="D96" s="23"/>
      <c r="E96" s="23"/>
      <c r="F96" s="23"/>
      <c r="G96" s="23"/>
      <c r="H96" s="23"/>
      <c r="I96" s="23"/>
      <c r="J96" s="23"/>
      <c r="K96" s="23"/>
      <c r="L96" s="23"/>
      <c r="M96" s="23"/>
      <c r="N96" s="23"/>
      <c r="O96" s="23"/>
      <c r="P96" s="23"/>
      <c r="Q96" s="23"/>
      <c r="R96" s="23"/>
    </row>
  </sheetData>
  <mergeCells count="22">
    <mergeCell ref="O4:P4"/>
    <mergeCell ref="Q4:R4"/>
    <mergeCell ref="A1:R1"/>
    <mergeCell ref="A2:R2"/>
    <mergeCell ref="A84:R84"/>
    <mergeCell ref="E4:F4"/>
    <mergeCell ref="G4:H4"/>
    <mergeCell ref="I4:J4"/>
    <mergeCell ref="K4:L4"/>
    <mergeCell ref="M4:N4"/>
    <mergeCell ref="A85:R85"/>
    <mergeCell ref="A86:R86"/>
    <mergeCell ref="A87:R87"/>
    <mergeCell ref="A88:R88"/>
    <mergeCell ref="A89:R89"/>
    <mergeCell ref="A95:R95"/>
    <mergeCell ref="A96:R96"/>
    <mergeCell ref="A90:R90"/>
    <mergeCell ref="A91:R91"/>
    <mergeCell ref="A92:R92"/>
    <mergeCell ref="A93:R93"/>
    <mergeCell ref="A94:R94"/>
  </mergeCells>
  <pageMargins left="0.75" right="0.75" top="1" bottom="1" header="0.5" footer="0.5"/>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8"/>
  <dimension ref="A1:R96"/>
  <sheetViews>
    <sheetView zoomScale="80" workbookViewId="0">
      <pane xSplit="4" topLeftCell="E1" activePane="topRight" state="frozen"/>
      <selection sqref="A1:R1"/>
      <selection pane="topRight" sqref="A1:R1"/>
    </sheetView>
  </sheetViews>
  <sheetFormatPr defaultColWidth="11.42578125" defaultRowHeight="15" x14ac:dyDescent="0.25"/>
  <cols>
    <col min="1" max="1" width="50" customWidth="1"/>
  </cols>
  <sheetData>
    <row r="1" spans="1:18" x14ac:dyDescent="0.25">
      <c r="A1" s="26" t="s">
        <v>122</v>
      </c>
      <c r="B1" s="23"/>
      <c r="C1" s="23"/>
      <c r="D1" s="23"/>
      <c r="E1" s="23"/>
      <c r="F1" s="23"/>
      <c r="G1" s="23"/>
      <c r="H1" s="23"/>
      <c r="I1" s="23"/>
      <c r="J1" s="23"/>
      <c r="K1" s="23"/>
      <c r="L1" s="23"/>
      <c r="M1" s="23"/>
      <c r="N1" s="23"/>
      <c r="O1" s="23"/>
      <c r="P1" s="23"/>
      <c r="Q1" s="23"/>
      <c r="R1" s="23"/>
    </row>
    <row r="2" spans="1:18" x14ac:dyDescent="0.25">
      <c r="A2" s="27" t="s">
        <v>324</v>
      </c>
      <c r="B2" s="23"/>
      <c r="C2" s="23"/>
      <c r="D2" s="23"/>
      <c r="E2" s="23"/>
      <c r="F2" s="23"/>
      <c r="G2" s="23"/>
      <c r="H2" s="23"/>
      <c r="I2" s="23"/>
      <c r="J2" s="23"/>
      <c r="K2" s="23"/>
      <c r="L2" s="23"/>
      <c r="M2" s="23"/>
      <c r="N2" s="23"/>
      <c r="O2" s="23"/>
      <c r="P2" s="23"/>
      <c r="Q2" s="23"/>
      <c r="R2" s="23"/>
    </row>
    <row r="4" spans="1:18" ht="30" customHeight="1" x14ac:dyDescent="0.25">
      <c r="A4" s="4"/>
      <c r="B4" s="5" t="s">
        <v>123</v>
      </c>
      <c r="C4" s="5" t="s">
        <v>124</v>
      </c>
      <c r="D4" s="6" t="s">
        <v>123</v>
      </c>
      <c r="E4" s="24" t="s">
        <v>125</v>
      </c>
      <c r="F4" s="25"/>
      <c r="G4" s="24" t="s">
        <v>126</v>
      </c>
      <c r="H4" s="25"/>
      <c r="I4" s="24" t="s">
        <v>127</v>
      </c>
      <c r="J4" s="25"/>
      <c r="K4" s="24" t="s">
        <v>128</v>
      </c>
      <c r="L4" s="25"/>
      <c r="M4" s="24" t="s">
        <v>129</v>
      </c>
      <c r="N4" s="25"/>
      <c r="O4" s="24" t="s">
        <v>130</v>
      </c>
      <c r="P4" s="25"/>
      <c r="Q4" s="24" t="s">
        <v>131</v>
      </c>
      <c r="R4" s="25"/>
    </row>
    <row r="5" spans="1:18" x14ac:dyDescent="0.25">
      <c r="A5" s="7"/>
      <c r="B5" s="8" t="s">
        <v>132</v>
      </c>
      <c r="C5" s="8" t="s">
        <v>133</v>
      </c>
      <c r="D5" s="7" t="s">
        <v>134</v>
      </c>
      <c r="E5" s="8" t="s">
        <v>135</v>
      </c>
      <c r="F5" s="7" t="s">
        <v>136</v>
      </c>
      <c r="G5" s="8" t="s">
        <v>135</v>
      </c>
      <c r="H5" s="7" t="s">
        <v>136</v>
      </c>
      <c r="I5" s="8" t="s">
        <v>135</v>
      </c>
      <c r="J5" s="7" t="s">
        <v>136</v>
      </c>
      <c r="K5" s="8" t="s">
        <v>135</v>
      </c>
      <c r="L5" s="7" t="s">
        <v>136</v>
      </c>
      <c r="M5" s="8" t="s">
        <v>135</v>
      </c>
      <c r="N5" s="7" t="s">
        <v>136</v>
      </c>
      <c r="O5" s="8" t="s">
        <v>135</v>
      </c>
      <c r="P5" s="7" t="s">
        <v>136</v>
      </c>
      <c r="Q5" s="8" t="s">
        <v>135</v>
      </c>
      <c r="R5" s="7" t="s">
        <v>136</v>
      </c>
    </row>
    <row r="6" spans="1:18" x14ac:dyDescent="0.25">
      <c r="A6" s="9" t="s">
        <v>137</v>
      </c>
      <c r="B6" s="10"/>
      <c r="C6" s="10"/>
      <c r="D6" s="11"/>
      <c r="E6" s="10"/>
      <c r="F6" s="11"/>
      <c r="G6" s="10"/>
      <c r="H6" s="11"/>
      <c r="I6" s="10"/>
      <c r="J6" s="11"/>
      <c r="K6" s="10"/>
      <c r="L6" s="11"/>
      <c r="M6" s="10"/>
      <c r="N6" s="11"/>
      <c r="O6" s="10"/>
      <c r="P6" s="11"/>
      <c r="Q6" s="10"/>
      <c r="R6" s="12"/>
    </row>
    <row r="7" spans="1:18" x14ac:dyDescent="0.25">
      <c r="A7" s="11" t="s">
        <v>138</v>
      </c>
      <c r="B7" s="13">
        <v>14530</v>
      </c>
      <c r="C7" s="14">
        <f>(12048/B7*100)</f>
        <v>82.918100481761869</v>
      </c>
      <c r="D7" s="15">
        <v>2482</v>
      </c>
      <c r="E7" s="14">
        <v>15.211074760000001</v>
      </c>
      <c r="F7" s="16">
        <v>0.85230114999999995</v>
      </c>
      <c r="G7" s="14">
        <v>84.788925239999998</v>
      </c>
      <c r="H7" s="16">
        <v>0.85230114999999995</v>
      </c>
      <c r="I7" s="14" t="s">
        <v>139</v>
      </c>
      <c r="J7" s="16" t="s">
        <v>139</v>
      </c>
      <c r="K7" s="14">
        <v>0</v>
      </c>
      <c r="L7" s="16">
        <v>0</v>
      </c>
      <c r="M7" s="14">
        <v>0</v>
      </c>
      <c r="N7" s="16">
        <v>0</v>
      </c>
      <c r="O7" s="14">
        <v>0</v>
      </c>
      <c r="P7" s="16">
        <v>0</v>
      </c>
      <c r="Q7" s="14">
        <v>0</v>
      </c>
      <c r="R7" s="16">
        <v>0</v>
      </c>
    </row>
    <row r="8" spans="1:18" x14ac:dyDescent="0.25">
      <c r="A8" s="11" t="s">
        <v>140</v>
      </c>
      <c r="B8" s="13">
        <v>7007</v>
      </c>
      <c r="C8" s="14">
        <f>(5768/B8*100)</f>
        <v>82.317682317682312</v>
      </c>
      <c r="D8" s="15">
        <v>1239</v>
      </c>
      <c r="E8" s="14">
        <v>14.74123135</v>
      </c>
      <c r="F8" s="16">
        <v>1.04081625</v>
      </c>
      <c r="G8" s="14">
        <v>85.258768649999993</v>
      </c>
      <c r="H8" s="16">
        <v>1.04081625</v>
      </c>
      <c r="I8" s="14" t="s">
        <v>139</v>
      </c>
      <c r="J8" s="16" t="s">
        <v>139</v>
      </c>
      <c r="K8" s="14">
        <v>0</v>
      </c>
      <c r="L8" s="16">
        <v>0</v>
      </c>
      <c r="M8" s="14">
        <v>0</v>
      </c>
      <c r="N8" s="16">
        <v>0</v>
      </c>
      <c r="O8" s="14">
        <v>0</v>
      </c>
      <c r="P8" s="16">
        <v>0</v>
      </c>
      <c r="Q8" s="14">
        <v>0</v>
      </c>
      <c r="R8" s="16">
        <v>0</v>
      </c>
    </row>
    <row r="9" spans="1:18" x14ac:dyDescent="0.25">
      <c r="A9" s="11" t="s">
        <v>141</v>
      </c>
      <c r="B9" s="13">
        <v>9651</v>
      </c>
      <c r="C9" s="14">
        <f>(8035/B9*100)</f>
        <v>83.255621179152413</v>
      </c>
      <c r="D9" s="15">
        <v>1616</v>
      </c>
      <c r="E9" s="14">
        <v>16.907244110000001</v>
      </c>
      <c r="F9" s="16">
        <v>0.91122196</v>
      </c>
      <c r="G9" s="14">
        <v>83.092755890000007</v>
      </c>
      <c r="H9" s="16">
        <v>0.91122196</v>
      </c>
      <c r="I9" s="14" t="s">
        <v>139</v>
      </c>
      <c r="J9" s="16" t="s">
        <v>139</v>
      </c>
      <c r="K9" s="14">
        <v>0</v>
      </c>
      <c r="L9" s="16">
        <v>0</v>
      </c>
      <c r="M9" s="14">
        <v>0</v>
      </c>
      <c r="N9" s="16">
        <v>0</v>
      </c>
      <c r="O9" s="14">
        <v>0</v>
      </c>
      <c r="P9" s="16">
        <v>0</v>
      </c>
      <c r="Q9" s="14">
        <v>0</v>
      </c>
      <c r="R9" s="16">
        <v>0</v>
      </c>
    </row>
    <row r="10" spans="1:18" x14ac:dyDescent="0.25">
      <c r="A10" s="11" t="s">
        <v>142</v>
      </c>
      <c r="B10" s="13">
        <v>20058</v>
      </c>
      <c r="C10" s="14">
        <f>(16648/B10*100)</f>
        <v>82.999302024130031</v>
      </c>
      <c r="D10" s="15">
        <v>3410</v>
      </c>
      <c r="E10" s="14">
        <v>12.93762493</v>
      </c>
      <c r="F10" s="16">
        <v>0.96316422999999995</v>
      </c>
      <c r="G10" s="14">
        <v>87.062375070000002</v>
      </c>
      <c r="H10" s="16">
        <v>0.96316422999999995</v>
      </c>
      <c r="I10" s="14" t="s">
        <v>139</v>
      </c>
      <c r="J10" s="16" t="s">
        <v>139</v>
      </c>
      <c r="K10" s="14">
        <v>0</v>
      </c>
      <c r="L10" s="16">
        <v>0</v>
      </c>
      <c r="M10" s="14">
        <v>0</v>
      </c>
      <c r="N10" s="16">
        <v>0</v>
      </c>
      <c r="O10" s="14">
        <v>0</v>
      </c>
      <c r="P10" s="16">
        <v>0</v>
      </c>
      <c r="Q10" s="14">
        <v>0</v>
      </c>
      <c r="R10" s="16">
        <v>0</v>
      </c>
    </row>
    <row r="11" spans="1:18" x14ac:dyDescent="0.25">
      <c r="A11" s="11" t="s">
        <v>143</v>
      </c>
      <c r="B11" s="13">
        <v>7053</v>
      </c>
      <c r="C11" s="14">
        <f>(5824/B11*100)</f>
        <v>82.574790869133707</v>
      </c>
      <c r="D11" s="15">
        <v>1229</v>
      </c>
      <c r="E11" s="14">
        <v>27.483801209999999</v>
      </c>
      <c r="F11" s="16">
        <v>1.50017394</v>
      </c>
      <c r="G11" s="14">
        <v>72.516198790000004</v>
      </c>
      <c r="H11" s="16">
        <v>1.50017394</v>
      </c>
      <c r="I11" s="14" t="s">
        <v>139</v>
      </c>
      <c r="J11" s="16" t="s">
        <v>139</v>
      </c>
      <c r="K11" s="14">
        <v>0</v>
      </c>
      <c r="L11" s="16">
        <v>0</v>
      </c>
      <c r="M11" s="14">
        <v>0</v>
      </c>
      <c r="N11" s="16">
        <v>0</v>
      </c>
      <c r="O11" s="14">
        <v>0</v>
      </c>
      <c r="P11" s="16">
        <v>0</v>
      </c>
      <c r="Q11" s="14">
        <v>0</v>
      </c>
      <c r="R11" s="16">
        <v>0</v>
      </c>
    </row>
    <row r="12" spans="1:18" x14ac:dyDescent="0.25">
      <c r="A12" s="11" t="s">
        <v>144</v>
      </c>
      <c r="B12" s="13">
        <v>6894</v>
      </c>
      <c r="C12" s="14">
        <f>(5719/B12*100)</f>
        <v>82.95619379170293</v>
      </c>
      <c r="D12" s="15">
        <v>1175</v>
      </c>
      <c r="E12" s="14">
        <v>14.86317775</v>
      </c>
      <c r="F12" s="16">
        <v>1.1016155700000001</v>
      </c>
      <c r="G12" s="14">
        <v>85.136822249999994</v>
      </c>
      <c r="H12" s="16">
        <v>1.1016155700000001</v>
      </c>
      <c r="I12" s="14" t="s">
        <v>139</v>
      </c>
      <c r="J12" s="16" t="s">
        <v>139</v>
      </c>
      <c r="K12" s="14">
        <v>0</v>
      </c>
      <c r="L12" s="16">
        <v>0</v>
      </c>
      <c r="M12" s="14">
        <v>0</v>
      </c>
      <c r="N12" s="16">
        <v>0</v>
      </c>
      <c r="O12" s="14">
        <v>0</v>
      </c>
      <c r="P12" s="16">
        <v>0</v>
      </c>
      <c r="Q12" s="14">
        <v>0</v>
      </c>
      <c r="R12" s="16">
        <v>0</v>
      </c>
    </row>
    <row r="13" spans="1:18" x14ac:dyDescent="0.25">
      <c r="A13" s="11" t="s">
        <v>145</v>
      </c>
      <c r="B13" s="13">
        <v>7161</v>
      </c>
      <c r="C13" s="14">
        <f>(5990/B13*100)</f>
        <v>83.647535260438488</v>
      </c>
      <c r="D13" s="15">
        <v>1171</v>
      </c>
      <c r="E13" s="14">
        <v>11.935928779999999</v>
      </c>
      <c r="F13" s="16">
        <v>1.5316169500000001</v>
      </c>
      <c r="G13" s="14">
        <v>88.064071220000002</v>
      </c>
      <c r="H13" s="16">
        <v>1.5316169500000001</v>
      </c>
      <c r="I13" s="14" t="s">
        <v>139</v>
      </c>
      <c r="J13" s="16" t="s">
        <v>139</v>
      </c>
      <c r="K13" s="14">
        <v>0</v>
      </c>
      <c r="L13" s="16">
        <v>0</v>
      </c>
      <c r="M13" s="14">
        <v>0</v>
      </c>
      <c r="N13" s="16">
        <v>0</v>
      </c>
      <c r="O13" s="14">
        <v>0</v>
      </c>
      <c r="P13" s="16">
        <v>0</v>
      </c>
      <c r="Q13" s="14">
        <v>0</v>
      </c>
      <c r="R13" s="16">
        <v>0</v>
      </c>
    </row>
    <row r="14" spans="1:18" x14ac:dyDescent="0.25">
      <c r="A14" s="11" t="s">
        <v>146</v>
      </c>
      <c r="B14" s="13">
        <v>5587</v>
      </c>
      <c r="C14" s="14">
        <f>(4623/B14*100)</f>
        <v>82.745659566851614</v>
      </c>
      <c r="D14" s="15">
        <v>964</v>
      </c>
      <c r="E14" s="14">
        <v>10.941569449999999</v>
      </c>
      <c r="F14" s="16">
        <v>1.0919067499999999</v>
      </c>
      <c r="G14" s="14">
        <v>89.058430549999997</v>
      </c>
      <c r="H14" s="16">
        <v>1.0919067499999999</v>
      </c>
      <c r="I14" s="14" t="s">
        <v>139</v>
      </c>
      <c r="J14" s="16" t="s">
        <v>139</v>
      </c>
      <c r="K14" s="14">
        <v>0</v>
      </c>
      <c r="L14" s="16">
        <v>0</v>
      </c>
      <c r="M14" s="14">
        <v>0</v>
      </c>
      <c r="N14" s="16">
        <v>0</v>
      </c>
      <c r="O14" s="14">
        <v>0</v>
      </c>
      <c r="P14" s="16">
        <v>0</v>
      </c>
      <c r="Q14" s="14">
        <v>0</v>
      </c>
      <c r="R14" s="16">
        <v>0</v>
      </c>
    </row>
    <row r="15" spans="1:18" x14ac:dyDescent="0.25">
      <c r="A15" s="11" t="s">
        <v>147</v>
      </c>
      <c r="B15" s="13">
        <v>5882</v>
      </c>
      <c r="C15" s="14">
        <f>(4868/B15*100)</f>
        <v>82.760965657939479</v>
      </c>
      <c r="D15" s="15">
        <v>1014</v>
      </c>
      <c r="E15" s="14">
        <v>14.71588324</v>
      </c>
      <c r="F15" s="16">
        <v>1.1723022400000001</v>
      </c>
      <c r="G15" s="14">
        <v>85.284116760000003</v>
      </c>
      <c r="H15" s="16">
        <v>1.1723022400000001</v>
      </c>
      <c r="I15" s="14" t="s">
        <v>139</v>
      </c>
      <c r="J15" s="16" t="s">
        <v>139</v>
      </c>
      <c r="K15" s="14">
        <v>0</v>
      </c>
      <c r="L15" s="16">
        <v>0</v>
      </c>
      <c r="M15" s="14">
        <v>0</v>
      </c>
      <c r="N15" s="16">
        <v>0</v>
      </c>
      <c r="O15" s="14">
        <v>0</v>
      </c>
      <c r="P15" s="16">
        <v>0</v>
      </c>
      <c r="Q15" s="14">
        <v>0</v>
      </c>
      <c r="R15" s="16">
        <v>0</v>
      </c>
    </row>
    <row r="16" spans="1:18" x14ac:dyDescent="0.25">
      <c r="A16" s="11" t="s">
        <v>148</v>
      </c>
      <c r="B16" s="13">
        <v>6108</v>
      </c>
      <c r="C16" s="14">
        <f>(5076/B16*100)</f>
        <v>83.104125736738695</v>
      </c>
      <c r="D16" s="15">
        <v>1032</v>
      </c>
      <c r="E16" s="14">
        <v>21.42561851</v>
      </c>
      <c r="F16" s="16">
        <v>1.4846346100000001</v>
      </c>
      <c r="G16" s="14">
        <v>78.574381489999993</v>
      </c>
      <c r="H16" s="16">
        <v>1.4846346100000001</v>
      </c>
      <c r="I16" s="14" t="s">
        <v>139</v>
      </c>
      <c r="J16" s="16" t="s">
        <v>139</v>
      </c>
      <c r="K16" s="14">
        <v>0</v>
      </c>
      <c r="L16" s="16">
        <v>0</v>
      </c>
      <c r="M16" s="14">
        <v>0</v>
      </c>
      <c r="N16" s="16">
        <v>0</v>
      </c>
      <c r="O16" s="14">
        <v>0</v>
      </c>
      <c r="P16" s="16">
        <v>0</v>
      </c>
      <c r="Q16" s="14">
        <v>0</v>
      </c>
      <c r="R16" s="16">
        <v>0</v>
      </c>
    </row>
    <row r="17" spans="1:18" x14ac:dyDescent="0.25">
      <c r="A17" s="11" t="s">
        <v>149</v>
      </c>
      <c r="B17" s="13">
        <v>6504</v>
      </c>
      <c r="C17" s="14">
        <f>(5410/B17*100)</f>
        <v>83.179581795817953</v>
      </c>
      <c r="D17" s="15">
        <v>1094</v>
      </c>
      <c r="E17" s="14">
        <v>13.540166490000001</v>
      </c>
      <c r="F17" s="16">
        <v>1.19382926</v>
      </c>
      <c r="G17" s="14">
        <v>86.459833509999996</v>
      </c>
      <c r="H17" s="16">
        <v>1.19382926</v>
      </c>
      <c r="I17" s="14" t="s">
        <v>139</v>
      </c>
      <c r="J17" s="16" t="s">
        <v>139</v>
      </c>
      <c r="K17" s="14">
        <v>0</v>
      </c>
      <c r="L17" s="16">
        <v>0</v>
      </c>
      <c r="M17" s="14">
        <v>0</v>
      </c>
      <c r="N17" s="16">
        <v>0</v>
      </c>
      <c r="O17" s="14">
        <v>0</v>
      </c>
      <c r="P17" s="16">
        <v>0</v>
      </c>
      <c r="Q17" s="14">
        <v>0</v>
      </c>
      <c r="R17" s="16">
        <v>0</v>
      </c>
    </row>
    <row r="18" spans="1:18" x14ac:dyDescent="0.25">
      <c r="A18" s="11" t="s">
        <v>150</v>
      </c>
      <c r="B18" s="13">
        <v>5532</v>
      </c>
      <c r="C18" s="14">
        <f>(4579/B18*100)</f>
        <v>82.772957339117852</v>
      </c>
      <c r="D18" s="15">
        <v>953</v>
      </c>
      <c r="E18" s="14">
        <v>22.48255108</v>
      </c>
      <c r="F18" s="16">
        <v>1.7653449299999999</v>
      </c>
      <c r="G18" s="14">
        <v>77.517448920000007</v>
      </c>
      <c r="H18" s="16">
        <v>1.7653449299999999</v>
      </c>
      <c r="I18" s="14" t="s">
        <v>139</v>
      </c>
      <c r="J18" s="16" t="s">
        <v>139</v>
      </c>
      <c r="K18" s="14">
        <v>0</v>
      </c>
      <c r="L18" s="16">
        <v>0</v>
      </c>
      <c r="M18" s="14">
        <v>0</v>
      </c>
      <c r="N18" s="16">
        <v>0</v>
      </c>
      <c r="O18" s="14">
        <v>0</v>
      </c>
      <c r="P18" s="16">
        <v>0</v>
      </c>
      <c r="Q18" s="14">
        <v>0</v>
      </c>
      <c r="R18" s="16">
        <v>0</v>
      </c>
    </row>
    <row r="19" spans="1:18" x14ac:dyDescent="0.25">
      <c r="A19" s="11" t="s">
        <v>151</v>
      </c>
      <c r="B19" s="13">
        <v>5658</v>
      </c>
      <c r="C19" s="14">
        <f>(4691/B19*100)</f>
        <v>82.909155178508314</v>
      </c>
      <c r="D19" s="15">
        <v>967</v>
      </c>
      <c r="E19" s="14">
        <v>27.144968120000001</v>
      </c>
      <c r="F19" s="16">
        <v>1.4835721100000001</v>
      </c>
      <c r="G19" s="14">
        <v>72.855031879999999</v>
      </c>
      <c r="H19" s="16">
        <v>1.4835721100000001</v>
      </c>
      <c r="I19" s="14" t="s">
        <v>139</v>
      </c>
      <c r="J19" s="16" t="s">
        <v>139</v>
      </c>
      <c r="K19" s="14">
        <v>0</v>
      </c>
      <c r="L19" s="16">
        <v>0</v>
      </c>
      <c r="M19" s="14">
        <v>0</v>
      </c>
      <c r="N19" s="16">
        <v>0</v>
      </c>
      <c r="O19" s="14">
        <v>0</v>
      </c>
      <c r="P19" s="16">
        <v>0</v>
      </c>
      <c r="Q19" s="14">
        <v>0</v>
      </c>
      <c r="R19" s="16">
        <v>0</v>
      </c>
    </row>
    <row r="20" spans="1:18" x14ac:dyDescent="0.25">
      <c r="A20" s="11" t="s">
        <v>152</v>
      </c>
      <c r="B20" s="13">
        <v>3371</v>
      </c>
      <c r="C20" s="14">
        <f>(2798/B20*100)</f>
        <v>83.002076535152767</v>
      </c>
      <c r="D20" s="15">
        <v>573</v>
      </c>
      <c r="E20" s="14">
        <v>18.62806458</v>
      </c>
      <c r="F20" s="16">
        <v>1.78271037</v>
      </c>
      <c r="G20" s="14">
        <v>81.37193542</v>
      </c>
      <c r="H20" s="16">
        <v>1.78271037</v>
      </c>
      <c r="I20" s="14" t="s">
        <v>139</v>
      </c>
      <c r="J20" s="16" t="s">
        <v>139</v>
      </c>
      <c r="K20" s="14">
        <v>0</v>
      </c>
      <c r="L20" s="16">
        <v>0</v>
      </c>
      <c r="M20" s="14">
        <v>0</v>
      </c>
      <c r="N20" s="16">
        <v>0</v>
      </c>
      <c r="O20" s="14">
        <v>0</v>
      </c>
      <c r="P20" s="16">
        <v>0</v>
      </c>
      <c r="Q20" s="14">
        <v>0</v>
      </c>
      <c r="R20" s="16">
        <v>0</v>
      </c>
    </row>
    <row r="21" spans="1:18" x14ac:dyDescent="0.25">
      <c r="A21" s="11" t="s">
        <v>153</v>
      </c>
      <c r="B21" s="17" t="s">
        <v>154</v>
      </c>
      <c r="C21" s="17" t="s">
        <v>154</v>
      </c>
      <c r="D21" s="18" t="s">
        <v>154</v>
      </c>
      <c r="E21" s="17" t="s">
        <v>154</v>
      </c>
      <c r="F21" s="18" t="s">
        <v>154</v>
      </c>
      <c r="G21" s="17" t="s">
        <v>154</v>
      </c>
      <c r="H21" s="18" t="s">
        <v>154</v>
      </c>
      <c r="I21" s="17" t="s">
        <v>154</v>
      </c>
      <c r="J21" s="18" t="s">
        <v>154</v>
      </c>
      <c r="K21" s="17" t="s">
        <v>154</v>
      </c>
      <c r="L21" s="18" t="s">
        <v>154</v>
      </c>
      <c r="M21" s="17" t="s">
        <v>154</v>
      </c>
      <c r="N21" s="18" t="s">
        <v>154</v>
      </c>
      <c r="O21" s="17" t="s">
        <v>154</v>
      </c>
      <c r="P21" s="18" t="s">
        <v>154</v>
      </c>
      <c r="Q21" s="17" t="s">
        <v>154</v>
      </c>
      <c r="R21" s="18" t="s">
        <v>154</v>
      </c>
    </row>
    <row r="22" spans="1:18" x14ac:dyDescent="0.25">
      <c r="A22" s="11" t="s">
        <v>155</v>
      </c>
      <c r="B22" s="13">
        <v>6598</v>
      </c>
      <c r="C22" s="14">
        <f>(5570/B22*100)</f>
        <v>84.419521066990001</v>
      </c>
      <c r="D22" s="15">
        <v>1028</v>
      </c>
      <c r="E22" s="14">
        <v>19.074069000000001</v>
      </c>
      <c r="F22" s="16">
        <v>1.2927122600000001</v>
      </c>
      <c r="G22" s="14">
        <v>80.925931000000006</v>
      </c>
      <c r="H22" s="16">
        <v>1.2927122600000001</v>
      </c>
      <c r="I22" s="14" t="s">
        <v>139</v>
      </c>
      <c r="J22" s="16" t="s">
        <v>139</v>
      </c>
      <c r="K22" s="14">
        <v>0</v>
      </c>
      <c r="L22" s="16">
        <v>0</v>
      </c>
      <c r="M22" s="14">
        <v>0</v>
      </c>
      <c r="N22" s="16">
        <v>0</v>
      </c>
      <c r="O22" s="14">
        <v>0</v>
      </c>
      <c r="P22" s="16">
        <v>0</v>
      </c>
      <c r="Q22" s="14">
        <v>0</v>
      </c>
      <c r="R22" s="16">
        <v>0</v>
      </c>
    </row>
    <row r="23" spans="1:18" x14ac:dyDescent="0.25">
      <c r="A23" s="11" t="s">
        <v>156</v>
      </c>
      <c r="B23" s="13">
        <v>11583</v>
      </c>
      <c r="C23" s="14">
        <f>(9579/B23*100)</f>
        <v>82.698782698782708</v>
      </c>
      <c r="D23" s="15">
        <v>2004</v>
      </c>
      <c r="E23" s="14">
        <v>25.435124559999998</v>
      </c>
      <c r="F23" s="16">
        <v>1.3246128699999999</v>
      </c>
      <c r="G23" s="14">
        <v>74.564875439999994</v>
      </c>
      <c r="H23" s="16">
        <v>1.3246128699999999</v>
      </c>
      <c r="I23" s="14" t="s">
        <v>139</v>
      </c>
      <c r="J23" s="16" t="s">
        <v>139</v>
      </c>
      <c r="K23" s="14">
        <v>0</v>
      </c>
      <c r="L23" s="16">
        <v>0</v>
      </c>
      <c r="M23" s="14">
        <v>0</v>
      </c>
      <c r="N23" s="16">
        <v>0</v>
      </c>
      <c r="O23" s="14">
        <v>0</v>
      </c>
      <c r="P23" s="16">
        <v>0</v>
      </c>
      <c r="Q23" s="14">
        <v>0</v>
      </c>
      <c r="R23" s="16">
        <v>0</v>
      </c>
    </row>
    <row r="24" spans="1:18" x14ac:dyDescent="0.25">
      <c r="A24" s="11" t="s">
        <v>157</v>
      </c>
      <c r="B24" s="13">
        <v>6647</v>
      </c>
      <c r="C24" s="14">
        <f>(5489/B24*100)</f>
        <v>82.578606890326469</v>
      </c>
      <c r="D24" s="15">
        <v>1158</v>
      </c>
      <c r="E24" s="14">
        <v>24.83358381</v>
      </c>
      <c r="F24" s="16">
        <v>1.3099074399999999</v>
      </c>
      <c r="G24" s="14">
        <v>75.166416190000007</v>
      </c>
      <c r="H24" s="16">
        <v>1.3099074399999999</v>
      </c>
      <c r="I24" s="14" t="s">
        <v>139</v>
      </c>
      <c r="J24" s="16" t="s">
        <v>139</v>
      </c>
      <c r="K24" s="14">
        <v>0</v>
      </c>
      <c r="L24" s="16">
        <v>0</v>
      </c>
      <c r="M24" s="14">
        <v>0</v>
      </c>
      <c r="N24" s="16">
        <v>0</v>
      </c>
      <c r="O24" s="14">
        <v>0</v>
      </c>
      <c r="P24" s="16">
        <v>0</v>
      </c>
      <c r="Q24" s="14">
        <v>0</v>
      </c>
      <c r="R24" s="16">
        <v>0</v>
      </c>
    </row>
    <row r="25" spans="1:18" x14ac:dyDescent="0.25">
      <c r="A25" s="11" t="s">
        <v>158</v>
      </c>
      <c r="B25" s="13">
        <v>5581</v>
      </c>
      <c r="C25" s="14">
        <f>(4614/B25*100)</f>
        <v>82.673356029385417</v>
      </c>
      <c r="D25" s="15">
        <v>967</v>
      </c>
      <c r="E25" s="14">
        <v>14.18931937</v>
      </c>
      <c r="F25" s="16">
        <v>1.1808396699999999</v>
      </c>
      <c r="G25" s="14">
        <v>85.810680629999993</v>
      </c>
      <c r="H25" s="16">
        <v>1.1808396699999999</v>
      </c>
      <c r="I25" s="14" t="s">
        <v>139</v>
      </c>
      <c r="J25" s="16" t="s">
        <v>139</v>
      </c>
      <c r="K25" s="14">
        <v>0</v>
      </c>
      <c r="L25" s="16">
        <v>0</v>
      </c>
      <c r="M25" s="14">
        <v>0</v>
      </c>
      <c r="N25" s="16">
        <v>0</v>
      </c>
      <c r="O25" s="14">
        <v>0</v>
      </c>
      <c r="P25" s="16">
        <v>0</v>
      </c>
      <c r="Q25" s="14">
        <v>0</v>
      </c>
      <c r="R25" s="16">
        <v>0</v>
      </c>
    </row>
    <row r="26" spans="1:18" x14ac:dyDescent="0.25">
      <c r="A26" s="11" t="s">
        <v>159</v>
      </c>
      <c r="B26" s="13">
        <v>4869</v>
      </c>
      <c r="C26" s="14">
        <f>(4031/B26*100)</f>
        <v>82.789073731772433</v>
      </c>
      <c r="D26" s="15">
        <v>838</v>
      </c>
      <c r="E26" s="14">
        <v>22.642285510000001</v>
      </c>
      <c r="F26" s="16">
        <v>1.39695411</v>
      </c>
      <c r="G26" s="14">
        <v>77.357714490000006</v>
      </c>
      <c r="H26" s="16">
        <v>1.39695411</v>
      </c>
      <c r="I26" s="14" t="s">
        <v>139</v>
      </c>
      <c r="J26" s="16" t="s">
        <v>139</v>
      </c>
      <c r="K26" s="14">
        <v>0</v>
      </c>
      <c r="L26" s="16">
        <v>0</v>
      </c>
      <c r="M26" s="14">
        <v>0</v>
      </c>
      <c r="N26" s="16">
        <v>0</v>
      </c>
      <c r="O26" s="14">
        <v>0</v>
      </c>
      <c r="P26" s="16">
        <v>0</v>
      </c>
      <c r="Q26" s="14">
        <v>0</v>
      </c>
      <c r="R26" s="16">
        <v>0</v>
      </c>
    </row>
    <row r="27" spans="1:18" x14ac:dyDescent="0.25">
      <c r="A27" s="11" t="s">
        <v>160</v>
      </c>
      <c r="B27" s="13">
        <v>5299</v>
      </c>
      <c r="C27" s="14">
        <f>(4380/B27*100)</f>
        <v>82.657105114172481</v>
      </c>
      <c r="D27" s="15">
        <v>919</v>
      </c>
      <c r="E27" s="14">
        <v>19.761148710000001</v>
      </c>
      <c r="F27" s="16">
        <v>1.1410133099999999</v>
      </c>
      <c r="G27" s="14">
        <v>80.238851289999999</v>
      </c>
      <c r="H27" s="16">
        <v>1.1410133099999999</v>
      </c>
      <c r="I27" s="14" t="s">
        <v>139</v>
      </c>
      <c r="J27" s="16" t="s">
        <v>139</v>
      </c>
      <c r="K27" s="14">
        <v>0</v>
      </c>
      <c r="L27" s="16">
        <v>0</v>
      </c>
      <c r="M27" s="14">
        <v>0</v>
      </c>
      <c r="N27" s="16">
        <v>0</v>
      </c>
      <c r="O27" s="14">
        <v>0</v>
      </c>
      <c r="P27" s="16">
        <v>0</v>
      </c>
      <c r="Q27" s="14">
        <v>0</v>
      </c>
      <c r="R27" s="16">
        <v>0</v>
      </c>
    </row>
    <row r="28" spans="1:18" x14ac:dyDescent="0.25">
      <c r="A28" s="11" t="s">
        <v>161</v>
      </c>
      <c r="B28" s="13">
        <v>7568</v>
      </c>
      <c r="C28" s="14">
        <f>(6276/B28*100)</f>
        <v>82.928118393234669</v>
      </c>
      <c r="D28" s="15">
        <v>1292</v>
      </c>
      <c r="E28" s="14">
        <v>32.511195549999997</v>
      </c>
      <c r="F28" s="16">
        <v>1.4730693699999999</v>
      </c>
      <c r="G28" s="14">
        <v>67.488804450000003</v>
      </c>
      <c r="H28" s="16">
        <v>1.4730693699999999</v>
      </c>
      <c r="I28" s="14" t="s">
        <v>139</v>
      </c>
      <c r="J28" s="16" t="s">
        <v>139</v>
      </c>
      <c r="K28" s="14">
        <v>0</v>
      </c>
      <c r="L28" s="16">
        <v>0</v>
      </c>
      <c r="M28" s="14">
        <v>0</v>
      </c>
      <c r="N28" s="16">
        <v>0</v>
      </c>
      <c r="O28" s="14">
        <v>0</v>
      </c>
      <c r="P28" s="16">
        <v>0</v>
      </c>
      <c r="Q28" s="14">
        <v>0</v>
      </c>
      <c r="R28" s="16">
        <v>0</v>
      </c>
    </row>
    <row r="29" spans="1:18" x14ac:dyDescent="0.25">
      <c r="A29" s="11" t="s">
        <v>162</v>
      </c>
      <c r="B29" s="13">
        <v>5385</v>
      </c>
      <c r="C29" s="14">
        <f>(4499/B29*100)</f>
        <v>83.546889507892303</v>
      </c>
      <c r="D29" s="15">
        <v>886</v>
      </c>
      <c r="E29" s="14">
        <v>19.30812946</v>
      </c>
      <c r="F29" s="16">
        <v>1.4491186</v>
      </c>
      <c r="G29" s="14">
        <v>80.691870539999996</v>
      </c>
      <c r="H29" s="16">
        <v>1.4491186</v>
      </c>
      <c r="I29" s="14" t="s">
        <v>139</v>
      </c>
      <c r="J29" s="16" t="s">
        <v>139</v>
      </c>
      <c r="K29" s="14">
        <v>0</v>
      </c>
      <c r="L29" s="16">
        <v>0</v>
      </c>
      <c r="M29" s="14">
        <v>0</v>
      </c>
      <c r="N29" s="16">
        <v>0</v>
      </c>
      <c r="O29" s="14">
        <v>0</v>
      </c>
      <c r="P29" s="16">
        <v>0</v>
      </c>
      <c r="Q29" s="14">
        <v>0</v>
      </c>
      <c r="R29" s="16">
        <v>0</v>
      </c>
    </row>
    <row r="30" spans="1:18" x14ac:dyDescent="0.25">
      <c r="A30" s="11" t="s">
        <v>163</v>
      </c>
      <c r="B30" s="13">
        <v>4520</v>
      </c>
      <c r="C30" s="14">
        <f>(3777/B30*100)</f>
        <v>83.561946902654867</v>
      </c>
      <c r="D30" s="15">
        <v>743</v>
      </c>
      <c r="E30" s="14">
        <v>15.781884590000001</v>
      </c>
      <c r="F30" s="16">
        <v>1.41831935</v>
      </c>
      <c r="G30" s="14">
        <v>84.218115409999996</v>
      </c>
      <c r="H30" s="16">
        <v>1.41831935</v>
      </c>
      <c r="I30" s="14" t="s">
        <v>139</v>
      </c>
      <c r="J30" s="16" t="s">
        <v>139</v>
      </c>
      <c r="K30" s="14">
        <v>0</v>
      </c>
      <c r="L30" s="16">
        <v>0</v>
      </c>
      <c r="M30" s="14">
        <v>0</v>
      </c>
      <c r="N30" s="16">
        <v>0</v>
      </c>
      <c r="O30" s="14">
        <v>0</v>
      </c>
      <c r="P30" s="16">
        <v>0</v>
      </c>
      <c r="Q30" s="14">
        <v>0</v>
      </c>
      <c r="R30" s="16">
        <v>0</v>
      </c>
    </row>
    <row r="31" spans="1:18" x14ac:dyDescent="0.25">
      <c r="A31" s="11" t="s">
        <v>164</v>
      </c>
      <c r="B31" s="13">
        <v>5456</v>
      </c>
      <c r="C31" s="14">
        <f>(4534/B31*100)</f>
        <v>83.101173020527867</v>
      </c>
      <c r="D31" s="15">
        <v>922</v>
      </c>
      <c r="E31" s="14">
        <v>13.183258260000001</v>
      </c>
      <c r="F31" s="16">
        <v>1.1646420399999999</v>
      </c>
      <c r="G31" s="14">
        <v>86.816741739999998</v>
      </c>
      <c r="H31" s="16">
        <v>1.1646420399999999</v>
      </c>
      <c r="I31" s="14" t="s">
        <v>139</v>
      </c>
      <c r="J31" s="16" t="s">
        <v>139</v>
      </c>
      <c r="K31" s="14">
        <v>0</v>
      </c>
      <c r="L31" s="16">
        <v>0</v>
      </c>
      <c r="M31" s="14">
        <v>0</v>
      </c>
      <c r="N31" s="16">
        <v>0</v>
      </c>
      <c r="O31" s="14">
        <v>0</v>
      </c>
      <c r="P31" s="16">
        <v>0</v>
      </c>
      <c r="Q31" s="14">
        <v>0</v>
      </c>
      <c r="R31" s="16">
        <v>0</v>
      </c>
    </row>
    <row r="32" spans="1:18" x14ac:dyDescent="0.25">
      <c r="A32" s="11" t="s">
        <v>165</v>
      </c>
      <c r="B32" s="17" t="s">
        <v>154</v>
      </c>
      <c r="C32" s="17" t="s">
        <v>154</v>
      </c>
      <c r="D32" s="18" t="s">
        <v>154</v>
      </c>
      <c r="E32" s="17" t="s">
        <v>154</v>
      </c>
      <c r="F32" s="18" t="s">
        <v>154</v>
      </c>
      <c r="G32" s="17" t="s">
        <v>154</v>
      </c>
      <c r="H32" s="18" t="s">
        <v>154</v>
      </c>
      <c r="I32" s="17" t="s">
        <v>154</v>
      </c>
      <c r="J32" s="18" t="s">
        <v>154</v>
      </c>
      <c r="K32" s="17" t="s">
        <v>154</v>
      </c>
      <c r="L32" s="18" t="s">
        <v>154</v>
      </c>
      <c r="M32" s="17" t="s">
        <v>154</v>
      </c>
      <c r="N32" s="18" t="s">
        <v>154</v>
      </c>
      <c r="O32" s="17" t="s">
        <v>154</v>
      </c>
      <c r="P32" s="18" t="s">
        <v>154</v>
      </c>
      <c r="Q32" s="17" t="s">
        <v>154</v>
      </c>
      <c r="R32" s="18" t="s">
        <v>154</v>
      </c>
    </row>
    <row r="33" spans="1:18" x14ac:dyDescent="0.25">
      <c r="A33" s="11" t="s">
        <v>166</v>
      </c>
      <c r="B33" s="13">
        <v>7325</v>
      </c>
      <c r="C33" s="14">
        <f>(6080/B33*100)</f>
        <v>83.003412969283275</v>
      </c>
      <c r="D33" s="15">
        <v>1245</v>
      </c>
      <c r="E33" s="14">
        <v>15.98729292</v>
      </c>
      <c r="F33" s="16">
        <v>1.1636917600000001</v>
      </c>
      <c r="G33" s="14">
        <v>84.012707079999998</v>
      </c>
      <c r="H33" s="16">
        <v>1.1636917600000001</v>
      </c>
      <c r="I33" s="14" t="s">
        <v>139</v>
      </c>
      <c r="J33" s="16" t="s">
        <v>139</v>
      </c>
      <c r="K33" s="14">
        <v>0</v>
      </c>
      <c r="L33" s="16">
        <v>0</v>
      </c>
      <c r="M33" s="14">
        <v>0</v>
      </c>
      <c r="N33" s="16">
        <v>0</v>
      </c>
      <c r="O33" s="14">
        <v>0</v>
      </c>
      <c r="P33" s="16">
        <v>0</v>
      </c>
      <c r="Q33" s="14">
        <v>0</v>
      </c>
      <c r="R33" s="16">
        <v>0</v>
      </c>
    </row>
    <row r="34" spans="1:18" x14ac:dyDescent="0.25">
      <c r="A34" s="11" t="s">
        <v>167</v>
      </c>
      <c r="B34" s="13">
        <v>6350</v>
      </c>
      <c r="C34" s="14">
        <f>(5292/B34*100)</f>
        <v>83.338582677165348</v>
      </c>
      <c r="D34" s="15">
        <v>1058</v>
      </c>
      <c r="E34" s="14">
        <v>24.004403450000002</v>
      </c>
      <c r="F34" s="16">
        <v>1.4302008100000001</v>
      </c>
      <c r="G34" s="14">
        <v>75.995596550000002</v>
      </c>
      <c r="H34" s="16">
        <v>1.4302008100000001</v>
      </c>
      <c r="I34" s="14" t="s">
        <v>139</v>
      </c>
      <c r="J34" s="16" t="s">
        <v>139</v>
      </c>
      <c r="K34" s="14">
        <v>0</v>
      </c>
      <c r="L34" s="16">
        <v>0</v>
      </c>
      <c r="M34" s="14">
        <v>0</v>
      </c>
      <c r="N34" s="16">
        <v>0</v>
      </c>
      <c r="O34" s="14">
        <v>0</v>
      </c>
      <c r="P34" s="16">
        <v>0</v>
      </c>
      <c r="Q34" s="14">
        <v>0</v>
      </c>
      <c r="R34" s="16">
        <v>0</v>
      </c>
    </row>
    <row r="35" spans="1:18" x14ac:dyDescent="0.25">
      <c r="A35" s="11" t="s">
        <v>168</v>
      </c>
      <c r="B35" s="13">
        <v>6406</v>
      </c>
      <c r="C35" s="14">
        <f>(5349/B35*100)</f>
        <v>83.499843896347173</v>
      </c>
      <c r="D35" s="15">
        <v>1057</v>
      </c>
      <c r="E35" s="14">
        <v>16.457275119999998</v>
      </c>
      <c r="F35" s="16">
        <v>1.2159338399999999</v>
      </c>
      <c r="G35" s="14">
        <v>83.542724879999994</v>
      </c>
      <c r="H35" s="16">
        <v>1.2159338399999999</v>
      </c>
      <c r="I35" s="14" t="s">
        <v>139</v>
      </c>
      <c r="J35" s="16" t="s">
        <v>139</v>
      </c>
      <c r="K35" s="14">
        <v>0</v>
      </c>
      <c r="L35" s="16">
        <v>0</v>
      </c>
      <c r="M35" s="14">
        <v>0</v>
      </c>
      <c r="N35" s="16">
        <v>0</v>
      </c>
      <c r="O35" s="14">
        <v>0</v>
      </c>
      <c r="P35" s="16">
        <v>0</v>
      </c>
      <c r="Q35" s="14">
        <v>0</v>
      </c>
      <c r="R35" s="16">
        <v>0</v>
      </c>
    </row>
    <row r="36" spans="1:18" x14ac:dyDescent="0.25">
      <c r="A36" s="11" t="s">
        <v>169</v>
      </c>
      <c r="B36" s="13">
        <v>6736</v>
      </c>
      <c r="C36" s="14">
        <f>(5576/B36*100)</f>
        <v>82.779097387173394</v>
      </c>
      <c r="D36" s="15">
        <v>1160</v>
      </c>
      <c r="E36" s="14">
        <v>23.798822820000002</v>
      </c>
      <c r="F36" s="16">
        <v>1.3817471299999999</v>
      </c>
      <c r="G36" s="14">
        <v>76.201177180000002</v>
      </c>
      <c r="H36" s="16">
        <v>1.3817471299999999</v>
      </c>
      <c r="I36" s="14" t="s">
        <v>139</v>
      </c>
      <c r="J36" s="16" t="s">
        <v>139</v>
      </c>
      <c r="K36" s="14">
        <v>0</v>
      </c>
      <c r="L36" s="16">
        <v>0</v>
      </c>
      <c r="M36" s="14">
        <v>0</v>
      </c>
      <c r="N36" s="16">
        <v>0</v>
      </c>
      <c r="O36" s="14">
        <v>0</v>
      </c>
      <c r="P36" s="16">
        <v>0</v>
      </c>
      <c r="Q36" s="14">
        <v>0</v>
      </c>
      <c r="R36" s="16">
        <v>0</v>
      </c>
    </row>
    <row r="37" spans="1:18" x14ac:dyDescent="0.25">
      <c r="A37" s="11" t="s">
        <v>170</v>
      </c>
      <c r="B37" s="13">
        <v>5458</v>
      </c>
      <c r="C37" s="14">
        <f>(4538/B37*100)</f>
        <v>83.144008794430192</v>
      </c>
      <c r="D37" s="15">
        <v>920</v>
      </c>
      <c r="E37" s="14">
        <v>14.51639305</v>
      </c>
      <c r="F37" s="16">
        <v>1.38594839</v>
      </c>
      <c r="G37" s="14">
        <v>85.483606949999995</v>
      </c>
      <c r="H37" s="16">
        <v>1.38594839</v>
      </c>
      <c r="I37" s="14" t="s">
        <v>139</v>
      </c>
      <c r="J37" s="16" t="s">
        <v>139</v>
      </c>
      <c r="K37" s="14">
        <v>0</v>
      </c>
      <c r="L37" s="16">
        <v>0</v>
      </c>
      <c r="M37" s="14">
        <v>0</v>
      </c>
      <c r="N37" s="16">
        <v>0</v>
      </c>
      <c r="O37" s="14">
        <v>0</v>
      </c>
      <c r="P37" s="16">
        <v>0</v>
      </c>
      <c r="Q37" s="14">
        <v>0</v>
      </c>
      <c r="R37" s="16">
        <v>0</v>
      </c>
    </row>
    <row r="38" spans="1:18" x14ac:dyDescent="0.25">
      <c r="A38" s="11" t="s">
        <v>171</v>
      </c>
      <c r="B38" s="17" t="s">
        <v>154</v>
      </c>
      <c r="C38" s="17" t="s">
        <v>154</v>
      </c>
      <c r="D38" s="18" t="s">
        <v>154</v>
      </c>
      <c r="E38" s="17" t="s">
        <v>154</v>
      </c>
      <c r="F38" s="18" t="s">
        <v>154</v>
      </c>
      <c r="G38" s="17" t="s">
        <v>154</v>
      </c>
      <c r="H38" s="18" t="s">
        <v>154</v>
      </c>
      <c r="I38" s="17" t="s">
        <v>154</v>
      </c>
      <c r="J38" s="18" t="s">
        <v>154</v>
      </c>
      <c r="K38" s="17" t="s">
        <v>154</v>
      </c>
      <c r="L38" s="18" t="s">
        <v>154</v>
      </c>
      <c r="M38" s="17" t="s">
        <v>154</v>
      </c>
      <c r="N38" s="18" t="s">
        <v>154</v>
      </c>
      <c r="O38" s="17" t="s">
        <v>154</v>
      </c>
      <c r="P38" s="18" t="s">
        <v>154</v>
      </c>
      <c r="Q38" s="17" t="s">
        <v>154</v>
      </c>
      <c r="R38" s="18" t="s">
        <v>154</v>
      </c>
    </row>
    <row r="39" spans="1:18" x14ac:dyDescent="0.25">
      <c r="A39" s="11" t="s">
        <v>172</v>
      </c>
      <c r="B39" s="13">
        <v>5895</v>
      </c>
      <c r="C39" s="14">
        <f>(4863/B39*100)</f>
        <v>82.493638676844782</v>
      </c>
      <c r="D39" s="15">
        <v>1032</v>
      </c>
      <c r="E39" s="14">
        <v>40.939986050000002</v>
      </c>
      <c r="F39" s="16">
        <v>1.5580434999999999</v>
      </c>
      <c r="G39" s="14">
        <v>59.060013949999998</v>
      </c>
      <c r="H39" s="16">
        <v>1.5580434999999999</v>
      </c>
      <c r="I39" s="14" t="s">
        <v>139</v>
      </c>
      <c r="J39" s="16" t="s">
        <v>139</v>
      </c>
      <c r="K39" s="14">
        <v>0</v>
      </c>
      <c r="L39" s="16">
        <v>0</v>
      </c>
      <c r="M39" s="14">
        <v>0</v>
      </c>
      <c r="N39" s="16">
        <v>0</v>
      </c>
      <c r="O39" s="14">
        <v>0</v>
      </c>
      <c r="P39" s="16">
        <v>0</v>
      </c>
      <c r="Q39" s="14">
        <v>0</v>
      </c>
      <c r="R39" s="16">
        <v>0</v>
      </c>
    </row>
    <row r="40" spans="1:18" x14ac:dyDescent="0.25">
      <c r="A40" s="11" t="s">
        <v>173</v>
      </c>
      <c r="B40" s="13">
        <v>14157</v>
      </c>
      <c r="C40" s="14">
        <f>(11729/B40*100)</f>
        <v>82.849473758564656</v>
      </c>
      <c r="D40" s="15">
        <v>2428</v>
      </c>
      <c r="E40" s="14">
        <v>15.746713509999999</v>
      </c>
      <c r="F40" s="16">
        <v>1.2118491300000001</v>
      </c>
      <c r="G40" s="14">
        <v>84.253286489999994</v>
      </c>
      <c r="H40" s="16">
        <v>1.2118491300000001</v>
      </c>
      <c r="I40" s="14" t="s">
        <v>139</v>
      </c>
      <c r="J40" s="16" t="s">
        <v>139</v>
      </c>
      <c r="K40" s="14">
        <v>0</v>
      </c>
      <c r="L40" s="16">
        <v>0</v>
      </c>
      <c r="M40" s="14">
        <v>0</v>
      </c>
      <c r="N40" s="16">
        <v>0</v>
      </c>
      <c r="O40" s="14">
        <v>0</v>
      </c>
      <c r="P40" s="16">
        <v>0</v>
      </c>
      <c r="Q40" s="14">
        <v>0</v>
      </c>
      <c r="R40" s="16">
        <v>0</v>
      </c>
    </row>
    <row r="41" spans="1:18" x14ac:dyDescent="0.25">
      <c r="A41" s="11" t="s">
        <v>174</v>
      </c>
      <c r="B41" s="13">
        <v>5712</v>
      </c>
      <c r="C41" s="14">
        <f>(4725/B41*100)</f>
        <v>82.720588235294116</v>
      </c>
      <c r="D41" s="15">
        <v>987</v>
      </c>
      <c r="E41" s="14">
        <v>17.729909330000002</v>
      </c>
      <c r="F41" s="16">
        <v>1.8124732100000001</v>
      </c>
      <c r="G41" s="14">
        <v>82.270090670000002</v>
      </c>
      <c r="H41" s="16">
        <v>1.8124732100000001</v>
      </c>
      <c r="I41" s="14" t="s">
        <v>139</v>
      </c>
      <c r="J41" s="16" t="s">
        <v>139</v>
      </c>
      <c r="K41" s="14">
        <v>0</v>
      </c>
      <c r="L41" s="16">
        <v>0</v>
      </c>
      <c r="M41" s="14">
        <v>0</v>
      </c>
      <c r="N41" s="16">
        <v>0</v>
      </c>
      <c r="O41" s="14">
        <v>0</v>
      </c>
      <c r="P41" s="16">
        <v>0</v>
      </c>
      <c r="Q41" s="14">
        <v>0</v>
      </c>
      <c r="R41" s="16">
        <v>0</v>
      </c>
    </row>
    <row r="42" spans="1:18" x14ac:dyDescent="0.25">
      <c r="A42" s="11" t="s">
        <v>175</v>
      </c>
      <c r="B42" s="13">
        <f>IF(COUNT(B7:B41) &gt; 0, AVERAGE(B7:B41), "\u2014")</f>
        <v>7266.90625</v>
      </c>
      <c r="C42" s="14">
        <f>IF(COUNT(C7:C41) &gt; 0, AVERAGE(C7:C41), "—")</f>
        <v>82.997717733905333</v>
      </c>
      <c r="D42" s="15">
        <f>IF(COUNT(D7:D41) &gt; 0, AVERAGE(D7:D41), "—")</f>
        <v>1236.34375</v>
      </c>
      <c r="E42" s="14">
        <f>IF(COUNT(E7:E41) &gt; 0, AVERAGE(E7:E41), "—")</f>
        <v>19.339365607187506</v>
      </c>
      <c r="F42" s="16">
        <f>IF(COUNT(F7:F41) &gt; 0, SQRT(SUMSQ(F7:F41)/(COUNT(F7:F41)*COUNT(F7:F41)) ), "—")</f>
        <v>0.23672913598164896</v>
      </c>
      <c r="G42" s="14">
        <f>IF(COUNT(G7:G41) &gt; 0, AVERAGE(G7:G41), "—")</f>
        <v>80.660634392812511</v>
      </c>
      <c r="H42" s="16">
        <f>IF(COUNT(H7:H41) &gt; 0, SQRT(SUMSQ(H7:H41)/(COUNT(H7:H41)*COUNT(H7:H41)) ), "—")</f>
        <v>0.23672913598164896</v>
      </c>
      <c r="I42" s="14" t="str">
        <f>IF(COUNT(I7:I41) &gt; 0, AVERAGE(I7:I41), "—")</f>
        <v>—</v>
      </c>
      <c r="J42" s="16" t="str">
        <f>IF(COUNT(J7:J41) &gt; 0, SQRT(SUMSQ(J7:J41)/(COUNT(J7:J41)*COUNT(J7:J41)) ), "—")</f>
        <v>—</v>
      </c>
      <c r="K42" s="14">
        <f>IF(COUNT(K7:K41) &gt; 0, AVERAGE(K7:K41), "—")</f>
        <v>0</v>
      </c>
      <c r="L42" s="16">
        <f>IF(COUNT(L7:L41) &gt; 0, SQRT(SUMSQ(L7:L41)/(COUNT(L7:L41)*COUNT(L7:L41)) ), "—")</f>
        <v>0</v>
      </c>
      <c r="M42" s="14">
        <f>IF(COUNT(M7:M41) &gt; 0, AVERAGE(M7:M41), "—")</f>
        <v>0</v>
      </c>
      <c r="N42" s="16">
        <f>IF(COUNT(N7:N41) &gt; 0, SQRT(SUMSQ(N7:N41)/(COUNT(N7:N41)*COUNT(N7:N41)) ), "—")</f>
        <v>0</v>
      </c>
      <c r="O42" s="14">
        <f>IF(COUNT(O7:O41) &gt; 0, AVERAGE(O7:O41), "—")</f>
        <v>0</v>
      </c>
      <c r="P42" s="16">
        <f>IF(COUNT(P7:P41) &gt; 0, SQRT(SUMSQ(P7:P41)/(COUNT(P7:P41)*COUNT(P7:P41)) ), "—")</f>
        <v>0</v>
      </c>
      <c r="Q42" s="14">
        <f>IF(COUNT(Q7:Q41) &gt; 0, AVERAGE(Q7:Q41), "—")</f>
        <v>0</v>
      </c>
      <c r="R42" s="16">
        <f>IF(COUNT(R7:R41) &gt; 0, SQRT(SUMSQ(R7:R41)/(COUNT(R7:R41)*COUNT(R7:R41)) ), "—")</f>
        <v>0</v>
      </c>
    </row>
    <row r="43" spans="1:18" x14ac:dyDescent="0.25">
      <c r="A43" s="9" t="s">
        <v>176</v>
      </c>
      <c r="B43" s="10"/>
      <c r="C43" s="10"/>
      <c r="D43" s="11"/>
      <c r="E43" s="10"/>
      <c r="F43" s="11"/>
      <c r="G43" s="10"/>
      <c r="H43" s="11"/>
      <c r="I43" s="10"/>
      <c r="J43" s="11"/>
      <c r="K43" s="10"/>
      <c r="L43" s="11"/>
      <c r="M43" s="10"/>
      <c r="N43" s="11"/>
      <c r="O43" s="10"/>
      <c r="P43" s="11"/>
      <c r="Q43" s="10"/>
      <c r="R43" s="12"/>
    </row>
    <row r="44" spans="1:18" x14ac:dyDescent="0.25">
      <c r="A44" s="11" t="s">
        <v>177</v>
      </c>
      <c r="B44" s="17" t="s">
        <v>154</v>
      </c>
      <c r="C44" s="17" t="s">
        <v>154</v>
      </c>
      <c r="D44" s="18" t="s">
        <v>154</v>
      </c>
      <c r="E44" s="17" t="s">
        <v>154</v>
      </c>
      <c r="F44" s="18" t="s">
        <v>154</v>
      </c>
      <c r="G44" s="17" t="s">
        <v>154</v>
      </c>
      <c r="H44" s="18" t="s">
        <v>154</v>
      </c>
      <c r="I44" s="17" t="s">
        <v>154</v>
      </c>
      <c r="J44" s="18" t="s">
        <v>154</v>
      </c>
      <c r="K44" s="17" t="s">
        <v>154</v>
      </c>
      <c r="L44" s="18" t="s">
        <v>154</v>
      </c>
      <c r="M44" s="17" t="s">
        <v>154</v>
      </c>
      <c r="N44" s="18" t="s">
        <v>154</v>
      </c>
      <c r="O44" s="17" t="s">
        <v>154</v>
      </c>
      <c r="P44" s="18" t="s">
        <v>154</v>
      </c>
      <c r="Q44" s="17" t="s">
        <v>154</v>
      </c>
      <c r="R44" s="18" t="s">
        <v>154</v>
      </c>
    </row>
    <row r="45" spans="1:18" x14ac:dyDescent="0.25">
      <c r="A45" s="11" t="s">
        <v>178</v>
      </c>
      <c r="B45" s="17" t="s">
        <v>154</v>
      </c>
      <c r="C45" s="17" t="s">
        <v>154</v>
      </c>
      <c r="D45" s="18" t="s">
        <v>154</v>
      </c>
      <c r="E45" s="17" t="s">
        <v>154</v>
      </c>
      <c r="F45" s="18" t="s">
        <v>154</v>
      </c>
      <c r="G45" s="17" t="s">
        <v>154</v>
      </c>
      <c r="H45" s="18" t="s">
        <v>154</v>
      </c>
      <c r="I45" s="17" t="s">
        <v>154</v>
      </c>
      <c r="J45" s="18" t="s">
        <v>154</v>
      </c>
      <c r="K45" s="17" t="s">
        <v>154</v>
      </c>
      <c r="L45" s="18" t="s">
        <v>154</v>
      </c>
      <c r="M45" s="17" t="s">
        <v>154</v>
      </c>
      <c r="N45" s="18" t="s">
        <v>154</v>
      </c>
      <c r="O45" s="17" t="s">
        <v>154</v>
      </c>
      <c r="P45" s="18" t="s">
        <v>154</v>
      </c>
      <c r="Q45" s="17" t="s">
        <v>154</v>
      </c>
      <c r="R45" s="18" t="s">
        <v>154</v>
      </c>
    </row>
    <row r="46" spans="1:18" x14ac:dyDescent="0.25">
      <c r="A46" s="11" t="s">
        <v>179</v>
      </c>
      <c r="B46" s="13">
        <v>23141</v>
      </c>
      <c r="C46" s="14">
        <f>(19527/B46*100)</f>
        <v>84.382697376950006</v>
      </c>
      <c r="D46" s="15">
        <v>3614</v>
      </c>
      <c r="E46" s="14">
        <v>38.881007289999999</v>
      </c>
      <c r="F46" s="16">
        <v>1.12516438</v>
      </c>
      <c r="G46" s="14">
        <v>61.118992710000001</v>
      </c>
      <c r="H46" s="16">
        <v>1.12516438</v>
      </c>
      <c r="I46" s="14" t="s">
        <v>139</v>
      </c>
      <c r="J46" s="16" t="s">
        <v>139</v>
      </c>
      <c r="K46" s="14">
        <v>0</v>
      </c>
      <c r="L46" s="16">
        <v>0</v>
      </c>
      <c r="M46" s="14">
        <v>0</v>
      </c>
      <c r="N46" s="16">
        <v>0</v>
      </c>
      <c r="O46" s="14">
        <v>0</v>
      </c>
      <c r="P46" s="16">
        <v>0</v>
      </c>
      <c r="Q46" s="14">
        <v>0</v>
      </c>
      <c r="R46" s="16">
        <v>0</v>
      </c>
    </row>
    <row r="47" spans="1:18" x14ac:dyDescent="0.25">
      <c r="A47" s="11" t="s">
        <v>180</v>
      </c>
      <c r="B47" s="13">
        <v>5928</v>
      </c>
      <c r="C47" s="14">
        <f>(4910/B47*100)</f>
        <v>82.827260458839405</v>
      </c>
      <c r="D47" s="15">
        <v>1018</v>
      </c>
      <c r="E47" s="14">
        <v>25.594153970000001</v>
      </c>
      <c r="F47" s="16">
        <v>1.5881719000000001</v>
      </c>
      <c r="G47" s="14">
        <v>74.405846030000006</v>
      </c>
      <c r="H47" s="16">
        <v>1.5881719000000001</v>
      </c>
      <c r="I47" s="14" t="s">
        <v>139</v>
      </c>
      <c r="J47" s="16" t="s">
        <v>139</v>
      </c>
      <c r="K47" s="14">
        <v>0</v>
      </c>
      <c r="L47" s="16">
        <v>0</v>
      </c>
      <c r="M47" s="14">
        <v>0</v>
      </c>
      <c r="N47" s="16">
        <v>0</v>
      </c>
      <c r="O47" s="14">
        <v>0</v>
      </c>
      <c r="P47" s="16">
        <v>0</v>
      </c>
      <c r="Q47" s="14">
        <v>0</v>
      </c>
      <c r="R47" s="16">
        <v>0</v>
      </c>
    </row>
    <row r="48" spans="1:18" x14ac:dyDescent="0.25">
      <c r="A48" s="11" t="s">
        <v>181</v>
      </c>
      <c r="B48" s="13">
        <v>9841</v>
      </c>
      <c r="C48" s="14">
        <f>(8164/B48*100)</f>
        <v>82.959048877146628</v>
      </c>
      <c r="D48" s="15">
        <v>1677</v>
      </c>
      <c r="E48" s="14">
        <v>24.04500123</v>
      </c>
      <c r="F48" s="16">
        <v>1.52591652</v>
      </c>
      <c r="G48" s="14">
        <v>75.954998770000003</v>
      </c>
      <c r="H48" s="16">
        <v>1.52591652</v>
      </c>
      <c r="I48" s="14" t="s">
        <v>139</v>
      </c>
      <c r="J48" s="16" t="s">
        <v>139</v>
      </c>
      <c r="K48" s="14">
        <v>0</v>
      </c>
      <c r="L48" s="16">
        <v>0</v>
      </c>
      <c r="M48" s="14">
        <v>0</v>
      </c>
      <c r="N48" s="16">
        <v>0</v>
      </c>
      <c r="O48" s="14">
        <v>0</v>
      </c>
      <c r="P48" s="16">
        <v>0</v>
      </c>
      <c r="Q48" s="14">
        <v>0</v>
      </c>
      <c r="R48" s="16">
        <v>0</v>
      </c>
    </row>
    <row r="49" spans="1:18" x14ac:dyDescent="0.25">
      <c r="A49" s="11" t="s">
        <v>182</v>
      </c>
      <c r="B49" s="17" t="s">
        <v>154</v>
      </c>
      <c r="C49" s="17" t="s">
        <v>154</v>
      </c>
      <c r="D49" s="18" t="s">
        <v>154</v>
      </c>
      <c r="E49" s="17" t="s">
        <v>154</v>
      </c>
      <c r="F49" s="18" t="s">
        <v>154</v>
      </c>
      <c r="G49" s="17" t="s">
        <v>154</v>
      </c>
      <c r="H49" s="18" t="s">
        <v>154</v>
      </c>
      <c r="I49" s="17" t="s">
        <v>154</v>
      </c>
      <c r="J49" s="18" t="s">
        <v>154</v>
      </c>
      <c r="K49" s="17" t="s">
        <v>154</v>
      </c>
      <c r="L49" s="18" t="s">
        <v>154</v>
      </c>
      <c r="M49" s="17" t="s">
        <v>154</v>
      </c>
      <c r="N49" s="18" t="s">
        <v>154</v>
      </c>
      <c r="O49" s="17" t="s">
        <v>154</v>
      </c>
      <c r="P49" s="18" t="s">
        <v>154</v>
      </c>
      <c r="Q49" s="17" t="s">
        <v>154</v>
      </c>
      <c r="R49" s="18" t="s">
        <v>154</v>
      </c>
    </row>
    <row r="50" spans="1:18" x14ac:dyDescent="0.25">
      <c r="A50" s="11" t="s">
        <v>183</v>
      </c>
      <c r="B50" s="13">
        <v>11795</v>
      </c>
      <c r="C50" s="14">
        <f>(9770/B50*100)</f>
        <v>82.83170835099618</v>
      </c>
      <c r="D50" s="15">
        <v>2025</v>
      </c>
      <c r="E50" s="14">
        <v>31.324925570000001</v>
      </c>
      <c r="F50" s="16">
        <v>1.4365920299999999</v>
      </c>
      <c r="G50" s="14">
        <v>68.675074429999995</v>
      </c>
      <c r="H50" s="16">
        <v>1.4365920299999999</v>
      </c>
      <c r="I50" s="14" t="s">
        <v>139</v>
      </c>
      <c r="J50" s="16" t="s">
        <v>139</v>
      </c>
      <c r="K50" s="14">
        <v>0</v>
      </c>
      <c r="L50" s="16">
        <v>0</v>
      </c>
      <c r="M50" s="14">
        <v>0</v>
      </c>
      <c r="N50" s="16">
        <v>0</v>
      </c>
      <c r="O50" s="14">
        <v>0</v>
      </c>
      <c r="P50" s="16">
        <v>0</v>
      </c>
      <c r="Q50" s="14">
        <v>0</v>
      </c>
      <c r="R50" s="16">
        <v>0</v>
      </c>
    </row>
    <row r="51" spans="1:18" x14ac:dyDescent="0.25">
      <c r="A51" s="11" t="s">
        <v>184</v>
      </c>
      <c r="B51" s="13">
        <v>6866</v>
      </c>
      <c r="C51" s="14">
        <f>(5818/B51*100)</f>
        <v>84.736382173026499</v>
      </c>
      <c r="D51" s="15">
        <v>1048</v>
      </c>
      <c r="E51" s="14">
        <v>29.07924298</v>
      </c>
      <c r="F51" s="16">
        <v>1.3667643599999999</v>
      </c>
      <c r="G51" s="14">
        <v>70.920757019999996</v>
      </c>
      <c r="H51" s="16">
        <v>1.3667643599999999</v>
      </c>
      <c r="I51" s="14" t="s">
        <v>139</v>
      </c>
      <c r="J51" s="16" t="s">
        <v>139</v>
      </c>
      <c r="K51" s="14">
        <v>0</v>
      </c>
      <c r="L51" s="16">
        <v>0</v>
      </c>
      <c r="M51" s="14">
        <v>0</v>
      </c>
      <c r="N51" s="16">
        <v>0</v>
      </c>
      <c r="O51" s="14">
        <v>0</v>
      </c>
      <c r="P51" s="16">
        <v>0</v>
      </c>
      <c r="Q51" s="14">
        <v>0</v>
      </c>
      <c r="R51" s="16">
        <v>0</v>
      </c>
    </row>
    <row r="52" spans="1:18" x14ac:dyDescent="0.25">
      <c r="A52" s="11" t="s">
        <v>185</v>
      </c>
      <c r="B52" s="13">
        <v>5809</v>
      </c>
      <c r="C52" s="14">
        <f>(4829/B52*100)</f>
        <v>83.129626441728348</v>
      </c>
      <c r="D52" s="15">
        <v>980</v>
      </c>
      <c r="E52" s="14">
        <v>17.83174971</v>
      </c>
      <c r="F52" s="16">
        <v>1.1374454899999999</v>
      </c>
      <c r="G52" s="14">
        <v>82.168250290000003</v>
      </c>
      <c r="H52" s="16">
        <v>1.1374454899999999</v>
      </c>
      <c r="I52" s="14" t="s">
        <v>139</v>
      </c>
      <c r="J52" s="16" t="s">
        <v>139</v>
      </c>
      <c r="K52" s="14">
        <v>0</v>
      </c>
      <c r="L52" s="16">
        <v>0</v>
      </c>
      <c r="M52" s="14">
        <v>0</v>
      </c>
      <c r="N52" s="16">
        <v>0</v>
      </c>
      <c r="O52" s="14">
        <v>0</v>
      </c>
      <c r="P52" s="16">
        <v>0</v>
      </c>
      <c r="Q52" s="14">
        <v>0</v>
      </c>
      <c r="R52" s="16">
        <v>0</v>
      </c>
    </row>
    <row r="53" spans="1:18" x14ac:dyDescent="0.25">
      <c r="A53" s="11" t="s">
        <v>186</v>
      </c>
      <c r="B53" s="13">
        <v>5571</v>
      </c>
      <c r="C53" s="14">
        <f>(4631/B53*100)</f>
        <v>83.126907197989581</v>
      </c>
      <c r="D53" s="15">
        <v>940</v>
      </c>
      <c r="E53" s="14">
        <v>26.314012949999999</v>
      </c>
      <c r="F53" s="16">
        <v>1.52186379</v>
      </c>
      <c r="G53" s="14">
        <v>73.685987049999994</v>
      </c>
      <c r="H53" s="16">
        <v>1.52186379</v>
      </c>
      <c r="I53" s="14" t="s">
        <v>139</v>
      </c>
      <c r="J53" s="16" t="s">
        <v>139</v>
      </c>
      <c r="K53" s="14">
        <v>0</v>
      </c>
      <c r="L53" s="16">
        <v>0</v>
      </c>
      <c r="M53" s="14">
        <v>0</v>
      </c>
      <c r="N53" s="16">
        <v>0</v>
      </c>
      <c r="O53" s="14">
        <v>0</v>
      </c>
      <c r="P53" s="16">
        <v>0</v>
      </c>
      <c r="Q53" s="14">
        <v>0</v>
      </c>
      <c r="R53" s="16">
        <v>0</v>
      </c>
    </row>
    <row r="54" spans="1:18" x14ac:dyDescent="0.25">
      <c r="A54" s="11" t="s">
        <v>187</v>
      </c>
      <c r="B54" s="17" t="s">
        <v>154</v>
      </c>
      <c r="C54" s="17" t="s">
        <v>154</v>
      </c>
      <c r="D54" s="18" t="s">
        <v>154</v>
      </c>
      <c r="E54" s="17" t="s">
        <v>154</v>
      </c>
      <c r="F54" s="18" t="s">
        <v>154</v>
      </c>
      <c r="G54" s="17" t="s">
        <v>154</v>
      </c>
      <c r="H54" s="18" t="s">
        <v>154</v>
      </c>
      <c r="I54" s="17" t="s">
        <v>154</v>
      </c>
      <c r="J54" s="18" t="s">
        <v>154</v>
      </c>
      <c r="K54" s="17" t="s">
        <v>154</v>
      </c>
      <c r="L54" s="18" t="s">
        <v>154</v>
      </c>
      <c r="M54" s="17" t="s">
        <v>154</v>
      </c>
      <c r="N54" s="18" t="s">
        <v>154</v>
      </c>
      <c r="O54" s="17" t="s">
        <v>154</v>
      </c>
      <c r="P54" s="18" t="s">
        <v>154</v>
      </c>
      <c r="Q54" s="17" t="s">
        <v>154</v>
      </c>
      <c r="R54" s="18" t="s">
        <v>154</v>
      </c>
    </row>
    <row r="55" spans="1:18" x14ac:dyDescent="0.25">
      <c r="A55" s="11" t="s">
        <v>188</v>
      </c>
      <c r="B55" s="17" t="s">
        <v>154</v>
      </c>
      <c r="C55" s="17" t="s">
        <v>154</v>
      </c>
      <c r="D55" s="18" t="s">
        <v>154</v>
      </c>
      <c r="E55" s="17" t="s">
        <v>154</v>
      </c>
      <c r="F55" s="18" t="s">
        <v>154</v>
      </c>
      <c r="G55" s="17" t="s">
        <v>154</v>
      </c>
      <c r="H55" s="18" t="s">
        <v>154</v>
      </c>
      <c r="I55" s="17" t="s">
        <v>154</v>
      </c>
      <c r="J55" s="18" t="s">
        <v>154</v>
      </c>
      <c r="K55" s="17" t="s">
        <v>154</v>
      </c>
      <c r="L55" s="18" t="s">
        <v>154</v>
      </c>
      <c r="M55" s="17" t="s">
        <v>154</v>
      </c>
      <c r="N55" s="18" t="s">
        <v>154</v>
      </c>
      <c r="O55" s="17" t="s">
        <v>154</v>
      </c>
      <c r="P55" s="18" t="s">
        <v>154</v>
      </c>
      <c r="Q55" s="17" t="s">
        <v>154</v>
      </c>
      <c r="R55" s="18" t="s">
        <v>154</v>
      </c>
    </row>
    <row r="56" spans="1:18" x14ac:dyDescent="0.25">
      <c r="A56" s="11" t="s">
        <v>189</v>
      </c>
      <c r="B56" s="13">
        <v>5359</v>
      </c>
      <c r="C56" s="14">
        <f>(4445/B56*100)</f>
        <v>82.944579212539651</v>
      </c>
      <c r="D56" s="15">
        <v>914</v>
      </c>
      <c r="E56" s="14">
        <v>22.454384019999999</v>
      </c>
      <c r="F56" s="16">
        <v>1.7004927999999999</v>
      </c>
      <c r="G56" s="14">
        <v>77.545615979999994</v>
      </c>
      <c r="H56" s="16">
        <v>1.7004927999999999</v>
      </c>
      <c r="I56" s="14" t="s">
        <v>139</v>
      </c>
      <c r="J56" s="16" t="s">
        <v>139</v>
      </c>
      <c r="K56" s="14">
        <v>0</v>
      </c>
      <c r="L56" s="16">
        <v>0</v>
      </c>
      <c r="M56" s="14">
        <v>0</v>
      </c>
      <c r="N56" s="16">
        <v>0</v>
      </c>
      <c r="O56" s="14">
        <v>0</v>
      </c>
      <c r="P56" s="16">
        <v>0</v>
      </c>
      <c r="Q56" s="14">
        <v>0</v>
      </c>
      <c r="R56" s="16">
        <v>0</v>
      </c>
    </row>
    <row r="57" spans="1:18" x14ac:dyDescent="0.25">
      <c r="A57" s="11" t="s">
        <v>190</v>
      </c>
      <c r="B57" s="17" t="s">
        <v>154</v>
      </c>
      <c r="C57" s="17" t="s">
        <v>154</v>
      </c>
      <c r="D57" s="18" t="s">
        <v>154</v>
      </c>
      <c r="E57" s="17" t="s">
        <v>154</v>
      </c>
      <c r="F57" s="18" t="s">
        <v>154</v>
      </c>
      <c r="G57" s="17" t="s">
        <v>154</v>
      </c>
      <c r="H57" s="18" t="s">
        <v>154</v>
      </c>
      <c r="I57" s="17" t="s">
        <v>154</v>
      </c>
      <c r="J57" s="18" t="s">
        <v>154</v>
      </c>
      <c r="K57" s="17" t="s">
        <v>154</v>
      </c>
      <c r="L57" s="18" t="s">
        <v>154</v>
      </c>
      <c r="M57" s="17" t="s">
        <v>154</v>
      </c>
      <c r="N57" s="18" t="s">
        <v>154</v>
      </c>
      <c r="O57" s="17" t="s">
        <v>154</v>
      </c>
      <c r="P57" s="18" t="s">
        <v>154</v>
      </c>
      <c r="Q57" s="17" t="s">
        <v>154</v>
      </c>
      <c r="R57" s="18" t="s">
        <v>154</v>
      </c>
    </row>
    <row r="58" spans="1:18" x14ac:dyDescent="0.25">
      <c r="A58" s="11" t="s">
        <v>191</v>
      </c>
      <c r="B58" s="17" t="s">
        <v>154</v>
      </c>
      <c r="C58" s="17" t="s">
        <v>154</v>
      </c>
      <c r="D58" s="18" t="s">
        <v>154</v>
      </c>
      <c r="E58" s="17" t="s">
        <v>154</v>
      </c>
      <c r="F58" s="18" t="s">
        <v>154</v>
      </c>
      <c r="G58" s="17" t="s">
        <v>154</v>
      </c>
      <c r="H58" s="18" t="s">
        <v>154</v>
      </c>
      <c r="I58" s="17" t="s">
        <v>154</v>
      </c>
      <c r="J58" s="18" t="s">
        <v>154</v>
      </c>
      <c r="K58" s="17" t="s">
        <v>154</v>
      </c>
      <c r="L58" s="18" t="s">
        <v>154</v>
      </c>
      <c r="M58" s="17" t="s">
        <v>154</v>
      </c>
      <c r="N58" s="18" t="s">
        <v>154</v>
      </c>
      <c r="O58" s="17" t="s">
        <v>154</v>
      </c>
      <c r="P58" s="18" t="s">
        <v>154</v>
      </c>
      <c r="Q58" s="17" t="s">
        <v>154</v>
      </c>
      <c r="R58" s="18" t="s">
        <v>154</v>
      </c>
    </row>
    <row r="59" spans="1:18" x14ac:dyDescent="0.25">
      <c r="A59" s="11" t="s">
        <v>192</v>
      </c>
      <c r="B59" s="17" t="s">
        <v>154</v>
      </c>
      <c r="C59" s="17" t="s">
        <v>154</v>
      </c>
      <c r="D59" s="18" t="s">
        <v>154</v>
      </c>
      <c r="E59" s="17" t="s">
        <v>154</v>
      </c>
      <c r="F59" s="18" t="s">
        <v>154</v>
      </c>
      <c r="G59" s="17" t="s">
        <v>154</v>
      </c>
      <c r="H59" s="18" t="s">
        <v>154</v>
      </c>
      <c r="I59" s="17" t="s">
        <v>154</v>
      </c>
      <c r="J59" s="18" t="s">
        <v>154</v>
      </c>
      <c r="K59" s="17" t="s">
        <v>154</v>
      </c>
      <c r="L59" s="18" t="s">
        <v>154</v>
      </c>
      <c r="M59" s="17" t="s">
        <v>154</v>
      </c>
      <c r="N59" s="18" t="s">
        <v>154</v>
      </c>
      <c r="O59" s="17" t="s">
        <v>154</v>
      </c>
      <c r="P59" s="18" t="s">
        <v>154</v>
      </c>
      <c r="Q59" s="17" t="s">
        <v>154</v>
      </c>
      <c r="R59" s="18" t="s">
        <v>154</v>
      </c>
    </row>
    <row r="60" spans="1:18" x14ac:dyDescent="0.25">
      <c r="A60" s="11" t="s">
        <v>193</v>
      </c>
      <c r="B60" s="17" t="s">
        <v>154</v>
      </c>
      <c r="C60" s="17" t="s">
        <v>154</v>
      </c>
      <c r="D60" s="18" t="s">
        <v>154</v>
      </c>
      <c r="E60" s="17" t="s">
        <v>154</v>
      </c>
      <c r="F60" s="18" t="s">
        <v>154</v>
      </c>
      <c r="G60" s="17" t="s">
        <v>154</v>
      </c>
      <c r="H60" s="18" t="s">
        <v>154</v>
      </c>
      <c r="I60" s="17" t="s">
        <v>154</v>
      </c>
      <c r="J60" s="18" t="s">
        <v>154</v>
      </c>
      <c r="K60" s="17" t="s">
        <v>154</v>
      </c>
      <c r="L60" s="18" t="s">
        <v>154</v>
      </c>
      <c r="M60" s="17" t="s">
        <v>154</v>
      </c>
      <c r="N60" s="18" t="s">
        <v>154</v>
      </c>
      <c r="O60" s="17" t="s">
        <v>154</v>
      </c>
      <c r="P60" s="18" t="s">
        <v>154</v>
      </c>
      <c r="Q60" s="17" t="s">
        <v>154</v>
      </c>
      <c r="R60" s="18" t="s">
        <v>154</v>
      </c>
    </row>
    <row r="61" spans="1:18" x14ac:dyDescent="0.25">
      <c r="A61" s="11" t="s">
        <v>194</v>
      </c>
      <c r="B61" s="13">
        <v>6525</v>
      </c>
      <c r="C61" s="14">
        <f>(5418/B61*100)</f>
        <v>83.034482758620683</v>
      </c>
      <c r="D61" s="15">
        <v>1107</v>
      </c>
      <c r="E61" s="14">
        <v>18.431177680000001</v>
      </c>
      <c r="F61" s="16">
        <v>1.62305816</v>
      </c>
      <c r="G61" s="14">
        <v>81.568822319999995</v>
      </c>
      <c r="H61" s="16">
        <v>1.62305816</v>
      </c>
      <c r="I61" s="14" t="s">
        <v>139</v>
      </c>
      <c r="J61" s="16" t="s">
        <v>139</v>
      </c>
      <c r="K61" s="14">
        <v>0</v>
      </c>
      <c r="L61" s="16">
        <v>0</v>
      </c>
      <c r="M61" s="14">
        <v>0</v>
      </c>
      <c r="N61" s="16">
        <v>0</v>
      </c>
      <c r="O61" s="14">
        <v>0</v>
      </c>
      <c r="P61" s="16">
        <v>0</v>
      </c>
      <c r="Q61" s="14">
        <v>0</v>
      </c>
      <c r="R61" s="16">
        <v>0</v>
      </c>
    </row>
    <row r="62" spans="1:18" x14ac:dyDescent="0.25">
      <c r="A62" s="11" t="s">
        <v>195</v>
      </c>
      <c r="B62" s="13">
        <v>4476</v>
      </c>
      <c r="C62" s="14">
        <f>(3700/B62*100)</f>
        <v>82.663092046470069</v>
      </c>
      <c r="D62" s="15">
        <v>776</v>
      </c>
      <c r="E62" s="14">
        <v>18.061145459999999</v>
      </c>
      <c r="F62" s="16">
        <v>1.3486249400000001</v>
      </c>
      <c r="G62" s="14">
        <v>81.938854539999994</v>
      </c>
      <c r="H62" s="16">
        <v>1.3486249400000001</v>
      </c>
      <c r="I62" s="14" t="s">
        <v>139</v>
      </c>
      <c r="J62" s="16" t="s">
        <v>139</v>
      </c>
      <c r="K62" s="14">
        <v>0</v>
      </c>
      <c r="L62" s="16">
        <v>0</v>
      </c>
      <c r="M62" s="14">
        <v>0</v>
      </c>
      <c r="N62" s="16">
        <v>0</v>
      </c>
      <c r="O62" s="14">
        <v>0</v>
      </c>
      <c r="P62" s="16">
        <v>0</v>
      </c>
      <c r="Q62" s="14">
        <v>0</v>
      </c>
      <c r="R62" s="16">
        <v>0</v>
      </c>
    </row>
    <row r="63" spans="1:18" x14ac:dyDescent="0.25">
      <c r="A63" s="11" t="s">
        <v>196</v>
      </c>
      <c r="B63" s="17" t="s">
        <v>154</v>
      </c>
      <c r="C63" s="17" t="s">
        <v>154</v>
      </c>
      <c r="D63" s="18" t="s">
        <v>154</v>
      </c>
      <c r="E63" s="17" t="s">
        <v>154</v>
      </c>
      <c r="F63" s="18" t="s">
        <v>154</v>
      </c>
      <c r="G63" s="17" t="s">
        <v>154</v>
      </c>
      <c r="H63" s="18" t="s">
        <v>154</v>
      </c>
      <c r="I63" s="17" t="s">
        <v>154</v>
      </c>
      <c r="J63" s="18" t="s">
        <v>154</v>
      </c>
      <c r="K63" s="17" t="s">
        <v>154</v>
      </c>
      <c r="L63" s="18" t="s">
        <v>154</v>
      </c>
      <c r="M63" s="17" t="s">
        <v>154</v>
      </c>
      <c r="N63" s="18" t="s">
        <v>154</v>
      </c>
      <c r="O63" s="17" t="s">
        <v>154</v>
      </c>
      <c r="P63" s="18" t="s">
        <v>154</v>
      </c>
      <c r="Q63" s="17" t="s">
        <v>154</v>
      </c>
      <c r="R63" s="18" t="s">
        <v>154</v>
      </c>
    </row>
    <row r="64" spans="1:18" x14ac:dyDescent="0.25">
      <c r="A64" s="11" t="s">
        <v>197</v>
      </c>
      <c r="B64" s="17" t="s">
        <v>154</v>
      </c>
      <c r="C64" s="17" t="s">
        <v>154</v>
      </c>
      <c r="D64" s="18" t="s">
        <v>154</v>
      </c>
      <c r="E64" s="17" t="s">
        <v>154</v>
      </c>
      <c r="F64" s="18" t="s">
        <v>154</v>
      </c>
      <c r="G64" s="17" t="s">
        <v>154</v>
      </c>
      <c r="H64" s="18" t="s">
        <v>154</v>
      </c>
      <c r="I64" s="17" t="s">
        <v>154</v>
      </c>
      <c r="J64" s="18" t="s">
        <v>154</v>
      </c>
      <c r="K64" s="17" t="s">
        <v>154</v>
      </c>
      <c r="L64" s="18" t="s">
        <v>154</v>
      </c>
      <c r="M64" s="17" t="s">
        <v>154</v>
      </c>
      <c r="N64" s="18" t="s">
        <v>154</v>
      </c>
      <c r="O64" s="17" t="s">
        <v>154</v>
      </c>
      <c r="P64" s="18" t="s">
        <v>154</v>
      </c>
      <c r="Q64" s="17" t="s">
        <v>154</v>
      </c>
      <c r="R64" s="18" t="s">
        <v>154</v>
      </c>
    </row>
    <row r="65" spans="1:18" x14ac:dyDescent="0.25">
      <c r="A65" s="11" t="s">
        <v>198</v>
      </c>
      <c r="B65" s="17" t="s">
        <v>154</v>
      </c>
      <c r="C65" s="17" t="s">
        <v>154</v>
      </c>
      <c r="D65" s="18" t="s">
        <v>154</v>
      </c>
      <c r="E65" s="17" t="s">
        <v>154</v>
      </c>
      <c r="F65" s="18" t="s">
        <v>154</v>
      </c>
      <c r="G65" s="17" t="s">
        <v>154</v>
      </c>
      <c r="H65" s="18" t="s">
        <v>154</v>
      </c>
      <c r="I65" s="17" t="s">
        <v>154</v>
      </c>
      <c r="J65" s="18" t="s">
        <v>154</v>
      </c>
      <c r="K65" s="17" t="s">
        <v>154</v>
      </c>
      <c r="L65" s="18" t="s">
        <v>154</v>
      </c>
      <c r="M65" s="17" t="s">
        <v>154</v>
      </c>
      <c r="N65" s="18" t="s">
        <v>154</v>
      </c>
      <c r="O65" s="17" t="s">
        <v>154</v>
      </c>
      <c r="P65" s="18" t="s">
        <v>154</v>
      </c>
      <c r="Q65" s="17" t="s">
        <v>154</v>
      </c>
      <c r="R65" s="18" t="s">
        <v>154</v>
      </c>
    </row>
    <row r="66" spans="1:18" x14ac:dyDescent="0.25">
      <c r="A66" s="11" t="s">
        <v>199</v>
      </c>
      <c r="B66" s="13">
        <v>5665</v>
      </c>
      <c r="C66" s="14">
        <f>(4711/B66*100)</f>
        <v>83.159752868490727</v>
      </c>
      <c r="D66" s="15">
        <v>954</v>
      </c>
      <c r="E66" s="14">
        <v>25.026737310000001</v>
      </c>
      <c r="F66" s="16">
        <v>1.41170825</v>
      </c>
      <c r="G66" s="14">
        <v>74.973262689999999</v>
      </c>
      <c r="H66" s="16">
        <v>1.41170825</v>
      </c>
      <c r="I66" s="14" t="s">
        <v>139</v>
      </c>
      <c r="J66" s="16" t="s">
        <v>139</v>
      </c>
      <c r="K66" s="14">
        <v>0</v>
      </c>
      <c r="L66" s="16">
        <v>0</v>
      </c>
      <c r="M66" s="14">
        <v>0</v>
      </c>
      <c r="N66" s="16">
        <v>0</v>
      </c>
      <c r="O66" s="14">
        <v>0</v>
      </c>
      <c r="P66" s="16">
        <v>0</v>
      </c>
      <c r="Q66" s="14">
        <v>0</v>
      </c>
      <c r="R66" s="16">
        <v>0</v>
      </c>
    </row>
    <row r="67" spans="1:18" x14ac:dyDescent="0.25">
      <c r="A67" s="11" t="s">
        <v>200</v>
      </c>
      <c r="B67" s="13">
        <v>6971</v>
      </c>
      <c r="C67" s="14">
        <f>(5847/B67*100)</f>
        <v>83.876057954382446</v>
      </c>
      <c r="D67" s="15">
        <v>1124</v>
      </c>
      <c r="E67" s="14">
        <v>39.225532639999997</v>
      </c>
      <c r="F67" s="16">
        <v>1.39391573</v>
      </c>
      <c r="G67" s="14">
        <v>60.774467360000003</v>
      </c>
      <c r="H67" s="16">
        <v>1.39391573</v>
      </c>
      <c r="I67" s="14" t="s">
        <v>139</v>
      </c>
      <c r="J67" s="16" t="s">
        <v>139</v>
      </c>
      <c r="K67" s="14">
        <v>0</v>
      </c>
      <c r="L67" s="16">
        <v>0</v>
      </c>
      <c r="M67" s="14">
        <v>0</v>
      </c>
      <c r="N67" s="16">
        <v>0</v>
      </c>
      <c r="O67" s="14">
        <v>0</v>
      </c>
      <c r="P67" s="16">
        <v>0</v>
      </c>
      <c r="Q67" s="14">
        <v>0</v>
      </c>
      <c r="R67" s="16">
        <v>0</v>
      </c>
    </row>
    <row r="68" spans="1:18" x14ac:dyDescent="0.25">
      <c r="A68" s="11" t="s">
        <v>201</v>
      </c>
      <c r="B68" s="17" t="s">
        <v>154</v>
      </c>
      <c r="C68" s="17" t="s">
        <v>154</v>
      </c>
      <c r="D68" s="18" t="s">
        <v>154</v>
      </c>
      <c r="E68" s="17" t="s">
        <v>154</v>
      </c>
      <c r="F68" s="18" t="s">
        <v>154</v>
      </c>
      <c r="G68" s="17" t="s">
        <v>154</v>
      </c>
      <c r="H68" s="18" t="s">
        <v>154</v>
      </c>
      <c r="I68" s="17" t="s">
        <v>154</v>
      </c>
      <c r="J68" s="18" t="s">
        <v>154</v>
      </c>
      <c r="K68" s="17" t="s">
        <v>154</v>
      </c>
      <c r="L68" s="18" t="s">
        <v>154</v>
      </c>
      <c r="M68" s="17" t="s">
        <v>154</v>
      </c>
      <c r="N68" s="18" t="s">
        <v>154</v>
      </c>
      <c r="O68" s="17" t="s">
        <v>154</v>
      </c>
      <c r="P68" s="18" t="s">
        <v>154</v>
      </c>
      <c r="Q68" s="17" t="s">
        <v>154</v>
      </c>
      <c r="R68" s="18" t="s">
        <v>154</v>
      </c>
    </row>
    <row r="69" spans="1:18" x14ac:dyDescent="0.25">
      <c r="A69" s="11" t="s">
        <v>202</v>
      </c>
      <c r="B69" s="17" t="s">
        <v>154</v>
      </c>
      <c r="C69" s="17" t="s">
        <v>154</v>
      </c>
      <c r="D69" s="18" t="s">
        <v>154</v>
      </c>
      <c r="E69" s="17" t="s">
        <v>154</v>
      </c>
      <c r="F69" s="18" t="s">
        <v>154</v>
      </c>
      <c r="G69" s="17" t="s">
        <v>154</v>
      </c>
      <c r="H69" s="18" t="s">
        <v>154</v>
      </c>
      <c r="I69" s="17" t="s">
        <v>154</v>
      </c>
      <c r="J69" s="18" t="s">
        <v>154</v>
      </c>
      <c r="K69" s="17" t="s">
        <v>154</v>
      </c>
      <c r="L69" s="18" t="s">
        <v>154</v>
      </c>
      <c r="M69" s="17" t="s">
        <v>154</v>
      </c>
      <c r="N69" s="18" t="s">
        <v>154</v>
      </c>
      <c r="O69" s="17" t="s">
        <v>154</v>
      </c>
      <c r="P69" s="18" t="s">
        <v>154</v>
      </c>
      <c r="Q69" s="17" t="s">
        <v>154</v>
      </c>
      <c r="R69" s="18" t="s">
        <v>154</v>
      </c>
    </row>
    <row r="70" spans="1:18" x14ac:dyDescent="0.25">
      <c r="A70" s="11" t="s">
        <v>203</v>
      </c>
      <c r="B70" s="13">
        <v>6036</v>
      </c>
      <c r="C70" s="14">
        <f>(4994/B70*100)</f>
        <v>82.736911862160369</v>
      </c>
      <c r="D70" s="15">
        <v>1042</v>
      </c>
      <c r="E70" s="14">
        <v>14.038762609999999</v>
      </c>
      <c r="F70" s="16">
        <v>0.98098046000000005</v>
      </c>
      <c r="G70" s="14">
        <v>85.961237389999994</v>
      </c>
      <c r="H70" s="16">
        <v>0.98098046000000005</v>
      </c>
      <c r="I70" s="14" t="s">
        <v>139</v>
      </c>
      <c r="J70" s="16" t="s">
        <v>139</v>
      </c>
      <c r="K70" s="14">
        <v>0</v>
      </c>
      <c r="L70" s="16">
        <v>0</v>
      </c>
      <c r="M70" s="14">
        <v>0</v>
      </c>
      <c r="N70" s="16">
        <v>0</v>
      </c>
      <c r="O70" s="14">
        <v>0</v>
      </c>
      <c r="P70" s="16">
        <v>0</v>
      </c>
      <c r="Q70" s="14">
        <v>0</v>
      </c>
      <c r="R70" s="16">
        <v>0</v>
      </c>
    </row>
    <row r="71" spans="1:18" x14ac:dyDescent="0.25">
      <c r="A71" s="11" t="s">
        <v>204</v>
      </c>
      <c r="B71" s="17" t="s">
        <v>154</v>
      </c>
      <c r="C71" s="17" t="s">
        <v>154</v>
      </c>
      <c r="D71" s="18" t="s">
        <v>154</v>
      </c>
      <c r="E71" s="17" t="s">
        <v>154</v>
      </c>
      <c r="F71" s="18" t="s">
        <v>154</v>
      </c>
      <c r="G71" s="17" t="s">
        <v>154</v>
      </c>
      <c r="H71" s="18" t="s">
        <v>154</v>
      </c>
      <c r="I71" s="17" t="s">
        <v>154</v>
      </c>
      <c r="J71" s="18" t="s">
        <v>154</v>
      </c>
      <c r="K71" s="17" t="s">
        <v>154</v>
      </c>
      <c r="L71" s="18" t="s">
        <v>154</v>
      </c>
      <c r="M71" s="17" t="s">
        <v>154</v>
      </c>
      <c r="N71" s="18" t="s">
        <v>154</v>
      </c>
      <c r="O71" s="17" t="s">
        <v>154</v>
      </c>
      <c r="P71" s="18" t="s">
        <v>154</v>
      </c>
      <c r="Q71" s="17" t="s">
        <v>154</v>
      </c>
      <c r="R71" s="18" t="s">
        <v>154</v>
      </c>
    </row>
    <row r="72" spans="1:18" x14ac:dyDescent="0.25">
      <c r="A72" s="11" t="s">
        <v>205</v>
      </c>
      <c r="B72" s="13">
        <v>7708</v>
      </c>
      <c r="C72" s="14">
        <f>(6364/B72*100)</f>
        <v>82.56357031655422</v>
      </c>
      <c r="D72" s="15">
        <v>1344</v>
      </c>
      <c r="E72" s="14">
        <v>13.056566439999999</v>
      </c>
      <c r="F72" s="16">
        <v>1.08707167</v>
      </c>
      <c r="G72" s="14">
        <v>86.943433560000003</v>
      </c>
      <c r="H72" s="16">
        <v>1.08707167</v>
      </c>
      <c r="I72" s="14" t="s">
        <v>139</v>
      </c>
      <c r="J72" s="16" t="s">
        <v>139</v>
      </c>
      <c r="K72" s="14">
        <v>0</v>
      </c>
      <c r="L72" s="16">
        <v>0</v>
      </c>
      <c r="M72" s="14">
        <v>0</v>
      </c>
      <c r="N72" s="16">
        <v>0</v>
      </c>
      <c r="O72" s="14">
        <v>0</v>
      </c>
      <c r="P72" s="16">
        <v>0</v>
      </c>
      <c r="Q72" s="14">
        <v>0</v>
      </c>
      <c r="R72" s="16">
        <v>0</v>
      </c>
    </row>
    <row r="73" spans="1:18" x14ac:dyDescent="0.25">
      <c r="A73" s="11" t="s">
        <v>206</v>
      </c>
      <c r="B73" s="13">
        <v>8249</v>
      </c>
      <c r="C73" s="14">
        <f>(6848/B73*100)</f>
        <v>83.016123166444416</v>
      </c>
      <c r="D73" s="15">
        <v>1401</v>
      </c>
      <c r="E73" s="14">
        <v>42.32732919</v>
      </c>
      <c r="F73" s="16">
        <v>1.8094638700000001</v>
      </c>
      <c r="G73" s="14">
        <v>57.67267081</v>
      </c>
      <c r="H73" s="16">
        <v>1.8094638700000001</v>
      </c>
      <c r="I73" s="14" t="s">
        <v>139</v>
      </c>
      <c r="J73" s="16" t="s">
        <v>139</v>
      </c>
      <c r="K73" s="14">
        <v>0</v>
      </c>
      <c r="L73" s="16">
        <v>0</v>
      </c>
      <c r="M73" s="14">
        <v>0</v>
      </c>
      <c r="N73" s="16">
        <v>0</v>
      </c>
      <c r="O73" s="14">
        <v>0</v>
      </c>
      <c r="P73" s="16">
        <v>0</v>
      </c>
      <c r="Q73" s="14">
        <v>0</v>
      </c>
      <c r="R73" s="16">
        <v>0</v>
      </c>
    </row>
    <row r="74" spans="1:18" x14ac:dyDescent="0.25">
      <c r="A74" s="11" t="s">
        <v>207</v>
      </c>
      <c r="B74" s="17" t="s">
        <v>154</v>
      </c>
      <c r="C74" s="17" t="s">
        <v>154</v>
      </c>
      <c r="D74" s="18" t="s">
        <v>154</v>
      </c>
      <c r="E74" s="17" t="s">
        <v>154</v>
      </c>
      <c r="F74" s="18" t="s">
        <v>154</v>
      </c>
      <c r="G74" s="17" t="s">
        <v>154</v>
      </c>
      <c r="H74" s="18" t="s">
        <v>154</v>
      </c>
      <c r="I74" s="17" t="s">
        <v>154</v>
      </c>
      <c r="J74" s="18" t="s">
        <v>154</v>
      </c>
      <c r="K74" s="17" t="s">
        <v>154</v>
      </c>
      <c r="L74" s="18" t="s">
        <v>154</v>
      </c>
      <c r="M74" s="17" t="s">
        <v>154</v>
      </c>
      <c r="N74" s="18" t="s">
        <v>154</v>
      </c>
      <c r="O74" s="17" t="s">
        <v>154</v>
      </c>
      <c r="P74" s="18" t="s">
        <v>154</v>
      </c>
      <c r="Q74" s="17" t="s">
        <v>154</v>
      </c>
      <c r="R74" s="18" t="s">
        <v>154</v>
      </c>
    </row>
    <row r="75" spans="1:18" x14ac:dyDescent="0.25">
      <c r="A75" s="11" t="s">
        <v>208</v>
      </c>
      <c r="B75" s="13">
        <v>5375</v>
      </c>
      <c r="C75" s="14">
        <f>(4516/B75*100)</f>
        <v>84.018604651162789</v>
      </c>
      <c r="D75" s="15">
        <v>859</v>
      </c>
      <c r="E75" s="14">
        <v>36.839192109999999</v>
      </c>
      <c r="F75" s="16">
        <v>1.6735921</v>
      </c>
      <c r="G75" s="14">
        <v>63.160807890000001</v>
      </c>
      <c r="H75" s="16">
        <v>1.6735921</v>
      </c>
      <c r="I75" s="14" t="s">
        <v>139</v>
      </c>
      <c r="J75" s="16" t="s">
        <v>139</v>
      </c>
      <c r="K75" s="14">
        <v>0</v>
      </c>
      <c r="L75" s="16">
        <v>0</v>
      </c>
      <c r="M75" s="14">
        <v>0</v>
      </c>
      <c r="N75" s="16">
        <v>0</v>
      </c>
      <c r="O75" s="14">
        <v>0</v>
      </c>
      <c r="P75" s="16">
        <v>0</v>
      </c>
      <c r="Q75" s="14">
        <v>0</v>
      </c>
      <c r="R75" s="16">
        <v>0</v>
      </c>
    </row>
    <row r="76" spans="1:18" x14ac:dyDescent="0.25">
      <c r="A76" s="11" t="s">
        <v>209</v>
      </c>
      <c r="B76" s="13">
        <v>14167</v>
      </c>
      <c r="C76" s="14">
        <f>(11765/B76*100)</f>
        <v>83.045104821063035</v>
      </c>
      <c r="D76" s="15">
        <v>2402</v>
      </c>
      <c r="E76" s="14">
        <v>30.951539780000001</v>
      </c>
      <c r="F76" s="16">
        <v>1.0813343399999999</v>
      </c>
      <c r="G76" s="14">
        <v>69.048460219999996</v>
      </c>
      <c r="H76" s="16">
        <v>1.0813343399999999</v>
      </c>
      <c r="I76" s="14" t="s">
        <v>139</v>
      </c>
      <c r="J76" s="16" t="s">
        <v>139</v>
      </c>
      <c r="K76" s="14">
        <v>0</v>
      </c>
      <c r="L76" s="16">
        <v>0</v>
      </c>
      <c r="M76" s="14">
        <v>0</v>
      </c>
      <c r="N76" s="16">
        <v>0</v>
      </c>
      <c r="O76" s="14">
        <v>0</v>
      </c>
      <c r="P76" s="16">
        <v>0</v>
      </c>
      <c r="Q76" s="14">
        <v>0</v>
      </c>
      <c r="R76" s="16">
        <v>0</v>
      </c>
    </row>
    <row r="77" spans="1:18" x14ac:dyDescent="0.25">
      <c r="A77" s="11" t="s">
        <v>210</v>
      </c>
      <c r="B77" s="13">
        <v>6062</v>
      </c>
      <c r="C77" s="14">
        <f>(5040/B77*100)</f>
        <v>83.140877598152429</v>
      </c>
      <c r="D77" s="15">
        <v>1022</v>
      </c>
      <c r="E77" s="14">
        <v>29.42102487</v>
      </c>
      <c r="F77" s="16">
        <v>1.4800492000000001</v>
      </c>
      <c r="G77" s="14">
        <v>70.578975130000003</v>
      </c>
      <c r="H77" s="16">
        <v>1.4800492000000001</v>
      </c>
      <c r="I77" s="14" t="s">
        <v>139</v>
      </c>
      <c r="J77" s="16" t="s">
        <v>139</v>
      </c>
      <c r="K77" s="14">
        <v>0</v>
      </c>
      <c r="L77" s="16">
        <v>0</v>
      </c>
      <c r="M77" s="14">
        <v>0</v>
      </c>
      <c r="N77" s="16">
        <v>0</v>
      </c>
      <c r="O77" s="14">
        <v>0</v>
      </c>
      <c r="P77" s="16">
        <v>0</v>
      </c>
      <c r="Q77" s="14">
        <v>0</v>
      </c>
      <c r="R77" s="16">
        <v>0</v>
      </c>
    </row>
    <row r="78" spans="1:18" x14ac:dyDescent="0.25">
      <c r="A78" s="11" t="s">
        <v>211</v>
      </c>
      <c r="B78" s="17" t="s">
        <v>154</v>
      </c>
      <c r="C78" s="17" t="s">
        <v>154</v>
      </c>
      <c r="D78" s="18" t="s">
        <v>154</v>
      </c>
      <c r="E78" s="17" t="s">
        <v>154</v>
      </c>
      <c r="F78" s="18" t="s">
        <v>154</v>
      </c>
      <c r="G78" s="17" t="s">
        <v>154</v>
      </c>
      <c r="H78" s="18" t="s">
        <v>154</v>
      </c>
      <c r="I78" s="17" t="s">
        <v>154</v>
      </c>
      <c r="J78" s="18" t="s">
        <v>154</v>
      </c>
      <c r="K78" s="17" t="s">
        <v>154</v>
      </c>
      <c r="L78" s="18" t="s">
        <v>154</v>
      </c>
      <c r="M78" s="17" t="s">
        <v>154</v>
      </c>
      <c r="N78" s="18" t="s">
        <v>154</v>
      </c>
      <c r="O78" s="17" t="s">
        <v>154</v>
      </c>
      <c r="P78" s="18" t="s">
        <v>154</v>
      </c>
      <c r="Q78" s="17" t="s">
        <v>154</v>
      </c>
      <c r="R78" s="18" t="s">
        <v>154</v>
      </c>
    </row>
    <row r="79" spans="1:18" ht="24.95" customHeight="1" x14ac:dyDescent="0.25">
      <c r="A79" s="11" t="s">
        <v>212</v>
      </c>
      <c r="B79" s="17" t="s">
        <v>154</v>
      </c>
      <c r="C79" s="17" t="s">
        <v>154</v>
      </c>
      <c r="D79" s="18" t="s">
        <v>154</v>
      </c>
      <c r="E79" s="17" t="s">
        <v>154</v>
      </c>
      <c r="F79" s="18" t="s">
        <v>154</v>
      </c>
      <c r="G79" s="17" t="s">
        <v>154</v>
      </c>
      <c r="H79" s="18" t="s">
        <v>154</v>
      </c>
      <c r="I79" s="17" t="s">
        <v>154</v>
      </c>
      <c r="J79" s="18" t="s">
        <v>154</v>
      </c>
      <c r="K79" s="17" t="s">
        <v>154</v>
      </c>
      <c r="L79" s="18" t="s">
        <v>154</v>
      </c>
      <c r="M79" s="17" t="s">
        <v>154</v>
      </c>
      <c r="N79" s="18" t="s">
        <v>154</v>
      </c>
      <c r="O79" s="17" t="s">
        <v>154</v>
      </c>
      <c r="P79" s="18" t="s">
        <v>154</v>
      </c>
      <c r="Q79" s="17" t="s">
        <v>154</v>
      </c>
      <c r="R79" s="18" t="s">
        <v>154</v>
      </c>
    </row>
    <row r="80" spans="1:18" x14ac:dyDescent="0.25">
      <c r="A80" s="11" t="s">
        <v>213</v>
      </c>
      <c r="B80" s="17" t="s">
        <v>154</v>
      </c>
      <c r="C80" s="17" t="s">
        <v>154</v>
      </c>
      <c r="D80" s="18" t="s">
        <v>154</v>
      </c>
      <c r="E80" s="17" t="s">
        <v>154</v>
      </c>
      <c r="F80" s="18" t="s">
        <v>154</v>
      </c>
      <c r="G80" s="17" t="s">
        <v>154</v>
      </c>
      <c r="H80" s="18" t="s">
        <v>154</v>
      </c>
      <c r="I80" s="17" t="s">
        <v>154</v>
      </c>
      <c r="J80" s="18" t="s">
        <v>154</v>
      </c>
      <c r="K80" s="17" t="s">
        <v>154</v>
      </c>
      <c r="L80" s="18" t="s">
        <v>154</v>
      </c>
      <c r="M80" s="17" t="s">
        <v>154</v>
      </c>
      <c r="N80" s="18" t="s">
        <v>154</v>
      </c>
      <c r="O80" s="17" t="s">
        <v>154</v>
      </c>
      <c r="P80" s="18" t="s">
        <v>154</v>
      </c>
      <c r="Q80" s="17" t="s">
        <v>154</v>
      </c>
      <c r="R80" s="18" t="s">
        <v>154</v>
      </c>
    </row>
    <row r="81" spans="1:18" x14ac:dyDescent="0.25">
      <c r="A81" s="19" t="s">
        <v>214</v>
      </c>
      <c r="B81" s="13">
        <v>8861</v>
      </c>
      <c r="C81" s="14">
        <f>(7341/B81*100)</f>
        <v>82.846179889403004</v>
      </c>
      <c r="D81" s="15">
        <v>1520</v>
      </c>
      <c r="E81" s="14">
        <v>35.60516389</v>
      </c>
      <c r="F81" s="16">
        <v>1.8969743299999999</v>
      </c>
      <c r="G81" s="14">
        <v>64.39483611</v>
      </c>
      <c r="H81" s="16">
        <v>1.8969743299999999</v>
      </c>
      <c r="I81" s="14" t="s">
        <v>139</v>
      </c>
      <c r="J81" s="16" t="s">
        <v>139</v>
      </c>
      <c r="K81" s="14">
        <v>0</v>
      </c>
      <c r="L81" s="16">
        <v>0</v>
      </c>
      <c r="M81" s="14">
        <v>0</v>
      </c>
      <c r="N81" s="16">
        <v>0</v>
      </c>
      <c r="O81" s="14">
        <v>0</v>
      </c>
      <c r="P81" s="16">
        <v>0</v>
      </c>
      <c r="Q81" s="14">
        <v>0</v>
      </c>
      <c r="R81" s="16">
        <v>0</v>
      </c>
    </row>
    <row r="82" spans="1:18" x14ac:dyDescent="0.25">
      <c r="A82" s="20"/>
      <c r="B82" s="20" t="s">
        <v>215</v>
      </c>
      <c r="C82" s="20" t="s">
        <v>215</v>
      </c>
      <c r="D82" s="20" t="s">
        <v>215</v>
      </c>
      <c r="E82" s="20" t="s">
        <v>215</v>
      </c>
      <c r="F82" s="20" t="s">
        <v>215</v>
      </c>
      <c r="G82" s="20" t="s">
        <v>215</v>
      </c>
      <c r="H82" s="20" t="s">
        <v>215</v>
      </c>
      <c r="I82" s="20" t="s">
        <v>215</v>
      </c>
      <c r="J82" s="20" t="s">
        <v>215</v>
      </c>
      <c r="K82" s="20" t="s">
        <v>215</v>
      </c>
      <c r="L82" s="20" t="s">
        <v>215</v>
      </c>
      <c r="M82" s="20" t="s">
        <v>215</v>
      </c>
      <c r="N82" s="20" t="s">
        <v>215</v>
      </c>
      <c r="O82" s="20" t="s">
        <v>215</v>
      </c>
      <c r="P82" s="20" t="s">
        <v>215</v>
      </c>
      <c r="Q82" s="20" t="s">
        <v>215</v>
      </c>
      <c r="R82" s="20" t="s">
        <v>215</v>
      </c>
    </row>
    <row r="83" spans="1:18" x14ac:dyDescent="0.25">
      <c r="A83" s="3" t="s">
        <v>216</v>
      </c>
    </row>
    <row r="84" spans="1:18" x14ac:dyDescent="0.25">
      <c r="A84" s="22" t="s">
        <v>217</v>
      </c>
      <c r="B84" s="23"/>
      <c r="C84" s="23"/>
      <c r="D84" s="23"/>
      <c r="E84" s="23"/>
      <c r="F84" s="23"/>
      <c r="G84" s="23"/>
      <c r="H84" s="23"/>
      <c r="I84" s="23"/>
      <c r="J84" s="23"/>
      <c r="K84" s="23"/>
      <c r="L84" s="23"/>
      <c r="M84" s="23"/>
      <c r="N84" s="23"/>
      <c r="O84" s="23"/>
      <c r="P84" s="23"/>
      <c r="Q84" s="23"/>
      <c r="R84" s="23"/>
    </row>
    <row r="85" spans="1:18" x14ac:dyDescent="0.25">
      <c r="A85" s="22" t="s">
        <v>218</v>
      </c>
      <c r="B85" s="23"/>
      <c r="C85" s="23"/>
      <c r="D85" s="23"/>
      <c r="E85" s="23"/>
      <c r="F85" s="23"/>
      <c r="G85" s="23"/>
      <c r="H85" s="23"/>
      <c r="I85" s="23"/>
      <c r="J85" s="23"/>
      <c r="K85" s="23"/>
      <c r="L85" s="23"/>
      <c r="M85" s="23"/>
      <c r="N85" s="23"/>
      <c r="O85" s="23"/>
      <c r="P85" s="23"/>
      <c r="Q85" s="23"/>
      <c r="R85" s="23"/>
    </row>
    <row r="86" spans="1:18" ht="30" customHeight="1" x14ac:dyDescent="0.25">
      <c r="A86" s="22" t="s">
        <v>219</v>
      </c>
      <c r="B86" s="23"/>
      <c r="C86" s="23"/>
      <c r="D86" s="23"/>
      <c r="E86" s="23"/>
      <c r="F86" s="23"/>
      <c r="G86" s="23"/>
      <c r="H86" s="23"/>
      <c r="I86" s="23"/>
      <c r="J86" s="23"/>
      <c r="K86" s="23"/>
      <c r="L86" s="23"/>
      <c r="M86" s="23"/>
      <c r="N86" s="23"/>
      <c r="O86" s="23"/>
      <c r="P86" s="23"/>
      <c r="Q86" s="23"/>
      <c r="R86" s="23"/>
    </row>
    <row r="87" spans="1:18" ht="30" customHeight="1" x14ac:dyDescent="0.25">
      <c r="A87" s="22" t="s">
        <v>215</v>
      </c>
      <c r="B87" s="23"/>
      <c r="C87" s="23"/>
      <c r="D87" s="23"/>
      <c r="E87" s="23"/>
      <c r="F87" s="23"/>
      <c r="G87" s="23"/>
      <c r="H87" s="23"/>
      <c r="I87" s="23"/>
      <c r="J87" s="23"/>
      <c r="K87" s="23"/>
      <c r="L87" s="23"/>
      <c r="M87" s="23"/>
      <c r="N87" s="23"/>
      <c r="O87" s="23"/>
      <c r="P87" s="23"/>
      <c r="Q87" s="23"/>
      <c r="R87" s="23"/>
    </row>
    <row r="88" spans="1:18" ht="30" customHeight="1" x14ac:dyDescent="0.25">
      <c r="A88" s="22" t="s">
        <v>220</v>
      </c>
      <c r="B88" s="23"/>
      <c r="C88" s="23"/>
      <c r="D88" s="23"/>
      <c r="E88" s="23"/>
      <c r="F88" s="23"/>
      <c r="G88" s="23"/>
      <c r="H88" s="23"/>
      <c r="I88" s="23"/>
      <c r="J88" s="23"/>
      <c r="K88" s="23"/>
      <c r="L88" s="23"/>
      <c r="M88" s="23"/>
      <c r="N88" s="23"/>
      <c r="O88" s="23"/>
      <c r="P88" s="23"/>
      <c r="Q88" s="23"/>
      <c r="R88" s="23"/>
    </row>
    <row r="89" spans="1:18" ht="30" customHeight="1" x14ac:dyDescent="0.25">
      <c r="A89" s="22" t="s">
        <v>221</v>
      </c>
      <c r="B89" s="23"/>
      <c r="C89" s="23"/>
      <c r="D89" s="23"/>
      <c r="E89" s="23"/>
      <c r="F89" s="23"/>
      <c r="G89" s="23"/>
      <c r="H89" s="23"/>
      <c r="I89" s="23"/>
      <c r="J89" s="23"/>
      <c r="K89" s="23"/>
      <c r="L89" s="23"/>
      <c r="M89" s="23"/>
      <c r="N89" s="23"/>
      <c r="O89" s="23"/>
      <c r="P89" s="23"/>
      <c r="Q89" s="23"/>
      <c r="R89" s="23"/>
    </row>
    <row r="90" spans="1:18" ht="30" customHeight="1" x14ac:dyDescent="0.25">
      <c r="A90" s="22" t="s">
        <v>222</v>
      </c>
      <c r="B90" s="23"/>
      <c r="C90" s="23"/>
      <c r="D90" s="23"/>
      <c r="E90" s="23"/>
      <c r="F90" s="23"/>
      <c r="G90" s="23"/>
      <c r="H90" s="23"/>
      <c r="I90" s="23"/>
      <c r="J90" s="23"/>
      <c r="K90" s="23"/>
      <c r="L90" s="23"/>
      <c r="M90" s="23"/>
      <c r="N90" s="23"/>
      <c r="O90" s="23"/>
      <c r="P90" s="23"/>
      <c r="Q90" s="23"/>
      <c r="R90" s="23"/>
    </row>
    <row r="91" spans="1:18" ht="30" customHeight="1" x14ac:dyDescent="0.25">
      <c r="A91" s="22" t="s">
        <v>223</v>
      </c>
      <c r="B91" s="23"/>
      <c r="C91" s="23"/>
      <c r="D91" s="23"/>
      <c r="E91" s="23"/>
      <c r="F91" s="23"/>
      <c r="G91" s="23"/>
      <c r="H91" s="23"/>
      <c r="I91" s="23"/>
      <c r="J91" s="23"/>
      <c r="K91" s="23"/>
      <c r="L91" s="23"/>
      <c r="M91" s="23"/>
      <c r="N91" s="23"/>
      <c r="O91" s="23"/>
      <c r="P91" s="23"/>
      <c r="Q91" s="23"/>
      <c r="R91" s="23"/>
    </row>
    <row r="92" spans="1:18" ht="30" customHeight="1" x14ac:dyDescent="0.25">
      <c r="A92" s="22" t="s">
        <v>224</v>
      </c>
      <c r="B92" s="23"/>
      <c r="C92" s="23"/>
      <c r="D92" s="23"/>
      <c r="E92" s="23"/>
      <c r="F92" s="23"/>
      <c r="G92" s="23"/>
      <c r="H92" s="23"/>
      <c r="I92" s="23"/>
      <c r="J92" s="23"/>
      <c r="K92" s="23"/>
      <c r="L92" s="23"/>
      <c r="M92" s="23"/>
      <c r="N92" s="23"/>
      <c r="O92" s="23"/>
      <c r="P92" s="23"/>
      <c r="Q92" s="23"/>
      <c r="R92" s="23"/>
    </row>
    <row r="93" spans="1:18" ht="30" customHeight="1" x14ac:dyDescent="0.25">
      <c r="A93" s="22" t="s">
        <v>225</v>
      </c>
      <c r="B93" s="23"/>
      <c r="C93" s="23"/>
      <c r="D93" s="23"/>
      <c r="E93" s="23"/>
      <c r="F93" s="23"/>
      <c r="G93" s="23"/>
      <c r="H93" s="23"/>
      <c r="I93" s="23"/>
      <c r="J93" s="23"/>
      <c r="K93" s="23"/>
      <c r="L93" s="23"/>
      <c r="M93" s="23"/>
      <c r="N93" s="23"/>
      <c r="O93" s="23"/>
      <c r="P93" s="23"/>
      <c r="Q93" s="23"/>
      <c r="R93" s="23"/>
    </row>
    <row r="94" spans="1:18" ht="30" customHeight="1" x14ac:dyDescent="0.25">
      <c r="A94" s="22" t="s">
        <v>226</v>
      </c>
      <c r="B94" s="23"/>
      <c r="C94" s="23"/>
      <c r="D94" s="23"/>
      <c r="E94" s="23"/>
      <c r="F94" s="23"/>
      <c r="G94" s="23"/>
      <c r="H94" s="23"/>
      <c r="I94" s="23"/>
      <c r="J94" s="23"/>
      <c r="K94" s="23"/>
      <c r="L94" s="23"/>
      <c r="M94" s="23"/>
      <c r="N94" s="23"/>
      <c r="O94" s="23"/>
      <c r="P94" s="23"/>
      <c r="Q94" s="23"/>
      <c r="R94" s="23"/>
    </row>
    <row r="95" spans="1:18" ht="30" customHeight="1" x14ac:dyDescent="0.25">
      <c r="A95" s="22" t="s">
        <v>227</v>
      </c>
      <c r="B95" s="23"/>
      <c r="C95" s="23"/>
      <c r="D95" s="23"/>
      <c r="E95" s="23"/>
      <c r="F95" s="23"/>
      <c r="G95" s="23"/>
      <c r="H95" s="23"/>
      <c r="I95" s="23"/>
      <c r="J95" s="23"/>
      <c r="K95" s="23"/>
      <c r="L95" s="23"/>
      <c r="M95" s="23"/>
      <c r="N95" s="23"/>
      <c r="O95" s="23"/>
      <c r="P95" s="23"/>
      <c r="Q95" s="23"/>
      <c r="R95" s="23"/>
    </row>
    <row r="96" spans="1:18" ht="30" customHeight="1" x14ac:dyDescent="0.25">
      <c r="A96" s="22" t="s">
        <v>228</v>
      </c>
      <c r="B96" s="23"/>
      <c r="C96" s="23"/>
      <c r="D96" s="23"/>
      <c r="E96" s="23"/>
      <c r="F96" s="23"/>
      <c r="G96" s="23"/>
      <c r="H96" s="23"/>
      <c r="I96" s="23"/>
      <c r="J96" s="23"/>
      <c r="K96" s="23"/>
      <c r="L96" s="23"/>
      <c r="M96" s="23"/>
      <c r="N96" s="23"/>
      <c r="O96" s="23"/>
      <c r="P96" s="23"/>
      <c r="Q96" s="23"/>
      <c r="R96" s="23"/>
    </row>
  </sheetData>
  <mergeCells count="22">
    <mergeCell ref="O4:P4"/>
    <mergeCell ref="Q4:R4"/>
    <mergeCell ref="A1:R1"/>
    <mergeCell ref="A2:R2"/>
    <mergeCell ref="A84:R84"/>
    <mergeCell ref="E4:F4"/>
    <mergeCell ref="G4:H4"/>
    <mergeCell ref="I4:J4"/>
    <mergeCell ref="K4:L4"/>
    <mergeCell ref="M4:N4"/>
    <mergeCell ref="A85:R85"/>
    <mergeCell ref="A86:R86"/>
    <mergeCell ref="A87:R87"/>
    <mergeCell ref="A88:R88"/>
    <mergeCell ref="A89:R89"/>
    <mergeCell ref="A95:R95"/>
    <mergeCell ref="A96:R96"/>
    <mergeCell ref="A90:R90"/>
    <mergeCell ref="A91:R91"/>
    <mergeCell ref="A92:R92"/>
    <mergeCell ref="A93:R93"/>
    <mergeCell ref="A94:R94"/>
  </mergeCells>
  <pageMargins left="0.75" right="0.75" top="1" bottom="1" header="0.5" footer="0.5"/>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9"/>
  <dimension ref="A1:R96"/>
  <sheetViews>
    <sheetView zoomScale="80" workbookViewId="0">
      <pane xSplit="4" topLeftCell="E1" activePane="topRight" state="frozen"/>
      <selection sqref="A1:R1"/>
      <selection pane="topRight" sqref="A1:R1"/>
    </sheetView>
  </sheetViews>
  <sheetFormatPr defaultColWidth="11.42578125" defaultRowHeight="15" x14ac:dyDescent="0.25"/>
  <cols>
    <col min="1" max="1" width="50" customWidth="1"/>
  </cols>
  <sheetData>
    <row r="1" spans="1:18" x14ac:dyDescent="0.25">
      <c r="A1" s="26" t="s">
        <v>122</v>
      </c>
      <c r="B1" s="23"/>
      <c r="C1" s="23"/>
      <c r="D1" s="23"/>
      <c r="E1" s="23"/>
      <c r="F1" s="23"/>
      <c r="G1" s="23"/>
      <c r="H1" s="23"/>
      <c r="I1" s="23"/>
      <c r="J1" s="23"/>
      <c r="K1" s="23"/>
      <c r="L1" s="23"/>
      <c r="M1" s="23"/>
      <c r="N1" s="23"/>
      <c r="O1" s="23"/>
      <c r="P1" s="23"/>
      <c r="Q1" s="23"/>
      <c r="R1" s="23"/>
    </row>
    <row r="2" spans="1:18" x14ac:dyDescent="0.25">
      <c r="A2" s="27" t="s">
        <v>325</v>
      </c>
      <c r="B2" s="23"/>
      <c r="C2" s="23"/>
      <c r="D2" s="23"/>
      <c r="E2" s="23"/>
      <c r="F2" s="23"/>
      <c r="G2" s="23"/>
      <c r="H2" s="23"/>
      <c r="I2" s="23"/>
      <c r="J2" s="23"/>
      <c r="K2" s="23"/>
      <c r="L2" s="23"/>
      <c r="M2" s="23"/>
      <c r="N2" s="23"/>
      <c r="O2" s="23"/>
      <c r="P2" s="23"/>
      <c r="Q2" s="23"/>
      <c r="R2" s="23"/>
    </row>
    <row r="4" spans="1:18" ht="30" customHeight="1" x14ac:dyDescent="0.25">
      <c r="A4" s="4"/>
      <c r="B4" s="5" t="s">
        <v>123</v>
      </c>
      <c r="C4" s="5" t="s">
        <v>124</v>
      </c>
      <c r="D4" s="6" t="s">
        <v>123</v>
      </c>
      <c r="E4" s="24" t="s">
        <v>125</v>
      </c>
      <c r="F4" s="25"/>
      <c r="G4" s="24" t="s">
        <v>126</v>
      </c>
      <c r="H4" s="25"/>
      <c r="I4" s="24" t="s">
        <v>127</v>
      </c>
      <c r="J4" s="25"/>
      <c r="K4" s="24" t="s">
        <v>128</v>
      </c>
      <c r="L4" s="25"/>
      <c r="M4" s="24" t="s">
        <v>129</v>
      </c>
      <c r="N4" s="25"/>
      <c r="O4" s="24" t="s">
        <v>130</v>
      </c>
      <c r="P4" s="25"/>
      <c r="Q4" s="24" t="s">
        <v>131</v>
      </c>
      <c r="R4" s="25"/>
    </row>
    <row r="5" spans="1:18" x14ac:dyDescent="0.25">
      <c r="A5" s="7"/>
      <c r="B5" s="8" t="s">
        <v>132</v>
      </c>
      <c r="C5" s="8" t="s">
        <v>133</v>
      </c>
      <c r="D5" s="7" t="s">
        <v>134</v>
      </c>
      <c r="E5" s="8" t="s">
        <v>135</v>
      </c>
      <c r="F5" s="7" t="s">
        <v>136</v>
      </c>
      <c r="G5" s="8" t="s">
        <v>135</v>
      </c>
      <c r="H5" s="7" t="s">
        <v>136</v>
      </c>
      <c r="I5" s="8" t="s">
        <v>135</v>
      </c>
      <c r="J5" s="7" t="s">
        <v>136</v>
      </c>
      <c r="K5" s="8" t="s">
        <v>135</v>
      </c>
      <c r="L5" s="7" t="s">
        <v>136</v>
      </c>
      <c r="M5" s="8" t="s">
        <v>135</v>
      </c>
      <c r="N5" s="7" t="s">
        <v>136</v>
      </c>
      <c r="O5" s="8" t="s">
        <v>135</v>
      </c>
      <c r="P5" s="7" t="s">
        <v>136</v>
      </c>
      <c r="Q5" s="8" t="s">
        <v>135</v>
      </c>
      <c r="R5" s="7" t="s">
        <v>136</v>
      </c>
    </row>
    <row r="6" spans="1:18" x14ac:dyDescent="0.25">
      <c r="A6" s="9" t="s">
        <v>137</v>
      </c>
      <c r="B6" s="10"/>
      <c r="C6" s="10"/>
      <c r="D6" s="11"/>
      <c r="E6" s="10"/>
      <c r="F6" s="11"/>
      <c r="G6" s="10"/>
      <c r="H6" s="11"/>
      <c r="I6" s="10"/>
      <c r="J6" s="11"/>
      <c r="K6" s="10"/>
      <c r="L6" s="11"/>
      <c r="M6" s="10"/>
      <c r="N6" s="11"/>
      <c r="O6" s="10"/>
      <c r="P6" s="11"/>
      <c r="Q6" s="10"/>
      <c r="R6" s="12"/>
    </row>
    <row r="7" spans="1:18" x14ac:dyDescent="0.25">
      <c r="A7" s="11" t="s">
        <v>138</v>
      </c>
      <c r="B7" s="13">
        <v>14530</v>
      </c>
      <c r="C7" s="14">
        <f>(12048/B7*100)</f>
        <v>82.918100481761869</v>
      </c>
      <c r="D7" s="15">
        <v>2482</v>
      </c>
      <c r="E7" s="14">
        <v>33.494291969999999</v>
      </c>
      <c r="F7" s="16">
        <v>1.1976014800000001</v>
      </c>
      <c r="G7" s="14">
        <v>66.505708029999994</v>
      </c>
      <c r="H7" s="16">
        <v>1.1976014800000001</v>
      </c>
      <c r="I7" s="14" t="s">
        <v>139</v>
      </c>
      <c r="J7" s="16" t="s">
        <v>139</v>
      </c>
      <c r="K7" s="14">
        <v>0</v>
      </c>
      <c r="L7" s="16">
        <v>0</v>
      </c>
      <c r="M7" s="14">
        <v>0</v>
      </c>
      <c r="N7" s="16">
        <v>0</v>
      </c>
      <c r="O7" s="14">
        <v>0</v>
      </c>
      <c r="P7" s="16">
        <v>0</v>
      </c>
      <c r="Q7" s="14">
        <v>0</v>
      </c>
      <c r="R7" s="16">
        <v>0</v>
      </c>
    </row>
    <row r="8" spans="1:18" x14ac:dyDescent="0.25">
      <c r="A8" s="11" t="s">
        <v>140</v>
      </c>
      <c r="B8" s="13">
        <v>7007</v>
      </c>
      <c r="C8" s="14">
        <f>(5768/B8*100)</f>
        <v>82.317682317682312</v>
      </c>
      <c r="D8" s="15">
        <v>1239</v>
      </c>
      <c r="E8" s="14">
        <v>44.764058499999997</v>
      </c>
      <c r="F8" s="16">
        <v>1.7784724700000001</v>
      </c>
      <c r="G8" s="14">
        <v>55.235941500000003</v>
      </c>
      <c r="H8" s="16">
        <v>1.7784724700000001</v>
      </c>
      <c r="I8" s="14" t="s">
        <v>139</v>
      </c>
      <c r="J8" s="16" t="s">
        <v>139</v>
      </c>
      <c r="K8" s="14">
        <v>0</v>
      </c>
      <c r="L8" s="16">
        <v>0</v>
      </c>
      <c r="M8" s="14">
        <v>0</v>
      </c>
      <c r="N8" s="16">
        <v>0</v>
      </c>
      <c r="O8" s="14">
        <v>0</v>
      </c>
      <c r="P8" s="16">
        <v>0</v>
      </c>
      <c r="Q8" s="14">
        <v>0</v>
      </c>
      <c r="R8" s="16">
        <v>0</v>
      </c>
    </row>
    <row r="9" spans="1:18" x14ac:dyDescent="0.25">
      <c r="A9" s="11" t="s">
        <v>141</v>
      </c>
      <c r="B9" s="13">
        <v>9651</v>
      </c>
      <c r="C9" s="14">
        <f>(8035/B9*100)</f>
        <v>83.255621179152413</v>
      </c>
      <c r="D9" s="15">
        <v>1616</v>
      </c>
      <c r="E9" s="14">
        <v>42.257563070000003</v>
      </c>
      <c r="F9" s="16">
        <v>1.1080425300000001</v>
      </c>
      <c r="G9" s="14">
        <v>57.742436929999997</v>
      </c>
      <c r="H9" s="16">
        <v>1.1080425300000001</v>
      </c>
      <c r="I9" s="14" t="s">
        <v>139</v>
      </c>
      <c r="J9" s="16" t="s">
        <v>139</v>
      </c>
      <c r="K9" s="14">
        <v>0</v>
      </c>
      <c r="L9" s="16">
        <v>0</v>
      </c>
      <c r="M9" s="14">
        <v>0</v>
      </c>
      <c r="N9" s="16">
        <v>0</v>
      </c>
      <c r="O9" s="14">
        <v>0</v>
      </c>
      <c r="P9" s="16">
        <v>0</v>
      </c>
      <c r="Q9" s="14">
        <v>0</v>
      </c>
      <c r="R9" s="16">
        <v>0</v>
      </c>
    </row>
    <row r="10" spans="1:18" x14ac:dyDescent="0.25">
      <c r="A10" s="11" t="s">
        <v>142</v>
      </c>
      <c r="B10" s="13">
        <v>20058</v>
      </c>
      <c r="C10" s="14">
        <f>(16648/B10*100)</f>
        <v>82.999302024130031</v>
      </c>
      <c r="D10" s="15">
        <v>3410</v>
      </c>
      <c r="E10" s="14">
        <v>33.039494589999997</v>
      </c>
      <c r="F10" s="16">
        <v>1.1156559800000001</v>
      </c>
      <c r="G10" s="14">
        <v>66.960505409999996</v>
      </c>
      <c r="H10" s="16">
        <v>1.1156559800000001</v>
      </c>
      <c r="I10" s="14" t="s">
        <v>139</v>
      </c>
      <c r="J10" s="16" t="s">
        <v>139</v>
      </c>
      <c r="K10" s="14">
        <v>0</v>
      </c>
      <c r="L10" s="16">
        <v>0</v>
      </c>
      <c r="M10" s="14">
        <v>0</v>
      </c>
      <c r="N10" s="16">
        <v>0</v>
      </c>
      <c r="O10" s="14">
        <v>0</v>
      </c>
      <c r="P10" s="16">
        <v>0</v>
      </c>
      <c r="Q10" s="14">
        <v>0</v>
      </c>
      <c r="R10" s="16">
        <v>0</v>
      </c>
    </row>
    <row r="11" spans="1:18" x14ac:dyDescent="0.25">
      <c r="A11" s="11" t="s">
        <v>143</v>
      </c>
      <c r="B11" s="13">
        <v>7053</v>
      </c>
      <c r="C11" s="14">
        <f>(5824/B11*100)</f>
        <v>82.574790869133707</v>
      </c>
      <c r="D11" s="15">
        <v>1229</v>
      </c>
      <c r="E11" s="14">
        <v>52.262290849999999</v>
      </c>
      <c r="F11" s="16">
        <v>1.5392735099999999</v>
      </c>
      <c r="G11" s="14">
        <v>47.737709150000001</v>
      </c>
      <c r="H11" s="16">
        <v>1.5392735099999999</v>
      </c>
      <c r="I11" s="14" t="s">
        <v>139</v>
      </c>
      <c r="J11" s="16" t="s">
        <v>139</v>
      </c>
      <c r="K11" s="14">
        <v>0</v>
      </c>
      <c r="L11" s="16">
        <v>0</v>
      </c>
      <c r="M11" s="14">
        <v>0</v>
      </c>
      <c r="N11" s="16">
        <v>0</v>
      </c>
      <c r="O11" s="14">
        <v>0</v>
      </c>
      <c r="P11" s="16">
        <v>0</v>
      </c>
      <c r="Q11" s="14">
        <v>0</v>
      </c>
      <c r="R11" s="16">
        <v>0</v>
      </c>
    </row>
    <row r="12" spans="1:18" x14ac:dyDescent="0.25">
      <c r="A12" s="11" t="s">
        <v>144</v>
      </c>
      <c r="B12" s="13">
        <v>6894</v>
      </c>
      <c r="C12" s="14">
        <f>(5719/B12*100)</f>
        <v>82.95619379170293</v>
      </c>
      <c r="D12" s="15">
        <v>1175</v>
      </c>
      <c r="E12" s="14">
        <v>36.365018659999997</v>
      </c>
      <c r="F12" s="16">
        <v>1.4979855399999999</v>
      </c>
      <c r="G12" s="14">
        <v>63.634981340000003</v>
      </c>
      <c r="H12" s="16">
        <v>1.4979855399999999</v>
      </c>
      <c r="I12" s="14" t="s">
        <v>139</v>
      </c>
      <c r="J12" s="16" t="s">
        <v>139</v>
      </c>
      <c r="K12" s="14">
        <v>0</v>
      </c>
      <c r="L12" s="16">
        <v>0</v>
      </c>
      <c r="M12" s="14">
        <v>0</v>
      </c>
      <c r="N12" s="16">
        <v>0</v>
      </c>
      <c r="O12" s="14">
        <v>0</v>
      </c>
      <c r="P12" s="16">
        <v>0</v>
      </c>
      <c r="Q12" s="14">
        <v>0</v>
      </c>
      <c r="R12" s="16">
        <v>0</v>
      </c>
    </row>
    <row r="13" spans="1:18" x14ac:dyDescent="0.25">
      <c r="A13" s="11" t="s">
        <v>145</v>
      </c>
      <c r="B13" s="13">
        <v>7161</v>
      </c>
      <c r="C13" s="14">
        <f>(5990/B13*100)</f>
        <v>83.647535260438488</v>
      </c>
      <c r="D13" s="15">
        <v>1171</v>
      </c>
      <c r="E13" s="14">
        <v>28.48601245</v>
      </c>
      <c r="F13" s="16">
        <v>1.9137320200000001</v>
      </c>
      <c r="G13" s="14">
        <v>71.513987549999996</v>
      </c>
      <c r="H13" s="16">
        <v>1.9137320200000001</v>
      </c>
      <c r="I13" s="14" t="s">
        <v>139</v>
      </c>
      <c r="J13" s="16" t="s">
        <v>139</v>
      </c>
      <c r="K13" s="14">
        <v>0</v>
      </c>
      <c r="L13" s="16">
        <v>0</v>
      </c>
      <c r="M13" s="14">
        <v>0</v>
      </c>
      <c r="N13" s="16">
        <v>0</v>
      </c>
      <c r="O13" s="14">
        <v>0</v>
      </c>
      <c r="P13" s="16">
        <v>0</v>
      </c>
      <c r="Q13" s="14">
        <v>0</v>
      </c>
      <c r="R13" s="16">
        <v>0</v>
      </c>
    </row>
    <row r="14" spans="1:18" x14ac:dyDescent="0.25">
      <c r="A14" s="11" t="s">
        <v>146</v>
      </c>
      <c r="B14" s="13">
        <v>5587</v>
      </c>
      <c r="C14" s="14">
        <f>(4623/B14*100)</f>
        <v>82.745659566851614</v>
      </c>
      <c r="D14" s="15">
        <v>964</v>
      </c>
      <c r="E14" s="14">
        <v>39.925861570000002</v>
      </c>
      <c r="F14" s="16">
        <v>1.73015571</v>
      </c>
      <c r="G14" s="14">
        <v>60.074138429999998</v>
      </c>
      <c r="H14" s="16">
        <v>1.73015571</v>
      </c>
      <c r="I14" s="14" t="s">
        <v>139</v>
      </c>
      <c r="J14" s="16" t="s">
        <v>139</v>
      </c>
      <c r="K14" s="14">
        <v>0</v>
      </c>
      <c r="L14" s="16">
        <v>0</v>
      </c>
      <c r="M14" s="14">
        <v>0</v>
      </c>
      <c r="N14" s="16">
        <v>0</v>
      </c>
      <c r="O14" s="14">
        <v>0</v>
      </c>
      <c r="P14" s="16">
        <v>0</v>
      </c>
      <c r="Q14" s="14">
        <v>0</v>
      </c>
      <c r="R14" s="16">
        <v>0</v>
      </c>
    </row>
    <row r="15" spans="1:18" x14ac:dyDescent="0.25">
      <c r="A15" s="11" t="s">
        <v>147</v>
      </c>
      <c r="B15" s="13">
        <v>5882</v>
      </c>
      <c r="C15" s="14">
        <f>(4868/B15*100)</f>
        <v>82.760965657939479</v>
      </c>
      <c r="D15" s="15">
        <v>1014</v>
      </c>
      <c r="E15" s="14">
        <v>36.915865459999999</v>
      </c>
      <c r="F15" s="16">
        <v>1.4450293400000001</v>
      </c>
      <c r="G15" s="14">
        <v>63.084134540000001</v>
      </c>
      <c r="H15" s="16">
        <v>1.4450293400000001</v>
      </c>
      <c r="I15" s="14" t="s">
        <v>139</v>
      </c>
      <c r="J15" s="16" t="s">
        <v>139</v>
      </c>
      <c r="K15" s="14">
        <v>0</v>
      </c>
      <c r="L15" s="16">
        <v>0</v>
      </c>
      <c r="M15" s="14">
        <v>0</v>
      </c>
      <c r="N15" s="16">
        <v>0</v>
      </c>
      <c r="O15" s="14">
        <v>0</v>
      </c>
      <c r="P15" s="16">
        <v>0</v>
      </c>
      <c r="Q15" s="14">
        <v>0</v>
      </c>
      <c r="R15" s="16">
        <v>0</v>
      </c>
    </row>
    <row r="16" spans="1:18" x14ac:dyDescent="0.25">
      <c r="A16" s="11" t="s">
        <v>148</v>
      </c>
      <c r="B16" s="13">
        <v>6108</v>
      </c>
      <c r="C16" s="14">
        <f>(5076/B16*100)</f>
        <v>83.104125736738695</v>
      </c>
      <c r="D16" s="15">
        <v>1032</v>
      </c>
      <c r="E16" s="14">
        <v>45.399734119999998</v>
      </c>
      <c r="F16" s="16">
        <v>1.58611586</v>
      </c>
      <c r="G16" s="14">
        <v>54.600265880000002</v>
      </c>
      <c r="H16" s="16">
        <v>1.58611586</v>
      </c>
      <c r="I16" s="14" t="s">
        <v>139</v>
      </c>
      <c r="J16" s="16" t="s">
        <v>139</v>
      </c>
      <c r="K16" s="14">
        <v>0</v>
      </c>
      <c r="L16" s="16">
        <v>0</v>
      </c>
      <c r="M16" s="14">
        <v>0</v>
      </c>
      <c r="N16" s="16">
        <v>0</v>
      </c>
      <c r="O16" s="14">
        <v>0</v>
      </c>
      <c r="P16" s="16">
        <v>0</v>
      </c>
      <c r="Q16" s="14">
        <v>0</v>
      </c>
      <c r="R16" s="16">
        <v>0</v>
      </c>
    </row>
    <row r="17" spans="1:18" x14ac:dyDescent="0.25">
      <c r="A17" s="11" t="s">
        <v>149</v>
      </c>
      <c r="B17" s="13">
        <v>6504</v>
      </c>
      <c r="C17" s="14">
        <f>(5410/B17*100)</f>
        <v>83.179581795817953</v>
      </c>
      <c r="D17" s="15">
        <v>1094</v>
      </c>
      <c r="E17" s="14">
        <v>47.205255620000003</v>
      </c>
      <c r="F17" s="16">
        <v>1.80696759</v>
      </c>
      <c r="G17" s="14">
        <v>52.794744379999997</v>
      </c>
      <c r="H17" s="16">
        <v>1.80696759</v>
      </c>
      <c r="I17" s="14" t="s">
        <v>139</v>
      </c>
      <c r="J17" s="16" t="s">
        <v>139</v>
      </c>
      <c r="K17" s="14">
        <v>0</v>
      </c>
      <c r="L17" s="16">
        <v>0</v>
      </c>
      <c r="M17" s="14">
        <v>0</v>
      </c>
      <c r="N17" s="16">
        <v>0</v>
      </c>
      <c r="O17" s="14">
        <v>0</v>
      </c>
      <c r="P17" s="16">
        <v>0</v>
      </c>
      <c r="Q17" s="14">
        <v>0</v>
      </c>
      <c r="R17" s="16">
        <v>0</v>
      </c>
    </row>
    <row r="18" spans="1:18" x14ac:dyDescent="0.25">
      <c r="A18" s="11" t="s">
        <v>150</v>
      </c>
      <c r="B18" s="13">
        <v>5532</v>
      </c>
      <c r="C18" s="14">
        <f>(4579/B18*100)</f>
        <v>82.772957339117852</v>
      </c>
      <c r="D18" s="15">
        <v>953</v>
      </c>
      <c r="E18" s="14">
        <v>47.127926649999999</v>
      </c>
      <c r="F18" s="16">
        <v>2.0621572399999999</v>
      </c>
      <c r="G18" s="14">
        <v>52.872073350000001</v>
      </c>
      <c r="H18" s="16">
        <v>2.0621572399999999</v>
      </c>
      <c r="I18" s="14" t="s">
        <v>139</v>
      </c>
      <c r="J18" s="16" t="s">
        <v>139</v>
      </c>
      <c r="K18" s="14">
        <v>0</v>
      </c>
      <c r="L18" s="16">
        <v>0</v>
      </c>
      <c r="M18" s="14">
        <v>0</v>
      </c>
      <c r="N18" s="16">
        <v>0</v>
      </c>
      <c r="O18" s="14">
        <v>0</v>
      </c>
      <c r="P18" s="16">
        <v>0</v>
      </c>
      <c r="Q18" s="14">
        <v>0</v>
      </c>
      <c r="R18" s="16">
        <v>0</v>
      </c>
    </row>
    <row r="19" spans="1:18" x14ac:dyDescent="0.25">
      <c r="A19" s="11" t="s">
        <v>151</v>
      </c>
      <c r="B19" s="13">
        <v>5658</v>
      </c>
      <c r="C19" s="14">
        <f>(4691/B19*100)</f>
        <v>82.909155178508314</v>
      </c>
      <c r="D19" s="15">
        <v>967</v>
      </c>
      <c r="E19" s="14">
        <v>42.489776339999999</v>
      </c>
      <c r="F19" s="16">
        <v>1.6509960299999999</v>
      </c>
      <c r="G19" s="14">
        <v>57.510223660000001</v>
      </c>
      <c r="H19" s="16">
        <v>1.6509960299999999</v>
      </c>
      <c r="I19" s="14" t="s">
        <v>139</v>
      </c>
      <c r="J19" s="16" t="s">
        <v>139</v>
      </c>
      <c r="K19" s="14">
        <v>0</v>
      </c>
      <c r="L19" s="16">
        <v>0</v>
      </c>
      <c r="M19" s="14">
        <v>0</v>
      </c>
      <c r="N19" s="16">
        <v>0</v>
      </c>
      <c r="O19" s="14">
        <v>0</v>
      </c>
      <c r="P19" s="16">
        <v>0</v>
      </c>
      <c r="Q19" s="14">
        <v>0</v>
      </c>
      <c r="R19" s="16">
        <v>0</v>
      </c>
    </row>
    <row r="20" spans="1:18" x14ac:dyDescent="0.25">
      <c r="A20" s="11" t="s">
        <v>152</v>
      </c>
      <c r="B20" s="13">
        <v>3371</v>
      </c>
      <c r="C20" s="14">
        <f>(2798/B20*100)</f>
        <v>83.002076535152767</v>
      </c>
      <c r="D20" s="15">
        <v>573</v>
      </c>
      <c r="E20" s="14">
        <v>29.44071031</v>
      </c>
      <c r="F20" s="16">
        <v>1.9375716000000001</v>
      </c>
      <c r="G20" s="14">
        <v>70.55928969</v>
      </c>
      <c r="H20" s="16">
        <v>1.9375716000000001</v>
      </c>
      <c r="I20" s="14" t="s">
        <v>139</v>
      </c>
      <c r="J20" s="16" t="s">
        <v>139</v>
      </c>
      <c r="K20" s="14">
        <v>0</v>
      </c>
      <c r="L20" s="16">
        <v>0</v>
      </c>
      <c r="M20" s="14">
        <v>0</v>
      </c>
      <c r="N20" s="16">
        <v>0</v>
      </c>
      <c r="O20" s="14">
        <v>0</v>
      </c>
      <c r="P20" s="16">
        <v>0</v>
      </c>
      <c r="Q20" s="14">
        <v>0</v>
      </c>
      <c r="R20" s="16">
        <v>0</v>
      </c>
    </row>
    <row r="21" spans="1:18" x14ac:dyDescent="0.25">
      <c r="A21" s="11" t="s">
        <v>153</v>
      </c>
      <c r="B21" s="17" t="s">
        <v>154</v>
      </c>
      <c r="C21" s="17" t="s">
        <v>154</v>
      </c>
      <c r="D21" s="18" t="s">
        <v>154</v>
      </c>
      <c r="E21" s="17" t="s">
        <v>154</v>
      </c>
      <c r="F21" s="18" t="s">
        <v>154</v>
      </c>
      <c r="G21" s="17" t="s">
        <v>154</v>
      </c>
      <c r="H21" s="18" t="s">
        <v>154</v>
      </c>
      <c r="I21" s="17" t="s">
        <v>154</v>
      </c>
      <c r="J21" s="18" t="s">
        <v>154</v>
      </c>
      <c r="K21" s="17" t="s">
        <v>154</v>
      </c>
      <c r="L21" s="18" t="s">
        <v>154</v>
      </c>
      <c r="M21" s="17" t="s">
        <v>154</v>
      </c>
      <c r="N21" s="18" t="s">
        <v>154</v>
      </c>
      <c r="O21" s="17" t="s">
        <v>154</v>
      </c>
      <c r="P21" s="18" t="s">
        <v>154</v>
      </c>
      <c r="Q21" s="17" t="s">
        <v>154</v>
      </c>
      <c r="R21" s="18" t="s">
        <v>154</v>
      </c>
    </row>
    <row r="22" spans="1:18" x14ac:dyDescent="0.25">
      <c r="A22" s="11" t="s">
        <v>155</v>
      </c>
      <c r="B22" s="13">
        <v>6598</v>
      </c>
      <c r="C22" s="14">
        <f>(5570/B22*100)</f>
        <v>84.419521066990001</v>
      </c>
      <c r="D22" s="15">
        <v>1028</v>
      </c>
      <c r="E22" s="14">
        <v>41.730630640000001</v>
      </c>
      <c r="F22" s="16">
        <v>1.7996011999999999</v>
      </c>
      <c r="G22" s="14">
        <v>58.269369359999999</v>
      </c>
      <c r="H22" s="16">
        <v>1.7996011999999999</v>
      </c>
      <c r="I22" s="14" t="s">
        <v>139</v>
      </c>
      <c r="J22" s="16" t="s">
        <v>139</v>
      </c>
      <c r="K22" s="14">
        <v>0</v>
      </c>
      <c r="L22" s="16">
        <v>0</v>
      </c>
      <c r="M22" s="14">
        <v>0</v>
      </c>
      <c r="N22" s="16">
        <v>0</v>
      </c>
      <c r="O22" s="14">
        <v>0</v>
      </c>
      <c r="P22" s="16">
        <v>0</v>
      </c>
      <c r="Q22" s="14">
        <v>0</v>
      </c>
      <c r="R22" s="16">
        <v>0</v>
      </c>
    </row>
    <row r="23" spans="1:18" x14ac:dyDescent="0.25">
      <c r="A23" s="11" t="s">
        <v>156</v>
      </c>
      <c r="B23" s="13">
        <v>11583</v>
      </c>
      <c r="C23" s="14">
        <f>(9579/B23*100)</f>
        <v>82.698782698782708</v>
      </c>
      <c r="D23" s="15">
        <v>2004</v>
      </c>
      <c r="E23" s="14">
        <v>43.981458619999998</v>
      </c>
      <c r="F23" s="16">
        <v>1.41713961</v>
      </c>
      <c r="G23" s="14">
        <v>56.018541380000002</v>
      </c>
      <c r="H23" s="16">
        <v>1.41713961</v>
      </c>
      <c r="I23" s="14" t="s">
        <v>139</v>
      </c>
      <c r="J23" s="16" t="s">
        <v>139</v>
      </c>
      <c r="K23" s="14">
        <v>0</v>
      </c>
      <c r="L23" s="16">
        <v>0</v>
      </c>
      <c r="M23" s="14">
        <v>0</v>
      </c>
      <c r="N23" s="16">
        <v>0</v>
      </c>
      <c r="O23" s="14">
        <v>0</v>
      </c>
      <c r="P23" s="16">
        <v>0</v>
      </c>
      <c r="Q23" s="14">
        <v>0</v>
      </c>
      <c r="R23" s="16">
        <v>0</v>
      </c>
    </row>
    <row r="24" spans="1:18" x14ac:dyDescent="0.25">
      <c r="A24" s="11" t="s">
        <v>157</v>
      </c>
      <c r="B24" s="13">
        <v>6647</v>
      </c>
      <c r="C24" s="14">
        <f>(5489/B24*100)</f>
        <v>82.578606890326469</v>
      </c>
      <c r="D24" s="15">
        <v>1158</v>
      </c>
      <c r="E24" s="14">
        <v>26.443697329999999</v>
      </c>
      <c r="F24" s="16">
        <v>1.2477521600000001</v>
      </c>
      <c r="G24" s="14">
        <v>73.556302669999994</v>
      </c>
      <c r="H24" s="16">
        <v>1.2477521600000001</v>
      </c>
      <c r="I24" s="14" t="s">
        <v>139</v>
      </c>
      <c r="J24" s="16" t="s">
        <v>139</v>
      </c>
      <c r="K24" s="14">
        <v>0</v>
      </c>
      <c r="L24" s="16">
        <v>0</v>
      </c>
      <c r="M24" s="14">
        <v>0</v>
      </c>
      <c r="N24" s="16">
        <v>0</v>
      </c>
      <c r="O24" s="14">
        <v>0</v>
      </c>
      <c r="P24" s="16">
        <v>0</v>
      </c>
      <c r="Q24" s="14">
        <v>0</v>
      </c>
      <c r="R24" s="16">
        <v>0</v>
      </c>
    </row>
    <row r="25" spans="1:18" x14ac:dyDescent="0.25">
      <c r="A25" s="11" t="s">
        <v>158</v>
      </c>
      <c r="B25" s="13">
        <v>5581</v>
      </c>
      <c r="C25" s="14">
        <f>(4614/B25*100)</f>
        <v>82.673356029385417</v>
      </c>
      <c r="D25" s="15">
        <v>967</v>
      </c>
      <c r="E25" s="14">
        <v>36.732974390000003</v>
      </c>
      <c r="F25" s="16">
        <v>1.69835735</v>
      </c>
      <c r="G25" s="14">
        <v>63.267025609999997</v>
      </c>
      <c r="H25" s="16">
        <v>1.69835735</v>
      </c>
      <c r="I25" s="14" t="s">
        <v>139</v>
      </c>
      <c r="J25" s="16" t="s">
        <v>139</v>
      </c>
      <c r="K25" s="14">
        <v>0</v>
      </c>
      <c r="L25" s="16">
        <v>0</v>
      </c>
      <c r="M25" s="14">
        <v>0</v>
      </c>
      <c r="N25" s="16">
        <v>0</v>
      </c>
      <c r="O25" s="14">
        <v>0</v>
      </c>
      <c r="P25" s="16">
        <v>0</v>
      </c>
      <c r="Q25" s="14">
        <v>0</v>
      </c>
      <c r="R25" s="16">
        <v>0</v>
      </c>
    </row>
    <row r="26" spans="1:18" x14ac:dyDescent="0.25">
      <c r="A26" s="11" t="s">
        <v>159</v>
      </c>
      <c r="B26" s="13">
        <v>4869</v>
      </c>
      <c r="C26" s="14">
        <f>(4031/B26*100)</f>
        <v>82.789073731772433</v>
      </c>
      <c r="D26" s="15">
        <v>838</v>
      </c>
      <c r="E26" s="14">
        <v>37.915627620000002</v>
      </c>
      <c r="F26" s="16">
        <v>1.97206152</v>
      </c>
      <c r="G26" s="14">
        <v>62.084372379999998</v>
      </c>
      <c r="H26" s="16">
        <v>1.97206152</v>
      </c>
      <c r="I26" s="14" t="s">
        <v>139</v>
      </c>
      <c r="J26" s="16" t="s">
        <v>139</v>
      </c>
      <c r="K26" s="14">
        <v>0</v>
      </c>
      <c r="L26" s="16">
        <v>0</v>
      </c>
      <c r="M26" s="14">
        <v>0</v>
      </c>
      <c r="N26" s="16">
        <v>0</v>
      </c>
      <c r="O26" s="14">
        <v>0</v>
      </c>
      <c r="P26" s="16">
        <v>0</v>
      </c>
      <c r="Q26" s="14">
        <v>0</v>
      </c>
      <c r="R26" s="16">
        <v>0</v>
      </c>
    </row>
    <row r="27" spans="1:18" x14ac:dyDescent="0.25">
      <c r="A27" s="11" t="s">
        <v>160</v>
      </c>
      <c r="B27" s="13">
        <v>5299</v>
      </c>
      <c r="C27" s="14">
        <f>(4380/B27*100)</f>
        <v>82.657105114172481</v>
      </c>
      <c r="D27" s="15">
        <v>919</v>
      </c>
      <c r="E27" s="14">
        <v>39.542646730000001</v>
      </c>
      <c r="F27" s="16">
        <v>1.39922707</v>
      </c>
      <c r="G27" s="14">
        <v>60.457353269999999</v>
      </c>
      <c r="H27" s="16">
        <v>1.39922707</v>
      </c>
      <c r="I27" s="14" t="s">
        <v>139</v>
      </c>
      <c r="J27" s="16" t="s">
        <v>139</v>
      </c>
      <c r="K27" s="14">
        <v>0</v>
      </c>
      <c r="L27" s="16">
        <v>0</v>
      </c>
      <c r="M27" s="14">
        <v>0</v>
      </c>
      <c r="N27" s="16">
        <v>0</v>
      </c>
      <c r="O27" s="14">
        <v>0</v>
      </c>
      <c r="P27" s="16">
        <v>0</v>
      </c>
      <c r="Q27" s="14">
        <v>0</v>
      </c>
      <c r="R27" s="16">
        <v>0</v>
      </c>
    </row>
    <row r="28" spans="1:18" x14ac:dyDescent="0.25">
      <c r="A28" s="11" t="s">
        <v>161</v>
      </c>
      <c r="B28" s="13">
        <v>7568</v>
      </c>
      <c r="C28" s="14">
        <f>(6276/B28*100)</f>
        <v>82.928118393234669</v>
      </c>
      <c r="D28" s="15">
        <v>1292</v>
      </c>
      <c r="E28" s="14">
        <v>56.36283856</v>
      </c>
      <c r="F28" s="16">
        <v>1.36909306</v>
      </c>
      <c r="G28" s="14">
        <v>43.63716144</v>
      </c>
      <c r="H28" s="16">
        <v>1.36909306</v>
      </c>
      <c r="I28" s="14" t="s">
        <v>139</v>
      </c>
      <c r="J28" s="16" t="s">
        <v>139</v>
      </c>
      <c r="K28" s="14">
        <v>0</v>
      </c>
      <c r="L28" s="16">
        <v>0</v>
      </c>
      <c r="M28" s="14">
        <v>0</v>
      </c>
      <c r="N28" s="16">
        <v>0</v>
      </c>
      <c r="O28" s="14">
        <v>0</v>
      </c>
      <c r="P28" s="16">
        <v>0</v>
      </c>
      <c r="Q28" s="14">
        <v>0</v>
      </c>
      <c r="R28" s="16">
        <v>0</v>
      </c>
    </row>
    <row r="29" spans="1:18" x14ac:dyDescent="0.25">
      <c r="A29" s="11" t="s">
        <v>162</v>
      </c>
      <c r="B29" s="13">
        <v>5385</v>
      </c>
      <c r="C29" s="14">
        <f>(4499/B29*100)</f>
        <v>83.546889507892303</v>
      </c>
      <c r="D29" s="15">
        <v>886</v>
      </c>
      <c r="E29" s="14">
        <v>41.311093550000002</v>
      </c>
      <c r="F29" s="16">
        <v>1.63642456</v>
      </c>
      <c r="G29" s="14">
        <v>58.688906449999998</v>
      </c>
      <c r="H29" s="16">
        <v>1.63642456</v>
      </c>
      <c r="I29" s="14" t="s">
        <v>139</v>
      </c>
      <c r="J29" s="16" t="s">
        <v>139</v>
      </c>
      <c r="K29" s="14">
        <v>0</v>
      </c>
      <c r="L29" s="16">
        <v>0</v>
      </c>
      <c r="M29" s="14">
        <v>0</v>
      </c>
      <c r="N29" s="16">
        <v>0</v>
      </c>
      <c r="O29" s="14">
        <v>0</v>
      </c>
      <c r="P29" s="16">
        <v>0</v>
      </c>
      <c r="Q29" s="14">
        <v>0</v>
      </c>
      <c r="R29" s="16">
        <v>0</v>
      </c>
    </row>
    <row r="30" spans="1:18" x14ac:dyDescent="0.25">
      <c r="A30" s="11" t="s">
        <v>163</v>
      </c>
      <c r="B30" s="13">
        <v>4520</v>
      </c>
      <c r="C30" s="14">
        <f>(3777/B30*100)</f>
        <v>83.561946902654867</v>
      </c>
      <c r="D30" s="15">
        <v>743</v>
      </c>
      <c r="E30" s="14">
        <v>35.044515709999999</v>
      </c>
      <c r="F30" s="16">
        <v>1.6427423800000001</v>
      </c>
      <c r="G30" s="14">
        <v>64.955484290000001</v>
      </c>
      <c r="H30" s="16">
        <v>1.6427423800000001</v>
      </c>
      <c r="I30" s="14" t="s">
        <v>139</v>
      </c>
      <c r="J30" s="16" t="s">
        <v>139</v>
      </c>
      <c r="K30" s="14">
        <v>0</v>
      </c>
      <c r="L30" s="16">
        <v>0</v>
      </c>
      <c r="M30" s="14">
        <v>0</v>
      </c>
      <c r="N30" s="16">
        <v>0</v>
      </c>
      <c r="O30" s="14">
        <v>0</v>
      </c>
      <c r="P30" s="16">
        <v>0</v>
      </c>
      <c r="Q30" s="14">
        <v>0</v>
      </c>
      <c r="R30" s="16">
        <v>0</v>
      </c>
    </row>
    <row r="31" spans="1:18" x14ac:dyDescent="0.25">
      <c r="A31" s="11" t="s">
        <v>164</v>
      </c>
      <c r="B31" s="13">
        <v>5456</v>
      </c>
      <c r="C31" s="14">
        <f>(4534/B31*100)</f>
        <v>83.101173020527867</v>
      </c>
      <c r="D31" s="15">
        <v>922</v>
      </c>
      <c r="E31" s="14">
        <v>30.695502179999998</v>
      </c>
      <c r="F31" s="16">
        <v>1.5977316399999999</v>
      </c>
      <c r="G31" s="14">
        <v>69.304497819999995</v>
      </c>
      <c r="H31" s="16">
        <v>1.5977316399999999</v>
      </c>
      <c r="I31" s="14" t="s">
        <v>139</v>
      </c>
      <c r="J31" s="16" t="s">
        <v>139</v>
      </c>
      <c r="K31" s="14">
        <v>0</v>
      </c>
      <c r="L31" s="16">
        <v>0</v>
      </c>
      <c r="M31" s="14">
        <v>0</v>
      </c>
      <c r="N31" s="16">
        <v>0</v>
      </c>
      <c r="O31" s="14">
        <v>0</v>
      </c>
      <c r="P31" s="16">
        <v>0</v>
      </c>
      <c r="Q31" s="14">
        <v>0</v>
      </c>
      <c r="R31" s="16">
        <v>0</v>
      </c>
    </row>
    <row r="32" spans="1:18" x14ac:dyDescent="0.25">
      <c r="A32" s="11" t="s">
        <v>165</v>
      </c>
      <c r="B32" s="17" t="s">
        <v>154</v>
      </c>
      <c r="C32" s="17" t="s">
        <v>154</v>
      </c>
      <c r="D32" s="18" t="s">
        <v>154</v>
      </c>
      <c r="E32" s="17" t="s">
        <v>154</v>
      </c>
      <c r="F32" s="18" t="s">
        <v>154</v>
      </c>
      <c r="G32" s="17" t="s">
        <v>154</v>
      </c>
      <c r="H32" s="18" t="s">
        <v>154</v>
      </c>
      <c r="I32" s="17" t="s">
        <v>154</v>
      </c>
      <c r="J32" s="18" t="s">
        <v>154</v>
      </c>
      <c r="K32" s="17" t="s">
        <v>154</v>
      </c>
      <c r="L32" s="18" t="s">
        <v>154</v>
      </c>
      <c r="M32" s="17" t="s">
        <v>154</v>
      </c>
      <c r="N32" s="18" t="s">
        <v>154</v>
      </c>
      <c r="O32" s="17" t="s">
        <v>154</v>
      </c>
      <c r="P32" s="18" t="s">
        <v>154</v>
      </c>
      <c r="Q32" s="17" t="s">
        <v>154</v>
      </c>
      <c r="R32" s="18" t="s">
        <v>154</v>
      </c>
    </row>
    <row r="33" spans="1:18" x14ac:dyDescent="0.25">
      <c r="A33" s="11" t="s">
        <v>166</v>
      </c>
      <c r="B33" s="13">
        <v>7325</v>
      </c>
      <c r="C33" s="14">
        <f>(6080/B33*100)</f>
        <v>83.003412969283275</v>
      </c>
      <c r="D33" s="15">
        <v>1245</v>
      </c>
      <c r="E33" s="14">
        <v>43.59130116</v>
      </c>
      <c r="F33" s="16">
        <v>1.5554419100000001</v>
      </c>
      <c r="G33" s="14">
        <v>56.40869884</v>
      </c>
      <c r="H33" s="16">
        <v>1.5554419100000001</v>
      </c>
      <c r="I33" s="14" t="s">
        <v>139</v>
      </c>
      <c r="J33" s="16" t="s">
        <v>139</v>
      </c>
      <c r="K33" s="14">
        <v>0</v>
      </c>
      <c r="L33" s="16">
        <v>0</v>
      </c>
      <c r="M33" s="14">
        <v>0</v>
      </c>
      <c r="N33" s="16">
        <v>0</v>
      </c>
      <c r="O33" s="14">
        <v>0</v>
      </c>
      <c r="P33" s="16">
        <v>0</v>
      </c>
      <c r="Q33" s="14">
        <v>0</v>
      </c>
      <c r="R33" s="16">
        <v>0</v>
      </c>
    </row>
    <row r="34" spans="1:18" x14ac:dyDescent="0.25">
      <c r="A34" s="11" t="s">
        <v>167</v>
      </c>
      <c r="B34" s="13">
        <v>6350</v>
      </c>
      <c r="C34" s="14">
        <f>(5292/B34*100)</f>
        <v>83.338582677165348</v>
      </c>
      <c r="D34" s="15">
        <v>1058</v>
      </c>
      <c r="E34" s="14">
        <v>41.260837119999998</v>
      </c>
      <c r="F34" s="16">
        <v>1.65368991</v>
      </c>
      <c r="G34" s="14">
        <v>58.739162880000002</v>
      </c>
      <c r="H34" s="16">
        <v>1.65368991</v>
      </c>
      <c r="I34" s="14" t="s">
        <v>139</v>
      </c>
      <c r="J34" s="16" t="s">
        <v>139</v>
      </c>
      <c r="K34" s="14">
        <v>0</v>
      </c>
      <c r="L34" s="16">
        <v>0</v>
      </c>
      <c r="M34" s="14">
        <v>0</v>
      </c>
      <c r="N34" s="16">
        <v>0</v>
      </c>
      <c r="O34" s="14">
        <v>0</v>
      </c>
      <c r="P34" s="16">
        <v>0</v>
      </c>
      <c r="Q34" s="14">
        <v>0</v>
      </c>
      <c r="R34" s="16">
        <v>0</v>
      </c>
    </row>
    <row r="35" spans="1:18" x14ac:dyDescent="0.25">
      <c r="A35" s="11" t="s">
        <v>168</v>
      </c>
      <c r="B35" s="13">
        <v>6406</v>
      </c>
      <c r="C35" s="14">
        <f>(5349/B35*100)</f>
        <v>83.499843896347173</v>
      </c>
      <c r="D35" s="15">
        <v>1057</v>
      </c>
      <c r="E35" s="14">
        <v>30.04316785</v>
      </c>
      <c r="F35" s="16">
        <v>1.83641213</v>
      </c>
      <c r="G35" s="14">
        <v>69.956832149999997</v>
      </c>
      <c r="H35" s="16">
        <v>1.83641213</v>
      </c>
      <c r="I35" s="14" t="s">
        <v>139</v>
      </c>
      <c r="J35" s="16" t="s">
        <v>139</v>
      </c>
      <c r="K35" s="14">
        <v>0</v>
      </c>
      <c r="L35" s="16">
        <v>0</v>
      </c>
      <c r="M35" s="14">
        <v>0</v>
      </c>
      <c r="N35" s="16">
        <v>0</v>
      </c>
      <c r="O35" s="14">
        <v>0</v>
      </c>
      <c r="P35" s="16">
        <v>0</v>
      </c>
      <c r="Q35" s="14">
        <v>0</v>
      </c>
      <c r="R35" s="16">
        <v>0</v>
      </c>
    </row>
    <row r="36" spans="1:18" x14ac:dyDescent="0.25">
      <c r="A36" s="11" t="s">
        <v>169</v>
      </c>
      <c r="B36" s="13">
        <v>6736</v>
      </c>
      <c r="C36" s="14">
        <f>(5576/B36*100)</f>
        <v>82.779097387173394</v>
      </c>
      <c r="D36" s="15">
        <v>1160</v>
      </c>
      <c r="E36" s="14">
        <v>41.135252459999997</v>
      </c>
      <c r="F36" s="16">
        <v>1.538111</v>
      </c>
      <c r="G36" s="14">
        <v>58.864747540000003</v>
      </c>
      <c r="H36" s="16">
        <v>1.538111</v>
      </c>
      <c r="I36" s="14" t="s">
        <v>139</v>
      </c>
      <c r="J36" s="16" t="s">
        <v>139</v>
      </c>
      <c r="K36" s="14">
        <v>0</v>
      </c>
      <c r="L36" s="16">
        <v>0</v>
      </c>
      <c r="M36" s="14">
        <v>0</v>
      </c>
      <c r="N36" s="16">
        <v>0</v>
      </c>
      <c r="O36" s="14">
        <v>0</v>
      </c>
      <c r="P36" s="16">
        <v>0</v>
      </c>
      <c r="Q36" s="14">
        <v>0</v>
      </c>
      <c r="R36" s="16">
        <v>0</v>
      </c>
    </row>
    <row r="37" spans="1:18" x14ac:dyDescent="0.25">
      <c r="A37" s="11" t="s">
        <v>170</v>
      </c>
      <c r="B37" s="13">
        <v>5458</v>
      </c>
      <c r="C37" s="14">
        <f>(4538/B37*100)</f>
        <v>83.144008794430192</v>
      </c>
      <c r="D37" s="15">
        <v>920</v>
      </c>
      <c r="E37" s="14">
        <v>30.212972990000001</v>
      </c>
      <c r="F37" s="16">
        <v>1.5504513499999999</v>
      </c>
      <c r="G37" s="14">
        <v>69.787027010000003</v>
      </c>
      <c r="H37" s="16">
        <v>1.5504513499999999</v>
      </c>
      <c r="I37" s="14" t="s">
        <v>139</v>
      </c>
      <c r="J37" s="16" t="s">
        <v>139</v>
      </c>
      <c r="K37" s="14">
        <v>0</v>
      </c>
      <c r="L37" s="16">
        <v>0</v>
      </c>
      <c r="M37" s="14">
        <v>0</v>
      </c>
      <c r="N37" s="16">
        <v>0</v>
      </c>
      <c r="O37" s="14">
        <v>0</v>
      </c>
      <c r="P37" s="16">
        <v>0</v>
      </c>
      <c r="Q37" s="14">
        <v>0</v>
      </c>
      <c r="R37" s="16">
        <v>0</v>
      </c>
    </row>
    <row r="38" spans="1:18" x14ac:dyDescent="0.25">
      <c r="A38" s="11" t="s">
        <v>171</v>
      </c>
      <c r="B38" s="17" t="s">
        <v>154</v>
      </c>
      <c r="C38" s="17" t="s">
        <v>154</v>
      </c>
      <c r="D38" s="18" t="s">
        <v>154</v>
      </c>
      <c r="E38" s="17" t="s">
        <v>154</v>
      </c>
      <c r="F38" s="18" t="s">
        <v>154</v>
      </c>
      <c r="G38" s="17" t="s">
        <v>154</v>
      </c>
      <c r="H38" s="18" t="s">
        <v>154</v>
      </c>
      <c r="I38" s="17" t="s">
        <v>154</v>
      </c>
      <c r="J38" s="18" t="s">
        <v>154</v>
      </c>
      <c r="K38" s="17" t="s">
        <v>154</v>
      </c>
      <c r="L38" s="18" t="s">
        <v>154</v>
      </c>
      <c r="M38" s="17" t="s">
        <v>154</v>
      </c>
      <c r="N38" s="18" t="s">
        <v>154</v>
      </c>
      <c r="O38" s="17" t="s">
        <v>154</v>
      </c>
      <c r="P38" s="18" t="s">
        <v>154</v>
      </c>
      <c r="Q38" s="17" t="s">
        <v>154</v>
      </c>
      <c r="R38" s="18" t="s">
        <v>154</v>
      </c>
    </row>
    <row r="39" spans="1:18" x14ac:dyDescent="0.25">
      <c r="A39" s="11" t="s">
        <v>172</v>
      </c>
      <c r="B39" s="13">
        <v>5895</v>
      </c>
      <c r="C39" s="14">
        <f>(4863/B39*100)</f>
        <v>82.493638676844782</v>
      </c>
      <c r="D39" s="15">
        <v>1032</v>
      </c>
      <c r="E39" s="14">
        <v>78.953335179999996</v>
      </c>
      <c r="F39" s="16">
        <v>1.37507954</v>
      </c>
      <c r="G39" s="14">
        <v>21.04666482</v>
      </c>
      <c r="H39" s="16">
        <v>1.37507954</v>
      </c>
      <c r="I39" s="14" t="s">
        <v>139</v>
      </c>
      <c r="J39" s="16" t="s">
        <v>139</v>
      </c>
      <c r="K39" s="14">
        <v>0</v>
      </c>
      <c r="L39" s="16">
        <v>0</v>
      </c>
      <c r="M39" s="14">
        <v>0</v>
      </c>
      <c r="N39" s="16">
        <v>0</v>
      </c>
      <c r="O39" s="14">
        <v>0</v>
      </c>
      <c r="P39" s="16">
        <v>0</v>
      </c>
      <c r="Q39" s="14">
        <v>0</v>
      </c>
      <c r="R39" s="16">
        <v>0</v>
      </c>
    </row>
    <row r="40" spans="1:18" x14ac:dyDescent="0.25">
      <c r="A40" s="11" t="s">
        <v>173</v>
      </c>
      <c r="B40" s="13">
        <v>14157</v>
      </c>
      <c r="C40" s="14">
        <f>(11729/B40*100)</f>
        <v>82.849473758564656</v>
      </c>
      <c r="D40" s="15">
        <v>2428</v>
      </c>
      <c r="E40" s="14">
        <v>44.735156510000003</v>
      </c>
      <c r="F40" s="16">
        <v>1.8442639000000001</v>
      </c>
      <c r="G40" s="14">
        <v>55.264843489999997</v>
      </c>
      <c r="H40" s="16">
        <v>1.8442639000000001</v>
      </c>
      <c r="I40" s="14" t="s">
        <v>139</v>
      </c>
      <c r="J40" s="16" t="s">
        <v>139</v>
      </c>
      <c r="K40" s="14">
        <v>0</v>
      </c>
      <c r="L40" s="16">
        <v>0</v>
      </c>
      <c r="M40" s="14">
        <v>0</v>
      </c>
      <c r="N40" s="16">
        <v>0</v>
      </c>
      <c r="O40" s="14">
        <v>0</v>
      </c>
      <c r="P40" s="16">
        <v>0</v>
      </c>
      <c r="Q40" s="14">
        <v>0</v>
      </c>
      <c r="R40" s="16">
        <v>0</v>
      </c>
    </row>
    <row r="41" spans="1:18" x14ac:dyDescent="0.25">
      <c r="A41" s="11" t="s">
        <v>174</v>
      </c>
      <c r="B41" s="13">
        <v>5712</v>
      </c>
      <c r="C41" s="14">
        <f>(4725/B41*100)</f>
        <v>82.720588235294116</v>
      </c>
      <c r="D41" s="15">
        <v>987</v>
      </c>
      <c r="E41" s="14">
        <v>38.716440970000001</v>
      </c>
      <c r="F41" s="16">
        <v>1.3805734599999999</v>
      </c>
      <c r="G41" s="14">
        <v>61.283559029999999</v>
      </c>
      <c r="H41" s="16">
        <v>1.3805734599999999</v>
      </c>
      <c r="I41" s="14" t="s">
        <v>139</v>
      </c>
      <c r="J41" s="16" t="s">
        <v>139</v>
      </c>
      <c r="K41" s="14">
        <v>0</v>
      </c>
      <c r="L41" s="16">
        <v>0</v>
      </c>
      <c r="M41" s="14">
        <v>0</v>
      </c>
      <c r="N41" s="16">
        <v>0</v>
      </c>
      <c r="O41" s="14">
        <v>0</v>
      </c>
      <c r="P41" s="16">
        <v>0</v>
      </c>
      <c r="Q41" s="14">
        <v>0</v>
      </c>
      <c r="R41" s="16">
        <v>0</v>
      </c>
    </row>
    <row r="42" spans="1:18" x14ac:dyDescent="0.25">
      <c r="A42" s="11" t="s">
        <v>175</v>
      </c>
      <c r="B42" s="13">
        <f>IF(COUNT(B7:B41) &gt; 0, AVERAGE(B7:B41), "\u2014")</f>
        <v>7266.90625</v>
      </c>
      <c r="C42" s="14">
        <f>IF(COUNT(C7:C41) &gt; 0, AVERAGE(C7:C41), "—")</f>
        <v>82.997717733905333</v>
      </c>
      <c r="D42" s="15">
        <f>IF(COUNT(D7:D41) &gt; 0, AVERAGE(D7:D41), "—")</f>
        <v>1236.34375</v>
      </c>
      <c r="E42" s="14">
        <f>IF(COUNT(E7:E41) &gt; 0, AVERAGE(E7:E41), "—")</f>
        <v>40.549478429062489</v>
      </c>
      <c r="F42" s="16">
        <f>IF(COUNT(F7:F41) &gt; 0, SQRT(SUMSQ(F7:F41)/(COUNT(F7:F41)*COUNT(F7:F41)) ), "—")</f>
        <v>0.28431188825990628</v>
      </c>
      <c r="G42" s="14">
        <f>IF(COUNT(G7:G41) &gt; 0, AVERAGE(G7:G41), "—")</f>
        <v>59.450521570937511</v>
      </c>
      <c r="H42" s="16">
        <f>IF(COUNT(H7:H41) &gt; 0, SQRT(SUMSQ(H7:H41)/(COUNT(H7:H41)*COUNT(H7:H41)) ), "—")</f>
        <v>0.28431188825990628</v>
      </c>
      <c r="I42" s="14" t="str">
        <f>IF(COUNT(I7:I41) &gt; 0, AVERAGE(I7:I41), "—")</f>
        <v>—</v>
      </c>
      <c r="J42" s="16" t="str">
        <f>IF(COUNT(J7:J41) &gt; 0, SQRT(SUMSQ(J7:J41)/(COUNT(J7:J41)*COUNT(J7:J41)) ), "—")</f>
        <v>—</v>
      </c>
      <c r="K42" s="14">
        <f>IF(COUNT(K7:K41) &gt; 0, AVERAGE(K7:K41), "—")</f>
        <v>0</v>
      </c>
      <c r="L42" s="16">
        <f>IF(COUNT(L7:L41) &gt; 0, SQRT(SUMSQ(L7:L41)/(COUNT(L7:L41)*COUNT(L7:L41)) ), "—")</f>
        <v>0</v>
      </c>
      <c r="M42" s="14">
        <f>IF(COUNT(M7:M41) &gt; 0, AVERAGE(M7:M41), "—")</f>
        <v>0</v>
      </c>
      <c r="N42" s="16">
        <f>IF(COUNT(N7:N41) &gt; 0, SQRT(SUMSQ(N7:N41)/(COUNT(N7:N41)*COUNT(N7:N41)) ), "—")</f>
        <v>0</v>
      </c>
      <c r="O42" s="14">
        <f>IF(COUNT(O7:O41) &gt; 0, AVERAGE(O7:O41), "—")</f>
        <v>0</v>
      </c>
      <c r="P42" s="16">
        <f>IF(COUNT(P7:P41) &gt; 0, SQRT(SUMSQ(P7:P41)/(COUNT(P7:P41)*COUNT(P7:P41)) ), "—")</f>
        <v>0</v>
      </c>
      <c r="Q42" s="14">
        <f>IF(COUNT(Q7:Q41) &gt; 0, AVERAGE(Q7:Q41), "—")</f>
        <v>0</v>
      </c>
      <c r="R42" s="16">
        <f>IF(COUNT(R7:R41) &gt; 0, SQRT(SUMSQ(R7:R41)/(COUNT(R7:R41)*COUNT(R7:R41)) ), "—")</f>
        <v>0</v>
      </c>
    </row>
    <row r="43" spans="1:18" x14ac:dyDescent="0.25">
      <c r="A43" s="9" t="s">
        <v>176</v>
      </c>
      <c r="B43" s="10"/>
      <c r="C43" s="10"/>
      <c r="D43" s="11"/>
      <c r="E43" s="10"/>
      <c r="F43" s="11"/>
      <c r="G43" s="10"/>
      <c r="H43" s="11"/>
      <c r="I43" s="10"/>
      <c r="J43" s="11"/>
      <c r="K43" s="10"/>
      <c r="L43" s="11"/>
      <c r="M43" s="10"/>
      <c r="N43" s="11"/>
      <c r="O43" s="10"/>
      <c r="P43" s="11"/>
      <c r="Q43" s="10"/>
      <c r="R43" s="12"/>
    </row>
    <row r="44" spans="1:18" x14ac:dyDescent="0.25">
      <c r="A44" s="11" t="s">
        <v>177</v>
      </c>
      <c r="B44" s="17" t="s">
        <v>154</v>
      </c>
      <c r="C44" s="17" t="s">
        <v>154</v>
      </c>
      <c r="D44" s="18" t="s">
        <v>154</v>
      </c>
      <c r="E44" s="17" t="s">
        <v>154</v>
      </c>
      <c r="F44" s="18" t="s">
        <v>154</v>
      </c>
      <c r="G44" s="17" t="s">
        <v>154</v>
      </c>
      <c r="H44" s="18" t="s">
        <v>154</v>
      </c>
      <c r="I44" s="17" t="s">
        <v>154</v>
      </c>
      <c r="J44" s="18" t="s">
        <v>154</v>
      </c>
      <c r="K44" s="17" t="s">
        <v>154</v>
      </c>
      <c r="L44" s="18" t="s">
        <v>154</v>
      </c>
      <c r="M44" s="17" t="s">
        <v>154</v>
      </c>
      <c r="N44" s="18" t="s">
        <v>154</v>
      </c>
      <c r="O44" s="17" t="s">
        <v>154</v>
      </c>
      <c r="P44" s="18" t="s">
        <v>154</v>
      </c>
      <c r="Q44" s="17" t="s">
        <v>154</v>
      </c>
      <c r="R44" s="18" t="s">
        <v>154</v>
      </c>
    </row>
    <row r="45" spans="1:18" x14ac:dyDescent="0.25">
      <c r="A45" s="11" t="s">
        <v>178</v>
      </c>
      <c r="B45" s="17" t="s">
        <v>154</v>
      </c>
      <c r="C45" s="17" t="s">
        <v>154</v>
      </c>
      <c r="D45" s="18" t="s">
        <v>154</v>
      </c>
      <c r="E45" s="17" t="s">
        <v>154</v>
      </c>
      <c r="F45" s="18" t="s">
        <v>154</v>
      </c>
      <c r="G45" s="17" t="s">
        <v>154</v>
      </c>
      <c r="H45" s="18" t="s">
        <v>154</v>
      </c>
      <c r="I45" s="17" t="s">
        <v>154</v>
      </c>
      <c r="J45" s="18" t="s">
        <v>154</v>
      </c>
      <c r="K45" s="17" t="s">
        <v>154</v>
      </c>
      <c r="L45" s="18" t="s">
        <v>154</v>
      </c>
      <c r="M45" s="17" t="s">
        <v>154</v>
      </c>
      <c r="N45" s="18" t="s">
        <v>154</v>
      </c>
      <c r="O45" s="17" t="s">
        <v>154</v>
      </c>
      <c r="P45" s="18" t="s">
        <v>154</v>
      </c>
      <c r="Q45" s="17" t="s">
        <v>154</v>
      </c>
      <c r="R45" s="18" t="s">
        <v>154</v>
      </c>
    </row>
    <row r="46" spans="1:18" x14ac:dyDescent="0.25">
      <c r="A46" s="11" t="s">
        <v>179</v>
      </c>
      <c r="B46" s="13">
        <v>23141</v>
      </c>
      <c r="C46" s="14">
        <f>(19527/B46*100)</f>
        <v>84.382697376950006</v>
      </c>
      <c r="D46" s="15">
        <v>3614</v>
      </c>
      <c r="E46" s="14">
        <v>57.707919099999998</v>
      </c>
      <c r="F46" s="16">
        <v>1.23494865</v>
      </c>
      <c r="G46" s="14">
        <v>42.292080900000002</v>
      </c>
      <c r="H46" s="16">
        <v>1.23494865</v>
      </c>
      <c r="I46" s="14" t="s">
        <v>139</v>
      </c>
      <c r="J46" s="16" t="s">
        <v>139</v>
      </c>
      <c r="K46" s="14">
        <v>0</v>
      </c>
      <c r="L46" s="16">
        <v>0</v>
      </c>
      <c r="M46" s="14">
        <v>0</v>
      </c>
      <c r="N46" s="16">
        <v>0</v>
      </c>
      <c r="O46" s="14">
        <v>0</v>
      </c>
      <c r="P46" s="16">
        <v>0</v>
      </c>
      <c r="Q46" s="14">
        <v>0</v>
      </c>
      <c r="R46" s="16">
        <v>0</v>
      </c>
    </row>
    <row r="47" spans="1:18" x14ac:dyDescent="0.25">
      <c r="A47" s="11" t="s">
        <v>180</v>
      </c>
      <c r="B47" s="13">
        <v>5928</v>
      </c>
      <c r="C47" s="14">
        <f>(4910/B47*100)</f>
        <v>82.827260458839405</v>
      </c>
      <c r="D47" s="15">
        <v>1018</v>
      </c>
      <c r="E47" s="14">
        <v>44.795913509999998</v>
      </c>
      <c r="F47" s="16">
        <v>1.73162762</v>
      </c>
      <c r="G47" s="14">
        <v>55.204086490000002</v>
      </c>
      <c r="H47" s="16">
        <v>1.73162762</v>
      </c>
      <c r="I47" s="14" t="s">
        <v>139</v>
      </c>
      <c r="J47" s="16" t="s">
        <v>139</v>
      </c>
      <c r="K47" s="14">
        <v>0</v>
      </c>
      <c r="L47" s="16">
        <v>0</v>
      </c>
      <c r="M47" s="14">
        <v>0</v>
      </c>
      <c r="N47" s="16">
        <v>0</v>
      </c>
      <c r="O47" s="14">
        <v>0</v>
      </c>
      <c r="P47" s="16">
        <v>0</v>
      </c>
      <c r="Q47" s="14">
        <v>0</v>
      </c>
      <c r="R47" s="16">
        <v>0</v>
      </c>
    </row>
    <row r="48" spans="1:18" x14ac:dyDescent="0.25">
      <c r="A48" s="11" t="s">
        <v>181</v>
      </c>
      <c r="B48" s="13">
        <v>9841</v>
      </c>
      <c r="C48" s="14">
        <f>(8164/B48*100)</f>
        <v>82.959048877146628</v>
      </c>
      <c r="D48" s="15">
        <v>1677</v>
      </c>
      <c r="E48" s="14">
        <v>60.128562080000002</v>
      </c>
      <c r="F48" s="16">
        <v>1.8221418899999999</v>
      </c>
      <c r="G48" s="14">
        <v>39.871437919999998</v>
      </c>
      <c r="H48" s="16">
        <v>1.8221418899999999</v>
      </c>
      <c r="I48" s="14" t="s">
        <v>139</v>
      </c>
      <c r="J48" s="16" t="s">
        <v>139</v>
      </c>
      <c r="K48" s="14">
        <v>0</v>
      </c>
      <c r="L48" s="16">
        <v>0</v>
      </c>
      <c r="M48" s="14">
        <v>0</v>
      </c>
      <c r="N48" s="16">
        <v>0</v>
      </c>
      <c r="O48" s="14">
        <v>0</v>
      </c>
      <c r="P48" s="16">
        <v>0</v>
      </c>
      <c r="Q48" s="14">
        <v>0</v>
      </c>
      <c r="R48" s="16">
        <v>0</v>
      </c>
    </row>
    <row r="49" spans="1:18" x14ac:dyDescent="0.25">
      <c r="A49" s="11" t="s">
        <v>182</v>
      </c>
      <c r="B49" s="17" t="s">
        <v>154</v>
      </c>
      <c r="C49" s="17" t="s">
        <v>154</v>
      </c>
      <c r="D49" s="18" t="s">
        <v>154</v>
      </c>
      <c r="E49" s="17" t="s">
        <v>154</v>
      </c>
      <c r="F49" s="18" t="s">
        <v>154</v>
      </c>
      <c r="G49" s="17" t="s">
        <v>154</v>
      </c>
      <c r="H49" s="18" t="s">
        <v>154</v>
      </c>
      <c r="I49" s="17" t="s">
        <v>154</v>
      </c>
      <c r="J49" s="18" t="s">
        <v>154</v>
      </c>
      <c r="K49" s="17" t="s">
        <v>154</v>
      </c>
      <c r="L49" s="18" t="s">
        <v>154</v>
      </c>
      <c r="M49" s="17" t="s">
        <v>154</v>
      </c>
      <c r="N49" s="18" t="s">
        <v>154</v>
      </c>
      <c r="O49" s="17" t="s">
        <v>154</v>
      </c>
      <c r="P49" s="18" t="s">
        <v>154</v>
      </c>
      <c r="Q49" s="17" t="s">
        <v>154</v>
      </c>
      <c r="R49" s="18" t="s">
        <v>154</v>
      </c>
    </row>
    <row r="50" spans="1:18" x14ac:dyDescent="0.25">
      <c r="A50" s="11" t="s">
        <v>183</v>
      </c>
      <c r="B50" s="13">
        <v>11795</v>
      </c>
      <c r="C50" s="14">
        <f>(9770/B50*100)</f>
        <v>82.83170835099618</v>
      </c>
      <c r="D50" s="15">
        <v>2025</v>
      </c>
      <c r="E50" s="14">
        <v>59.658513790000001</v>
      </c>
      <c r="F50" s="16">
        <v>1.3245232899999999</v>
      </c>
      <c r="G50" s="14">
        <v>40.341486209999999</v>
      </c>
      <c r="H50" s="16">
        <v>1.3245232899999999</v>
      </c>
      <c r="I50" s="14" t="s">
        <v>139</v>
      </c>
      <c r="J50" s="16" t="s">
        <v>139</v>
      </c>
      <c r="K50" s="14">
        <v>0</v>
      </c>
      <c r="L50" s="16">
        <v>0</v>
      </c>
      <c r="M50" s="14">
        <v>0</v>
      </c>
      <c r="N50" s="16">
        <v>0</v>
      </c>
      <c r="O50" s="14">
        <v>0</v>
      </c>
      <c r="P50" s="16">
        <v>0</v>
      </c>
      <c r="Q50" s="14">
        <v>0</v>
      </c>
      <c r="R50" s="16">
        <v>0</v>
      </c>
    </row>
    <row r="51" spans="1:18" x14ac:dyDescent="0.25">
      <c r="A51" s="11" t="s">
        <v>184</v>
      </c>
      <c r="B51" s="13">
        <v>6866</v>
      </c>
      <c r="C51" s="14">
        <f>(5818/B51*100)</f>
        <v>84.736382173026499</v>
      </c>
      <c r="D51" s="15">
        <v>1048</v>
      </c>
      <c r="E51" s="14">
        <v>48.16549019</v>
      </c>
      <c r="F51" s="16">
        <v>1.6328888399999999</v>
      </c>
      <c r="G51" s="14">
        <v>51.83450981</v>
      </c>
      <c r="H51" s="16">
        <v>1.6328888399999999</v>
      </c>
      <c r="I51" s="14" t="s">
        <v>139</v>
      </c>
      <c r="J51" s="16" t="s">
        <v>139</v>
      </c>
      <c r="K51" s="14">
        <v>0</v>
      </c>
      <c r="L51" s="16">
        <v>0</v>
      </c>
      <c r="M51" s="14">
        <v>0</v>
      </c>
      <c r="N51" s="16">
        <v>0</v>
      </c>
      <c r="O51" s="14">
        <v>0</v>
      </c>
      <c r="P51" s="16">
        <v>0</v>
      </c>
      <c r="Q51" s="14">
        <v>0</v>
      </c>
      <c r="R51" s="16">
        <v>0</v>
      </c>
    </row>
    <row r="52" spans="1:18" x14ac:dyDescent="0.25">
      <c r="A52" s="11" t="s">
        <v>185</v>
      </c>
      <c r="B52" s="13">
        <v>5809</v>
      </c>
      <c r="C52" s="14">
        <f>(4829/B52*100)</f>
        <v>83.129626441728348</v>
      </c>
      <c r="D52" s="15">
        <v>980</v>
      </c>
      <c r="E52" s="14">
        <v>40.669850519999997</v>
      </c>
      <c r="F52" s="16">
        <v>1.5864998400000001</v>
      </c>
      <c r="G52" s="14">
        <v>59.330149480000003</v>
      </c>
      <c r="H52" s="16">
        <v>1.5864998400000001</v>
      </c>
      <c r="I52" s="14" t="s">
        <v>139</v>
      </c>
      <c r="J52" s="16" t="s">
        <v>139</v>
      </c>
      <c r="K52" s="14">
        <v>0</v>
      </c>
      <c r="L52" s="16">
        <v>0</v>
      </c>
      <c r="M52" s="14">
        <v>0</v>
      </c>
      <c r="N52" s="16">
        <v>0</v>
      </c>
      <c r="O52" s="14">
        <v>0</v>
      </c>
      <c r="P52" s="16">
        <v>0</v>
      </c>
      <c r="Q52" s="14">
        <v>0</v>
      </c>
      <c r="R52" s="16">
        <v>0</v>
      </c>
    </row>
    <row r="53" spans="1:18" x14ac:dyDescent="0.25">
      <c r="A53" s="11" t="s">
        <v>186</v>
      </c>
      <c r="B53" s="13">
        <v>5571</v>
      </c>
      <c r="C53" s="14">
        <f>(4631/B53*100)</f>
        <v>83.126907197989581</v>
      </c>
      <c r="D53" s="15">
        <v>940</v>
      </c>
      <c r="E53" s="14">
        <v>54.117216280000001</v>
      </c>
      <c r="F53" s="16">
        <v>1.9092706399999999</v>
      </c>
      <c r="G53" s="14">
        <v>45.882783719999999</v>
      </c>
      <c r="H53" s="16">
        <v>1.9092706399999999</v>
      </c>
      <c r="I53" s="14" t="s">
        <v>139</v>
      </c>
      <c r="J53" s="16" t="s">
        <v>139</v>
      </c>
      <c r="K53" s="14">
        <v>0</v>
      </c>
      <c r="L53" s="16">
        <v>0</v>
      </c>
      <c r="M53" s="14">
        <v>0</v>
      </c>
      <c r="N53" s="16">
        <v>0</v>
      </c>
      <c r="O53" s="14">
        <v>0</v>
      </c>
      <c r="P53" s="16">
        <v>0</v>
      </c>
      <c r="Q53" s="14">
        <v>0</v>
      </c>
      <c r="R53" s="16">
        <v>0</v>
      </c>
    </row>
    <row r="54" spans="1:18" x14ac:dyDescent="0.25">
      <c r="A54" s="11" t="s">
        <v>187</v>
      </c>
      <c r="B54" s="17" t="s">
        <v>154</v>
      </c>
      <c r="C54" s="17" t="s">
        <v>154</v>
      </c>
      <c r="D54" s="18" t="s">
        <v>154</v>
      </c>
      <c r="E54" s="17" t="s">
        <v>154</v>
      </c>
      <c r="F54" s="18" t="s">
        <v>154</v>
      </c>
      <c r="G54" s="17" t="s">
        <v>154</v>
      </c>
      <c r="H54" s="18" t="s">
        <v>154</v>
      </c>
      <c r="I54" s="17" t="s">
        <v>154</v>
      </c>
      <c r="J54" s="18" t="s">
        <v>154</v>
      </c>
      <c r="K54" s="17" t="s">
        <v>154</v>
      </c>
      <c r="L54" s="18" t="s">
        <v>154</v>
      </c>
      <c r="M54" s="17" t="s">
        <v>154</v>
      </c>
      <c r="N54" s="18" t="s">
        <v>154</v>
      </c>
      <c r="O54" s="17" t="s">
        <v>154</v>
      </c>
      <c r="P54" s="18" t="s">
        <v>154</v>
      </c>
      <c r="Q54" s="17" t="s">
        <v>154</v>
      </c>
      <c r="R54" s="18" t="s">
        <v>154</v>
      </c>
    </row>
    <row r="55" spans="1:18" x14ac:dyDescent="0.25">
      <c r="A55" s="11" t="s">
        <v>188</v>
      </c>
      <c r="B55" s="17" t="s">
        <v>154</v>
      </c>
      <c r="C55" s="17" t="s">
        <v>154</v>
      </c>
      <c r="D55" s="18" t="s">
        <v>154</v>
      </c>
      <c r="E55" s="17" t="s">
        <v>154</v>
      </c>
      <c r="F55" s="18" t="s">
        <v>154</v>
      </c>
      <c r="G55" s="17" t="s">
        <v>154</v>
      </c>
      <c r="H55" s="18" t="s">
        <v>154</v>
      </c>
      <c r="I55" s="17" t="s">
        <v>154</v>
      </c>
      <c r="J55" s="18" t="s">
        <v>154</v>
      </c>
      <c r="K55" s="17" t="s">
        <v>154</v>
      </c>
      <c r="L55" s="18" t="s">
        <v>154</v>
      </c>
      <c r="M55" s="17" t="s">
        <v>154</v>
      </c>
      <c r="N55" s="18" t="s">
        <v>154</v>
      </c>
      <c r="O55" s="17" t="s">
        <v>154</v>
      </c>
      <c r="P55" s="18" t="s">
        <v>154</v>
      </c>
      <c r="Q55" s="17" t="s">
        <v>154</v>
      </c>
      <c r="R55" s="18" t="s">
        <v>154</v>
      </c>
    </row>
    <row r="56" spans="1:18" x14ac:dyDescent="0.25">
      <c r="A56" s="11" t="s">
        <v>189</v>
      </c>
      <c r="B56" s="13">
        <v>5359</v>
      </c>
      <c r="C56" s="14">
        <f>(4445/B56*100)</f>
        <v>82.944579212539651</v>
      </c>
      <c r="D56" s="15">
        <v>914</v>
      </c>
      <c r="E56" s="14">
        <v>54.427047940000001</v>
      </c>
      <c r="F56" s="16">
        <v>1.66303661</v>
      </c>
      <c r="G56" s="14">
        <v>45.572952059999999</v>
      </c>
      <c r="H56" s="16">
        <v>1.66303661</v>
      </c>
      <c r="I56" s="14" t="s">
        <v>139</v>
      </c>
      <c r="J56" s="16" t="s">
        <v>139</v>
      </c>
      <c r="K56" s="14">
        <v>0</v>
      </c>
      <c r="L56" s="16">
        <v>0</v>
      </c>
      <c r="M56" s="14">
        <v>0</v>
      </c>
      <c r="N56" s="16">
        <v>0</v>
      </c>
      <c r="O56" s="14">
        <v>0</v>
      </c>
      <c r="P56" s="16">
        <v>0</v>
      </c>
      <c r="Q56" s="14">
        <v>0</v>
      </c>
      <c r="R56" s="16">
        <v>0</v>
      </c>
    </row>
    <row r="57" spans="1:18" x14ac:dyDescent="0.25">
      <c r="A57" s="11" t="s">
        <v>190</v>
      </c>
      <c r="B57" s="17" t="s">
        <v>154</v>
      </c>
      <c r="C57" s="17" t="s">
        <v>154</v>
      </c>
      <c r="D57" s="18" t="s">
        <v>154</v>
      </c>
      <c r="E57" s="17" t="s">
        <v>154</v>
      </c>
      <c r="F57" s="18" t="s">
        <v>154</v>
      </c>
      <c r="G57" s="17" t="s">
        <v>154</v>
      </c>
      <c r="H57" s="18" t="s">
        <v>154</v>
      </c>
      <c r="I57" s="17" t="s">
        <v>154</v>
      </c>
      <c r="J57" s="18" t="s">
        <v>154</v>
      </c>
      <c r="K57" s="17" t="s">
        <v>154</v>
      </c>
      <c r="L57" s="18" t="s">
        <v>154</v>
      </c>
      <c r="M57" s="17" t="s">
        <v>154</v>
      </c>
      <c r="N57" s="18" t="s">
        <v>154</v>
      </c>
      <c r="O57" s="17" t="s">
        <v>154</v>
      </c>
      <c r="P57" s="18" t="s">
        <v>154</v>
      </c>
      <c r="Q57" s="17" t="s">
        <v>154</v>
      </c>
      <c r="R57" s="18" t="s">
        <v>154</v>
      </c>
    </row>
    <row r="58" spans="1:18" x14ac:dyDescent="0.25">
      <c r="A58" s="11" t="s">
        <v>191</v>
      </c>
      <c r="B58" s="17" t="s">
        <v>154</v>
      </c>
      <c r="C58" s="17" t="s">
        <v>154</v>
      </c>
      <c r="D58" s="18" t="s">
        <v>154</v>
      </c>
      <c r="E58" s="17" t="s">
        <v>154</v>
      </c>
      <c r="F58" s="18" t="s">
        <v>154</v>
      </c>
      <c r="G58" s="17" t="s">
        <v>154</v>
      </c>
      <c r="H58" s="18" t="s">
        <v>154</v>
      </c>
      <c r="I58" s="17" t="s">
        <v>154</v>
      </c>
      <c r="J58" s="18" t="s">
        <v>154</v>
      </c>
      <c r="K58" s="17" t="s">
        <v>154</v>
      </c>
      <c r="L58" s="18" t="s">
        <v>154</v>
      </c>
      <c r="M58" s="17" t="s">
        <v>154</v>
      </c>
      <c r="N58" s="18" t="s">
        <v>154</v>
      </c>
      <c r="O58" s="17" t="s">
        <v>154</v>
      </c>
      <c r="P58" s="18" t="s">
        <v>154</v>
      </c>
      <c r="Q58" s="17" t="s">
        <v>154</v>
      </c>
      <c r="R58" s="18" t="s">
        <v>154</v>
      </c>
    </row>
    <row r="59" spans="1:18" x14ac:dyDescent="0.25">
      <c r="A59" s="11" t="s">
        <v>192</v>
      </c>
      <c r="B59" s="17" t="s">
        <v>154</v>
      </c>
      <c r="C59" s="17" t="s">
        <v>154</v>
      </c>
      <c r="D59" s="18" t="s">
        <v>154</v>
      </c>
      <c r="E59" s="17" t="s">
        <v>154</v>
      </c>
      <c r="F59" s="18" t="s">
        <v>154</v>
      </c>
      <c r="G59" s="17" t="s">
        <v>154</v>
      </c>
      <c r="H59" s="18" t="s">
        <v>154</v>
      </c>
      <c r="I59" s="17" t="s">
        <v>154</v>
      </c>
      <c r="J59" s="18" t="s">
        <v>154</v>
      </c>
      <c r="K59" s="17" t="s">
        <v>154</v>
      </c>
      <c r="L59" s="18" t="s">
        <v>154</v>
      </c>
      <c r="M59" s="17" t="s">
        <v>154</v>
      </c>
      <c r="N59" s="18" t="s">
        <v>154</v>
      </c>
      <c r="O59" s="17" t="s">
        <v>154</v>
      </c>
      <c r="P59" s="18" t="s">
        <v>154</v>
      </c>
      <c r="Q59" s="17" t="s">
        <v>154</v>
      </c>
      <c r="R59" s="18" t="s">
        <v>154</v>
      </c>
    </row>
    <row r="60" spans="1:18" x14ac:dyDescent="0.25">
      <c r="A60" s="11" t="s">
        <v>193</v>
      </c>
      <c r="B60" s="17" t="s">
        <v>154</v>
      </c>
      <c r="C60" s="17" t="s">
        <v>154</v>
      </c>
      <c r="D60" s="18" t="s">
        <v>154</v>
      </c>
      <c r="E60" s="17" t="s">
        <v>154</v>
      </c>
      <c r="F60" s="18" t="s">
        <v>154</v>
      </c>
      <c r="G60" s="17" t="s">
        <v>154</v>
      </c>
      <c r="H60" s="18" t="s">
        <v>154</v>
      </c>
      <c r="I60" s="17" t="s">
        <v>154</v>
      </c>
      <c r="J60" s="18" t="s">
        <v>154</v>
      </c>
      <c r="K60" s="17" t="s">
        <v>154</v>
      </c>
      <c r="L60" s="18" t="s">
        <v>154</v>
      </c>
      <c r="M60" s="17" t="s">
        <v>154</v>
      </c>
      <c r="N60" s="18" t="s">
        <v>154</v>
      </c>
      <c r="O60" s="17" t="s">
        <v>154</v>
      </c>
      <c r="P60" s="18" t="s">
        <v>154</v>
      </c>
      <c r="Q60" s="17" t="s">
        <v>154</v>
      </c>
      <c r="R60" s="18" t="s">
        <v>154</v>
      </c>
    </row>
    <row r="61" spans="1:18" x14ac:dyDescent="0.25">
      <c r="A61" s="11" t="s">
        <v>194</v>
      </c>
      <c r="B61" s="13">
        <v>6525</v>
      </c>
      <c r="C61" s="14">
        <f>(5418/B61*100)</f>
        <v>83.034482758620683</v>
      </c>
      <c r="D61" s="15">
        <v>1107</v>
      </c>
      <c r="E61" s="14">
        <v>44.071827849999998</v>
      </c>
      <c r="F61" s="16">
        <v>1.39270486</v>
      </c>
      <c r="G61" s="14">
        <v>55.928172150000002</v>
      </c>
      <c r="H61" s="16">
        <v>1.39270486</v>
      </c>
      <c r="I61" s="14" t="s">
        <v>139</v>
      </c>
      <c r="J61" s="16" t="s">
        <v>139</v>
      </c>
      <c r="K61" s="14">
        <v>0</v>
      </c>
      <c r="L61" s="16">
        <v>0</v>
      </c>
      <c r="M61" s="14">
        <v>0</v>
      </c>
      <c r="N61" s="16">
        <v>0</v>
      </c>
      <c r="O61" s="14">
        <v>0</v>
      </c>
      <c r="P61" s="16">
        <v>0</v>
      </c>
      <c r="Q61" s="14">
        <v>0</v>
      </c>
      <c r="R61" s="16">
        <v>0</v>
      </c>
    </row>
    <row r="62" spans="1:18" x14ac:dyDescent="0.25">
      <c r="A62" s="11" t="s">
        <v>195</v>
      </c>
      <c r="B62" s="13">
        <v>4476</v>
      </c>
      <c r="C62" s="14">
        <f>(3700/B62*100)</f>
        <v>82.663092046470069</v>
      </c>
      <c r="D62" s="15">
        <v>776</v>
      </c>
      <c r="E62" s="14">
        <v>59.895217279999997</v>
      </c>
      <c r="F62" s="16">
        <v>1.9481095900000001</v>
      </c>
      <c r="G62" s="14">
        <v>40.104782720000003</v>
      </c>
      <c r="H62" s="16">
        <v>1.9481095900000001</v>
      </c>
      <c r="I62" s="14" t="s">
        <v>139</v>
      </c>
      <c r="J62" s="16" t="s">
        <v>139</v>
      </c>
      <c r="K62" s="14">
        <v>0</v>
      </c>
      <c r="L62" s="16">
        <v>0</v>
      </c>
      <c r="M62" s="14">
        <v>0</v>
      </c>
      <c r="N62" s="16">
        <v>0</v>
      </c>
      <c r="O62" s="14">
        <v>0</v>
      </c>
      <c r="P62" s="16">
        <v>0</v>
      </c>
      <c r="Q62" s="14">
        <v>0</v>
      </c>
      <c r="R62" s="16">
        <v>0</v>
      </c>
    </row>
    <row r="63" spans="1:18" x14ac:dyDescent="0.25">
      <c r="A63" s="11" t="s">
        <v>196</v>
      </c>
      <c r="B63" s="17" t="s">
        <v>154</v>
      </c>
      <c r="C63" s="17" t="s">
        <v>154</v>
      </c>
      <c r="D63" s="18" t="s">
        <v>154</v>
      </c>
      <c r="E63" s="17" t="s">
        <v>154</v>
      </c>
      <c r="F63" s="18" t="s">
        <v>154</v>
      </c>
      <c r="G63" s="17" t="s">
        <v>154</v>
      </c>
      <c r="H63" s="18" t="s">
        <v>154</v>
      </c>
      <c r="I63" s="17" t="s">
        <v>154</v>
      </c>
      <c r="J63" s="18" t="s">
        <v>154</v>
      </c>
      <c r="K63" s="17" t="s">
        <v>154</v>
      </c>
      <c r="L63" s="18" t="s">
        <v>154</v>
      </c>
      <c r="M63" s="17" t="s">
        <v>154</v>
      </c>
      <c r="N63" s="18" t="s">
        <v>154</v>
      </c>
      <c r="O63" s="17" t="s">
        <v>154</v>
      </c>
      <c r="P63" s="18" t="s">
        <v>154</v>
      </c>
      <c r="Q63" s="17" t="s">
        <v>154</v>
      </c>
      <c r="R63" s="18" t="s">
        <v>154</v>
      </c>
    </row>
    <row r="64" spans="1:18" x14ac:dyDescent="0.25">
      <c r="A64" s="11" t="s">
        <v>197</v>
      </c>
      <c r="B64" s="17" t="s">
        <v>154</v>
      </c>
      <c r="C64" s="17" t="s">
        <v>154</v>
      </c>
      <c r="D64" s="18" t="s">
        <v>154</v>
      </c>
      <c r="E64" s="17" t="s">
        <v>154</v>
      </c>
      <c r="F64" s="18" t="s">
        <v>154</v>
      </c>
      <c r="G64" s="17" t="s">
        <v>154</v>
      </c>
      <c r="H64" s="18" t="s">
        <v>154</v>
      </c>
      <c r="I64" s="17" t="s">
        <v>154</v>
      </c>
      <c r="J64" s="18" t="s">
        <v>154</v>
      </c>
      <c r="K64" s="17" t="s">
        <v>154</v>
      </c>
      <c r="L64" s="18" t="s">
        <v>154</v>
      </c>
      <c r="M64" s="17" t="s">
        <v>154</v>
      </c>
      <c r="N64" s="18" t="s">
        <v>154</v>
      </c>
      <c r="O64" s="17" t="s">
        <v>154</v>
      </c>
      <c r="P64" s="18" t="s">
        <v>154</v>
      </c>
      <c r="Q64" s="17" t="s">
        <v>154</v>
      </c>
      <c r="R64" s="18" t="s">
        <v>154</v>
      </c>
    </row>
    <row r="65" spans="1:18" x14ac:dyDescent="0.25">
      <c r="A65" s="11" t="s">
        <v>198</v>
      </c>
      <c r="B65" s="17" t="s">
        <v>154</v>
      </c>
      <c r="C65" s="17" t="s">
        <v>154</v>
      </c>
      <c r="D65" s="18" t="s">
        <v>154</v>
      </c>
      <c r="E65" s="17" t="s">
        <v>154</v>
      </c>
      <c r="F65" s="18" t="s">
        <v>154</v>
      </c>
      <c r="G65" s="17" t="s">
        <v>154</v>
      </c>
      <c r="H65" s="18" t="s">
        <v>154</v>
      </c>
      <c r="I65" s="17" t="s">
        <v>154</v>
      </c>
      <c r="J65" s="18" t="s">
        <v>154</v>
      </c>
      <c r="K65" s="17" t="s">
        <v>154</v>
      </c>
      <c r="L65" s="18" t="s">
        <v>154</v>
      </c>
      <c r="M65" s="17" t="s">
        <v>154</v>
      </c>
      <c r="N65" s="18" t="s">
        <v>154</v>
      </c>
      <c r="O65" s="17" t="s">
        <v>154</v>
      </c>
      <c r="P65" s="18" t="s">
        <v>154</v>
      </c>
      <c r="Q65" s="17" t="s">
        <v>154</v>
      </c>
      <c r="R65" s="18" t="s">
        <v>154</v>
      </c>
    </row>
    <row r="66" spans="1:18" x14ac:dyDescent="0.25">
      <c r="A66" s="11" t="s">
        <v>199</v>
      </c>
      <c r="B66" s="13">
        <v>5665</v>
      </c>
      <c r="C66" s="14">
        <f>(4711/B66*100)</f>
        <v>83.159752868490727</v>
      </c>
      <c r="D66" s="15">
        <v>954</v>
      </c>
      <c r="E66" s="14">
        <v>49.174044600000002</v>
      </c>
      <c r="F66" s="16">
        <v>1.42402132</v>
      </c>
      <c r="G66" s="14">
        <v>50.825955399999998</v>
      </c>
      <c r="H66" s="16">
        <v>1.42402132</v>
      </c>
      <c r="I66" s="14" t="s">
        <v>139</v>
      </c>
      <c r="J66" s="16" t="s">
        <v>139</v>
      </c>
      <c r="K66" s="14">
        <v>0</v>
      </c>
      <c r="L66" s="16">
        <v>0</v>
      </c>
      <c r="M66" s="14">
        <v>0</v>
      </c>
      <c r="N66" s="16">
        <v>0</v>
      </c>
      <c r="O66" s="14">
        <v>0</v>
      </c>
      <c r="P66" s="16">
        <v>0</v>
      </c>
      <c r="Q66" s="14">
        <v>0</v>
      </c>
      <c r="R66" s="16">
        <v>0</v>
      </c>
    </row>
    <row r="67" spans="1:18" x14ac:dyDescent="0.25">
      <c r="A67" s="11" t="s">
        <v>200</v>
      </c>
      <c r="B67" s="13">
        <v>6971</v>
      </c>
      <c r="C67" s="14">
        <f>(5847/B67*100)</f>
        <v>83.876057954382446</v>
      </c>
      <c r="D67" s="15">
        <v>1124</v>
      </c>
      <c r="E67" s="14">
        <v>59.711762040000004</v>
      </c>
      <c r="F67" s="16">
        <v>1.4880121399999999</v>
      </c>
      <c r="G67" s="14">
        <v>40.288237959999996</v>
      </c>
      <c r="H67" s="16">
        <v>1.4880121399999999</v>
      </c>
      <c r="I67" s="14" t="s">
        <v>139</v>
      </c>
      <c r="J67" s="16" t="s">
        <v>139</v>
      </c>
      <c r="K67" s="14">
        <v>0</v>
      </c>
      <c r="L67" s="16">
        <v>0</v>
      </c>
      <c r="M67" s="14">
        <v>0</v>
      </c>
      <c r="N67" s="16">
        <v>0</v>
      </c>
      <c r="O67" s="14">
        <v>0</v>
      </c>
      <c r="P67" s="16">
        <v>0</v>
      </c>
      <c r="Q67" s="14">
        <v>0</v>
      </c>
      <c r="R67" s="16">
        <v>0</v>
      </c>
    </row>
    <row r="68" spans="1:18" x14ac:dyDescent="0.25">
      <c r="A68" s="11" t="s">
        <v>201</v>
      </c>
      <c r="B68" s="17" t="s">
        <v>154</v>
      </c>
      <c r="C68" s="17" t="s">
        <v>154</v>
      </c>
      <c r="D68" s="18" t="s">
        <v>154</v>
      </c>
      <c r="E68" s="17" t="s">
        <v>154</v>
      </c>
      <c r="F68" s="18" t="s">
        <v>154</v>
      </c>
      <c r="G68" s="17" t="s">
        <v>154</v>
      </c>
      <c r="H68" s="18" t="s">
        <v>154</v>
      </c>
      <c r="I68" s="17" t="s">
        <v>154</v>
      </c>
      <c r="J68" s="18" t="s">
        <v>154</v>
      </c>
      <c r="K68" s="17" t="s">
        <v>154</v>
      </c>
      <c r="L68" s="18" t="s">
        <v>154</v>
      </c>
      <c r="M68" s="17" t="s">
        <v>154</v>
      </c>
      <c r="N68" s="18" t="s">
        <v>154</v>
      </c>
      <c r="O68" s="17" t="s">
        <v>154</v>
      </c>
      <c r="P68" s="18" t="s">
        <v>154</v>
      </c>
      <c r="Q68" s="17" t="s">
        <v>154</v>
      </c>
      <c r="R68" s="18" t="s">
        <v>154</v>
      </c>
    </row>
    <row r="69" spans="1:18" x14ac:dyDescent="0.25">
      <c r="A69" s="11" t="s">
        <v>202</v>
      </c>
      <c r="B69" s="17" t="s">
        <v>154</v>
      </c>
      <c r="C69" s="17" t="s">
        <v>154</v>
      </c>
      <c r="D69" s="18" t="s">
        <v>154</v>
      </c>
      <c r="E69" s="17" t="s">
        <v>154</v>
      </c>
      <c r="F69" s="18" t="s">
        <v>154</v>
      </c>
      <c r="G69" s="17" t="s">
        <v>154</v>
      </c>
      <c r="H69" s="18" t="s">
        <v>154</v>
      </c>
      <c r="I69" s="17" t="s">
        <v>154</v>
      </c>
      <c r="J69" s="18" t="s">
        <v>154</v>
      </c>
      <c r="K69" s="17" t="s">
        <v>154</v>
      </c>
      <c r="L69" s="18" t="s">
        <v>154</v>
      </c>
      <c r="M69" s="17" t="s">
        <v>154</v>
      </c>
      <c r="N69" s="18" t="s">
        <v>154</v>
      </c>
      <c r="O69" s="17" t="s">
        <v>154</v>
      </c>
      <c r="P69" s="18" t="s">
        <v>154</v>
      </c>
      <c r="Q69" s="17" t="s">
        <v>154</v>
      </c>
      <c r="R69" s="18" t="s">
        <v>154</v>
      </c>
    </row>
    <row r="70" spans="1:18" x14ac:dyDescent="0.25">
      <c r="A70" s="11" t="s">
        <v>203</v>
      </c>
      <c r="B70" s="13">
        <v>6036</v>
      </c>
      <c r="C70" s="14">
        <f>(4994/B70*100)</f>
        <v>82.736911862160369</v>
      </c>
      <c r="D70" s="15">
        <v>1042</v>
      </c>
      <c r="E70" s="14">
        <v>44.774521749999998</v>
      </c>
      <c r="F70" s="16">
        <v>1.9668207600000001</v>
      </c>
      <c r="G70" s="14">
        <v>55.225478250000002</v>
      </c>
      <c r="H70" s="16">
        <v>1.9668207600000001</v>
      </c>
      <c r="I70" s="14" t="s">
        <v>139</v>
      </c>
      <c r="J70" s="16" t="s">
        <v>139</v>
      </c>
      <c r="K70" s="14">
        <v>0</v>
      </c>
      <c r="L70" s="16">
        <v>0</v>
      </c>
      <c r="M70" s="14">
        <v>0</v>
      </c>
      <c r="N70" s="16">
        <v>0</v>
      </c>
      <c r="O70" s="14">
        <v>0</v>
      </c>
      <c r="P70" s="16">
        <v>0</v>
      </c>
      <c r="Q70" s="14">
        <v>0</v>
      </c>
      <c r="R70" s="16">
        <v>0</v>
      </c>
    </row>
    <row r="71" spans="1:18" x14ac:dyDescent="0.25">
      <c r="A71" s="11" t="s">
        <v>204</v>
      </c>
      <c r="B71" s="17" t="s">
        <v>154</v>
      </c>
      <c r="C71" s="17" t="s">
        <v>154</v>
      </c>
      <c r="D71" s="18" t="s">
        <v>154</v>
      </c>
      <c r="E71" s="17" t="s">
        <v>154</v>
      </c>
      <c r="F71" s="18" t="s">
        <v>154</v>
      </c>
      <c r="G71" s="17" t="s">
        <v>154</v>
      </c>
      <c r="H71" s="18" t="s">
        <v>154</v>
      </c>
      <c r="I71" s="17" t="s">
        <v>154</v>
      </c>
      <c r="J71" s="18" t="s">
        <v>154</v>
      </c>
      <c r="K71" s="17" t="s">
        <v>154</v>
      </c>
      <c r="L71" s="18" t="s">
        <v>154</v>
      </c>
      <c r="M71" s="17" t="s">
        <v>154</v>
      </c>
      <c r="N71" s="18" t="s">
        <v>154</v>
      </c>
      <c r="O71" s="17" t="s">
        <v>154</v>
      </c>
      <c r="P71" s="18" t="s">
        <v>154</v>
      </c>
      <c r="Q71" s="17" t="s">
        <v>154</v>
      </c>
      <c r="R71" s="18" t="s">
        <v>154</v>
      </c>
    </row>
    <row r="72" spans="1:18" x14ac:dyDescent="0.25">
      <c r="A72" s="11" t="s">
        <v>205</v>
      </c>
      <c r="B72" s="13">
        <v>7708</v>
      </c>
      <c r="C72" s="14">
        <f>(6364/B72*100)</f>
        <v>82.56357031655422</v>
      </c>
      <c r="D72" s="15">
        <v>1344</v>
      </c>
      <c r="E72" s="14">
        <v>44.702205489999997</v>
      </c>
      <c r="F72" s="16">
        <v>1.4071272100000001</v>
      </c>
      <c r="G72" s="14">
        <v>55.297794510000003</v>
      </c>
      <c r="H72" s="16">
        <v>1.4071272100000001</v>
      </c>
      <c r="I72" s="14" t="s">
        <v>139</v>
      </c>
      <c r="J72" s="16" t="s">
        <v>139</v>
      </c>
      <c r="K72" s="14">
        <v>0</v>
      </c>
      <c r="L72" s="16">
        <v>0</v>
      </c>
      <c r="M72" s="14">
        <v>0</v>
      </c>
      <c r="N72" s="16">
        <v>0</v>
      </c>
      <c r="O72" s="14">
        <v>0</v>
      </c>
      <c r="P72" s="16">
        <v>0</v>
      </c>
      <c r="Q72" s="14">
        <v>0</v>
      </c>
      <c r="R72" s="16">
        <v>0</v>
      </c>
    </row>
    <row r="73" spans="1:18" x14ac:dyDescent="0.25">
      <c r="A73" s="11" t="s">
        <v>206</v>
      </c>
      <c r="B73" s="13">
        <v>8249</v>
      </c>
      <c r="C73" s="14">
        <f>(6848/B73*100)</f>
        <v>83.016123166444416</v>
      </c>
      <c r="D73" s="15">
        <v>1401</v>
      </c>
      <c r="E73" s="14">
        <v>72.540248480000002</v>
      </c>
      <c r="F73" s="16">
        <v>1.3221419400000001</v>
      </c>
      <c r="G73" s="14">
        <v>27.459751520000001</v>
      </c>
      <c r="H73" s="16">
        <v>1.3221419400000001</v>
      </c>
      <c r="I73" s="14" t="s">
        <v>139</v>
      </c>
      <c r="J73" s="16" t="s">
        <v>139</v>
      </c>
      <c r="K73" s="14">
        <v>0</v>
      </c>
      <c r="L73" s="16">
        <v>0</v>
      </c>
      <c r="M73" s="14">
        <v>0</v>
      </c>
      <c r="N73" s="16">
        <v>0</v>
      </c>
      <c r="O73" s="14">
        <v>0</v>
      </c>
      <c r="P73" s="16">
        <v>0</v>
      </c>
      <c r="Q73" s="14">
        <v>0</v>
      </c>
      <c r="R73" s="16">
        <v>0</v>
      </c>
    </row>
    <row r="74" spans="1:18" x14ac:dyDescent="0.25">
      <c r="A74" s="11" t="s">
        <v>207</v>
      </c>
      <c r="B74" s="17" t="s">
        <v>154</v>
      </c>
      <c r="C74" s="17" t="s">
        <v>154</v>
      </c>
      <c r="D74" s="18" t="s">
        <v>154</v>
      </c>
      <c r="E74" s="17" t="s">
        <v>154</v>
      </c>
      <c r="F74" s="18" t="s">
        <v>154</v>
      </c>
      <c r="G74" s="17" t="s">
        <v>154</v>
      </c>
      <c r="H74" s="18" t="s">
        <v>154</v>
      </c>
      <c r="I74" s="17" t="s">
        <v>154</v>
      </c>
      <c r="J74" s="18" t="s">
        <v>154</v>
      </c>
      <c r="K74" s="17" t="s">
        <v>154</v>
      </c>
      <c r="L74" s="18" t="s">
        <v>154</v>
      </c>
      <c r="M74" s="17" t="s">
        <v>154</v>
      </c>
      <c r="N74" s="18" t="s">
        <v>154</v>
      </c>
      <c r="O74" s="17" t="s">
        <v>154</v>
      </c>
      <c r="P74" s="18" t="s">
        <v>154</v>
      </c>
      <c r="Q74" s="17" t="s">
        <v>154</v>
      </c>
      <c r="R74" s="18" t="s">
        <v>154</v>
      </c>
    </row>
    <row r="75" spans="1:18" x14ac:dyDescent="0.25">
      <c r="A75" s="11" t="s">
        <v>208</v>
      </c>
      <c r="B75" s="13">
        <v>5375</v>
      </c>
      <c r="C75" s="14">
        <f>(4516/B75*100)</f>
        <v>84.018604651162789</v>
      </c>
      <c r="D75" s="15">
        <v>859</v>
      </c>
      <c r="E75" s="14">
        <v>76.977243139999999</v>
      </c>
      <c r="F75" s="16">
        <v>1.69292406</v>
      </c>
      <c r="G75" s="14">
        <v>23.022756860000001</v>
      </c>
      <c r="H75" s="16">
        <v>1.69292406</v>
      </c>
      <c r="I75" s="14" t="s">
        <v>139</v>
      </c>
      <c r="J75" s="16" t="s">
        <v>139</v>
      </c>
      <c r="K75" s="14">
        <v>0</v>
      </c>
      <c r="L75" s="16">
        <v>0</v>
      </c>
      <c r="M75" s="14">
        <v>0</v>
      </c>
      <c r="N75" s="16">
        <v>0</v>
      </c>
      <c r="O75" s="14">
        <v>0</v>
      </c>
      <c r="P75" s="16">
        <v>0</v>
      </c>
      <c r="Q75" s="14">
        <v>0</v>
      </c>
      <c r="R75" s="16">
        <v>0</v>
      </c>
    </row>
    <row r="76" spans="1:18" x14ac:dyDescent="0.25">
      <c r="A76" s="11" t="s">
        <v>209</v>
      </c>
      <c r="B76" s="13">
        <v>14167</v>
      </c>
      <c r="C76" s="14">
        <f>(11765/B76*100)</f>
        <v>83.045104821063035</v>
      </c>
      <c r="D76" s="15">
        <v>2402</v>
      </c>
      <c r="E76" s="14">
        <v>54.435266349999999</v>
      </c>
      <c r="F76" s="16">
        <v>1.0087821299999999</v>
      </c>
      <c r="G76" s="14">
        <v>45.564733650000001</v>
      </c>
      <c r="H76" s="16">
        <v>1.0087821299999999</v>
      </c>
      <c r="I76" s="14" t="s">
        <v>139</v>
      </c>
      <c r="J76" s="16" t="s">
        <v>139</v>
      </c>
      <c r="K76" s="14">
        <v>0</v>
      </c>
      <c r="L76" s="16">
        <v>0</v>
      </c>
      <c r="M76" s="14">
        <v>0</v>
      </c>
      <c r="N76" s="16">
        <v>0</v>
      </c>
      <c r="O76" s="14">
        <v>0</v>
      </c>
      <c r="P76" s="16">
        <v>0</v>
      </c>
      <c r="Q76" s="14">
        <v>0</v>
      </c>
      <c r="R76" s="16">
        <v>0</v>
      </c>
    </row>
    <row r="77" spans="1:18" x14ac:dyDescent="0.25">
      <c r="A77" s="11" t="s">
        <v>210</v>
      </c>
      <c r="B77" s="13">
        <v>6062</v>
      </c>
      <c r="C77" s="14">
        <f>(5040/B77*100)</f>
        <v>83.140877598152429</v>
      </c>
      <c r="D77" s="15">
        <v>1022</v>
      </c>
      <c r="E77" s="14">
        <v>45.777353339999998</v>
      </c>
      <c r="F77" s="16">
        <v>1.4237610300000001</v>
      </c>
      <c r="G77" s="14">
        <v>54.222646660000002</v>
      </c>
      <c r="H77" s="16">
        <v>1.4237610300000001</v>
      </c>
      <c r="I77" s="14" t="s">
        <v>139</v>
      </c>
      <c r="J77" s="16" t="s">
        <v>139</v>
      </c>
      <c r="K77" s="14">
        <v>0</v>
      </c>
      <c r="L77" s="16">
        <v>0</v>
      </c>
      <c r="M77" s="14">
        <v>0</v>
      </c>
      <c r="N77" s="16">
        <v>0</v>
      </c>
      <c r="O77" s="14">
        <v>0</v>
      </c>
      <c r="P77" s="16">
        <v>0</v>
      </c>
      <c r="Q77" s="14">
        <v>0</v>
      </c>
      <c r="R77" s="16">
        <v>0</v>
      </c>
    </row>
    <row r="78" spans="1:18" x14ac:dyDescent="0.25">
      <c r="A78" s="11" t="s">
        <v>211</v>
      </c>
      <c r="B78" s="17" t="s">
        <v>154</v>
      </c>
      <c r="C78" s="17" t="s">
        <v>154</v>
      </c>
      <c r="D78" s="18" t="s">
        <v>154</v>
      </c>
      <c r="E78" s="17" t="s">
        <v>154</v>
      </c>
      <c r="F78" s="18" t="s">
        <v>154</v>
      </c>
      <c r="G78" s="17" t="s">
        <v>154</v>
      </c>
      <c r="H78" s="18" t="s">
        <v>154</v>
      </c>
      <c r="I78" s="17" t="s">
        <v>154</v>
      </c>
      <c r="J78" s="18" t="s">
        <v>154</v>
      </c>
      <c r="K78" s="17" t="s">
        <v>154</v>
      </c>
      <c r="L78" s="18" t="s">
        <v>154</v>
      </c>
      <c r="M78" s="17" t="s">
        <v>154</v>
      </c>
      <c r="N78" s="18" t="s">
        <v>154</v>
      </c>
      <c r="O78" s="17" t="s">
        <v>154</v>
      </c>
      <c r="P78" s="18" t="s">
        <v>154</v>
      </c>
      <c r="Q78" s="17" t="s">
        <v>154</v>
      </c>
      <c r="R78" s="18" t="s">
        <v>154</v>
      </c>
    </row>
    <row r="79" spans="1:18" ht="24.95" customHeight="1" x14ac:dyDescent="0.25">
      <c r="A79" s="11" t="s">
        <v>212</v>
      </c>
      <c r="B79" s="17" t="s">
        <v>154</v>
      </c>
      <c r="C79" s="17" t="s">
        <v>154</v>
      </c>
      <c r="D79" s="18" t="s">
        <v>154</v>
      </c>
      <c r="E79" s="17" t="s">
        <v>154</v>
      </c>
      <c r="F79" s="18" t="s">
        <v>154</v>
      </c>
      <c r="G79" s="17" t="s">
        <v>154</v>
      </c>
      <c r="H79" s="18" t="s">
        <v>154</v>
      </c>
      <c r="I79" s="17" t="s">
        <v>154</v>
      </c>
      <c r="J79" s="18" t="s">
        <v>154</v>
      </c>
      <c r="K79" s="17" t="s">
        <v>154</v>
      </c>
      <c r="L79" s="18" t="s">
        <v>154</v>
      </c>
      <c r="M79" s="17" t="s">
        <v>154</v>
      </c>
      <c r="N79" s="18" t="s">
        <v>154</v>
      </c>
      <c r="O79" s="17" t="s">
        <v>154</v>
      </c>
      <c r="P79" s="18" t="s">
        <v>154</v>
      </c>
      <c r="Q79" s="17" t="s">
        <v>154</v>
      </c>
      <c r="R79" s="18" t="s">
        <v>154</v>
      </c>
    </row>
    <row r="80" spans="1:18" x14ac:dyDescent="0.25">
      <c r="A80" s="11" t="s">
        <v>213</v>
      </c>
      <c r="B80" s="17" t="s">
        <v>154</v>
      </c>
      <c r="C80" s="17" t="s">
        <v>154</v>
      </c>
      <c r="D80" s="18" t="s">
        <v>154</v>
      </c>
      <c r="E80" s="17" t="s">
        <v>154</v>
      </c>
      <c r="F80" s="18" t="s">
        <v>154</v>
      </c>
      <c r="G80" s="17" t="s">
        <v>154</v>
      </c>
      <c r="H80" s="18" t="s">
        <v>154</v>
      </c>
      <c r="I80" s="17" t="s">
        <v>154</v>
      </c>
      <c r="J80" s="18" t="s">
        <v>154</v>
      </c>
      <c r="K80" s="17" t="s">
        <v>154</v>
      </c>
      <c r="L80" s="18" t="s">
        <v>154</v>
      </c>
      <c r="M80" s="17" t="s">
        <v>154</v>
      </c>
      <c r="N80" s="18" t="s">
        <v>154</v>
      </c>
      <c r="O80" s="17" t="s">
        <v>154</v>
      </c>
      <c r="P80" s="18" t="s">
        <v>154</v>
      </c>
      <c r="Q80" s="17" t="s">
        <v>154</v>
      </c>
      <c r="R80" s="18" t="s">
        <v>154</v>
      </c>
    </row>
    <row r="81" spans="1:18" x14ac:dyDescent="0.25">
      <c r="A81" s="19" t="s">
        <v>214</v>
      </c>
      <c r="B81" s="13">
        <v>8861</v>
      </c>
      <c r="C81" s="14">
        <f>(7341/B81*100)</f>
        <v>82.846179889403004</v>
      </c>
      <c r="D81" s="15">
        <v>1520</v>
      </c>
      <c r="E81" s="14">
        <v>46.639244810000001</v>
      </c>
      <c r="F81" s="16">
        <v>1.6798262399999999</v>
      </c>
      <c r="G81" s="14">
        <v>53.360755189999999</v>
      </c>
      <c r="H81" s="16">
        <v>1.6798262399999999</v>
      </c>
      <c r="I81" s="14" t="s">
        <v>139</v>
      </c>
      <c r="J81" s="16" t="s">
        <v>139</v>
      </c>
      <c r="K81" s="14">
        <v>0</v>
      </c>
      <c r="L81" s="16">
        <v>0</v>
      </c>
      <c r="M81" s="14">
        <v>0</v>
      </c>
      <c r="N81" s="16">
        <v>0</v>
      </c>
      <c r="O81" s="14">
        <v>0</v>
      </c>
      <c r="P81" s="16">
        <v>0</v>
      </c>
      <c r="Q81" s="14">
        <v>0</v>
      </c>
      <c r="R81" s="16">
        <v>0</v>
      </c>
    </row>
    <row r="82" spans="1:18" x14ac:dyDescent="0.25">
      <c r="A82" s="20"/>
      <c r="B82" s="20" t="s">
        <v>215</v>
      </c>
      <c r="C82" s="20" t="s">
        <v>215</v>
      </c>
      <c r="D82" s="20" t="s">
        <v>215</v>
      </c>
      <c r="E82" s="20" t="s">
        <v>215</v>
      </c>
      <c r="F82" s="20" t="s">
        <v>215</v>
      </c>
      <c r="G82" s="20" t="s">
        <v>215</v>
      </c>
      <c r="H82" s="20" t="s">
        <v>215</v>
      </c>
      <c r="I82" s="20" t="s">
        <v>215</v>
      </c>
      <c r="J82" s="20" t="s">
        <v>215</v>
      </c>
      <c r="K82" s="20" t="s">
        <v>215</v>
      </c>
      <c r="L82" s="20" t="s">
        <v>215</v>
      </c>
      <c r="M82" s="20" t="s">
        <v>215</v>
      </c>
      <c r="N82" s="20" t="s">
        <v>215</v>
      </c>
      <c r="O82" s="20" t="s">
        <v>215</v>
      </c>
      <c r="P82" s="20" t="s">
        <v>215</v>
      </c>
      <c r="Q82" s="20" t="s">
        <v>215</v>
      </c>
      <c r="R82" s="20" t="s">
        <v>215</v>
      </c>
    </row>
    <row r="83" spans="1:18" x14ac:dyDescent="0.25">
      <c r="A83" s="3" t="s">
        <v>216</v>
      </c>
    </row>
    <row r="84" spans="1:18" x14ac:dyDescent="0.25">
      <c r="A84" s="22" t="s">
        <v>217</v>
      </c>
      <c r="B84" s="23"/>
      <c r="C84" s="23"/>
      <c r="D84" s="23"/>
      <c r="E84" s="23"/>
      <c r="F84" s="23"/>
      <c r="G84" s="23"/>
      <c r="H84" s="23"/>
      <c r="I84" s="23"/>
      <c r="J84" s="23"/>
      <c r="K84" s="23"/>
      <c r="L84" s="23"/>
      <c r="M84" s="23"/>
      <c r="N84" s="23"/>
      <c r="O84" s="23"/>
      <c r="P84" s="23"/>
      <c r="Q84" s="23"/>
      <c r="R84" s="23"/>
    </row>
    <row r="85" spans="1:18" x14ac:dyDescent="0.25">
      <c r="A85" s="22" t="s">
        <v>218</v>
      </c>
      <c r="B85" s="23"/>
      <c r="C85" s="23"/>
      <c r="D85" s="23"/>
      <c r="E85" s="23"/>
      <c r="F85" s="23"/>
      <c r="G85" s="23"/>
      <c r="H85" s="23"/>
      <c r="I85" s="23"/>
      <c r="J85" s="23"/>
      <c r="K85" s="23"/>
      <c r="L85" s="23"/>
      <c r="M85" s="23"/>
      <c r="N85" s="23"/>
      <c r="O85" s="23"/>
      <c r="P85" s="23"/>
      <c r="Q85" s="23"/>
      <c r="R85" s="23"/>
    </row>
    <row r="86" spans="1:18" ht="30" customHeight="1" x14ac:dyDescent="0.25">
      <c r="A86" s="22" t="s">
        <v>219</v>
      </c>
      <c r="B86" s="23"/>
      <c r="C86" s="23"/>
      <c r="D86" s="23"/>
      <c r="E86" s="23"/>
      <c r="F86" s="23"/>
      <c r="G86" s="23"/>
      <c r="H86" s="23"/>
      <c r="I86" s="23"/>
      <c r="J86" s="23"/>
      <c r="K86" s="23"/>
      <c r="L86" s="23"/>
      <c r="M86" s="23"/>
      <c r="N86" s="23"/>
      <c r="O86" s="23"/>
      <c r="P86" s="23"/>
      <c r="Q86" s="23"/>
      <c r="R86" s="23"/>
    </row>
    <row r="87" spans="1:18" ht="30" customHeight="1" x14ac:dyDescent="0.25">
      <c r="A87" s="22" t="s">
        <v>215</v>
      </c>
      <c r="B87" s="23"/>
      <c r="C87" s="23"/>
      <c r="D87" s="23"/>
      <c r="E87" s="23"/>
      <c r="F87" s="23"/>
      <c r="G87" s="23"/>
      <c r="H87" s="23"/>
      <c r="I87" s="23"/>
      <c r="J87" s="23"/>
      <c r="K87" s="23"/>
      <c r="L87" s="23"/>
      <c r="M87" s="23"/>
      <c r="N87" s="23"/>
      <c r="O87" s="23"/>
      <c r="P87" s="23"/>
      <c r="Q87" s="23"/>
      <c r="R87" s="23"/>
    </row>
    <row r="88" spans="1:18" ht="30" customHeight="1" x14ac:dyDescent="0.25">
      <c r="A88" s="22" t="s">
        <v>220</v>
      </c>
      <c r="B88" s="23"/>
      <c r="C88" s="23"/>
      <c r="D88" s="23"/>
      <c r="E88" s="23"/>
      <c r="F88" s="23"/>
      <c r="G88" s="23"/>
      <c r="H88" s="23"/>
      <c r="I88" s="23"/>
      <c r="J88" s="23"/>
      <c r="K88" s="23"/>
      <c r="L88" s="23"/>
      <c r="M88" s="23"/>
      <c r="N88" s="23"/>
      <c r="O88" s="23"/>
      <c r="P88" s="23"/>
      <c r="Q88" s="23"/>
      <c r="R88" s="23"/>
    </row>
    <row r="89" spans="1:18" ht="30" customHeight="1" x14ac:dyDescent="0.25">
      <c r="A89" s="22" t="s">
        <v>221</v>
      </c>
      <c r="B89" s="23"/>
      <c r="C89" s="23"/>
      <c r="D89" s="23"/>
      <c r="E89" s="23"/>
      <c r="F89" s="23"/>
      <c r="G89" s="23"/>
      <c r="H89" s="23"/>
      <c r="I89" s="23"/>
      <c r="J89" s="23"/>
      <c r="K89" s="23"/>
      <c r="L89" s="23"/>
      <c r="M89" s="23"/>
      <c r="N89" s="23"/>
      <c r="O89" s="23"/>
      <c r="P89" s="23"/>
      <c r="Q89" s="23"/>
      <c r="R89" s="23"/>
    </row>
    <row r="90" spans="1:18" ht="30" customHeight="1" x14ac:dyDescent="0.25">
      <c r="A90" s="22" t="s">
        <v>222</v>
      </c>
      <c r="B90" s="23"/>
      <c r="C90" s="23"/>
      <c r="D90" s="23"/>
      <c r="E90" s="23"/>
      <c r="F90" s="23"/>
      <c r="G90" s="23"/>
      <c r="H90" s="23"/>
      <c r="I90" s="23"/>
      <c r="J90" s="23"/>
      <c r="K90" s="23"/>
      <c r="L90" s="23"/>
      <c r="M90" s="23"/>
      <c r="N90" s="23"/>
      <c r="O90" s="23"/>
      <c r="P90" s="23"/>
      <c r="Q90" s="23"/>
      <c r="R90" s="23"/>
    </row>
    <row r="91" spans="1:18" ht="30" customHeight="1" x14ac:dyDescent="0.25">
      <c r="A91" s="22" t="s">
        <v>223</v>
      </c>
      <c r="B91" s="23"/>
      <c r="C91" s="23"/>
      <c r="D91" s="23"/>
      <c r="E91" s="23"/>
      <c r="F91" s="23"/>
      <c r="G91" s="23"/>
      <c r="H91" s="23"/>
      <c r="I91" s="23"/>
      <c r="J91" s="23"/>
      <c r="K91" s="23"/>
      <c r="L91" s="23"/>
      <c r="M91" s="23"/>
      <c r="N91" s="23"/>
      <c r="O91" s="23"/>
      <c r="P91" s="23"/>
      <c r="Q91" s="23"/>
      <c r="R91" s="23"/>
    </row>
    <row r="92" spans="1:18" ht="30" customHeight="1" x14ac:dyDescent="0.25">
      <c r="A92" s="22" t="s">
        <v>224</v>
      </c>
      <c r="B92" s="23"/>
      <c r="C92" s="23"/>
      <c r="D92" s="23"/>
      <c r="E92" s="23"/>
      <c r="F92" s="23"/>
      <c r="G92" s="23"/>
      <c r="H92" s="23"/>
      <c r="I92" s="23"/>
      <c r="J92" s="23"/>
      <c r="K92" s="23"/>
      <c r="L92" s="23"/>
      <c r="M92" s="23"/>
      <c r="N92" s="23"/>
      <c r="O92" s="23"/>
      <c r="P92" s="23"/>
      <c r="Q92" s="23"/>
      <c r="R92" s="23"/>
    </row>
    <row r="93" spans="1:18" ht="30" customHeight="1" x14ac:dyDescent="0.25">
      <c r="A93" s="22" t="s">
        <v>225</v>
      </c>
      <c r="B93" s="23"/>
      <c r="C93" s="23"/>
      <c r="D93" s="23"/>
      <c r="E93" s="23"/>
      <c r="F93" s="23"/>
      <c r="G93" s="23"/>
      <c r="H93" s="23"/>
      <c r="I93" s="23"/>
      <c r="J93" s="23"/>
      <c r="K93" s="23"/>
      <c r="L93" s="23"/>
      <c r="M93" s="23"/>
      <c r="N93" s="23"/>
      <c r="O93" s="23"/>
      <c r="P93" s="23"/>
      <c r="Q93" s="23"/>
      <c r="R93" s="23"/>
    </row>
    <row r="94" spans="1:18" ht="30" customHeight="1" x14ac:dyDescent="0.25">
      <c r="A94" s="22" t="s">
        <v>226</v>
      </c>
      <c r="B94" s="23"/>
      <c r="C94" s="23"/>
      <c r="D94" s="23"/>
      <c r="E94" s="23"/>
      <c r="F94" s="23"/>
      <c r="G94" s="23"/>
      <c r="H94" s="23"/>
      <c r="I94" s="23"/>
      <c r="J94" s="23"/>
      <c r="K94" s="23"/>
      <c r="L94" s="23"/>
      <c r="M94" s="23"/>
      <c r="N94" s="23"/>
      <c r="O94" s="23"/>
      <c r="P94" s="23"/>
      <c r="Q94" s="23"/>
      <c r="R94" s="23"/>
    </row>
    <row r="95" spans="1:18" ht="30" customHeight="1" x14ac:dyDescent="0.25">
      <c r="A95" s="22" t="s">
        <v>227</v>
      </c>
      <c r="B95" s="23"/>
      <c r="C95" s="23"/>
      <c r="D95" s="23"/>
      <c r="E95" s="23"/>
      <c r="F95" s="23"/>
      <c r="G95" s="23"/>
      <c r="H95" s="23"/>
      <c r="I95" s="23"/>
      <c r="J95" s="23"/>
      <c r="K95" s="23"/>
      <c r="L95" s="23"/>
      <c r="M95" s="23"/>
      <c r="N95" s="23"/>
      <c r="O95" s="23"/>
      <c r="P95" s="23"/>
      <c r="Q95" s="23"/>
      <c r="R95" s="23"/>
    </row>
    <row r="96" spans="1:18" ht="30" customHeight="1" x14ac:dyDescent="0.25">
      <c r="A96" s="22" t="s">
        <v>228</v>
      </c>
      <c r="B96" s="23"/>
      <c r="C96" s="23"/>
      <c r="D96" s="23"/>
      <c r="E96" s="23"/>
      <c r="F96" s="23"/>
      <c r="G96" s="23"/>
      <c r="H96" s="23"/>
      <c r="I96" s="23"/>
      <c r="J96" s="23"/>
      <c r="K96" s="23"/>
      <c r="L96" s="23"/>
      <c r="M96" s="23"/>
      <c r="N96" s="23"/>
      <c r="O96" s="23"/>
      <c r="P96" s="23"/>
      <c r="Q96" s="23"/>
      <c r="R96" s="23"/>
    </row>
  </sheetData>
  <mergeCells count="22">
    <mergeCell ref="O4:P4"/>
    <mergeCell ref="Q4:R4"/>
    <mergeCell ref="A1:R1"/>
    <mergeCell ref="A2:R2"/>
    <mergeCell ref="A84:R84"/>
    <mergeCell ref="E4:F4"/>
    <mergeCell ref="G4:H4"/>
    <mergeCell ref="I4:J4"/>
    <mergeCell ref="K4:L4"/>
    <mergeCell ref="M4:N4"/>
    <mergeCell ref="A85:R85"/>
    <mergeCell ref="A86:R86"/>
    <mergeCell ref="A87:R87"/>
    <mergeCell ref="A88:R88"/>
    <mergeCell ref="A89:R89"/>
    <mergeCell ref="A95:R95"/>
    <mergeCell ref="A96:R96"/>
    <mergeCell ref="A90:R90"/>
    <mergeCell ref="A91:R91"/>
    <mergeCell ref="A92:R92"/>
    <mergeCell ref="A93:R93"/>
    <mergeCell ref="A94:R94"/>
  </mergeCells>
  <pageMargins left="0.75" right="0.75" top="1" bottom="1" header="0.5" footer="0.5"/>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0"/>
  <dimension ref="A1:R96"/>
  <sheetViews>
    <sheetView zoomScale="80" workbookViewId="0">
      <pane xSplit="4" topLeftCell="E1" activePane="topRight" state="frozen"/>
      <selection sqref="A1:R1"/>
      <selection pane="topRight" sqref="A1:R1"/>
    </sheetView>
  </sheetViews>
  <sheetFormatPr defaultColWidth="11.42578125" defaultRowHeight="15" x14ac:dyDescent="0.25"/>
  <cols>
    <col min="1" max="1" width="50" customWidth="1"/>
  </cols>
  <sheetData>
    <row r="1" spans="1:18" x14ac:dyDescent="0.25">
      <c r="A1" s="26" t="s">
        <v>122</v>
      </c>
      <c r="B1" s="23"/>
      <c r="C1" s="23"/>
      <c r="D1" s="23"/>
      <c r="E1" s="23"/>
      <c r="F1" s="23"/>
      <c r="G1" s="23"/>
      <c r="H1" s="23"/>
      <c r="I1" s="23"/>
      <c r="J1" s="23"/>
      <c r="K1" s="23"/>
      <c r="L1" s="23"/>
      <c r="M1" s="23"/>
      <c r="N1" s="23"/>
      <c r="O1" s="23"/>
      <c r="P1" s="23"/>
      <c r="Q1" s="23"/>
      <c r="R1" s="23"/>
    </row>
    <row r="2" spans="1:18" x14ac:dyDescent="0.25">
      <c r="A2" s="27" t="s">
        <v>326</v>
      </c>
      <c r="B2" s="23"/>
      <c r="C2" s="23"/>
      <c r="D2" s="23"/>
      <c r="E2" s="23"/>
      <c r="F2" s="23"/>
      <c r="G2" s="23"/>
      <c r="H2" s="23"/>
      <c r="I2" s="23"/>
      <c r="J2" s="23"/>
      <c r="K2" s="23"/>
      <c r="L2" s="23"/>
      <c r="M2" s="23"/>
      <c r="N2" s="23"/>
      <c r="O2" s="23"/>
      <c r="P2" s="23"/>
      <c r="Q2" s="23"/>
      <c r="R2" s="23"/>
    </row>
    <row r="4" spans="1:18" ht="30" customHeight="1" x14ac:dyDescent="0.25">
      <c r="A4" s="4"/>
      <c r="B4" s="5" t="s">
        <v>123</v>
      </c>
      <c r="C4" s="5" t="s">
        <v>124</v>
      </c>
      <c r="D4" s="6" t="s">
        <v>123</v>
      </c>
      <c r="E4" s="24" t="s">
        <v>125</v>
      </c>
      <c r="F4" s="25"/>
      <c r="G4" s="24" t="s">
        <v>126</v>
      </c>
      <c r="H4" s="25"/>
      <c r="I4" s="24" t="s">
        <v>127</v>
      </c>
      <c r="J4" s="25"/>
      <c r="K4" s="24" t="s">
        <v>128</v>
      </c>
      <c r="L4" s="25"/>
      <c r="M4" s="24" t="s">
        <v>129</v>
      </c>
      <c r="N4" s="25"/>
      <c r="O4" s="24" t="s">
        <v>130</v>
      </c>
      <c r="P4" s="25"/>
      <c r="Q4" s="24" t="s">
        <v>131</v>
      </c>
      <c r="R4" s="25"/>
    </row>
    <row r="5" spans="1:18" x14ac:dyDescent="0.25">
      <c r="A5" s="7"/>
      <c r="B5" s="8" t="s">
        <v>132</v>
      </c>
      <c r="C5" s="8" t="s">
        <v>133</v>
      </c>
      <c r="D5" s="7" t="s">
        <v>134</v>
      </c>
      <c r="E5" s="8" t="s">
        <v>135</v>
      </c>
      <c r="F5" s="7" t="s">
        <v>136</v>
      </c>
      <c r="G5" s="8" t="s">
        <v>135</v>
      </c>
      <c r="H5" s="7" t="s">
        <v>136</v>
      </c>
      <c r="I5" s="8" t="s">
        <v>135</v>
      </c>
      <c r="J5" s="7" t="s">
        <v>136</v>
      </c>
      <c r="K5" s="8" t="s">
        <v>135</v>
      </c>
      <c r="L5" s="7" t="s">
        <v>136</v>
      </c>
      <c r="M5" s="8" t="s">
        <v>135</v>
      </c>
      <c r="N5" s="7" t="s">
        <v>136</v>
      </c>
      <c r="O5" s="8" t="s">
        <v>135</v>
      </c>
      <c r="P5" s="7" t="s">
        <v>136</v>
      </c>
      <c r="Q5" s="8" t="s">
        <v>135</v>
      </c>
      <c r="R5" s="7" t="s">
        <v>136</v>
      </c>
    </row>
    <row r="6" spans="1:18" x14ac:dyDescent="0.25">
      <c r="A6" s="9" t="s">
        <v>137</v>
      </c>
      <c r="B6" s="10"/>
      <c r="C6" s="10"/>
      <c r="D6" s="11"/>
      <c r="E6" s="10"/>
      <c r="F6" s="11"/>
      <c r="G6" s="10"/>
      <c r="H6" s="11"/>
      <c r="I6" s="10"/>
      <c r="J6" s="11"/>
      <c r="K6" s="10"/>
      <c r="L6" s="11"/>
      <c r="M6" s="10"/>
      <c r="N6" s="11"/>
      <c r="O6" s="10"/>
      <c r="P6" s="11"/>
      <c r="Q6" s="10"/>
      <c r="R6" s="12"/>
    </row>
    <row r="7" spans="1:18" x14ac:dyDescent="0.25">
      <c r="A7" s="11" t="s">
        <v>138</v>
      </c>
      <c r="B7" s="13">
        <v>14530</v>
      </c>
      <c r="C7" s="14">
        <f>(12049/B7*100)</f>
        <v>82.924982794218863</v>
      </c>
      <c r="D7" s="15">
        <v>2481</v>
      </c>
      <c r="E7" s="14">
        <v>15.136182359999999</v>
      </c>
      <c r="F7" s="16">
        <v>0.78589774000000001</v>
      </c>
      <c r="G7" s="14">
        <v>84.863817639999994</v>
      </c>
      <c r="H7" s="16">
        <v>0.78589774000000001</v>
      </c>
      <c r="I7" s="14" t="s">
        <v>139</v>
      </c>
      <c r="J7" s="16" t="s">
        <v>139</v>
      </c>
      <c r="K7" s="14">
        <v>0</v>
      </c>
      <c r="L7" s="16">
        <v>0</v>
      </c>
      <c r="M7" s="14">
        <v>0</v>
      </c>
      <c r="N7" s="16">
        <v>0</v>
      </c>
      <c r="O7" s="14">
        <v>0</v>
      </c>
      <c r="P7" s="16">
        <v>0</v>
      </c>
      <c r="Q7" s="14">
        <v>0</v>
      </c>
      <c r="R7" s="16">
        <v>0</v>
      </c>
    </row>
    <row r="8" spans="1:18" x14ac:dyDescent="0.25">
      <c r="A8" s="11" t="s">
        <v>140</v>
      </c>
      <c r="B8" s="13">
        <v>7007</v>
      </c>
      <c r="C8" s="14">
        <f>(5769/B8*100)</f>
        <v>82.331953760525195</v>
      </c>
      <c r="D8" s="15">
        <v>1238</v>
      </c>
      <c r="E8" s="14">
        <v>18.31807263</v>
      </c>
      <c r="F8" s="16">
        <v>1.3745983900000001</v>
      </c>
      <c r="G8" s="14">
        <v>81.681927369999997</v>
      </c>
      <c r="H8" s="16">
        <v>1.3745983900000001</v>
      </c>
      <c r="I8" s="14" t="s">
        <v>139</v>
      </c>
      <c r="J8" s="16" t="s">
        <v>139</v>
      </c>
      <c r="K8" s="14">
        <v>0</v>
      </c>
      <c r="L8" s="16">
        <v>0</v>
      </c>
      <c r="M8" s="14">
        <v>0</v>
      </c>
      <c r="N8" s="16">
        <v>0</v>
      </c>
      <c r="O8" s="14">
        <v>0</v>
      </c>
      <c r="P8" s="16">
        <v>0</v>
      </c>
      <c r="Q8" s="14">
        <v>0</v>
      </c>
      <c r="R8" s="16">
        <v>0</v>
      </c>
    </row>
    <row r="9" spans="1:18" x14ac:dyDescent="0.25">
      <c r="A9" s="11" t="s">
        <v>141</v>
      </c>
      <c r="B9" s="13">
        <v>9651</v>
      </c>
      <c r="C9" s="14">
        <f>(8037/B9*100)</f>
        <v>83.276344420267336</v>
      </c>
      <c r="D9" s="15">
        <v>1614</v>
      </c>
      <c r="E9" s="14">
        <v>17.350025540000001</v>
      </c>
      <c r="F9" s="16">
        <v>0.92746583000000005</v>
      </c>
      <c r="G9" s="14">
        <v>82.649974459999996</v>
      </c>
      <c r="H9" s="16">
        <v>0.92746583000000005</v>
      </c>
      <c r="I9" s="14" t="s">
        <v>139</v>
      </c>
      <c r="J9" s="16" t="s">
        <v>139</v>
      </c>
      <c r="K9" s="14">
        <v>0</v>
      </c>
      <c r="L9" s="16">
        <v>0</v>
      </c>
      <c r="M9" s="14">
        <v>0</v>
      </c>
      <c r="N9" s="16">
        <v>0</v>
      </c>
      <c r="O9" s="14">
        <v>0</v>
      </c>
      <c r="P9" s="16">
        <v>0</v>
      </c>
      <c r="Q9" s="14">
        <v>0</v>
      </c>
      <c r="R9" s="16">
        <v>0</v>
      </c>
    </row>
    <row r="10" spans="1:18" x14ac:dyDescent="0.25">
      <c r="A10" s="11" t="s">
        <v>142</v>
      </c>
      <c r="B10" s="13">
        <v>20058</v>
      </c>
      <c r="C10" s="14">
        <f>(16648/B10*100)</f>
        <v>82.999302024130031</v>
      </c>
      <c r="D10" s="15">
        <v>3410</v>
      </c>
      <c r="E10" s="14">
        <v>14.259850269999999</v>
      </c>
      <c r="F10" s="16">
        <v>0.75739257999999998</v>
      </c>
      <c r="G10" s="14">
        <v>85.740149729999999</v>
      </c>
      <c r="H10" s="16">
        <v>0.75739257999999998</v>
      </c>
      <c r="I10" s="14" t="s">
        <v>139</v>
      </c>
      <c r="J10" s="16" t="s">
        <v>139</v>
      </c>
      <c r="K10" s="14">
        <v>0</v>
      </c>
      <c r="L10" s="16">
        <v>0</v>
      </c>
      <c r="M10" s="14">
        <v>0</v>
      </c>
      <c r="N10" s="16">
        <v>0</v>
      </c>
      <c r="O10" s="14">
        <v>0</v>
      </c>
      <c r="P10" s="16">
        <v>0</v>
      </c>
      <c r="Q10" s="14">
        <v>0</v>
      </c>
      <c r="R10" s="16">
        <v>0</v>
      </c>
    </row>
    <row r="11" spans="1:18" x14ac:dyDescent="0.25">
      <c r="A11" s="11" t="s">
        <v>143</v>
      </c>
      <c r="B11" s="13">
        <v>7053</v>
      </c>
      <c r="C11" s="14">
        <f>(5826/B11*100)</f>
        <v>82.603147596767329</v>
      </c>
      <c r="D11" s="15">
        <v>1227</v>
      </c>
      <c r="E11" s="14">
        <v>23.265734599999998</v>
      </c>
      <c r="F11" s="16">
        <v>1.47223141</v>
      </c>
      <c r="G11" s="14">
        <v>76.734265399999998</v>
      </c>
      <c r="H11" s="16">
        <v>1.47223141</v>
      </c>
      <c r="I11" s="14" t="s">
        <v>139</v>
      </c>
      <c r="J11" s="16" t="s">
        <v>139</v>
      </c>
      <c r="K11" s="14">
        <v>0</v>
      </c>
      <c r="L11" s="16">
        <v>0</v>
      </c>
      <c r="M11" s="14">
        <v>0</v>
      </c>
      <c r="N11" s="16">
        <v>0</v>
      </c>
      <c r="O11" s="14">
        <v>0</v>
      </c>
      <c r="P11" s="16">
        <v>0</v>
      </c>
      <c r="Q11" s="14">
        <v>0</v>
      </c>
      <c r="R11" s="16">
        <v>0</v>
      </c>
    </row>
    <row r="12" spans="1:18" x14ac:dyDescent="0.25">
      <c r="A12" s="11" t="s">
        <v>144</v>
      </c>
      <c r="B12" s="13">
        <v>6894</v>
      </c>
      <c r="C12" s="14">
        <f>(5721/B12*100)</f>
        <v>82.98520452567449</v>
      </c>
      <c r="D12" s="15">
        <v>1173</v>
      </c>
      <c r="E12" s="14">
        <v>17.326427420000002</v>
      </c>
      <c r="F12" s="16">
        <v>1.2154370699999999</v>
      </c>
      <c r="G12" s="14">
        <v>82.673572579999998</v>
      </c>
      <c r="H12" s="16">
        <v>1.2154370699999999</v>
      </c>
      <c r="I12" s="14" t="s">
        <v>139</v>
      </c>
      <c r="J12" s="16" t="s">
        <v>139</v>
      </c>
      <c r="K12" s="14">
        <v>0</v>
      </c>
      <c r="L12" s="16">
        <v>0</v>
      </c>
      <c r="M12" s="14">
        <v>0</v>
      </c>
      <c r="N12" s="16">
        <v>0</v>
      </c>
      <c r="O12" s="14">
        <v>0</v>
      </c>
      <c r="P12" s="16">
        <v>0</v>
      </c>
      <c r="Q12" s="14">
        <v>0</v>
      </c>
      <c r="R12" s="16">
        <v>0</v>
      </c>
    </row>
    <row r="13" spans="1:18" x14ac:dyDescent="0.25">
      <c r="A13" s="11" t="s">
        <v>145</v>
      </c>
      <c r="B13" s="13">
        <v>7161</v>
      </c>
      <c r="C13" s="14">
        <f>(5990/B13*100)</f>
        <v>83.647535260438488</v>
      </c>
      <c r="D13" s="15">
        <v>1171</v>
      </c>
      <c r="E13" s="14">
        <v>15.4433983</v>
      </c>
      <c r="F13" s="16">
        <v>1.3522030700000001</v>
      </c>
      <c r="G13" s="14">
        <v>84.556601700000002</v>
      </c>
      <c r="H13" s="16">
        <v>1.3522030700000001</v>
      </c>
      <c r="I13" s="14" t="s">
        <v>139</v>
      </c>
      <c r="J13" s="16" t="s">
        <v>139</v>
      </c>
      <c r="K13" s="14">
        <v>0</v>
      </c>
      <c r="L13" s="16">
        <v>0</v>
      </c>
      <c r="M13" s="14">
        <v>0</v>
      </c>
      <c r="N13" s="16">
        <v>0</v>
      </c>
      <c r="O13" s="14">
        <v>0</v>
      </c>
      <c r="P13" s="16">
        <v>0</v>
      </c>
      <c r="Q13" s="14">
        <v>0</v>
      </c>
      <c r="R13" s="16">
        <v>0</v>
      </c>
    </row>
    <row r="14" spans="1:18" x14ac:dyDescent="0.25">
      <c r="A14" s="11" t="s">
        <v>146</v>
      </c>
      <c r="B14" s="13">
        <v>5587</v>
      </c>
      <c r="C14" s="14">
        <f>(4623/B14*100)</f>
        <v>82.745659566851614</v>
      </c>
      <c r="D14" s="15">
        <v>964</v>
      </c>
      <c r="E14" s="14">
        <v>10.956850640000001</v>
      </c>
      <c r="F14" s="16">
        <v>0.88343859999999996</v>
      </c>
      <c r="G14" s="14">
        <v>89.043149360000001</v>
      </c>
      <c r="H14" s="16">
        <v>0.88343859999999996</v>
      </c>
      <c r="I14" s="14" t="s">
        <v>139</v>
      </c>
      <c r="J14" s="16" t="s">
        <v>139</v>
      </c>
      <c r="K14" s="14">
        <v>0</v>
      </c>
      <c r="L14" s="16">
        <v>0</v>
      </c>
      <c r="M14" s="14">
        <v>0</v>
      </c>
      <c r="N14" s="16">
        <v>0</v>
      </c>
      <c r="O14" s="14">
        <v>0</v>
      </c>
      <c r="P14" s="16">
        <v>0</v>
      </c>
      <c r="Q14" s="14">
        <v>0</v>
      </c>
      <c r="R14" s="16">
        <v>0</v>
      </c>
    </row>
    <row r="15" spans="1:18" x14ac:dyDescent="0.25">
      <c r="A15" s="11" t="s">
        <v>147</v>
      </c>
      <c r="B15" s="13">
        <v>5882</v>
      </c>
      <c r="C15" s="14">
        <f>(4869/B15*100)</f>
        <v>82.777966678000681</v>
      </c>
      <c r="D15" s="15">
        <v>1013</v>
      </c>
      <c r="E15" s="14">
        <v>10.347726979999999</v>
      </c>
      <c r="F15" s="16">
        <v>0.90690473000000005</v>
      </c>
      <c r="G15" s="14">
        <v>89.652273019999996</v>
      </c>
      <c r="H15" s="16">
        <v>0.90690473000000005</v>
      </c>
      <c r="I15" s="14" t="s">
        <v>139</v>
      </c>
      <c r="J15" s="16" t="s">
        <v>139</v>
      </c>
      <c r="K15" s="14">
        <v>0</v>
      </c>
      <c r="L15" s="16">
        <v>0</v>
      </c>
      <c r="M15" s="14">
        <v>0</v>
      </c>
      <c r="N15" s="16">
        <v>0</v>
      </c>
      <c r="O15" s="14">
        <v>0</v>
      </c>
      <c r="P15" s="16">
        <v>0</v>
      </c>
      <c r="Q15" s="14">
        <v>0</v>
      </c>
      <c r="R15" s="16">
        <v>0</v>
      </c>
    </row>
    <row r="16" spans="1:18" x14ac:dyDescent="0.25">
      <c r="A16" s="11" t="s">
        <v>148</v>
      </c>
      <c r="B16" s="13">
        <v>6108</v>
      </c>
      <c r="C16" s="14">
        <f>(5076/B16*100)</f>
        <v>83.104125736738695</v>
      </c>
      <c r="D16" s="15">
        <v>1032</v>
      </c>
      <c r="E16" s="14">
        <v>21.10972817</v>
      </c>
      <c r="F16" s="16">
        <v>1.2351473900000001</v>
      </c>
      <c r="G16" s="14">
        <v>78.890271830000003</v>
      </c>
      <c r="H16" s="16">
        <v>1.2351473900000001</v>
      </c>
      <c r="I16" s="14" t="s">
        <v>139</v>
      </c>
      <c r="J16" s="16" t="s">
        <v>139</v>
      </c>
      <c r="K16" s="14">
        <v>0</v>
      </c>
      <c r="L16" s="16">
        <v>0</v>
      </c>
      <c r="M16" s="14">
        <v>0</v>
      </c>
      <c r="N16" s="16">
        <v>0</v>
      </c>
      <c r="O16" s="14">
        <v>0</v>
      </c>
      <c r="P16" s="16">
        <v>0</v>
      </c>
      <c r="Q16" s="14">
        <v>0</v>
      </c>
      <c r="R16" s="16">
        <v>0</v>
      </c>
    </row>
    <row r="17" spans="1:18" x14ac:dyDescent="0.25">
      <c r="A17" s="11" t="s">
        <v>149</v>
      </c>
      <c r="B17" s="13">
        <v>6504</v>
      </c>
      <c r="C17" s="14">
        <f>(5410/B17*100)</f>
        <v>83.179581795817953</v>
      </c>
      <c r="D17" s="15">
        <v>1094</v>
      </c>
      <c r="E17" s="14">
        <v>18.463038390000001</v>
      </c>
      <c r="F17" s="16">
        <v>1.20643126</v>
      </c>
      <c r="G17" s="14">
        <v>81.536961610000006</v>
      </c>
      <c r="H17" s="16">
        <v>1.20643126</v>
      </c>
      <c r="I17" s="14" t="s">
        <v>139</v>
      </c>
      <c r="J17" s="16" t="s">
        <v>139</v>
      </c>
      <c r="K17" s="14">
        <v>0</v>
      </c>
      <c r="L17" s="16">
        <v>0</v>
      </c>
      <c r="M17" s="14">
        <v>0</v>
      </c>
      <c r="N17" s="16">
        <v>0</v>
      </c>
      <c r="O17" s="14">
        <v>0</v>
      </c>
      <c r="P17" s="16">
        <v>0</v>
      </c>
      <c r="Q17" s="14">
        <v>0</v>
      </c>
      <c r="R17" s="16">
        <v>0</v>
      </c>
    </row>
    <row r="18" spans="1:18" x14ac:dyDescent="0.25">
      <c r="A18" s="11" t="s">
        <v>150</v>
      </c>
      <c r="B18" s="13">
        <v>5532</v>
      </c>
      <c r="C18" s="14">
        <f>(4579/B18*100)</f>
        <v>82.772957339117852</v>
      </c>
      <c r="D18" s="15">
        <v>953</v>
      </c>
      <c r="E18" s="14">
        <v>28.180425580000001</v>
      </c>
      <c r="F18" s="16">
        <v>1.5313582400000001</v>
      </c>
      <c r="G18" s="14">
        <v>71.819574419999995</v>
      </c>
      <c r="H18" s="16">
        <v>1.5313582400000001</v>
      </c>
      <c r="I18" s="14" t="s">
        <v>139</v>
      </c>
      <c r="J18" s="16" t="s">
        <v>139</v>
      </c>
      <c r="K18" s="14">
        <v>0</v>
      </c>
      <c r="L18" s="16">
        <v>0</v>
      </c>
      <c r="M18" s="14">
        <v>0</v>
      </c>
      <c r="N18" s="16">
        <v>0</v>
      </c>
      <c r="O18" s="14">
        <v>0</v>
      </c>
      <c r="P18" s="16">
        <v>0</v>
      </c>
      <c r="Q18" s="14">
        <v>0</v>
      </c>
      <c r="R18" s="16">
        <v>0</v>
      </c>
    </row>
    <row r="19" spans="1:18" x14ac:dyDescent="0.25">
      <c r="A19" s="11" t="s">
        <v>151</v>
      </c>
      <c r="B19" s="13">
        <v>5658</v>
      </c>
      <c r="C19" s="14">
        <f>(4691/B19*100)</f>
        <v>82.909155178508314</v>
      </c>
      <c r="D19" s="15">
        <v>967</v>
      </c>
      <c r="E19" s="14">
        <v>24.27803874</v>
      </c>
      <c r="F19" s="16">
        <v>1.5471327399999999</v>
      </c>
      <c r="G19" s="14">
        <v>75.72196126</v>
      </c>
      <c r="H19" s="16">
        <v>1.5471327399999999</v>
      </c>
      <c r="I19" s="14" t="s">
        <v>139</v>
      </c>
      <c r="J19" s="16" t="s">
        <v>139</v>
      </c>
      <c r="K19" s="14">
        <v>0</v>
      </c>
      <c r="L19" s="16">
        <v>0</v>
      </c>
      <c r="M19" s="14">
        <v>0</v>
      </c>
      <c r="N19" s="16">
        <v>0</v>
      </c>
      <c r="O19" s="14">
        <v>0</v>
      </c>
      <c r="P19" s="16">
        <v>0</v>
      </c>
      <c r="Q19" s="14">
        <v>0</v>
      </c>
      <c r="R19" s="16">
        <v>0</v>
      </c>
    </row>
    <row r="20" spans="1:18" x14ac:dyDescent="0.25">
      <c r="A20" s="11" t="s">
        <v>152</v>
      </c>
      <c r="B20" s="13">
        <v>3371</v>
      </c>
      <c r="C20" s="14">
        <f>(2798/B20*100)</f>
        <v>83.002076535152767</v>
      </c>
      <c r="D20" s="15">
        <v>573</v>
      </c>
      <c r="E20" s="14">
        <v>21.52652402</v>
      </c>
      <c r="F20" s="16">
        <v>1.76241516</v>
      </c>
      <c r="G20" s="14">
        <v>78.473475980000003</v>
      </c>
      <c r="H20" s="16">
        <v>1.76241516</v>
      </c>
      <c r="I20" s="14" t="s">
        <v>139</v>
      </c>
      <c r="J20" s="16" t="s">
        <v>139</v>
      </c>
      <c r="K20" s="14">
        <v>0</v>
      </c>
      <c r="L20" s="16">
        <v>0</v>
      </c>
      <c r="M20" s="14">
        <v>0</v>
      </c>
      <c r="N20" s="16">
        <v>0</v>
      </c>
      <c r="O20" s="14">
        <v>0</v>
      </c>
      <c r="P20" s="16">
        <v>0</v>
      </c>
      <c r="Q20" s="14">
        <v>0</v>
      </c>
      <c r="R20" s="16">
        <v>0</v>
      </c>
    </row>
    <row r="21" spans="1:18" x14ac:dyDescent="0.25">
      <c r="A21" s="11" t="s">
        <v>153</v>
      </c>
      <c r="B21" s="17" t="s">
        <v>154</v>
      </c>
      <c r="C21" s="17" t="s">
        <v>154</v>
      </c>
      <c r="D21" s="18" t="s">
        <v>154</v>
      </c>
      <c r="E21" s="17" t="s">
        <v>154</v>
      </c>
      <c r="F21" s="18" t="s">
        <v>154</v>
      </c>
      <c r="G21" s="17" t="s">
        <v>154</v>
      </c>
      <c r="H21" s="18" t="s">
        <v>154</v>
      </c>
      <c r="I21" s="17" t="s">
        <v>154</v>
      </c>
      <c r="J21" s="18" t="s">
        <v>154</v>
      </c>
      <c r="K21" s="17" t="s">
        <v>154</v>
      </c>
      <c r="L21" s="18" t="s">
        <v>154</v>
      </c>
      <c r="M21" s="17" t="s">
        <v>154</v>
      </c>
      <c r="N21" s="18" t="s">
        <v>154</v>
      </c>
      <c r="O21" s="17" t="s">
        <v>154</v>
      </c>
      <c r="P21" s="18" t="s">
        <v>154</v>
      </c>
      <c r="Q21" s="17" t="s">
        <v>154</v>
      </c>
      <c r="R21" s="18" t="s">
        <v>154</v>
      </c>
    </row>
    <row r="22" spans="1:18" x14ac:dyDescent="0.25">
      <c r="A22" s="11" t="s">
        <v>155</v>
      </c>
      <c r="B22" s="13">
        <v>6598</v>
      </c>
      <c r="C22" s="14">
        <f>(5570/B22*100)</f>
        <v>84.419521066990001</v>
      </c>
      <c r="D22" s="15">
        <v>1028</v>
      </c>
      <c r="E22" s="14">
        <v>26.366203479999999</v>
      </c>
      <c r="F22" s="16">
        <v>1.3661864500000001</v>
      </c>
      <c r="G22" s="14">
        <v>73.633796520000004</v>
      </c>
      <c r="H22" s="16">
        <v>1.3661864500000001</v>
      </c>
      <c r="I22" s="14" t="s">
        <v>139</v>
      </c>
      <c r="J22" s="16" t="s">
        <v>139</v>
      </c>
      <c r="K22" s="14">
        <v>0</v>
      </c>
      <c r="L22" s="16">
        <v>0</v>
      </c>
      <c r="M22" s="14">
        <v>0</v>
      </c>
      <c r="N22" s="16">
        <v>0</v>
      </c>
      <c r="O22" s="14">
        <v>0</v>
      </c>
      <c r="P22" s="16">
        <v>0</v>
      </c>
      <c r="Q22" s="14">
        <v>0</v>
      </c>
      <c r="R22" s="16">
        <v>0</v>
      </c>
    </row>
    <row r="23" spans="1:18" x14ac:dyDescent="0.25">
      <c r="A23" s="11" t="s">
        <v>156</v>
      </c>
      <c r="B23" s="13">
        <v>11583</v>
      </c>
      <c r="C23" s="14">
        <f>(9578/B23*100)</f>
        <v>82.690149356816022</v>
      </c>
      <c r="D23" s="15">
        <v>2005</v>
      </c>
      <c r="E23" s="14">
        <v>20.685382499999999</v>
      </c>
      <c r="F23" s="16">
        <v>1.1304858499999999</v>
      </c>
      <c r="G23" s="14">
        <v>79.314617499999997</v>
      </c>
      <c r="H23" s="16">
        <v>1.1304858499999999</v>
      </c>
      <c r="I23" s="14" t="s">
        <v>139</v>
      </c>
      <c r="J23" s="16" t="s">
        <v>139</v>
      </c>
      <c r="K23" s="14">
        <v>0</v>
      </c>
      <c r="L23" s="16">
        <v>0</v>
      </c>
      <c r="M23" s="14">
        <v>0</v>
      </c>
      <c r="N23" s="16">
        <v>0</v>
      </c>
      <c r="O23" s="14">
        <v>0</v>
      </c>
      <c r="P23" s="16">
        <v>0</v>
      </c>
      <c r="Q23" s="14">
        <v>0</v>
      </c>
      <c r="R23" s="16">
        <v>0</v>
      </c>
    </row>
    <row r="24" spans="1:18" x14ac:dyDescent="0.25">
      <c r="A24" s="11" t="s">
        <v>157</v>
      </c>
      <c r="B24" s="13">
        <v>6647</v>
      </c>
      <c r="C24" s="14">
        <f>(5489/B24*100)</f>
        <v>82.578606890326469</v>
      </c>
      <c r="D24" s="15">
        <v>1158</v>
      </c>
      <c r="E24" s="14">
        <v>26.20751594</v>
      </c>
      <c r="F24" s="16">
        <v>1.3670952599999999</v>
      </c>
      <c r="G24" s="14">
        <v>73.792484060000007</v>
      </c>
      <c r="H24" s="16">
        <v>1.3670952599999999</v>
      </c>
      <c r="I24" s="14" t="s">
        <v>139</v>
      </c>
      <c r="J24" s="16" t="s">
        <v>139</v>
      </c>
      <c r="K24" s="14">
        <v>0</v>
      </c>
      <c r="L24" s="16">
        <v>0</v>
      </c>
      <c r="M24" s="14">
        <v>0</v>
      </c>
      <c r="N24" s="16">
        <v>0</v>
      </c>
      <c r="O24" s="14">
        <v>0</v>
      </c>
      <c r="P24" s="16">
        <v>0</v>
      </c>
      <c r="Q24" s="14">
        <v>0</v>
      </c>
      <c r="R24" s="16">
        <v>0</v>
      </c>
    </row>
    <row r="25" spans="1:18" x14ac:dyDescent="0.25">
      <c r="A25" s="11" t="s">
        <v>158</v>
      </c>
      <c r="B25" s="13">
        <v>5581</v>
      </c>
      <c r="C25" s="14">
        <f>(4614/B25*100)</f>
        <v>82.673356029385417</v>
      </c>
      <c r="D25" s="15">
        <v>967</v>
      </c>
      <c r="E25" s="14">
        <v>38.582779549999998</v>
      </c>
      <c r="F25" s="16">
        <v>1.5258543600000001</v>
      </c>
      <c r="G25" s="14">
        <v>61.417220450000002</v>
      </c>
      <c r="H25" s="16">
        <v>1.5258543600000001</v>
      </c>
      <c r="I25" s="14" t="s">
        <v>139</v>
      </c>
      <c r="J25" s="16" t="s">
        <v>139</v>
      </c>
      <c r="K25" s="14">
        <v>0</v>
      </c>
      <c r="L25" s="16">
        <v>0</v>
      </c>
      <c r="M25" s="14">
        <v>0</v>
      </c>
      <c r="N25" s="16">
        <v>0</v>
      </c>
      <c r="O25" s="14">
        <v>0</v>
      </c>
      <c r="P25" s="16">
        <v>0</v>
      </c>
      <c r="Q25" s="14">
        <v>0</v>
      </c>
      <c r="R25" s="16">
        <v>0</v>
      </c>
    </row>
    <row r="26" spans="1:18" x14ac:dyDescent="0.25">
      <c r="A26" s="11" t="s">
        <v>159</v>
      </c>
      <c r="B26" s="13">
        <v>4869</v>
      </c>
      <c r="C26" s="14">
        <f>(4032/B26*100)</f>
        <v>82.809611829944558</v>
      </c>
      <c r="D26" s="15">
        <v>837</v>
      </c>
      <c r="E26" s="14">
        <v>13.050223340000001</v>
      </c>
      <c r="F26" s="16">
        <v>1.15395458</v>
      </c>
      <c r="G26" s="14">
        <v>86.949776659999998</v>
      </c>
      <c r="H26" s="16">
        <v>1.15395458</v>
      </c>
      <c r="I26" s="14" t="s">
        <v>139</v>
      </c>
      <c r="J26" s="16" t="s">
        <v>139</v>
      </c>
      <c r="K26" s="14">
        <v>0</v>
      </c>
      <c r="L26" s="16">
        <v>0</v>
      </c>
      <c r="M26" s="14">
        <v>0</v>
      </c>
      <c r="N26" s="16">
        <v>0</v>
      </c>
      <c r="O26" s="14">
        <v>0</v>
      </c>
      <c r="P26" s="16">
        <v>0</v>
      </c>
      <c r="Q26" s="14">
        <v>0</v>
      </c>
      <c r="R26" s="16">
        <v>0</v>
      </c>
    </row>
    <row r="27" spans="1:18" x14ac:dyDescent="0.25">
      <c r="A27" s="11" t="s">
        <v>160</v>
      </c>
      <c r="B27" s="13">
        <v>5299</v>
      </c>
      <c r="C27" s="14">
        <f>(4380/B27*100)</f>
        <v>82.657105114172481</v>
      </c>
      <c r="D27" s="15">
        <v>919</v>
      </c>
      <c r="E27" s="14">
        <v>22.022196910000002</v>
      </c>
      <c r="F27" s="16">
        <v>1.46386745</v>
      </c>
      <c r="G27" s="14">
        <v>77.977803089999995</v>
      </c>
      <c r="H27" s="16">
        <v>1.46386745</v>
      </c>
      <c r="I27" s="14" t="s">
        <v>139</v>
      </c>
      <c r="J27" s="16" t="s">
        <v>139</v>
      </c>
      <c r="K27" s="14">
        <v>0</v>
      </c>
      <c r="L27" s="16">
        <v>0</v>
      </c>
      <c r="M27" s="14">
        <v>0</v>
      </c>
      <c r="N27" s="16">
        <v>0</v>
      </c>
      <c r="O27" s="14">
        <v>0</v>
      </c>
      <c r="P27" s="16">
        <v>0</v>
      </c>
      <c r="Q27" s="14">
        <v>0</v>
      </c>
      <c r="R27" s="16">
        <v>0</v>
      </c>
    </row>
    <row r="28" spans="1:18" x14ac:dyDescent="0.25">
      <c r="A28" s="11" t="s">
        <v>161</v>
      </c>
      <c r="B28" s="13">
        <v>7568</v>
      </c>
      <c r="C28" s="14">
        <f>(6284/B28*100)</f>
        <v>83.033826638477805</v>
      </c>
      <c r="D28" s="15">
        <v>1284</v>
      </c>
      <c r="E28" s="14">
        <v>34.530355999999998</v>
      </c>
      <c r="F28" s="16">
        <v>1.54903575</v>
      </c>
      <c r="G28" s="14">
        <v>65.469644000000002</v>
      </c>
      <c r="H28" s="16">
        <v>1.54903575</v>
      </c>
      <c r="I28" s="14" t="s">
        <v>139</v>
      </c>
      <c r="J28" s="16" t="s">
        <v>139</v>
      </c>
      <c r="K28" s="14">
        <v>0</v>
      </c>
      <c r="L28" s="16">
        <v>0</v>
      </c>
      <c r="M28" s="14">
        <v>0</v>
      </c>
      <c r="N28" s="16">
        <v>0</v>
      </c>
      <c r="O28" s="14">
        <v>0</v>
      </c>
      <c r="P28" s="16">
        <v>0</v>
      </c>
      <c r="Q28" s="14">
        <v>0</v>
      </c>
      <c r="R28" s="16">
        <v>0</v>
      </c>
    </row>
    <row r="29" spans="1:18" x14ac:dyDescent="0.25">
      <c r="A29" s="11" t="s">
        <v>162</v>
      </c>
      <c r="B29" s="13">
        <v>5385</v>
      </c>
      <c r="C29" s="14">
        <f>(4499/B29*100)</f>
        <v>83.546889507892303</v>
      </c>
      <c r="D29" s="15">
        <v>886</v>
      </c>
      <c r="E29" s="14">
        <v>19.44204405</v>
      </c>
      <c r="F29" s="16">
        <v>1.39540873</v>
      </c>
      <c r="G29" s="14">
        <v>80.557955949999993</v>
      </c>
      <c r="H29" s="16">
        <v>1.39540873</v>
      </c>
      <c r="I29" s="14" t="s">
        <v>139</v>
      </c>
      <c r="J29" s="16" t="s">
        <v>139</v>
      </c>
      <c r="K29" s="14">
        <v>0</v>
      </c>
      <c r="L29" s="16">
        <v>0</v>
      </c>
      <c r="M29" s="14">
        <v>0</v>
      </c>
      <c r="N29" s="16">
        <v>0</v>
      </c>
      <c r="O29" s="14">
        <v>0</v>
      </c>
      <c r="P29" s="16">
        <v>0</v>
      </c>
      <c r="Q29" s="14">
        <v>0</v>
      </c>
      <c r="R29" s="16">
        <v>0</v>
      </c>
    </row>
    <row r="30" spans="1:18" x14ac:dyDescent="0.25">
      <c r="A30" s="11" t="s">
        <v>163</v>
      </c>
      <c r="B30" s="13">
        <v>4520</v>
      </c>
      <c r="C30" s="14">
        <f>(3777/B30*100)</f>
        <v>83.561946902654867</v>
      </c>
      <c r="D30" s="15">
        <v>743</v>
      </c>
      <c r="E30" s="14">
        <v>17.18042303</v>
      </c>
      <c r="F30" s="16">
        <v>1.5079609599999999</v>
      </c>
      <c r="G30" s="14">
        <v>82.81957697</v>
      </c>
      <c r="H30" s="16">
        <v>1.5079609599999999</v>
      </c>
      <c r="I30" s="14" t="s">
        <v>139</v>
      </c>
      <c r="J30" s="16" t="s">
        <v>139</v>
      </c>
      <c r="K30" s="14">
        <v>0</v>
      </c>
      <c r="L30" s="16">
        <v>0</v>
      </c>
      <c r="M30" s="14">
        <v>0</v>
      </c>
      <c r="N30" s="16">
        <v>0</v>
      </c>
      <c r="O30" s="14">
        <v>0</v>
      </c>
      <c r="P30" s="16">
        <v>0</v>
      </c>
      <c r="Q30" s="14">
        <v>0</v>
      </c>
      <c r="R30" s="16">
        <v>0</v>
      </c>
    </row>
    <row r="31" spans="1:18" x14ac:dyDescent="0.25">
      <c r="A31" s="11" t="s">
        <v>164</v>
      </c>
      <c r="B31" s="13">
        <v>5456</v>
      </c>
      <c r="C31" s="14">
        <f>(4534/B31*100)</f>
        <v>83.101173020527867</v>
      </c>
      <c r="D31" s="15">
        <v>922</v>
      </c>
      <c r="E31" s="14">
        <v>16.957999449999999</v>
      </c>
      <c r="F31" s="16">
        <v>1.24871442</v>
      </c>
      <c r="G31" s="14">
        <v>83.042000549999997</v>
      </c>
      <c r="H31" s="16">
        <v>1.24871442</v>
      </c>
      <c r="I31" s="14" t="s">
        <v>139</v>
      </c>
      <c r="J31" s="16" t="s">
        <v>139</v>
      </c>
      <c r="K31" s="14">
        <v>0</v>
      </c>
      <c r="L31" s="16">
        <v>0</v>
      </c>
      <c r="M31" s="14">
        <v>0</v>
      </c>
      <c r="N31" s="16">
        <v>0</v>
      </c>
      <c r="O31" s="14">
        <v>0</v>
      </c>
      <c r="P31" s="16">
        <v>0</v>
      </c>
      <c r="Q31" s="14">
        <v>0</v>
      </c>
      <c r="R31" s="16">
        <v>0</v>
      </c>
    </row>
    <row r="32" spans="1:18" x14ac:dyDescent="0.25">
      <c r="A32" s="11" t="s">
        <v>165</v>
      </c>
      <c r="B32" s="17" t="s">
        <v>154</v>
      </c>
      <c r="C32" s="17" t="s">
        <v>154</v>
      </c>
      <c r="D32" s="18" t="s">
        <v>154</v>
      </c>
      <c r="E32" s="17" t="s">
        <v>154</v>
      </c>
      <c r="F32" s="18" t="s">
        <v>154</v>
      </c>
      <c r="G32" s="17" t="s">
        <v>154</v>
      </c>
      <c r="H32" s="18" t="s">
        <v>154</v>
      </c>
      <c r="I32" s="17" t="s">
        <v>154</v>
      </c>
      <c r="J32" s="18" t="s">
        <v>154</v>
      </c>
      <c r="K32" s="17" t="s">
        <v>154</v>
      </c>
      <c r="L32" s="18" t="s">
        <v>154</v>
      </c>
      <c r="M32" s="17" t="s">
        <v>154</v>
      </c>
      <c r="N32" s="18" t="s">
        <v>154</v>
      </c>
      <c r="O32" s="17" t="s">
        <v>154</v>
      </c>
      <c r="P32" s="18" t="s">
        <v>154</v>
      </c>
      <c r="Q32" s="17" t="s">
        <v>154</v>
      </c>
      <c r="R32" s="18" t="s">
        <v>154</v>
      </c>
    </row>
    <row r="33" spans="1:18" x14ac:dyDescent="0.25">
      <c r="A33" s="11" t="s">
        <v>166</v>
      </c>
      <c r="B33" s="13">
        <v>7325</v>
      </c>
      <c r="C33" s="14">
        <f>(6081/B33*100)</f>
        <v>83.017064846416375</v>
      </c>
      <c r="D33" s="15">
        <v>1244</v>
      </c>
      <c r="E33" s="14">
        <v>18.62050692</v>
      </c>
      <c r="F33" s="16">
        <v>1.42607002</v>
      </c>
      <c r="G33" s="14">
        <v>81.379493080000003</v>
      </c>
      <c r="H33" s="16">
        <v>1.42607002</v>
      </c>
      <c r="I33" s="14" t="s">
        <v>139</v>
      </c>
      <c r="J33" s="16" t="s">
        <v>139</v>
      </c>
      <c r="K33" s="14">
        <v>0</v>
      </c>
      <c r="L33" s="16">
        <v>0</v>
      </c>
      <c r="M33" s="14">
        <v>0</v>
      </c>
      <c r="N33" s="16">
        <v>0</v>
      </c>
      <c r="O33" s="14">
        <v>0</v>
      </c>
      <c r="P33" s="16">
        <v>0</v>
      </c>
      <c r="Q33" s="14">
        <v>0</v>
      </c>
      <c r="R33" s="16">
        <v>0</v>
      </c>
    </row>
    <row r="34" spans="1:18" x14ac:dyDescent="0.25">
      <c r="A34" s="11" t="s">
        <v>167</v>
      </c>
      <c r="B34" s="13">
        <v>6350</v>
      </c>
      <c r="C34" s="14">
        <f>(5292/B34*100)</f>
        <v>83.338582677165348</v>
      </c>
      <c r="D34" s="15">
        <v>1058</v>
      </c>
      <c r="E34" s="14">
        <v>19.482788639999999</v>
      </c>
      <c r="F34" s="16">
        <v>1.3931561699999999</v>
      </c>
      <c r="G34" s="14">
        <v>80.517211360000005</v>
      </c>
      <c r="H34" s="16">
        <v>1.3931561699999999</v>
      </c>
      <c r="I34" s="14" t="s">
        <v>139</v>
      </c>
      <c r="J34" s="16" t="s">
        <v>139</v>
      </c>
      <c r="K34" s="14">
        <v>0</v>
      </c>
      <c r="L34" s="16">
        <v>0</v>
      </c>
      <c r="M34" s="14">
        <v>0</v>
      </c>
      <c r="N34" s="16">
        <v>0</v>
      </c>
      <c r="O34" s="14">
        <v>0</v>
      </c>
      <c r="P34" s="16">
        <v>0</v>
      </c>
      <c r="Q34" s="14">
        <v>0</v>
      </c>
      <c r="R34" s="16">
        <v>0</v>
      </c>
    </row>
    <row r="35" spans="1:18" x14ac:dyDescent="0.25">
      <c r="A35" s="11" t="s">
        <v>168</v>
      </c>
      <c r="B35" s="13">
        <v>6406</v>
      </c>
      <c r="C35" s="14">
        <f>(5349/B35*100)</f>
        <v>83.499843896347173</v>
      </c>
      <c r="D35" s="15">
        <v>1057</v>
      </c>
      <c r="E35" s="14">
        <v>15.8587895</v>
      </c>
      <c r="F35" s="16">
        <v>1.4842795099999999</v>
      </c>
      <c r="G35" s="14">
        <v>84.1412105</v>
      </c>
      <c r="H35" s="16">
        <v>1.4842795099999999</v>
      </c>
      <c r="I35" s="14" t="s">
        <v>139</v>
      </c>
      <c r="J35" s="16" t="s">
        <v>139</v>
      </c>
      <c r="K35" s="14">
        <v>0</v>
      </c>
      <c r="L35" s="16">
        <v>0</v>
      </c>
      <c r="M35" s="14">
        <v>0</v>
      </c>
      <c r="N35" s="16">
        <v>0</v>
      </c>
      <c r="O35" s="14">
        <v>0</v>
      </c>
      <c r="P35" s="16">
        <v>0</v>
      </c>
      <c r="Q35" s="14">
        <v>0</v>
      </c>
      <c r="R35" s="16">
        <v>0</v>
      </c>
    </row>
    <row r="36" spans="1:18" x14ac:dyDescent="0.25">
      <c r="A36" s="11" t="s">
        <v>169</v>
      </c>
      <c r="B36" s="13">
        <v>6736</v>
      </c>
      <c r="C36" s="14">
        <f>(5578/B36*100)</f>
        <v>82.808788598574822</v>
      </c>
      <c r="D36" s="15">
        <v>1158</v>
      </c>
      <c r="E36" s="14">
        <v>16.819135809999999</v>
      </c>
      <c r="F36" s="16">
        <v>1.29289594</v>
      </c>
      <c r="G36" s="14">
        <v>83.180864189999994</v>
      </c>
      <c r="H36" s="16">
        <v>1.29289594</v>
      </c>
      <c r="I36" s="14" t="s">
        <v>139</v>
      </c>
      <c r="J36" s="16" t="s">
        <v>139</v>
      </c>
      <c r="K36" s="14">
        <v>0</v>
      </c>
      <c r="L36" s="16">
        <v>0</v>
      </c>
      <c r="M36" s="14">
        <v>0</v>
      </c>
      <c r="N36" s="16">
        <v>0</v>
      </c>
      <c r="O36" s="14">
        <v>0</v>
      </c>
      <c r="P36" s="16">
        <v>0</v>
      </c>
      <c r="Q36" s="14">
        <v>0</v>
      </c>
      <c r="R36" s="16">
        <v>0</v>
      </c>
    </row>
    <row r="37" spans="1:18" x14ac:dyDescent="0.25">
      <c r="A37" s="11" t="s">
        <v>170</v>
      </c>
      <c r="B37" s="13">
        <v>5458</v>
      </c>
      <c r="C37" s="14">
        <f>(4538/B37*100)</f>
        <v>83.144008794430192</v>
      </c>
      <c r="D37" s="15">
        <v>920</v>
      </c>
      <c r="E37" s="14">
        <v>15.59867169</v>
      </c>
      <c r="F37" s="16">
        <v>1.4113776499999999</v>
      </c>
      <c r="G37" s="14">
        <v>84.401328309999997</v>
      </c>
      <c r="H37" s="16">
        <v>1.4113776499999999</v>
      </c>
      <c r="I37" s="14" t="s">
        <v>139</v>
      </c>
      <c r="J37" s="16" t="s">
        <v>139</v>
      </c>
      <c r="K37" s="14">
        <v>0</v>
      </c>
      <c r="L37" s="16">
        <v>0</v>
      </c>
      <c r="M37" s="14">
        <v>0</v>
      </c>
      <c r="N37" s="16">
        <v>0</v>
      </c>
      <c r="O37" s="14">
        <v>0</v>
      </c>
      <c r="P37" s="16">
        <v>0</v>
      </c>
      <c r="Q37" s="14">
        <v>0</v>
      </c>
      <c r="R37" s="16">
        <v>0</v>
      </c>
    </row>
    <row r="38" spans="1:18" x14ac:dyDescent="0.25">
      <c r="A38" s="11" t="s">
        <v>171</v>
      </c>
      <c r="B38" s="17" t="s">
        <v>154</v>
      </c>
      <c r="C38" s="17" t="s">
        <v>154</v>
      </c>
      <c r="D38" s="18" t="s">
        <v>154</v>
      </c>
      <c r="E38" s="17" t="s">
        <v>154</v>
      </c>
      <c r="F38" s="18" t="s">
        <v>154</v>
      </c>
      <c r="G38" s="17" t="s">
        <v>154</v>
      </c>
      <c r="H38" s="18" t="s">
        <v>154</v>
      </c>
      <c r="I38" s="17" t="s">
        <v>154</v>
      </c>
      <c r="J38" s="18" t="s">
        <v>154</v>
      </c>
      <c r="K38" s="17" t="s">
        <v>154</v>
      </c>
      <c r="L38" s="18" t="s">
        <v>154</v>
      </c>
      <c r="M38" s="17" t="s">
        <v>154</v>
      </c>
      <c r="N38" s="18" t="s">
        <v>154</v>
      </c>
      <c r="O38" s="17" t="s">
        <v>154</v>
      </c>
      <c r="P38" s="18" t="s">
        <v>154</v>
      </c>
      <c r="Q38" s="17" t="s">
        <v>154</v>
      </c>
      <c r="R38" s="18" t="s">
        <v>154</v>
      </c>
    </row>
    <row r="39" spans="1:18" x14ac:dyDescent="0.25">
      <c r="A39" s="11" t="s">
        <v>172</v>
      </c>
      <c r="B39" s="13">
        <v>5895</v>
      </c>
      <c r="C39" s="14">
        <f>(4864/B39*100)</f>
        <v>82.510602205258692</v>
      </c>
      <c r="D39" s="15">
        <v>1031</v>
      </c>
      <c r="E39" s="14">
        <v>43.362483070000003</v>
      </c>
      <c r="F39" s="16">
        <v>1.6295762199999999</v>
      </c>
      <c r="G39" s="14">
        <v>56.637516929999997</v>
      </c>
      <c r="H39" s="16">
        <v>1.6295762199999999</v>
      </c>
      <c r="I39" s="14" t="s">
        <v>139</v>
      </c>
      <c r="J39" s="16" t="s">
        <v>139</v>
      </c>
      <c r="K39" s="14">
        <v>0</v>
      </c>
      <c r="L39" s="16">
        <v>0</v>
      </c>
      <c r="M39" s="14">
        <v>0</v>
      </c>
      <c r="N39" s="16">
        <v>0</v>
      </c>
      <c r="O39" s="14">
        <v>0</v>
      </c>
      <c r="P39" s="16">
        <v>0</v>
      </c>
      <c r="Q39" s="14">
        <v>0</v>
      </c>
      <c r="R39" s="16">
        <v>0</v>
      </c>
    </row>
    <row r="40" spans="1:18" x14ac:dyDescent="0.25">
      <c r="A40" s="11" t="s">
        <v>173</v>
      </c>
      <c r="B40" s="13">
        <v>14157</v>
      </c>
      <c r="C40" s="14">
        <f>(11730/B40*100)</f>
        <v>82.856537401991943</v>
      </c>
      <c r="D40" s="15">
        <v>2427</v>
      </c>
      <c r="E40" s="14">
        <v>18.417277630000001</v>
      </c>
      <c r="F40" s="16">
        <v>1.23023912</v>
      </c>
      <c r="G40" s="14">
        <v>81.582722369999999</v>
      </c>
      <c r="H40" s="16">
        <v>1.23023912</v>
      </c>
      <c r="I40" s="14" t="s">
        <v>139</v>
      </c>
      <c r="J40" s="16" t="s">
        <v>139</v>
      </c>
      <c r="K40" s="14">
        <v>0</v>
      </c>
      <c r="L40" s="16">
        <v>0</v>
      </c>
      <c r="M40" s="14">
        <v>0</v>
      </c>
      <c r="N40" s="16">
        <v>0</v>
      </c>
      <c r="O40" s="14">
        <v>0</v>
      </c>
      <c r="P40" s="16">
        <v>0</v>
      </c>
      <c r="Q40" s="14">
        <v>0</v>
      </c>
      <c r="R40" s="16">
        <v>0</v>
      </c>
    </row>
    <row r="41" spans="1:18" x14ac:dyDescent="0.25">
      <c r="A41" s="11" t="s">
        <v>174</v>
      </c>
      <c r="B41" s="13">
        <v>5712</v>
      </c>
      <c r="C41" s="14">
        <f>(4725/B41*100)</f>
        <v>82.720588235294116</v>
      </c>
      <c r="D41" s="15">
        <v>987</v>
      </c>
      <c r="E41" s="14">
        <v>18.598189949999998</v>
      </c>
      <c r="F41" s="16">
        <v>1.4405489600000001</v>
      </c>
      <c r="G41" s="14">
        <v>81.401810049999995</v>
      </c>
      <c r="H41" s="16">
        <v>1.4405489600000001</v>
      </c>
      <c r="I41" s="14" t="s">
        <v>139</v>
      </c>
      <c r="J41" s="16" t="s">
        <v>139</v>
      </c>
      <c r="K41" s="14">
        <v>0</v>
      </c>
      <c r="L41" s="16">
        <v>0</v>
      </c>
      <c r="M41" s="14">
        <v>0</v>
      </c>
      <c r="N41" s="16">
        <v>0</v>
      </c>
      <c r="O41" s="14">
        <v>0</v>
      </c>
      <c r="P41" s="16">
        <v>0</v>
      </c>
      <c r="Q41" s="14">
        <v>0</v>
      </c>
      <c r="R41" s="16">
        <v>0</v>
      </c>
    </row>
    <row r="42" spans="1:18" x14ac:dyDescent="0.25">
      <c r="A42" s="11" t="s">
        <v>175</v>
      </c>
      <c r="B42" s="13">
        <f>IF(COUNT(B7:B41) &gt; 0, AVERAGE(B7:B41), "\u2014")</f>
        <v>7266.90625</v>
      </c>
      <c r="C42" s="14">
        <f>IF(COUNT(C7:C41) &gt; 0, AVERAGE(C7:C41), "—")</f>
        <v>83.007131132027368</v>
      </c>
      <c r="D42" s="15">
        <f>IF(COUNT(D7:D41) &gt; 0, AVERAGE(D7:D41), "—")</f>
        <v>1235.65625</v>
      </c>
      <c r="E42" s="14">
        <f>IF(COUNT(E7:E41) &gt; 0, AVERAGE(E7:E41), "—")</f>
        <v>20.554530971875003</v>
      </c>
      <c r="F42" s="16">
        <f>IF(COUNT(F7:F41) &gt; 0, SQRT(SUMSQ(F7:F41)/(COUNT(F7:F41)*COUNT(F7:F41)) ), "—")</f>
        <v>0.2357759463174042</v>
      </c>
      <c r="G42" s="14">
        <f>IF(COUNT(G7:G41) &gt; 0, AVERAGE(G7:G41), "—")</f>
        <v>79.44546902812499</v>
      </c>
      <c r="H42" s="16">
        <f>IF(COUNT(H7:H41) &gt; 0, SQRT(SUMSQ(H7:H41)/(COUNT(H7:H41)*COUNT(H7:H41)) ), "—")</f>
        <v>0.2357759463174042</v>
      </c>
      <c r="I42" s="14" t="str">
        <f>IF(COUNT(I7:I41) &gt; 0, AVERAGE(I7:I41), "—")</f>
        <v>—</v>
      </c>
      <c r="J42" s="16" t="str">
        <f>IF(COUNT(J7:J41) &gt; 0, SQRT(SUMSQ(J7:J41)/(COUNT(J7:J41)*COUNT(J7:J41)) ), "—")</f>
        <v>—</v>
      </c>
      <c r="K42" s="14">
        <f>IF(COUNT(K7:K41) &gt; 0, AVERAGE(K7:K41), "—")</f>
        <v>0</v>
      </c>
      <c r="L42" s="16">
        <f>IF(COUNT(L7:L41) &gt; 0, SQRT(SUMSQ(L7:L41)/(COUNT(L7:L41)*COUNT(L7:L41)) ), "—")</f>
        <v>0</v>
      </c>
      <c r="M42" s="14">
        <f>IF(COUNT(M7:M41) &gt; 0, AVERAGE(M7:M41), "—")</f>
        <v>0</v>
      </c>
      <c r="N42" s="16">
        <f>IF(COUNT(N7:N41) &gt; 0, SQRT(SUMSQ(N7:N41)/(COUNT(N7:N41)*COUNT(N7:N41)) ), "—")</f>
        <v>0</v>
      </c>
      <c r="O42" s="14">
        <f>IF(COUNT(O7:O41) &gt; 0, AVERAGE(O7:O41), "—")</f>
        <v>0</v>
      </c>
      <c r="P42" s="16">
        <f>IF(COUNT(P7:P41) &gt; 0, SQRT(SUMSQ(P7:P41)/(COUNT(P7:P41)*COUNT(P7:P41)) ), "—")</f>
        <v>0</v>
      </c>
      <c r="Q42" s="14">
        <f>IF(COUNT(Q7:Q41) &gt; 0, AVERAGE(Q7:Q41), "—")</f>
        <v>0</v>
      </c>
      <c r="R42" s="16">
        <f>IF(COUNT(R7:R41) &gt; 0, SQRT(SUMSQ(R7:R41)/(COUNT(R7:R41)*COUNT(R7:R41)) ), "—")</f>
        <v>0</v>
      </c>
    </row>
    <row r="43" spans="1:18" x14ac:dyDescent="0.25">
      <c r="A43" s="9" t="s">
        <v>176</v>
      </c>
      <c r="B43" s="10"/>
      <c r="C43" s="10"/>
      <c r="D43" s="11"/>
      <c r="E43" s="10"/>
      <c r="F43" s="11"/>
      <c r="G43" s="10"/>
      <c r="H43" s="11"/>
      <c r="I43" s="10"/>
      <c r="J43" s="11"/>
      <c r="K43" s="10"/>
      <c r="L43" s="11"/>
      <c r="M43" s="10"/>
      <c r="N43" s="11"/>
      <c r="O43" s="10"/>
      <c r="P43" s="11"/>
      <c r="Q43" s="10"/>
      <c r="R43" s="12"/>
    </row>
    <row r="44" spans="1:18" x14ac:dyDescent="0.25">
      <c r="A44" s="11" t="s">
        <v>177</v>
      </c>
      <c r="B44" s="17" t="s">
        <v>154</v>
      </c>
      <c r="C44" s="17" t="s">
        <v>154</v>
      </c>
      <c r="D44" s="18" t="s">
        <v>154</v>
      </c>
      <c r="E44" s="17" t="s">
        <v>154</v>
      </c>
      <c r="F44" s="18" t="s">
        <v>154</v>
      </c>
      <c r="G44" s="17" t="s">
        <v>154</v>
      </c>
      <c r="H44" s="18" t="s">
        <v>154</v>
      </c>
      <c r="I44" s="17" t="s">
        <v>154</v>
      </c>
      <c r="J44" s="18" t="s">
        <v>154</v>
      </c>
      <c r="K44" s="17" t="s">
        <v>154</v>
      </c>
      <c r="L44" s="18" t="s">
        <v>154</v>
      </c>
      <c r="M44" s="17" t="s">
        <v>154</v>
      </c>
      <c r="N44" s="18" t="s">
        <v>154</v>
      </c>
      <c r="O44" s="17" t="s">
        <v>154</v>
      </c>
      <c r="P44" s="18" t="s">
        <v>154</v>
      </c>
      <c r="Q44" s="17" t="s">
        <v>154</v>
      </c>
      <c r="R44" s="18" t="s">
        <v>154</v>
      </c>
    </row>
    <row r="45" spans="1:18" x14ac:dyDescent="0.25">
      <c r="A45" s="11" t="s">
        <v>178</v>
      </c>
      <c r="B45" s="17" t="s">
        <v>154</v>
      </c>
      <c r="C45" s="17" t="s">
        <v>154</v>
      </c>
      <c r="D45" s="18" t="s">
        <v>154</v>
      </c>
      <c r="E45" s="17" t="s">
        <v>154</v>
      </c>
      <c r="F45" s="18" t="s">
        <v>154</v>
      </c>
      <c r="G45" s="17" t="s">
        <v>154</v>
      </c>
      <c r="H45" s="18" t="s">
        <v>154</v>
      </c>
      <c r="I45" s="17" t="s">
        <v>154</v>
      </c>
      <c r="J45" s="18" t="s">
        <v>154</v>
      </c>
      <c r="K45" s="17" t="s">
        <v>154</v>
      </c>
      <c r="L45" s="18" t="s">
        <v>154</v>
      </c>
      <c r="M45" s="17" t="s">
        <v>154</v>
      </c>
      <c r="N45" s="18" t="s">
        <v>154</v>
      </c>
      <c r="O45" s="17" t="s">
        <v>154</v>
      </c>
      <c r="P45" s="18" t="s">
        <v>154</v>
      </c>
      <c r="Q45" s="17" t="s">
        <v>154</v>
      </c>
      <c r="R45" s="18" t="s">
        <v>154</v>
      </c>
    </row>
    <row r="46" spans="1:18" x14ac:dyDescent="0.25">
      <c r="A46" s="11" t="s">
        <v>179</v>
      </c>
      <c r="B46" s="13">
        <v>23141</v>
      </c>
      <c r="C46" s="14">
        <f>(19566/B46*100)</f>
        <v>84.551229419644784</v>
      </c>
      <c r="D46" s="15">
        <v>3575</v>
      </c>
      <c r="E46" s="14">
        <v>34.023884840000001</v>
      </c>
      <c r="F46" s="16">
        <v>1.1405157299999999</v>
      </c>
      <c r="G46" s="14">
        <v>65.976115160000006</v>
      </c>
      <c r="H46" s="16">
        <v>1.1405157299999999</v>
      </c>
      <c r="I46" s="14" t="s">
        <v>139</v>
      </c>
      <c r="J46" s="16" t="s">
        <v>139</v>
      </c>
      <c r="K46" s="14">
        <v>0</v>
      </c>
      <c r="L46" s="16">
        <v>0</v>
      </c>
      <c r="M46" s="14">
        <v>0</v>
      </c>
      <c r="N46" s="16">
        <v>0</v>
      </c>
      <c r="O46" s="14">
        <v>0</v>
      </c>
      <c r="P46" s="16">
        <v>0</v>
      </c>
      <c r="Q46" s="14">
        <v>0</v>
      </c>
      <c r="R46" s="16">
        <v>0</v>
      </c>
    </row>
    <row r="47" spans="1:18" x14ac:dyDescent="0.25">
      <c r="A47" s="11" t="s">
        <v>180</v>
      </c>
      <c r="B47" s="13">
        <v>5928</v>
      </c>
      <c r="C47" s="14">
        <f>(4910/B47*100)</f>
        <v>82.827260458839405</v>
      </c>
      <c r="D47" s="15">
        <v>1018</v>
      </c>
      <c r="E47" s="14">
        <v>31.649581640000001</v>
      </c>
      <c r="F47" s="16">
        <v>1.64543668</v>
      </c>
      <c r="G47" s="14">
        <v>68.350418360000006</v>
      </c>
      <c r="H47" s="16">
        <v>1.64543668</v>
      </c>
      <c r="I47" s="14" t="s">
        <v>139</v>
      </c>
      <c r="J47" s="16" t="s">
        <v>139</v>
      </c>
      <c r="K47" s="14">
        <v>0</v>
      </c>
      <c r="L47" s="16">
        <v>0</v>
      </c>
      <c r="M47" s="14">
        <v>0</v>
      </c>
      <c r="N47" s="16">
        <v>0</v>
      </c>
      <c r="O47" s="14">
        <v>0</v>
      </c>
      <c r="P47" s="16">
        <v>0</v>
      </c>
      <c r="Q47" s="14">
        <v>0</v>
      </c>
      <c r="R47" s="16">
        <v>0</v>
      </c>
    </row>
    <row r="48" spans="1:18" x14ac:dyDescent="0.25">
      <c r="A48" s="11" t="s">
        <v>181</v>
      </c>
      <c r="B48" s="13">
        <v>9841</v>
      </c>
      <c r="C48" s="14">
        <f>(8164/B48*100)</f>
        <v>82.959048877146628</v>
      </c>
      <c r="D48" s="15">
        <v>1677</v>
      </c>
      <c r="E48" s="14">
        <v>28.739904750000001</v>
      </c>
      <c r="F48" s="16">
        <v>1.6888665</v>
      </c>
      <c r="G48" s="14">
        <v>71.260095250000006</v>
      </c>
      <c r="H48" s="16">
        <v>1.6888665</v>
      </c>
      <c r="I48" s="14" t="s">
        <v>139</v>
      </c>
      <c r="J48" s="16" t="s">
        <v>139</v>
      </c>
      <c r="K48" s="14">
        <v>0</v>
      </c>
      <c r="L48" s="16">
        <v>0</v>
      </c>
      <c r="M48" s="14">
        <v>0</v>
      </c>
      <c r="N48" s="16">
        <v>0</v>
      </c>
      <c r="O48" s="14">
        <v>0</v>
      </c>
      <c r="P48" s="16">
        <v>0</v>
      </c>
      <c r="Q48" s="14">
        <v>0</v>
      </c>
      <c r="R48" s="16">
        <v>0</v>
      </c>
    </row>
    <row r="49" spans="1:18" x14ac:dyDescent="0.25">
      <c r="A49" s="11" t="s">
        <v>182</v>
      </c>
      <c r="B49" s="17" t="s">
        <v>154</v>
      </c>
      <c r="C49" s="17" t="s">
        <v>154</v>
      </c>
      <c r="D49" s="18" t="s">
        <v>154</v>
      </c>
      <c r="E49" s="17" t="s">
        <v>154</v>
      </c>
      <c r="F49" s="18" t="s">
        <v>154</v>
      </c>
      <c r="G49" s="17" t="s">
        <v>154</v>
      </c>
      <c r="H49" s="18" t="s">
        <v>154</v>
      </c>
      <c r="I49" s="17" t="s">
        <v>154</v>
      </c>
      <c r="J49" s="18" t="s">
        <v>154</v>
      </c>
      <c r="K49" s="17" t="s">
        <v>154</v>
      </c>
      <c r="L49" s="18" t="s">
        <v>154</v>
      </c>
      <c r="M49" s="17" t="s">
        <v>154</v>
      </c>
      <c r="N49" s="18" t="s">
        <v>154</v>
      </c>
      <c r="O49" s="17" t="s">
        <v>154</v>
      </c>
      <c r="P49" s="18" t="s">
        <v>154</v>
      </c>
      <c r="Q49" s="17" t="s">
        <v>154</v>
      </c>
      <c r="R49" s="18" t="s">
        <v>154</v>
      </c>
    </row>
    <row r="50" spans="1:18" x14ac:dyDescent="0.25">
      <c r="A50" s="11" t="s">
        <v>183</v>
      </c>
      <c r="B50" s="13">
        <v>11795</v>
      </c>
      <c r="C50" s="14">
        <f>(9777/B50*100)</f>
        <v>82.891055532005083</v>
      </c>
      <c r="D50" s="15">
        <v>2018</v>
      </c>
      <c r="E50" s="14">
        <v>36.099772700000003</v>
      </c>
      <c r="F50" s="16">
        <v>1.2668704900000001</v>
      </c>
      <c r="G50" s="14">
        <v>63.900227299999997</v>
      </c>
      <c r="H50" s="16">
        <v>1.2668704900000001</v>
      </c>
      <c r="I50" s="14" t="s">
        <v>139</v>
      </c>
      <c r="J50" s="16" t="s">
        <v>139</v>
      </c>
      <c r="K50" s="14">
        <v>0</v>
      </c>
      <c r="L50" s="16">
        <v>0</v>
      </c>
      <c r="M50" s="14">
        <v>0</v>
      </c>
      <c r="N50" s="16">
        <v>0</v>
      </c>
      <c r="O50" s="14">
        <v>0</v>
      </c>
      <c r="P50" s="16">
        <v>0</v>
      </c>
      <c r="Q50" s="14">
        <v>0</v>
      </c>
      <c r="R50" s="16">
        <v>0</v>
      </c>
    </row>
    <row r="51" spans="1:18" x14ac:dyDescent="0.25">
      <c r="A51" s="11" t="s">
        <v>184</v>
      </c>
      <c r="B51" s="13">
        <v>6866</v>
      </c>
      <c r="C51" s="14">
        <f>(5820/B51*100)</f>
        <v>84.765511214681027</v>
      </c>
      <c r="D51" s="15">
        <v>1046</v>
      </c>
      <c r="E51" s="14">
        <v>26.220213189999999</v>
      </c>
      <c r="F51" s="16">
        <v>1.40893388</v>
      </c>
      <c r="G51" s="14">
        <v>73.779786810000004</v>
      </c>
      <c r="H51" s="16">
        <v>1.40893388</v>
      </c>
      <c r="I51" s="14" t="s">
        <v>139</v>
      </c>
      <c r="J51" s="16" t="s">
        <v>139</v>
      </c>
      <c r="K51" s="14">
        <v>0</v>
      </c>
      <c r="L51" s="16">
        <v>0</v>
      </c>
      <c r="M51" s="14">
        <v>0</v>
      </c>
      <c r="N51" s="16">
        <v>0</v>
      </c>
      <c r="O51" s="14">
        <v>0</v>
      </c>
      <c r="P51" s="16">
        <v>0</v>
      </c>
      <c r="Q51" s="14">
        <v>0</v>
      </c>
      <c r="R51" s="16">
        <v>0</v>
      </c>
    </row>
    <row r="52" spans="1:18" x14ac:dyDescent="0.25">
      <c r="A52" s="11" t="s">
        <v>185</v>
      </c>
      <c r="B52" s="13">
        <v>5809</v>
      </c>
      <c r="C52" s="14">
        <f>(4829/B52*100)</f>
        <v>83.129626441728348</v>
      </c>
      <c r="D52" s="15">
        <v>980</v>
      </c>
      <c r="E52" s="14">
        <v>15.33683746</v>
      </c>
      <c r="F52" s="16">
        <v>1.27616054</v>
      </c>
      <c r="G52" s="14">
        <v>84.663162540000002</v>
      </c>
      <c r="H52" s="16">
        <v>1.27616054</v>
      </c>
      <c r="I52" s="14" t="s">
        <v>139</v>
      </c>
      <c r="J52" s="16" t="s">
        <v>139</v>
      </c>
      <c r="K52" s="14">
        <v>0</v>
      </c>
      <c r="L52" s="16">
        <v>0</v>
      </c>
      <c r="M52" s="14">
        <v>0</v>
      </c>
      <c r="N52" s="16">
        <v>0</v>
      </c>
      <c r="O52" s="14">
        <v>0</v>
      </c>
      <c r="P52" s="16">
        <v>0</v>
      </c>
      <c r="Q52" s="14">
        <v>0</v>
      </c>
      <c r="R52" s="16">
        <v>0</v>
      </c>
    </row>
    <row r="53" spans="1:18" x14ac:dyDescent="0.25">
      <c r="A53" s="11" t="s">
        <v>186</v>
      </c>
      <c r="B53" s="13">
        <v>5571</v>
      </c>
      <c r="C53" s="14">
        <f>(4632/B53*100)</f>
        <v>83.144857296715131</v>
      </c>
      <c r="D53" s="15">
        <v>939</v>
      </c>
      <c r="E53" s="14">
        <v>37.557757340000002</v>
      </c>
      <c r="F53" s="16">
        <v>1.4779883700000001</v>
      </c>
      <c r="G53" s="14">
        <v>62.442242659999998</v>
      </c>
      <c r="H53" s="16">
        <v>1.4779883700000001</v>
      </c>
      <c r="I53" s="14" t="s">
        <v>139</v>
      </c>
      <c r="J53" s="16" t="s">
        <v>139</v>
      </c>
      <c r="K53" s="14">
        <v>0</v>
      </c>
      <c r="L53" s="16">
        <v>0</v>
      </c>
      <c r="M53" s="14">
        <v>0</v>
      </c>
      <c r="N53" s="16">
        <v>0</v>
      </c>
      <c r="O53" s="14">
        <v>0</v>
      </c>
      <c r="P53" s="16">
        <v>0</v>
      </c>
      <c r="Q53" s="14">
        <v>0</v>
      </c>
      <c r="R53" s="16">
        <v>0</v>
      </c>
    </row>
    <row r="54" spans="1:18" x14ac:dyDescent="0.25">
      <c r="A54" s="11" t="s">
        <v>187</v>
      </c>
      <c r="B54" s="17" t="s">
        <v>154</v>
      </c>
      <c r="C54" s="17" t="s">
        <v>154</v>
      </c>
      <c r="D54" s="18" t="s">
        <v>154</v>
      </c>
      <c r="E54" s="17" t="s">
        <v>154</v>
      </c>
      <c r="F54" s="18" t="s">
        <v>154</v>
      </c>
      <c r="G54" s="17" t="s">
        <v>154</v>
      </c>
      <c r="H54" s="18" t="s">
        <v>154</v>
      </c>
      <c r="I54" s="17" t="s">
        <v>154</v>
      </c>
      <c r="J54" s="18" t="s">
        <v>154</v>
      </c>
      <c r="K54" s="17" t="s">
        <v>154</v>
      </c>
      <c r="L54" s="18" t="s">
        <v>154</v>
      </c>
      <c r="M54" s="17" t="s">
        <v>154</v>
      </c>
      <c r="N54" s="18" t="s">
        <v>154</v>
      </c>
      <c r="O54" s="17" t="s">
        <v>154</v>
      </c>
      <c r="P54" s="18" t="s">
        <v>154</v>
      </c>
      <c r="Q54" s="17" t="s">
        <v>154</v>
      </c>
      <c r="R54" s="18" t="s">
        <v>154</v>
      </c>
    </row>
    <row r="55" spans="1:18" x14ac:dyDescent="0.25">
      <c r="A55" s="11" t="s">
        <v>188</v>
      </c>
      <c r="B55" s="17" t="s">
        <v>154</v>
      </c>
      <c r="C55" s="17" t="s">
        <v>154</v>
      </c>
      <c r="D55" s="18" t="s">
        <v>154</v>
      </c>
      <c r="E55" s="17" t="s">
        <v>154</v>
      </c>
      <c r="F55" s="18" t="s">
        <v>154</v>
      </c>
      <c r="G55" s="17" t="s">
        <v>154</v>
      </c>
      <c r="H55" s="18" t="s">
        <v>154</v>
      </c>
      <c r="I55" s="17" t="s">
        <v>154</v>
      </c>
      <c r="J55" s="18" t="s">
        <v>154</v>
      </c>
      <c r="K55" s="17" t="s">
        <v>154</v>
      </c>
      <c r="L55" s="18" t="s">
        <v>154</v>
      </c>
      <c r="M55" s="17" t="s">
        <v>154</v>
      </c>
      <c r="N55" s="18" t="s">
        <v>154</v>
      </c>
      <c r="O55" s="17" t="s">
        <v>154</v>
      </c>
      <c r="P55" s="18" t="s">
        <v>154</v>
      </c>
      <c r="Q55" s="17" t="s">
        <v>154</v>
      </c>
      <c r="R55" s="18" t="s">
        <v>154</v>
      </c>
    </row>
    <row r="56" spans="1:18" x14ac:dyDescent="0.25">
      <c r="A56" s="11" t="s">
        <v>189</v>
      </c>
      <c r="B56" s="13">
        <v>5359</v>
      </c>
      <c r="C56" s="14">
        <f>(4444/B56*100)</f>
        <v>82.925919014741552</v>
      </c>
      <c r="D56" s="15">
        <v>915</v>
      </c>
      <c r="E56" s="14">
        <v>31.41949541</v>
      </c>
      <c r="F56" s="16">
        <v>1.6482216000000001</v>
      </c>
      <c r="G56" s="14">
        <v>68.580504590000004</v>
      </c>
      <c r="H56" s="16">
        <v>1.6482216000000001</v>
      </c>
      <c r="I56" s="14" t="s">
        <v>139</v>
      </c>
      <c r="J56" s="16" t="s">
        <v>139</v>
      </c>
      <c r="K56" s="14">
        <v>0</v>
      </c>
      <c r="L56" s="16">
        <v>0</v>
      </c>
      <c r="M56" s="14">
        <v>0</v>
      </c>
      <c r="N56" s="16">
        <v>0</v>
      </c>
      <c r="O56" s="14">
        <v>0</v>
      </c>
      <c r="P56" s="16">
        <v>0</v>
      </c>
      <c r="Q56" s="14">
        <v>0</v>
      </c>
      <c r="R56" s="16">
        <v>0</v>
      </c>
    </row>
    <row r="57" spans="1:18" x14ac:dyDescent="0.25">
      <c r="A57" s="11" t="s">
        <v>190</v>
      </c>
      <c r="B57" s="17" t="s">
        <v>154</v>
      </c>
      <c r="C57" s="17" t="s">
        <v>154</v>
      </c>
      <c r="D57" s="18" t="s">
        <v>154</v>
      </c>
      <c r="E57" s="17" t="s">
        <v>154</v>
      </c>
      <c r="F57" s="18" t="s">
        <v>154</v>
      </c>
      <c r="G57" s="17" t="s">
        <v>154</v>
      </c>
      <c r="H57" s="18" t="s">
        <v>154</v>
      </c>
      <c r="I57" s="17" t="s">
        <v>154</v>
      </c>
      <c r="J57" s="18" t="s">
        <v>154</v>
      </c>
      <c r="K57" s="17" t="s">
        <v>154</v>
      </c>
      <c r="L57" s="18" t="s">
        <v>154</v>
      </c>
      <c r="M57" s="17" t="s">
        <v>154</v>
      </c>
      <c r="N57" s="18" t="s">
        <v>154</v>
      </c>
      <c r="O57" s="17" t="s">
        <v>154</v>
      </c>
      <c r="P57" s="18" t="s">
        <v>154</v>
      </c>
      <c r="Q57" s="17" t="s">
        <v>154</v>
      </c>
      <c r="R57" s="18" t="s">
        <v>154</v>
      </c>
    </row>
    <row r="58" spans="1:18" x14ac:dyDescent="0.25">
      <c r="A58" s="11" t="s">
        <v>191</v>
      </c>
      <c r="B58" s="17" t="s">
        <v>154</v>
      </c>
      <c r="C58" s="17" t="s">
        <v>154</v>
      </c>
      <c r="D58" s="18" t="s">
        <v>154</v>
      </c>
      <c r="E58" s="17" t="s">
        <v>154</v>
      </c>
      <c r="F58" s="18" t="s">
        <v>154</v>
      </c>
      <c r="G58" s="17" t="s">
        <v>154</v>
      </c>
      <c r="H58" s="18" t="s">
        <v>154</v>
      </c>
      <c r="I58" s="17" t="s">
        <v>154</v>
      </c>
      <c r="J58" s="18" t="s">
        <v>154</v>
      </c>
      <c r="K58" s="17" t="s">
        <v>154</v>
      </c>
      <c r="L58" s="18" t="s">
        <v>154</v>
      </c>
      <c r="M58" s="17" t="s">
        <v>154</v>
      </c>
      <c r="N58" s="18" t="s">
        <v>154</v>
      </c>
      <c r="O58" s="17" t="s">
        <v>154</v>
      </c>
      <c r="P58" s="18" t="s">
        <v>154</v>
      </c>
      <c r="Q58" s="17" t="s">
        <v>154</v>
      </c>
      <c r="R58" s="18" t="s">
        <v>154</v>
      </c>
    </row>
    <row r="59" spans="1:18" x14ac:dyDescent="0.25">
      <c r="A59" s="11" t="s">
        <v>192</v>
      </c>
      <c r="B59" s="17" t="s">
        <v>154</v>
      </c>
      <c r="C59" s="17" t="s">
        <v>154</v>
      </c>
      <c r="D59" s="18" t="s">
        <v>154</v>
      </c>
      <c r="E59" s="17" t="s">
        <v>154</v>
      </c>
      <c r="F59" s="18" t="s">
        <v>154</v>
      </c>
      <c r="G59" s="17" t="s">
        <v>154</v>
      </c>
      <c r="H59" s="18" t="s">
        <v>154</v>
      </c>
      <c r="I59" s="17" t="s">
        <v>154</v>
      </c>
      <c r="J59" s="18" t="s">
        <v>154</v>
      </c>
      <c r="K59" s="17" t="s">
        <v>154</v>
      </c>
      <c r="L59" s="18" t="s">
        <v>154</v>
      </c>
      <c r="M59" s="17" t="s">
        <v>154</v>
      </c>
      <c r="N59" s="18" t="s">
        <v>154</v>
      </c>
      <c r="O59" s="17" t="s">
        <v>154</v>
      </c>
      <c r="P59" s="18" t="s">
        <v>154</v>
      </c>
      <c r="Q59" s="17" t="s">
        <v>154</v>
      </c>
      <c r="R59" s="18" t="s">
        <v>154</v>
      </c>
    </row>
    <row r="60" spans="1:18" x14ac:dyDescent="0.25">
      <c r="A60" s="11" t="s">
        <v>193</v>
      </c>
      <c r="B60" s="17" t="s">
        <v>154</v>
      </c>
      <c r="C60" s="17" t="s">
        <v>154</v>
      </c>
      <c r="D60" s="18" t="s">
        <v>154</v>
      </c>
      <c r="E60" s="17" t="s">
        <v>154</v>
      </c>
      <c r="F60" s="18" t="s">
        <v>154</v>
      </c>
      <c r="G60" s="17" t="s">
        <v>154</v>
      </c>
      <c r="H60" s="18" t="s">
        <v>154</v>
      </c>
      <c r="I60" s="17" t="s">
        <v>154</v>
      </c>
      <c r="J60" s="18" t="s">
        <v>154</v>
      </c>
      <c r="K60" s="17" t="s">
        <v>154</v>
      </c>
      <c r="L60" s="18" t="s">
        <v>154</v>
      </c>
      <c r="M60" s="17" t="s">
        <v>154</v>
      </c>
      <c r="N60" s="18" t="s">
        <v>154</v>
      </c>
      <c r="O60" s="17" t="s">
        <v>154</v>
      </c>
      <c r="P60" s="18" t="s">
        <v>154</v>
      </c>
      <c r="Q60" s="17" t="s">
        <v>154</v>
      </c>
      <c r="R60" s="18" t="s">
        <v>154</v>
      </c>
    </row>
    <row r="61" spans="1:18" x14ac:dyDescent="0.25">
      <c r="A61" s="11" t="s">
        <v>194</v>
      </c>
      <c r="B61" s="13">
        <v>6525</v>
      </c>
      <c r="C61" s="14">
        <f>(5419/B61*100)</f>
        <v>83.049808429118769</v>
      </c>
      <c r="D61" s="15">
        <v>1106</v>
      </c>
      <c r="E61" s="14">
        <v>26.002865119999999</v>
      </c>
      <c r="F61" s="16">
        <v>1.3512304500000001</v>
      </c>
      <c r="G61" s="14">
        <v>73.997134880000004</v>
      </c>
      <c r="H61" s="16">
        <v>1.3512304500000001</v>
      </c>
      <c r="I61" s="14" t="s">
        <v>139</v>
      </c>
      <c r="J61" s="16" t="s">
        <v>139</v>
      </c>
      <c r="K61" s="14">
        <v>0</v>
      </c>
      <c r="L61" s="16">
        <v>0</v>
      </c>
      <c r="M61" s="14">
        <v>0</v>
      </c>
      <c r="N61" s="16">
        <v>0</v>
      </c>
      <c r="O61" s="14">
        <v>0</v>
      </c>
      <c r="P61" s="16">
        <v>0</v>
      </c>
      <c r="Q61" s="14">
        <v>0</v>
      </c>
      <c r="R61" s="16">
        <v>0</v>
      </c>
    </row>
    <row r="62" spans="1:18" x14ac:dyDescent="0.25">
      <c r="A62" s="11" t="s">
        <v>195</v>
      </c>
      <c r="B62" s="13">
        <v>4476</v>
      </c>
      <c r="C62" s="14">
        <f>(3700/B62*100)</f>
        <v>82.663092046470069</v>
      </c>
      <c r="D62" s="15">
        <v>776</v>
      </c>
      <c r="E62" s="14">
        <v>35.106947220000002</v>
      </c>
      <c r="F62" s="16">
        <v>1.71274364</v>
      </c>
      <c r="G62" s="14">
        <v>64.893052780000005</v>
      </c>
      <c r="H62" s="16">
        <v>1.71274364</v>
      </c>
      <c r="I62" s="14" t="s">
        <v>139</v>
      </c>
      <c r="J62" s="16" t="s">
        <v>139</v>
      </c>
      <c r="K62" s="14">
        <v>0</v>
      </c>
      <c r="L62" s="16">
        <v>0</v>
      </c>
      <c r="M62" s="14">
        <v>0</v>
      </c>
      <c r="N62" s="16">
        <v>0</v>
      </c>
      <c r="O62" s="14">
        <v>0</v>
      </c>
      <c r="P62" s="16">
        <v>0</v>
      </c>
      <c r="Q62" s="14">
        <v>0</v>
      </c>
      <c r="R62" s="16">
        <v>0</v>
      </c>
    </row>
    <row r="63" spans="1:18" x14ac:dyDescent="0.25">
      <c r="A63" s="11" t="s">
        <v>196</v>
      </c>
      <c r="B63" s="17" t="s">
        <v>154</v>
      </c>
      <c r="C63" s="17" t="s">
        <v>154</v>
      </c>
      <c r="D63" s="18" t="s">
        <v>154</v>
      </c>
      <c r="E63" s="17" t="s">
        <v>154</v>
      </c>
      <c r="F63" s="18" t="s">
        <v>154</v>
      </c>
      <c r="G63" s="17" t="s">
        <v>154</v>
      </c>
      <c r="H63" s="18" t="s">
        <v>154</v>
      </c>
      <c r="I63" s="17" t="s">
        <v>154</v>
      </c>
      <c r="J63" s="18" t="s">
        <v>154</v>
      </c>
      <c r="K63" s="17" t="s">
        <v>154</v>
      </c>
      <c r="L63" s="18" t="s">
        <v>154</v>
      </c>
      <c r="M63" s="17" t="s">
        <v>154</v>
      </c>
      <c r="N63" s="18" t="s">
        <v>154</v>
      </c>
      <c r="O63" s="17" t="s">
        <v>154</v>
      </c>
      <c r="P63" s="18" t="s">
        <v>154</v>
      </c>
      <c r="Q63" s="17" t="s">
        <v>154</v>
      </c>
      <c r="R63" s="18" t="s">
        <v>154</v>
      </c>
    </row>
    <row r="64" spans="1:18" x14ac:dyDescent="0.25">
      <c r="A64" s="11" t="s">
        <v>197</v>
      </c>
      <c r="B64" s="17" t="s">
        <v>154</v>
      </c>
      <c r="C64" s="17" t="s">
        <v>154</v>
      </c>
      <c r="D64" s="18" t="s">
        <v>154</v>
      </c>
      <c r="E64" s="17" t="s">
        <v>154</v>
      </c>
      <c r="F64" s="18" t="s">
        <v>154</v>
      </c>
      <c r="G64" s="17" t="s">
        <v>154</v>
      </c>
      <c r="H64" s="18" t="s">
        <v>154</v>
      </c>
      <c r="I64" s="17" t="s">
        <v>154</v>
      </c>
      <c r="J64" s="18" t="s">
        <v>154</v>
      </c>
      <c r="K64" s="17" t="s">
        <v>154</v>
      </c>
      <c r="L64" s="18" t="s">
        <v>154</v>
      </c>
      <c r="M64" s="17" t="s">
        <v>154</v>
      </c>
      <c r="N64" s="18" t="s">
        <v>154</v>
      </c>
      <c r="O64" s="17" t="s">
        <v>154</v>
      </c>
      <c r="P64" s="18" t="s">
        <v>154</v>
      </c>
      <c r="Q64" s="17" t="s">
        <v>154</v>
      </c>
      <c r="R64" s="18" t="s">
        <v>154</v>
      </c>
    </row>
    <row r="65" spans="1:18" x14ac:dyDescent="0.25">
      <c r="A65" s="11" t="s">
        <v>198</v>
      </c>
      <c r="B65" s="17" t="s">
        <v>154</v>
      </c>
      <c r="C65" s="17" t="s">
        <v>154</v>
      </c>
      <c r="D65" s="18" t="s">
        <v>154</v>
      </c>
      <c r="E65" s="17" t="s">
        <v>154</v>
      </c>
      <c r="F65" s="18" t="s">
        <v>154</v>
      </c>
      <c r="G65" s="17" t="s">
        <v>154</v>
      </c>
      <c r="H65" s="18" t="s">
        <v>154</v>
      </c>
      <c r="I65" s="17" t="s">
        <v>154</v>
      </c>
      <c r="J65" s="18" t="s">
        <v>154</v>
      </c>
      <c r="K65" s="17" t="s">
        <v>154</v>
      </c>
      <c r="L65" s="18" t="s">
        <v>154</v>
      </c>
      <c r="M65" s="17" t="s">
        <v>154</v>
      </c>
      <c r="N65" s="18" t="s">
        <v>154</v>
      </c>
      <c r="O65" s="17" t="s">
        <v>154</v>
      </c>
      <c r="P65" s="18" t="s">
        <v>154</v>
      </c>
      <c r="Q65" s="17" t="s">
        <v>154</v>
      </c>
      <c r="R65" s="18" t="s">
        <v>154</v>
      </c>
    </row>
    <row r="66" spans="1:18" x14ac:dyDescent="0.25">
      <c r="A66" s="11" t="s">
        <v>199</v>
      </c>
      <c r="B66" s="13">
        <v>5665</v>
      </c>
      <c r="C66" s="14">
        <f>(4713/B66*100)</f>
        <v>83.195057369814648</v>
      </c>
      <c r="D66" s="15">
        <v>952</v>
      </c>
      <c r="E66" s="14">
        <v>26.998391380000001</v>
      </c>
      <c r="F66" s="16">
        <v>1.5154529400000001</v>
      </c>
      <c r="G66" s="14">
        <v>73.001608619999999</v>
      </c>
      <c r="H66" s="16">
        <v>1.5154529400000001</v>
      </c>
      <c r="I66" s="14" t="s">
        <v>139</v>
      </c>
      <c r="J66" s="16" t="s">
        <v>139</v>
      </c>
      <c r="K66" s="14">
        <v>0</v>
      </c>
      <c r="L66" s="16">
        <v>0</v>
      </c>
      <c r="M66" s="14">
        <v>0</v>
      </c>
      <c r="N66" s="16">
        <v>0</v>
      </c>
      <c r="O66" s="14">
        <v>0</v>
      </c>
      <c r="P66" s="16">
        <v>0</v>
      </c>
      <c r="Q66" s="14">
        <v>0</v>
      </c>
      <c r="R66" s="16">
        <v>0</v>
      </c>
    </row>
    <row r="67" spans="1:18" x14ac:dyDescent="0.25">
      <c r="A67" s="11" t="s">
        <v>200</v>
      </c>
      <c r="B67" s="13">
        <v>6971</v>
      </c>
      <c r="C67" s="14">
        <f>(5859/B67*100)</f>
        <v>84.048199684406839</v>
      </c>
      <c r="D67" s="15">
        <v>1112</v>
      </c>
      <c r="E67" s="14">
        <v>43.289413519999997</v>
      </c>
      <c r="F67" s="16">
        <v>1.5859287799999999</v>
      </c>
      <c r="G67" s="14">
        <v>56.710586480000003</v>
      </c>
      <c r="H67" s="16">
        <v>1.5859287799999999</v>
      </c>
      <c r="I67" s="14" t="s">
        <v>139</v>
      </c>
      <c r="J67" s="16" t="s">
        <v>139</v>
      </c>
      <c r="K67" s="14">
        <v>0</v>
      </c>
      <c r="L67" s="16">
        <v>0</v>
      </c>
      <c r="M67" s="14">
        <v>0</v>
      </c>
      <c r="N67" s="16">
        <v>0</v>
      </c>
      <c r="O67" s="14">
        <v>0</v>
      </c>
      <c r="P67" s="16">
        <v>0</v>
      </c>
      <c r="Q67" s="14">
        <v>0</v>
      </c>
      <c r="R67" s="16">
        <v>0</v>
      </c>
    </row>
    <row r="68" spans="1:18" x14ac:dyDescent="0.25">
      <c r="A68" s="11" t="s">
        <v>201</v>
      </c>
      <c r="B68" s="17" t="s">
        <v>154</v>
      </c>
      <c r="C68" s="17" t="s">
        <v>154</v>
      </c>
      <c r="D68" s="18" t="s">
        <v>154</v>
      </c>
      <c r="E68" s="17" t="s">
        <v>154</v>
      </c>
      <c r="F68" s="18" t="s">
        <v>154</v>
      </c>
      <c r="G68" s="17" t="s">
        <v>154</v>
      </c>
      <c r="H68" s="18" t="s">
        <v>154</v>
      </c>
      <c r="I68" s="17" t="s">
        <v>154</v>
      </c>
      <c r="J68" s="18" t="s">
        <v>154</v>
      </c>
      <c r="K68" s="17" t="s">
        <v>154</v>
      </c>
      <c r="L68" s="18" t="s">
        <v>154</v>
      </c>
      <c r="M68" s="17" t="s">
        <v>154</v>
      </c>
      <c r="N68" s="18" t="s">
        <v>154</v>
      </c>
      <c r="O68" s="17" t="s">
        <v>154</v>
      </c>
      <c r="P68" s="18" t="s">
        <v>154</v>
      </c>
      <c r="Q68" s="17" t="s">
        <v>154</v>
      </c>
      <c r="R68" s="18" t="s">
        <v>154</v>
      </c>
    </row>
    <row r="69" spans="1:18" x14ac:dyDescent="0.25">
      <c r="A69" s="11" t="s">
        <v>202</v>
      </c>
      <c r="B69" s="17" t="s">
        <v>154</v>
      </c>
      <c r="C69" s="17" t="s">
        <v>154</v>
      </c>
      <c r="D69" s="18" t="s">
        <v>154</v>
      </c>
      <c r="E69" s="17" t="s">
        <v>154</v>
      </c>
      <c r="F69" s="18" t="s">
        <v>154</v>
      </c>
      <c r="G69" s="17" t="s">
        <v>154</v>
      </c>
      <c r="H69" s="18" t="s">
        <v>154</v>
      </c>
      <c r="I69" s="17" t="s">
        <v>154</v>
      </c>
      <c r="J69" s="18" t="s">
        <v>154</v>
      </c>
      <c r="K69" s="17" t="s">
        <v>154</v>
      </c>
      <c r="L69" s="18" t="s">
        <v>154</v>
      </c>
      <c r="M69" s="17" t="s">
        <v>154</v>
      </c>
      <c r="N69" s="18" t="s">
        <v>154</v>
      </c>
      <c r="O69" s="17" t="s">
        <v>154</v>
      </c>
      <c r="P69" s="18" t="s">
        <v>154</v>
      </c>
      <c r="Q69" s="17" t="s">
        <v>154</v>
      </c>
      <c r="R69" s="18" t="s">
        <v>154</v>
      </c>
    </row>
    <row r="70" spans="1:18" x14ac:dyDescent="0.25">
      <c r="A70" s="11" t="s">
        <v>203</v>
      </c>
      <c r="B70" s="13">
        <v>6036</v>
      </c>
      <c r="C70" s="14">
        <f>(4995/B70*100)</f>
        <v>82.753479125248504</v>
      </c>
      <c r="D70" s="15">
        <v>1041</v>
      </c>
      <c r="E70" s="14">
        <v>20.17273973</v>
      </c>
      <c r="F70" s="16">
        <v>1.49858289</v>
      </c>
      <c r="G70" s="14">
        <v>79.827260269999996</v>
      </c>
      <c r="H70" s="16">
        <v>1.49858289</v>
      </c>
      <c r="I70" s="14" t="s">
        <v>139</v>
      </c>
      <c r="J70" s="16" t="s">
        <v>139</v>
      </c>
      <c r="K70" s="14">
        <v>0</v>
      </c>
      <c r="L70" s="16">
        <v>0</v>
      </c>
      <c r="M70" s="14">
        <v>0</v>
      </c>
      <c r="N70" s="16">
        <v>0</v>
      </c>
      <c r="O70" s="14">
        <v>0</v>
      </c>
      <c r="P70" s="16">
        <v>0</v>
      </c>
      <c r="Q70" s="14">
        <v>0</v>
      </c>
      <c r="R70" s="16">
        <v>0</v>
      </c>
    </row>
    <row r="71" spans="1:18" x14ac:dyDescent="0.25">
      <c r="A71" s="11" t="s">
        <v>204</v>
      </c>
      <c r="B71" s="17" t="s">
        <v>154</v>
      </c>
      <c r="C71" s="17" t="s">
        <v>154</v>
      </c>
      <c r="D71" s="18" t="s">
        <v>154</v>
      </c>
      <c r="E71" s="17" t="s">
        <v>154</v>
      </c>
      <c r="F71" s="18" t="s">
        <v>154</v>
      </c>
      <c r="G71" s="17" t="s">
        <v>154</v>
      </c>
      <c r="H71" s="18" t="s">
        <v>154</v>
      </c>
      <c r="I71" s="17" t="s">
        <v>154</v>
      </c>
      <c r="J71" s="18" t="s">
        <v>154</v>
      </c>
      <c r="K71" s="17" t="s">
        <v>154</v>
      </c>
      <c r="L71" s="18" t="s">
        <v>154</v>
      </c>
      <c r="M71" s="17" t="s">
        <v>154</v>
      </c>
      <c r="N71" s="18" t="s">
        <v>154</v>
      </c>
      <c r="O71" s="17" t="s">
        <v>154</v>
      </c>
      <c r="P71" s="18" t="s">
        <v>154</v>
      </c>
      <c r="Q71" s="17" t="s">
        <v>154</v>
      </c>
      <c r="R71" s="18" t="s">
        <v>154</v>
      </c>
    </row>
    <row r="72" spans="1:18" x14ac:dyDescent="0.25">
      <c r="A72" s="11" t="s">
        <v>205</v>
      </c>
      <c r="B72" s="13">
        <v>7708</v>
      </c>
      <c r="C72" s="14">
        <f>(6365/B72*100)</f>
        <v>82.576543850544894</v>
      </c>
      <c r="D72" s="15">
        <v>1343</v>
      </c>
      <c r="E72" s="14">
        <v>29.8759555</v>
      </c>
      <c r="F72" s="16">
        <v>1.2924826599999999</v>
      </c>
      <c r="G72" s="14">
        <v>70.124044499999997</v>
      </c>
      <c r="H72" s="16">
        <v>1.2924826599999999</v>
      </c>
      <c r="I72" s="14" t="s">
        <v>139</v>
      </c>
      <c r="J72" s="16" t="s">
        <v>139</v>
      </c>
      <c r="K72" s="14">
        <v>0</v>
      </c>
      <c r="L72" s="16">
        <v>0</v>
      </c>
      <c r="M72" s="14">
        <v>0</v>
      </c>
      <c r="N72" s="16">
        <v>0</v>
      </c>
      <c r="O72" s="14">
        <v>0</v>
      </c>
      <c r="P72" s="16">
        <v>0</v>
      </c>
      <c r="Q72" s="14">
        <v>0</v>
      </c>
      <c r="R72" s="16">
        <v>0</v>
      </c>
    </row>
    <row r="73" spans="1:18" x14ac:dyDescent="0.25">
      <c r="A73" s="11" t="s">
        <v>206</v>
      </c>
      <c r="B73" s="13">
        <v>8249</v>
      </c>
      <c r="C73" s="14">
        <f>(6849/B73*100)</f>
        <v>83.02824584798158</v>
      </c>
      <c r="D73" s="15">
        <v>1400</v>
      </c>
      <c r="E73" s="14">
        <v>67.292490099999995</v>
      </c>
      <c r="F73" s="16">
        <v>1.3814647499999999</v>
      </c>
      <c r="G73" s="14">
        <v>32.707509899999998</v>
      </c>
      <c r="H73" s="16">
        <v>1.3814647499999999</v>
      </c>
      <c r="I73" s="14" t="s">
        <v>139</v>
      </c>
      <c r="J73" s="16" t="s">
        <v>139</v>
      </c>
      <c r="K73" s="14">
        <v>0</v>
      </c>
      <c r="L73" s="16">
        <v>0</v>
      </c>
      <c r="M73" s="14">
        <v>0</v>
      </c>
      <c r="N73" s="16">
        <v>0</v>
      </c>
      <c r="O73" s="14">
        <v>0</v>
      </c>
      <c r="P73" s="16">
        <v>0</v>
      </c>
      <c r="Q73" s="14">
        <v>0</v>
      </c>
      <c r="R73" s="16">
        <v>0</v>
      </c>
    </row>
    <row r="74" spans="1:18" x14ac:dyDescent="0.25">
      <c r="A74" s="11" t="s">
        <v>207</v>
      </c>
      <c r="B74" s="17" t="s">
        <v>154</v>
      </c>
      <c r="C74" s="17" t="s">
        <v>154</v>
      </c>
      <c r="D74" s="18" t="s">
        <v>154</v>
      </c>
      <c r="E74" s="17" t="s">
        <v>154</v>
      </c>
      <c r="F74" s="18" t="s">
        <v>154</v>
      </c>
      <c r="G74" s="17" t="s">
        <v>154</v>
      </c>
      <c r="H74" s="18" t="s">
        <v>154</v>
      </c>
      <c r="I74" s="17" t="s">
        <v>154</v>
      </c>
      <c r="J74" s="18" t="s">
        <v>154</v>
      </c>
      <c r="K74" s="17" t="s">
        <v>154</v>
      </c>
      <c r="L74" s="18" t="s">
        <v>154</v>
      </c>
      <c r="M74" s="17" t="s">
        <v>154</v>
      </c>
      <c r="N74" s="18" t="s">
        <v>154</v>
      </c>
      <c r="O74" s="17" t="s">
        <v>154</v>
      </c>
      <c r="P74" s="18" t="s">
        <v>154</v>
      </c>
      <c r="Q74" s="17" t="s">
        <v>154</v>
      </c>
      <c r="R74" s="18" t="s">
        <v>154</v>
      </c>
    </row>
    <row r="75" spans="1:18" x14ac:dyDescent="0.25">
      <c r="A75" s="11" t="s">
        <v>208</v>
      </c>
      <c r="B75" s="13">
        <v>5375</v>
      </c>
      <c r="C75" s="14">
        <f>(4523/B75*100)</f>
        <v>84.148837209302329</v>
      </c>
      <c r="D75" s="15">
        <v>852</v>
      </c>
      <c r="E75" s="14">
        <v>40.357735609999999</v>
      </c>
      <c r="F75" s="16">
        <v>1.5674212999999999</v>
      </c>
      <c r="G75" s="14">
        <v>59.642264390000001</v>
      </c>
      <c r="H75" s="16">
        <v>1.5674212999999999</v>
      </c>
      <c r="I75" s="14" t="s">
        <v>139</v>
      </c>
      <c r="J75" s="16" t="s">
        <v>139</v>
      </c>
      <c r="K75" s="14">
        <v>0</v>
      </c>
      <c r="L75" s="16">
        <v>0</v>
      </c>
      <c r="M75" s="14">
        <v>0</v>
      </c>
      <c r="N75" s="16">
        <v>0</v>
      </c>
      <c r="O75" s="14">
        <v>0</v>
      </c>
      <c r="P75" s="16">
        <v>0</v>
      </c>
      <c r="Q75" s="14">
        <v>0</v>
      </c>
      <c r="R75" s="16">
        <v>0</v>
      </c>
    </row>
    <row r="76" spans="1:18" x14ac:dyDescent="0.25">
      <c r="A76" s="11" t="s">
        <v>209</v>
      </c>
      <c r="B76" s="13">
        <v>14167</v>
      </c>
      <c r="C76" s="14">
        <f>(11764/B76*100)</f>
        <v>83.038046163619683</v>
      </c>
      <c r="D76" s="15">
        <v>2403</v>
      </c>
      <c r="E76" s="14">
        <v>33.713585070000001</v>
      </c>
      <c r="F76" s="16">
        <v>0.97648957999999997</v>
      </c>
      <c r="G76" s="14">
        <v>66.286414930000007</v>
      </c>
      <c r="H76" s="16">
        <v>0.97648957999999997</v>
      </c>
      <c r="I76" s="14" t="s">
        <v>139</v>
      </c>
      <c r="J76" s="16" t="s">
        <v>139</v>
      </c>
      <c r="K76" s="14">
        <v>0</v>
      </c>
      <c r="L76" s="16">
        <v>0</v>
      </c>
      <c r="M76" s="14">
        <v>0</v>
      </c>
      <c r="N76" s="16">
        <v>0</v>
      </c>
      <c r="O76" s="14">
        <v>0</v>
      </c>
      <c r="P76" s="16">
        <v>0</v>
      </c>
      <c r="Q76" s="14">
        <v>0</v>
      </c>
      <c r="R76" s="16">
        <v>0</v>
      </c>
    </row>
    <row r="77" spans="1:18" x14ac:dyDescent="0.25">
      <c r="A77" s="11" t="s">
        <v>210</v>
      </c>
      <c r="B77" s="13">
        <v>6062</v>
      </c>
      <c r="C77" s="14">
        <f>(5042/B77*100)</f>
        <v>83.173870009897726</v>
      </c>
      <c r="D77" s="15">
        <v>1020</v>
      </c>
      <c r="E77" s="14">
        <v>21.68503304</v>
      </c>
      <c r="F77" s="16">
        <v>1.13475251</v>
      </c>
      <c r="G77" s="14">
        <v>78.314966960000007</v>
      </c>
      <c r="H77" s="16">
        <v>1.13475251</v>
      </c>
      <c r="I77" s="14" t="s">
        <v>139</v>
      </c>
      <c r="J77" s="16" t="s">
        <v>139</v>
      </c>
      <c r="K77" s="14">
        <v>0</v>
      </c>
      <c r="L77" s="16">
        <v>0</v>
      </c>
      <c r="M77" s="14">
        <v>0</v>
      </c>
      <c r="N77" s="16">
        <v>0</v>
      </c>
      <c r="O77" s="14">
        <v>0</v>
      </c>
      <c r="P77" s="16">
        <v>0</v>
      </c>
      <c r="Q77" s="14">
        <v>0</v>
      </c>
      <c r="R77" s="16">
        <v>0</v>
      </c>
    </row>
    <row r="78" spans="1:18" x14ac:dyDescent="0.25">
      <c r="A78" s="11" t="s">
        <v>211</v>
      </c>
      <c r="B78" s="17" t="s">
        <v>154</v>
      </c>
      <c r="C78" s="17" t="s">
        <v>154</v>
      </c>
      <c r="D78" s="18" t="s">
        <v>154</v>
      </c>
      <c r="E78" s="17" t="s">
        <v>154</v>
      </c>
      <c r="F78" s="18" t="s">
        <v>154</v>
      </c>
      <c r="G78" s="17" t="s">
        <v>154</v>
      </c>
      <c r="H78" s="18" t="s">
        <v>154</v>
      </c>
      <c r="I78" s="17" t="s">
        <v>154</v>
      </c>
      <c r="J78" s="18" t="s">
        <v>154</v>
      </c>
      <c r="K78" s="17" t="s">
        <v>154</v>
      </c>
      <c r="L78" s="18" t="s">
        <v>154</v>
      </c>
      <c r="M78" s="17" t="s">
        <v>154</v>
      </c>
      <c r="N78" s="18" t="s">
        <v>154</v>
      </c>
      <c r="O78" s="17" t="s">
        <v>154</v>
      </c>
      <c r="P78" s="18" t="s">
        <v>154</v>
      </c>
      <c r="Q78" s="17" t="s">
        <v>154</v>
      </c>
      <c r="R78" s="18" t="s">
        <v>154</v>
      </c>
    </row>
    <row r="79" spans="1:18" ht="24.95" customHeight="1" x14ac:dyDescent="0.25">
      <c r="A79" s="11" t="s">
        <v>212</v>
      </c>
      <c r="B79" s="17" t="s">
        <v>154</v>
      </c>
      <c r="C79" s="17" t="s">
        <v>154</v>
      </c>
      <c r="D79" s="18" t="s">
        <v>154</v>
      </c>
      <c r="E79" s="17" t="s">
        <v>154</v>
      </c>
      <c r="F79" s="18" t="s">
        <v>154</v>
      </c>
      <c r="G79" s="17" t="s">
        <v>154</v>
      </c>
      <c r="H79" s="18" t="s">
        <v>154</v>
      </c>
      <c r="I79" s="17" t="s">
        <v>154</v>
      </c>
      <c r="J79" s="18" t="s">
        <v>154</v>
      </c>
      <c r="K79" s="17" t="s">
        <v>154</v>
      </c>
      <c r="L79" s="18" t="s">
        <v>154</v>
      </c>
      <c r="M79" s="17" t="s">
        <v>154</v>
      </c>
      <c r="N79" s="18" t="s">
        <v>154</v>
      </c>
      <c r="O79" s="17" t="s">
        <v>154</v>
      </c>
      <c r="P79" s="18" t="s">
        <v>154</v>
      </c>
      <c r="Q79" s="17" t="s">
        <v>154</v>
      </c>
      <c r="R79" s="18" t="s">
        <v>154</v>
      </c>
    </row>
    <row r="80" spans="1:18" x14ac:dyDescent="0.25">
      <c r="A80" s="11" t="s">
        <v>213</v>
      </c>
      <c r="B80" s="17" t="s">
        <v>154</v>
      </c>
      <c r="C80" s="17" t="s">
        <v>154</v>
      </c>
      <c r="D80" s="18" t="s">
        <v>154</v>
      </c>
      <c r="E80" s="17" t="s">
        <v>154</v>
      </c>
      <c r="F80" s="18" t="s">
        <v>154</v>
      </c>
      <c r="G80" s="17" t="s">
        <v>154</v>
      </c>
      <c r="H80" s="18" t="s">
        <v>154</v>
      </c>
      <c r="I80" s="17" t="s">
        <v>154</v>
      </c>
      <c r="J80" s="18" t="s">
        <v>154</v>
      </c>
      <c r="K80" s="17" t="s">
        <v>154</v>
      </c>
      <c r="L80" s="18" t="s">
        <v>154</v>
      </c>
      <c r="M80" s="17" t="s">
        <v>154</v>
      </c>
      <c r="N80" s="18" t="s">
        <v>154</v>
      </c>
      <c r="O80" s="17" t="s">
        <v>154</v>
      </c>
      <c r="P80" s="18" t="s">
        <v>154</v>
      </c>
      <c r="Q80" s="17" t="s">
        <v>154</v>
      </c>
      <c r="R80" s="18" t="s">
        <v>154</v>
      </c>
    </row>
    <row r="81" spans="1:18" x14ac:dyDescent="0.25">
      <c r="A81" s="19" t="s">
        <v>214</v>
      </c>
      <c r="B81" s="13">
        <v>8861</v>
      </c>
      <c r="C81" s="14">
        <f>(7341/B81*100)</f>
        <v>82.846179889403004</v>
      </c>
      <c r="D81" s="15">
        <v>1520</v>
      </c>
      <c r="E81" s="14">
        <v>45.285064970000001</v>
      </c>
      <c r="F81" s="16">
        <v>1.79921106</v>
      </c>
      <c r="G81" s="14">
        <v>54.714935029999999</v>
      </c>
      <c r="H81" s="16">
        <v>1.79921106</v>
      </c>
      <c r="I81" s="14" t="s">
        <v>139</v>
      </c>
      <c r="J81" s="16" t="s">
        <v>139</v>
      </c>
      <c r="K81" s="14">
        <v>0</v>
      </c>
      <c r="L81" s="16">
        <v>0</v>
      </c>
      <c r="M81" s="14">
        <v>0</v>
      </c>
      <c r="N81" s="16">
        <v>0</v>
      </c>
      <c r="O81" s="14">
        <v>0</v>
      </c>
      <c r="P81" s="16">
        <v>0</v>
      </c>
      <c r="Q81" s="14">
        <v>0</v>
      </c>
      <c r="R81" s="16">
        <v>0</v>
      </c>
    </row>
    <row r="82" spans="1:18" x14ac:dyDescent="0.25">
      <c r="A82" s="20"/>
      <c r="B82" s="20" t="s">
        <v>215</v>
      </c>
      <c r="C82" s="20" t="s">
        <v>215</v>
      </c>
      <c r="D82" s="20" t="s">
        <v>215</v>
      </c>
      <c r="E82" s="20" t="s">
        <v>215</v>
      </c>
      <c r="F82" s="20" t="s">
        <v>215</v>
      </c>
      <c r="G82" s="20" t="s">
        <v>215</v>
      </c>
      <c r="H82" s="20" t="s">
        <v>215</v>
      </c>
      <c r="I82" s="20" t="s">
        <v>215</v>
      </c>
      <c r="J82" s="20" t="s">
        <v>215</v>
      </c>
      <c r="K82" s="20" t="s">
        <v>215</v>
      </c>
      <c r="L82" s="20" t="s">
        <v>215</v>
      </c>
      <c r="M82" s="20" t="s">
        <v>215</v>
      </c>
      <c r="N82" s="20" t="s">
        <v>215</v>
      </c>
      <c r="O82" s="20" t="s">
        <v>215</v>
      </c>
      <c r="P82" s="20" t="s">
        <v>215</v>
      </c>
      <c r="Q82" s="20" t="s">
        <v>215</v>
      </c>
      <c r="R82" s="20" t="s">
        <v>215</v>
      </c>
    </row>
    <row r="83" spans="1:18" x14ac:dyDescent="0.25">
      <c r="A83" s="3" t="s">
        <v>216</v>
      </c>
    </row>
    <row r="84" spans="1:18" x14ac:dyDescent="0.25">
      <c r="A84" s="22" t="s">
        <v>217</v>
      </c>
      <c r="B84" s="23"/>
      <c r="C84" s="23"/>
      <c r="D84" s="23"/>
      <c r="E84" s="23"/>
      <c r="F84" s="23"/>
      <c r="G84" s="23"/>
      <c r="H84" s="23"/>
      <c r="I84" s="23"/>
      <c r="J84" s="23"/>
      <c r="K84" s="23"/>
      <c r="L84" s="23"/>
      <c r="M84" s="23"/>
      <c r="N84" s="23"/>
      <c r="O84" s="23"/>
      <c r="P84" s="23"/>
      <c r="Q84" s="23"/>
      <c r="R84" s="23"/>
    </row>
    <row r="85" spans="1:18" x14ac:dyDescent="0.25">
      <c r="A85" s="22" t="s">
        <v>218</v>
      </c>
      <c r="B85" s="23"/>
      <c r="C85" s="23"/>
      <c r="D85" s="23"/>
      <c r="E85" s="23"/>
      <c r="F85" s="23"/>
      <c r="G85" s="23"/>
      <c r="H85" s="23"/>
      <c r="I85" s="23"/>
      <c r="J85" s="23"/>
      <c r="K85" s="23"/>
      <c r="L85" s="23"/>
      <c r="M85" s="23"/>
      <c r="N85" s="23"/>
      <c r="O85" s="23"/>
      <c r="P85" s="23"/>
      <c r="Q85" s="23"/>
      <c r="R85" s="23"/>
    </row>
    <row r="86" spans="1:18" ht="30" customHeight="1" x14ac:dyDescent="0.25">
      <c r="A86" s="22" t="s">
        <v>219</v>
      </c>
      <c r="B86" s="23"/>
      <c r="C86" s="23"/>
      <c r="D86" s="23"/>
      <c r="E86" s="23"/>
      <c r="F86" s="23"/>
      <c r="G86" s="23"/>
      <c r="H86" s="23"/>
      <c r="I86" s="23"/>
      <c r="J86" s="23"/>
      <c r="K86" s="23"/>
      <c r="L86" s="23"/>
      <c r="M86" s="23"/>
      <c r="N86" s="23"/>
      <c r="O86" s="23"/>
      <c r="P86" s="23"/>
      <c r="Q86" s="23"/>
      <c r="R86" s="23"/>
    </row>
    <row r="87" spans="1:18" ht="30" customHeight="1" x14ac:dyDescent="0.25">
      <c r="A87" s="22" t="s">
        <v>215</v>
      </c>
      <c r="B87" s="23"/>
      <c r="C87" s="23"/>
      <c r="D87" s="23"/>
      <c r="E87" s="23"/>
      <c r="F87" s="23"/>
      <c r="G87" s="23"/>
      <c r="H87" s="23"/>
      <c r="I87" s="23"/>
      <c r="J87" s="23"/>
      <c r="K87" s="23"/>
      <c r="L87" s="23"/>
      <c r="M87" s="23"/>
      <c r="N87" s="23"/>
      <c r="O87" s="23"/>
      <c r="P87" s="23"/>
      <c r="Q87" s="23"/>
      <c r="R87" s="23"/>
    </row>
    <row r="88" spans="1:18" ht="30" customHeight="1" x14ac:dyDescent="0.25">
      <c r="A88" s="22" t="s">
        <v>220</v>
      </c>
      <c r="B88" s="23"/>
      <c r="C88" s="23"/>
      <c r="D88" s="23"/>
      <c r="E88" s="23"/>
      <c r="F88" s="23"/>
      <c r="G88" s="23"/>
      <c r="H88" s="23"/>
      <c r="I88" s="23"/>
      <c r="J88" s="23"/>
      <c r="K88" s="23"/>
      <c r="L88" s="23"/>
      <c r="M88" s="23"/>
      <c r="N88" s="23"/>
      <c r="O88" s="23"/>
      <c r="P88" s="23"/>
      <c r="Q88" s="23"/>
      <c r="R88" s="23"/>
    </row>
    <row r="89" spans="1:18" ht="30" customHeight="1" x14ac:dyDescent="0.25">
      <c r="A89" s="22" t="s">
        <v>221</v>
      </c>
      <c r="B89" s="23"/>
      <c r="C89" s="23"/>
      <c r="D89" s="23"/>
      <c r="E89" s="23"/>
      <c r="F89" s="23"/>
      <c r="G89" s="23"/>
      <c r="H89" s="23"/>
      <c r="I89" s="23"/>
      <c r="J89" s="23"/>
      <c r="K89" s="23"/>
      <c r="L89" s="23"/>
      <c r="M89" s="23"/>
      <c r="N89" s="23"/>
      <c r="O89" s="23"/>
      <c r="P89" s="23"/>
      <c r="Q89" s="23"/>
      <c r="R89" s="23"/>
    </row>
    <row r="90" spans="1:18" ht="30" customHeight="1" x14ac:dyDescent="0.25">
      <c r="A90" s="22" t="s">
        <v>222</v>
      </c>
      <c r="B90" s="23"/>
      <c r="C90" s="23"/>
      <c r="D90" s="23"/>
      <c r="E90" s="23"/>
      <c r="F90" s="23"/>
      <c r="G90" s="23"/>
      <c r="H90" s="23"/>
      <c r="I90" s="23"/>
      <c r="J90" s="23"/>
      <c r="K90" s="23"/>
      <c r="L90" s="23"/>
      <c r="M90" s="23"/>
      <c r="N90" s="23"/>
      <c r="O90" s="23"/>
      <c r="P90" s="23"/>
      <c r="Q90" s="23"/>
      <c r="R90" s="23"/>
    </row>
    <row r="91" spans="1:18" ht="30" customHeight="1" x14ac:dyDescent="0.25">
      <c r="A91" s="22" t="s">
        <v>223</v>
      </c>
      <c r="B91" s="23"/>
      <c r="C91" s="23"/>
      <c r="D91" s="23"/>
      <c r="E91" s="23"/>
      <c r="F91" s="23"/>
      <c r="G91" s="23"/>
      <c r="H91" s="23"/>
      <c r="I91" s="23"/>
      <c r="J91" s="23"/>
      <c r="K91" s="23"/>
      <c r="L91" s="23"/>
      <c r="M91" s="23"/>
      <c r="N91" s="23"/>
      <c r="O91" s="23"/>
      <c r="P91" s="23"/>
      <c r="Q91" s="23"/>
      <c r="R91" s="23"/>
    </row>
    <row r="92" spans="1:18" ht="30" customHeight="1" x14ac:dyDescent="0.25">
      <c r="A92" s="22" t="s">
        <v>224</v>
      </c>
      <c r="B92" s="23"/>
      <c r="C92" s="23"/>
      <c r="D92" s="23"/>
      <c r="E92" s="23"/>
      <c r="F92" s="23"/>
      <c r="G92" s="23"/>
      <c r="H92" s="23"/>
      <c r="I92" s="23"/>
      <c r="J92" s="23"/>
      <c r="K92" s="23"/>
      <c r="L92" s="23"/>
      <c r="M92" s="23"/>
      <c r="N92" s="23"/>
      <c r="O92" s="23"/>
      <c r="P92" s="23"/>
      <c r="Q92" s="23"/>
      <c r="R92" s="23"/>
    </row>
    <row r="93" spans="1:18" ht="30" customHeight="1" x14ac:dyDescent="0.25">
      <c r="A93" s="22" t="s">
        <v>225</v>
      </c>
      <c r="B93" s="23"/>
      <c r="C93" s="23"/>
      <c r="D93" s="23"/>
      <c r="E93" s="23"/>
      <c r="F93" s="23"/>
      <c r="G93" s="23"/>
      <c r="H93" s="23"/>
      <c r="I93" s="23"/>
      <c r="J93" s="23"/>
      <c r="K93" s="23"/>
      <c r="L93" s="23"/>
      <c r="M93" s="23"/>
      <c r="N93" s="23"/>
      <c r="O93" s="23"/>
      <c r="P93" s="23"/>
      <c r="Q93" s="23"/>
      <c r="R93" s="23"/>
    </row>
    <row r="94" spans="1:18" ht="30" customHeight="1" x14ac:dyDescent="0.25">
      <c r="A94" s="22" t="s">
        <v>226</v>
      </c>
      <c r="B94" s="23"/>
      <c r="C94" s="23"/>
      <c r="D94" s="23"/>
      <c r="E94" s="23"/>
      <c r="F94" s="23"/>
      <c r="G94" s="23"/>
      <c r="H94" s="23"/>
      <c r="I94" s="23"/>
      <c r="J94" s="23"/>
      <c r="K94" s="23"/>
      <c r="L94" s="23"/>
      <c r="M94" s="23"/>
      <c r="N94" s="23"/>
      <c r="O94" s="23"/>
      <c r="P94" s="23"/>
      <c r="Q94" s="23"/>
      <c r="R94" s="23"/>
    </row>
    <row r="95" spans="1:18" ht="30" customHeight="1" x14ac:dyDescent="0.25">
      <c r="A95" s="22" t="s">
        <v>227</v>
      </c>
      <c r="B95" s="23"/>
      <c r="C95" s="23"/>
      <c r="D95" s="23"/>
      <c r="E95" s="23"/>
      <c r="F95" s="23"/>
      <c r="G95" s="23"/>
      <c r="H95" s="23"/>
      <c r="I95" s="23"/>
      <c r="J95" s="23"/>
      <c r="K95" s="23"/>
      <c r="L95" s="23"/>
      <c r="M95" s="23"/>
      <c r="N95" s="23"/>
      <c r="O95" s="23"/>
      <c r="P95" s="23"/>
      <c r="Q95" s="23"/>
      <c r="R95" s="23"/>
    </row>
    <row r="96" spans="1:18" ht="30" customHeight="1" x14ac:dyDescent="0.25">
      <c r="A96" s="22" t="s">
        <v>228</v>
      </c>
      <c r="B96" s="23"/>
      <c r="C96" s="23"/>
      <c r="D96" s="23"/>
      <c r="E96" s="23"/>
      <c r="F96" s="23"/>
      <c r="G96" s="23"/>
      <c r="H96" s="23"/>
      <c r="I96" s="23"/>
      <c r="J96" s="23"/>
      <c r="K96" s="23"/>
      <c r="L96" s="23"/>
      <c r="M96" s="23"/>
      <c r="N96" s="23"/>
      <c r="O96" s="23"/>
      <c r="P96" s="23"/>
      <c r="Q96" s="23"/>
      <c r="R96" s="23"/>
    </row>
  </sheetData>
  <mergeCells count="22">
    <mergeCell ref="O4:P4"/>
    <mergeCell ref="Q4:R4"/>
    <mergeCell ref="A1:R1"/>
    <mergeCell ref="A2:R2"/>
    <mergeCell ref="A84:R84"/>
    <mergeCell ref="E4:F4"/>
    <mergeCell ref="G4:H4"/>
    <mergeCell ref="I4:J4"/>
    <mergeCell ref="K4:L4"/>
    <mergeCell ref="M4:N4"/>
    <mergeCell ref="A85:R85"/>
    <mergeCell ref="A86:R86"/>
    <mergeCell ref="A87:R87"/>
    <mergeCell ref="A88:R88"/>
    <mergeCell ref="A89:R89"/>
    <mergeCell ref="A95:R95"/>
    <mergeCell ref="A96:R96"/>
    <mergeCell ref="A90:R90"/>
    <mergeCell ref="A91:R91"/>
    <mergeCell ref="A92:R92"/>
    <mergeCell ref="A93:R93"/>
    <mergeCell ref="A94:R94"/>
  </mergeCells>
  <pageMargins left="0.75" right="0.75" top="1" bottom="1" header="0.5" footer="0.5"/>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1"/>
  <dimension ref="A1:R96"/>
  <sheetViews>
    <sheetView zoomScale="80" workbookViewId="0">
      <pane xSplit="4" topLeftCell="E1" activePane="topRight" state="frozen"/>
      <selection sqref="A1:R1"/>
      <selection pane="topRight" sqref="A1:R1"/>
    </sheetView>
  </sheetViews>
  <sheetFormatPr defaultColWidth="11.42578125" defaultRowHeight="15" x14ac:dyDescent="0.25"/>
  <cols>
    <col min="1" max="1" width="50" customWidth="1"/>
  </cols>
  <sheetData>
    <row r="1" spans="1:18" x14ac:dyDescent="0.25">
      <c r="A1" s="26" t="s">
        <v>122</v>
      </c>
      <c r="B1" s="23"/>
      <c r="C1" s="23"/>
      <c r="D1" s="23"/>
      <c r="E1" s="23"/>
      <c r="F1" s="23"/>
      <c r="G1" s="23"/>
      <c r="H1" s="23"/>
      <c r="I1" s="23"/>
      <c r="J1" s="23"/>
      <c r="K1" s="23"/>
      <c r="L1" s="23"/>
      <c r="M1" s="23"/>
      <c r="N1" s="23"/>
      <c r="O1" s="23"/>
      <c r="P1" s="23"/>
      <c r="Q1" s="23"/>
      <c r="R1" s="23"/>
    </row>
    <row r="2" spans="1:18" x14ac:dyDescent="0.25">
      <c r="A2" s="27" t="s">
        <v>327</v>
      </c>
      <c r="B2" s="23"/>
      <c r="C2" s="23"/>
      <c r="D2" s="23"/>
      <c r="E2" s="23"/>
      <c r="F2" s="23"/>
      <c r="G2" s="23"/>
      <c r="H2" s="23"/>
      <c r="I2" s="23"/>
      <c r="J2" s="23"/>
      <c r="K2" s="23"/>
      <c r="L2" s="23"/>
      <c r="M2" s="23"/>
      <c r="N2" s="23"/>
      <c r="O2" s="23"/>
      <c r="P2" s="23"/>
      <c r="Q2" s="23"/>
      <c r="R2" s="23"/>
    </row>
    <row r="4" spans="1:18" ht="30" customHeight="1" x14ac:dyDescent="0.25">
      <c r="A4" s="4"/>
      <c r="B4" s="5" t="s">
        <v>123</v>
      </c>
      <c r="C4" s="5" t="s">
        <v>124</v>
      </c>
      <c r="D4" s="6" t="s">
        <v>123</v>
      </c>
      <c r="E4" s="24" t="s">
        <v>125</v>
      </c>
      <c r="F4" s="25"/>
      <c r="G4" s="24" t="s">
        <v>126</v>
      </c>
      <c r="H4" s="25"/>
      <c r="I4" s="24" t="s">
        <v>127</v>
      </c>
      <c r="J4" s="25"/>
      <c r="K4" s="24" t="s">
        <v>128</v>
      </c>
      <c r="L4" s="25"/>
      <c r="M4" s="24" t="s">
        <v>129</v>
      </c>
      <c r="N4" s="25"/>
      <c r="O4" s="24" t="s">
        <v>130</v>
      </c>
      <c r="P4" s="25"/>
      <c r="Q4" s="24" t="s">
        <v>131</v>
      </c>
      <c r="R4" s="25"/>
    </row>
    <row r="5" spans="1:18" x14ac:dyDescent="0.25">
      <c r="A5" s="7"/>
      <c r="B5" s="8" t="s">
        <v>132</v>
      </c>
      <c r="C5" s="8" t="s">
        <v>133</v>
      </c>
      <c r="D5" s="7" t="s">
        <v>134</v>
      </c>
      <c r="E5" s="8" t="s">
        <v>135</v>
      </c>
      <c r="F5" s="7" t="s">
        <v>136</v>
      </c>
      <c r="G5" s="8" t="s">
        <v>135</v>
      </c>
      <c r="H5" s="7" t="s">
        <v>136</v>
      </c>
      <c r="I5" s="8" t="s">
        <v>135</v>
      </c>
      <c r="J5" s="7" t="s">
        <v>136</v>
      </c>
      <c r="K5" s="8" t="s">
        <v>135</v>
      </c>
      <c r="L5" s="7" t="s">
        <v>136</v>
      </c>
      <c r="M5" s="8" t="s">
        <v>135</v>
      </c>
      <c r="N5" s="7" t="s">
        <v>136</v>
      </c>
      <c r="O5" s="8" t="s">
        <v>135</v>
      </c>
      <c r="P5" s="7" t="s">
        <v>136</v>
      </c>
      <c r="Q5" s="8" t="s">
        <v>135</v>
      </c>
      <c r="R5" s="7" t="s">
        <v>136</v>
      </c>
    </row>
    <row r="6" spans="1:18" x14ac:dyDescent="0.25">
      <c r="A6" s="9" t="s">
        <v>137</v>
      </c>
      <c r="B6" s="10"/>
      <c r="C6" s="10"/>
      <c r="D6" s="11"/>
      <c r="E6" s="10"/>
      <c r="F6" s="11"/>
      <c r="G6" s="10"/>
      <c r="H6" s="11"/>
      <c r="I6" s="10"/>
      <c r="J6" s="11"/>
      <c r="K6" s="10"/>
      <c r="L6" s="11"/>
      <c r="M6" s="10"/>
      <c r="N6" s="11"/>
      <c r="O6" s="10"/>
      <c r="P6" s="11"/>
      <c r="Q6" s="10"/>
      <c r="R6" s="12"/>
    </row>
    <row r="7" spans="1:18" x14ac:dyDescent="0.25">
      <c r="A7" s="11" t="s">
        <v>138</v>
      </c>
      <c r="B7" s="13">
        <v>14530</v>
      </c>
      <c r="C7" s="14">
        <f>(12049/B7*100)</f>
        <v>82.924982794218863</v>
      </c>
      <c r="D7" s="15">
        <v>2481</v>
      </c>
      <c r="E7" s="14">
        <v>80.539914640000006</v>
      </c>
      <c r="F7" s="16">
        <v>0.95917127999999996</v>
      </c>
      <c r="G7" s="14">
        <v>19.460085360000001</v>
      </c>
      <c r="H7" s="16">
        <v>0.95917127999999996</v>
      </c>
      <c r="I7" s="14" t="s">
        <v>139</v>
      </c>
      <c r="J7" s="16" t="s">
        <v>139</v>
      </c>
      <c r="K7" s="14">
        <v>0</v>
      </c>
      <c r="L7" s="16">
        <v>0</v>
      </c>
      <c r="M7" s="14">
        <v>0</v>
      </c>
      <c r="N7" s="16">
        <v>0</v>
      </c>
      <c r="O7" s="14">
        <v>0</v>
      </c>
      <c r="P7" s="16">
        <v>0</v>
      </c>
      <c r="Q7" s="14">
        <v>0</v>
      </c>
      <c r="R7" s="16">
        <v>0</v>
      </c>
    </row>
    <row r="8" spans="1:18" x14ac:dyDescent="0.25">
      <c r="A8" s="11" t="s">
        <v>140</v>
      </c>
      <c r="B8" s="13">
        <v>7007</v>
      </c>
      <c r="C8" s="14">
        <f>(5769/B8*100)</f>
        <v>82.331953760525195</v>
      </c>
      <c r="D8" s="15">
        <v>1238</v>
      </c>
      <c r="E8" s="14">
        <v>84.043160319999998</v>
      </c>
      <c r="F8" s="16">
        <v>1.1031012600000001</v>
      </c>
      <c r="G8" s="14">
        <v>15.95683968</v>
      </c>
      <c r="H8" s="16">
        <v>1.1031012600000001</v>
      </c>
      <c r="I8" s="14" t="s">
        <v>139</v>
      </c>
      <c r="J8" s="16" t="s">
        <v>139</v>
      </c>
      <c r="K8" s="14">
        <v>0</v>
      </c>
      <c r="L8" s="16">
        <v>0</v>
      </c>
      <c r="M8" s="14">
        <v>0</v>
      </c>
      <c r="N8" s="16">
        <v>0</v>
      </c>
      <c r="O8" s="14">
        <v>0</v>
      </c>
      <c r="P8" s="16">
        <v>0</v>
      </c>
      <c r="Q8" s="14">
        <v>0</v>
      </c>
      <c r="R8" s="16">
        <v>0</v>
      </c>
    </row>
    <row r="9" spans="1:18" x14ac:dyDescent="0.25">
      <c r="A9" s="11" t="s">
        <v>141</v>
      </c>
      <c r="B9" s="13">
        <v>9651</v>
      </c>
      <c r="C9" s="14">
        <f>(8037/B9*100)</f>
        <v>83.276344420267336</v>
      </c>
      <c r="D9" s="15">
        <v>1614</v>
      </c>
      <c r="E9" s="14">
        <v>80.680726829999998</v>
      </c>
      <c r="F9" s="16">
        <v>1.0907939900000001</v>
      </c>
      <c r="G9" s="14">
        <v>19.319273169999999</v>
      </c>
      <c r="H9" s="16">
        <v>1.0907939900000001</v>
      </c>
      <c r="I9" s="14" t="s">
        <v>139</v>
      </c>
      <c r="J9" s="16" t="s">
        <v>139</v>
      </c>
      <c r="K9" s="14">
        <v>0</v>
      </c>
      <c r="L9" s="16">
        <v>0</v>
      </c>
      <c r="M9" s="14">
        <v>0</v>
      </c>
      <c r="N9" s="16">
        <v>0</v>
      </c>
      <c r="O9" s="14">
        <v>0</v>
      </c>
      <c r="P9" s="16">
        <v>0</v>
      </c>
      <c r="Q9" s="14">
        <v>0</v>
      </c>
      <c r="R9" s="16">
        <v>0</v>
      </c>
    </row>
    <row r="10" spans="1:18" x14ac:dyDescent="0.25">
      <c r="A10" s="11" t="s">
        <v>142</v>
      </c>
      <c r="B10" s="13">
        <v>20058</v>
      </c>
      <c r="C10" s="14">
        <f>(16648/B10*100)</f>
        <v>82.999302024130031</v>
      </c>
      <c r="D10" s="15">
        <v>3410</v>
      </c>
      <c r="E10" s="14">
        <v>80.986950919999998</v>
      </c>
      <c r="F10" s="16">
        <v>0.94234068000000004</v>
      </c>
      <c r="G10" s="14">
        <v>19.013049079999998</v>
      </c>
      <c r="H10" s="16">
        <v>0.94234068000000004</v>
      </c>
      <c r="I10" s="14" t="s">
        <v>139</v>
      </c>
      <c r="J10" s="16" t="s">
        <v>139</v>
      </c>
      <c r="K10" s="14">
        <v>0</v>
      </c>
      <c r="L10" s="16">
        <v>0</v>
      </c>
      <c r="M10" s="14">
        <v>0</v>
      </c>
      <c r="N10" s="16">
        <v>0</v>
      </c>
      <c r="O10" s="14">
        <v>0</v>
      </c>
      <c r="P10" s="16">
        <v>0</v>
      </c>
      <c r="Q10" s="14">
        <v>0</v>
      </c>
      <c r="R10" s="16">
        <v>0</v>
      </c>
    </row>
    <row r="11" spans="1:18" x14ac:dyDescent="0.25">
      <c r="A11" s="11" t="s">
        <v>143</v>
      </c>
      <c r="B11" s="13">
        <v>7053</v>
      </c>
      <c r="C11" s="14">
        <f>(5826/B11*100)</f>
        <v>82.603147596767329</v>
      </c>
      <c r="D11" s="15">
        <v>1227</v>
      </c>
      <c r="E11" s="14">
        <v>91.614433849999998</v>
      </c>
      <c r="F11" s="16">
        <v>0.75606203000000005</v>
      </c>
      <c r="G11" s="14">
        <v>8.3855661500000007</v>
      </c>
      <c r="H11" s="16">
        <v>0.75606203000000005</v>
      </c>
      <c r="I11" s="14" t="s">
        <v>139</v>
      </c>
      <c r="J11" s="16" t="s">
        <v>139</v>
      </c>
      <c r="K11" s="14">
        <v>0</v>
      </c>
      <c r="L11" s="16">
        <v>0</v>
      </c>
      <c r="M11" s="14">
        <v>0</v>
      </c>
      <c r="N11" s="16">
        <v>0</v>
      </c>
      <c r="O11" s="14">
        <v>0</v>
      </c>
      <c r="P11" s="16">
        <v>0</v>
      </c>
      <c r="Q11" s="14">
        <v>0</v>
      </c>
      <c r="R11" s="16">
        <v>0</v>
      </c>
    </row>
    <row r="12" spans="1:18" x14ac:dyDescent="0.25">
      <c r="A12" s="11" t="s">
        <v>144</v>
      </c>
      <c r="B12" s="13">
        <v>6894</v>
      </c>
      <c r="C12" s="14">
        <f>(5721/B12*100)</f>
        <v>82.98520452567449</v>
      </c>
      <c r="D12" s="15">
        <v>1173</v>
      </c>
      <c r="E12" s="14">
        <v>83.170242700000003</v>
      </c>
      <c r="F12" s="16">
        <v>1.27001717</v>
      </c>
      <c r="G12" s="14">
        <v>16.829757300000001</v>
      </c>
      <c r="H12" s="16">
        <v>1.27001717</v>
      </c>
      <c r="I12" s="14" t="s">
        <v>139</v>
      </c>
      <c r="J12" s="16" t="s">
        <v>139</v>
      </c>
      <c r="K12" s="14">
        <v>0</v>
      </c>
      <c r="L12" s="16">
        <v>0</v>
      </c>
      <c r="M12" s="14">
        <v>0</v>
      </c>
      <c r="N12" s="16">
        <v>0</v>
      </c>
      <c r="O12" s="14">
        <v>0</v>
      </c>
      <c r="P12" s="16">
        <v>0</v>
      </c>
      <c r="Q12" s="14">
        <v>0</v>
      </c>
      <c r="R12" s="16">
        <v>0</v>
      </c>
    </row>
    <row r="13" spans="1:18" x14ac:dyDescent="0.25">
      <c r="A13" s="11" t="s">
        <v>145</v>
      </c>
      <c r="B13" s="13">
        <v>7161</v>
      </c>
      <c r="C13" s="14">
        <f>(5990/B13*100)</f>
        <v>83.647535260438488</v>
      </c>
      <c r="D13" s="15">
        <v>1171</v>
      </c>
      <c r="E13" s="14">
        <v>80.71620523</v>
      </c>
      <c r="F13" s="16">
        <v>1.2560532900000001</v>
      </c>
      <c r="G13" s="14">
        <v>19.28379477</v>
      </c>
      <c r="H13" s="16">
        <v>1.2560532900000001</v>
      </c>
      <c r="I13" s="14" t="s">
        <v>139</v>
      </c>
      <c r="J13" s="16" t="s">
        <v>139</v>
      </c>
      <c r="K13" s="14">
        <v>0</v>
      </c>
      <c r="L13" s="16">
        <v>0</v>
      </c>
      <c r="M13" s="14">
        <v>0</v>
      </c>
      <c r="N13" s="16">
        <v>0</v>
      </c>
      <c r="O13" s="14">
        <v>0</v>
      </c>
      <c r="P13" s="16">
        <v>0</v>
      </c>
      <c r="Q13" s="14">
        <v>0</v>
      </c>
      <c r="R13" s="16">
        <v>0</v>
      </c>
    </row>
    <row r="14" spans="1:18" x14ac:dyDescent="0.25">
      <c r="A14" s="11" t="s">
        <v>146</v>
      </c>
      <c r="B14" s="13">
        <v>5587</v>
      </c>
      <c r="C14" s="14">
        <f>(4623/B14*100)</f>
        <v>82.745659566851614</v>
      </c>
      <c r="D14" s="15">
        <v>964</v>
      </c>
      <c r="E14" s="14">
        <v>78.829151300000007</v>
      </c>
      <c r="F14" s="16">
        <v>1.43141962</v>
      </c>
      <c r="G14" s="14">
        <v>21.170848700000001</v>
      </c>
      <c r="H14" s="16">
        <v>1.43141962</v>
      </c>
      <c r="I14" s="14" t="s">
        <v>139</v>
      </c>
      <c r="J14" s="16" t="s">
        <v>139</v>
      </c>
      <c r="K14" s="14">
        <v>0</v>
      </c>
      <c r="L14" s="16">
        <v>0</v>
      </c>
      <c r="M14" s="14">
        <v>0</v>
      </c>
      <c r="N14" s="16">
        <v>0</v>
      </c>
      <c r="O14" s="14">
        <v>0</v>
      </c>
      <c r="P14" s="16">
        <v>0</v>
      </c>
      <c r="Q14" s="14">
        <v>0</v>
      </c>
      <c r="R14" s="16">
        <v>0</v>
      </c>
    </row>
    <row r="15" spans="1:18" x14ac:dyDescent="0.25">
      <c r="A15" s="11" t="s">
        <v>147</v>
      </c>
      <c r="B15" s="13">
        <v>5882</v>
      </c>
      <c r="C15" s="14">
        <f>(4869/B15*100)</f>
        <v>82.777966678000681</v>
      </c>
      <c r="D15" s="15">
        <v>1013</v>
      </c>
      <c r="E15" s="14">
        <v>71.882282340000003</v>
      </c>
      <c r="F15" s="16">
        <v>1.39312353</v>
      </c>
      <c r="G15" s="14">
        <v>28.11771766</v>
      </c>
      <c r="H15" s="16">
        <v>1.39312353</v>
      </c>
      <c r="I15" s="14" t="s">
        <v>139</v>
      </c>
      <c r="J15" s="16" t="s">
        <v>139</v>
      </c>
      <c r="K15" s="14">
        <v>0</v>
      </c>
      <c r="L15" s="16">
        <v>0</v>
      </c>
      <c r="M15" s="14">
        <v>0</v>
      </c>
      <c r="N15" s="16">
        <v>0</v>
      </c>
      <c r="O15" s="14">
        <v>0</v>
      </c>
      <c r="P15" s="16">
        <v>0</v>
      </c>
      <c r="Q15" s="14">
        <v>0</v>
      </c>
      <c r="R15" s="16">
        <v>0</v>
      </c>
    </row>
    <row r="16" spans="1:18" x14ac:dyDescent="0.25">
      <c r="A16" s="11" t="s">
        <v>148</v>
      </c>
      <c r="B16" s="13">
        <v>6108</v>
      </c>
      <c r="C16" s="14">
        <f>(5076/B16*100)</f>
        <v>83.104125736738695</v>
      </c>
      <c r="D16" s="15">
        <v>1032</v>
      </c>
      <c r="E16" s="14">
        <v>82.263362639999997</v>
      </c>
      <c r="F16" s="16">
        <v>1.0545964000000001</v>
      </c>
      <c r="G16" s="14">
        <v>17.73663736</v>
      </c>
      <c r="H16" s="16">
        <v>1.0545964000000001</v>
      </c>
      <c r="I16" s="14" t="s">
        <v>139</v>
      </c>
      <c r="J16" s="16" t="s">
        <v>139</v>
      </c>
      <c r="K16" s="14">
        <v>0</v>
      </c>
      <c r="L16" s="16">
        <v>0</v>
      </c>
      <c r="M16" s="14">
        <v>0</v>
      </c>
      <c r="N16" s="16">
        <v>0</v>
      </c>
      <c r="O16" s="14">
        <v>0</v>
      </c>
      <c r="P16" s="16">
        <v>0</v>
      </c>
      <c r="Q16" s="14">
        <v>0</v>
      </c>
      <c r="R16" s="16">
        <v>0</v>
      </c>
    </row>
    <row r="17" spans="1:18" x14ac:dyDescent="0.25">
      <c r="A17" s="11" t="s">
        <v>149</v>
      </c>
      <c r="B17" s="13">
        <v>6504</v>
      </c>
      <c r="C17" s="14">
        <f>(5410/B17*100)</f>
        <v>83.179581795817953</v>
      </c>
      <c r="D17" s="15">
        <v>1094</v>
      </c>
      <c r="E17" s="14">
        <v>84.742897529999993</v>
      </c>
      <c r="F17" s="16">
        <v>1.1504290399999999</v>
      </c>
      <c r="G17" s="14">
        <v>15.25710247</v>
      </c>
      <c r="H17" s="16">
        <v>1.1504290399999999</v>
      </c>
      <c r="I17" s="14" t="s">
        <v>139</v>
      </c>
      <c r="J17" s="16" t="s">
        <v>139</v>
      </c>
      <c r="K17" s="14">
        <v>0</v>
      </c>
      <c r="L17" s="16">
        <v>0</v>
      </c>
      <c r="M17" s="14">
        <v>0</v>
      </c>
      <c r="N17" s="16">
        <v>0</v>
      </c>
      <c r="O17" s="14">
        <v>0</v>
      </c>
      <c r="P17" s="16">
        <v>0</v>
      </c>
      <c r="Q17" s="14">
        <v>0</v>
      </c>
      <c r="R17" s="16">
        <v>0</v>
      </c>
    </row>
    <row r="18" spans="1:18" x14ac:dyDescent="0.25">
      <c r="A18" s="11" t="s">
        <v>150</v>
      </c>
      <c r="B18" s="13">
        <v>5532</v>
      </c>
      <c r="C18" s="14">
        <f>(4579/B18*100)</f>
        <v>82.772957339117852</v>
      </c>
      <c r="D18" s="15">
        <v>953</v>
      </c>
      <c r="E18" s="14">
        <v>85.920397129999998</v>
      </c>
      <c r="F18" s="16">
        <v>1.16454506</v>
      </c>
      <c r="G18" s="14">
        <v>14.07960287</v>
      </c>
      <c r="H18" s="16">
        <v>1.16454506</v>
      </c>
      <c r="I18" s="14" t="s">
        <v>139</v>
      </c>
      <c r="J18" s="16" t="s">
        <v>139</v>
      </c>
      <c r="K18" s="14">
        <v>0</v>
      </c>
      <c r="L18" s="16">
        <v>0</v>
      </c>
      <c r="M18" s="14">
        <v>0</v>
      </c>
      <c r="N18" s="16">
        <v>0</v>
      </c>
      <c r="O18" s="14">
        <v>0</v>
      </c>
      <c r="P18" s="16">
        <v>0</v>
      </c>
      <c r="Q18" s="14">
        <v>0</v>
      </c>
      <c r="R18" s="16">
        <v>0</v>
      </c>
    </row>
    <row r="19" spans="1:18" x14ac:dyDescent="0.25">
      <c r="A19" s="11" t="s">
        <v>151</v>
      </c>
      <c r="B19" s="13">
        <v>5658</v>
      </c>
      <c r="C19" s="14">
        <f>(4691/B19*100)</f>
        <v>82.909155178508314</v>
      </c>
      <c r="D19" s="15">
        <v>967</v>
      </c>
      <c r="E19" s="14">
        <v>84.542283920000003</v>
      </c>
      <c r="F19" s="16">
        <v>1.3402117</v>
      </c>
      <c r="G19" s="14">
        <v>15.457716080000001</v>
      </c>
      <c r="H19" s="16">
        <v>1.3402117</v>
      </c>
      <c r="I19" s="14" t="s">
        <v>139</v>
      </c>
      <c r="J19" s="16" t="s">
        <v>139</v>
      </c>
      <c r="K19" s="14">
        <v>0</v>
      </c>
      <c r="L19" s="16">
        <v>0</v>
      </c>
      <c r="M19" s="14">
        <v>0</v>
      </c>
      <c r="N19" s="16">
        <v>0</v>
      </c>
      <c r="O19" s="14">
        <v>0</v>
      </c>
      <c r="P19" s="16">
        <v>0</v>
      </c>
      <c r="Q19" s="14">
        <v>0</v>
      </c>
      <c r="R19" s="16">
        <v>0</v>
      </c>
    </row>
    <row r="20" spans="1:18" x14ac:dyDescent="0.25">
      <c r="A20" s="11" t="s">
        <v>152</v>
      </c>
      <c r="B20" s="13">
        <v>3371</v>
      </c>
      <c r="C20" s="14">
        <f>(2798/B20*100)</f>
        <v>83.002076535152767</v>
      </c>
      <c r="D20" s="15">
        <v>573</v>
      </c>
      <c r="E20" s="14">
        <v>81.124428739999999</v>
      </c>
      <c r="F20" s="16">
        <v>1.5305879600000001</v>
      </c>
      <c r="G20" s="14">
        <v>18.875571260000001</v>
      </c>
      <c r="H20" s="16">
        <v>1.5305879600000001</v>
      </c>
      <c r="I20" s="14" t="s">
        <v>139</v>
      </c>
      <c r="J20" s="16" t="s">
        <v>139</v>
      </c>
      <c r="K20" s="14">
        <v>0</v>
      </c>
      <c r="L20" s="16">
        <v>0</v>
      </c>
      <c r="M20" s="14">
        <v>0</v>
      </c>
      <c r="N20" s="16">
        <v>0</v>
      </c>
      <c r="O20" s="14">
        <v>0</v>
      </c>
      <c r="P20" s="16">
        <v>0</v>
      </c>
      <c r="Q20" s="14">
        <v>0</v>
      </c>
      <c r="R20" s="16">
        <v>0</v>
      </c>
    </row>
    <row r="21" spans="1:18" x14ac:dyDescent="0.25">
      <c r="A21" s="11" t="s">
        <v>153</v>
      </c>
      <c r="B21" s="17" t="s">
        <v>154</v>
      </c>
      <c r="C21" s="17" t="s">
        <v>154</v>
      </c>
      <c r="D21" s="18" t="s">
        <v>154</v>
      </c>
      <c r="E21" s="17" t="s">
        <v>154</v>
      </c>
      <c r="F21" s="18" t="s">
        <v>154</v>
      </c>
      <c r="G21" s="17" t="s">
        <v>154</v>
      </c>
      <c r="H21" s="18" t="s">
        <v>154</v>
      </c>
      <c r="I21" s="17" t="s">
        <v>154</v>
      </c>
      <c r="J21" s="18" t="s">
        <v>154</v>
      </c>
      <c r="K21" s="17" t="s">
        <v>154</v>
      </c>
      <c r="L21" s="18" t="s">
        <v>154</v>
      </c>
      <c r="M21" s="17" t="s">
        <v>154</v>
      </c>
      <c r="N21" s="18" t="s">
        <v>154</v>
      </c>
      <c r="O21" s="17" t="s">
        <v>154</v>
      </c>
      <c r="P21" s="18" t="s">
        <v>154</v>
      </c>
      <c r="Q21" s="17" t="s">
        <v>154</v>
      </c>
      <c r="R21" s="18" t="s">
        <v>154</v>
      </c>
    </row>
    <row r="22" spans="1:18" x14ac:dyDescent="0.25">
      <c r="A22" s="11" t="s">
        <v>155</v>
      </c>
      <c r="B22" s="13">
        <v>6598</v>
      </c>
      <c r="C22" s="14">
        <f>(5570/B22*100)</f>
        <v>84.419521066990001</v>
      </c>
      <c r="D22" s="15">
        <v>1028</v>
      </c>
      <c r="E22" s="14">
        <v>86.141978829999999</v>
      </c>
      <c r="F22" s="16">
        <v>1.1502413499999999</v>
      </c>
      <c r="G22" s="14">
        <v>13.858021170000001</v>
      </c>
      <c r="H22" s="16">
        <v>1.1502413499999999</v>
      </c>
      <c r="I22" s="14" t="s">
        <v>139</v>
      </c>
      <c r="J22" s="16" t="s">
        <v>139</v>
      </c>
      <c r="K22" s="14">
        <v>0</v>
      </c>
      <c r="L22" s="16">
        <v>0</v>
      </c>
      <c r="M22" s="14">
        <v>0</v>
      </c>
      <c r="N22" s="16">
        <v>0</v>
      </c>
      <c r="O22" s="14">
        <v>0</v>
      </c>
      <c r="P22" s="16">
        <v>0</v>
      </c>
      <c r="Q22" s="14">
        <v>0</v>
      </c>
      <c r="R22" s="16">
        <v>0</v>
      </c>
    </row>
    <row r="23" spans="1:18" x14ac:dyDescent="0.25">
      <c r="A23" s="11" t="s">
        <v>156</v>
      </c>
      <c r="B23" s="13">
        <v>11583</v>
      </c>
      <c r="C23" s="14">
        <f>(9578/B23*100)</f>
        <v>82.690149356816022</v>
      </c>
      <c r="D23" s="15">
        <v>2005</v>
      </c>
      <c r="E23" s="14">
        <v>85.049989539999999</v>
      </c>
      <c r="F23" s="16">
        <v>1.2232607499999999</v>
      </c>
      <c r="G23" s="14">
        <v>14.95001046</v>
      </c>
      <c r="H23" s="16">
        <v>1.2232607499999999</v>
      </c>
      <c r="I23" s="14" t="s">
        <v>139</v>
      </c>
      <c r="J23" s="16" t="s">
        <v>139</v>
      </c>
      <c r="K23" s="14">
        <v>0</v>
      </c>
      <c r="L23" s="16">
        <v>0</v>
      </c>
      <c r="M23" s="14">
        <v>0</v>
      </c>
      <c r="N23" s="16">
        <v>0</v>
      </c>
      <c r="O23" s="14">
        <v>0</v>
      </c>
      <c r="P23" s="16">
        <v>0</v>
      </c>
      <c r="Q23" s="14">
        <v>0</v>
      </c>
      <c r="R23" s="16">
        <v>0</v>
      </c>
    </row>
    <row r="24" spans="1:18" x14ac:dyDescent="0.25">
      <c r="A24" s="11" t="s">
        <v>157</v>
      </c>
      <c r="B24" s="13">
        <v>6647</v>
      </c>
      <c r="C24" s="14">
        <f>(5489/B24*100)</f>
        <v>82.578606890326469</v>
      </c>
      <c r="D24" s="15">
        <v>1158</v>
      </c>
      <c r="E24" s="14">
        <v>86.255801570000003</v>
      </c>
      <c r="F24" s="16">
        <v>1.0621593</v>
      </c>
      <c r="G24" s="14">
        <v>13.744198430000001</v>
      </c>
      <c r="H24" s="16">
        <v>1.0621593</v>
      </c>
      <c r="I24" s="14" t="s">
        <v>139</v>
      </c>
      <c r="J24" s="16" t="s">
        <v>139</v>
      </c>
      <c r="K24" s="14">
        <v>0</v>
      </c>
      <c r="L24" s="16">
        <v>0</v>
      </c>
      <c r="M24" s="14">
        <v>0</v>
      </c>
      <c r="N24" s="16">
        <v>0</v>
      </c>
      <c r="O24" s="14">
        <v>0</v>
      </c>
      <c r="P24" s="16">
        <v>0</v>
      </c>
      <c r="Q24" s="14">
        <v>0</v>
      </c>
      <c r="R24" s="16">
        <v>0</v>
      </c>
    </row>
    <row r="25" spans="1:18" x14ac:dyDescent="0.25">
      <c r="A25" s="11" t="s">
        <v>158</v>
      </c>
      <c r="B25" s="13">
        <v>5581</v>
      </c>
      <c r="C25" s="14">
        <f>(4614/B25*100)</f>
        <v>82.673356029385417</v>
      </c>
      <c r="D25" s="15">
        <v>967</v>
      </c>
      <c r="E25" s="14">
        <v>57.76833568</v>
      </c>
      <c r="F25" s="16">
        <v>1.7713026599999999</v>
      </c>
      <c r="G25" s="14">
        <v>42.23166432</v>
      </c>
      <c r="H25" s="16">
        <v>1.7713026599999999</v>
      </c>
      <c r="I25" s="14" t="s">
        <v>139</v>
      </c>
      <c r="J25" s="16" t="s">
        <v>139</v>
      </c>
      <c r="K25" s="14">
        <v>0</v>
      </c>
      <c r="L25" s="16">
        <v>0</v>
      </c>
      <c r="M25" s="14">
        <v>0</v>
      </c>
      <c r="N25" s="16">
        <v>0</v>
      </c>
      <c r="O25" s="14">
        <v>0</v>
      </c>
      <c r="P25" s="16">
        <v>0</v>
      </c>
      <c r="Q25" s="14">
        <v>0</v>
      </c>
      <c r="R25" s="16">
        <v>0</v>
      </c>
    </row>
    <row r="26" spans="1:18" x14ac:dyDescent="0.25">
      <c r="A26" s="11" t="s">
        <v>159</v>
      </c>
      <c r="B26" s="13">
        <v>4869</v>
      </c>
      <c r="C26" s="14">
        <f>(4032/B26*100)</f>
        <v>82.809611829944558</v>
      </c>
      <c r="D26" s="15">
        <v>837</v>
      </c>
      <c r="E26" s="14">
        <v>79.373677299999997</v>
      </c>
      <c r="F26" s="16">
        <v>1.5166634400000001</v>
      </c>
      <c r="G26" s="14">
        <v>20.626322699999999</v>
      </c>
      <c r="H26" s="16">
        <v>1.5166634400000001</v>
      </c>
      <c r="I26" s="14" t="s">
        <v>139</v>
      </c>
      <c r="J26" s="16" t="s">
        <v>139</v>
      </c>
      <c r="K26" s="14">
        <v>0</v>
      </c>
      <c r="L26" s="16">
        <v>0</v>
      </c>
      <c r="M26" s="14">
        <v>0</v>
      </c>
      <c r="N26" s="16">
        <v>0</v>
      </c>
      <c r="O26" s="14">
        <v>0</v>
      </c>
      <c r="P26" s="16">
        <v>0</v>
      </c>
      <c r="Q26" s="14">
        <v>0</v>
      </c>
      <c r="R26" s="16">
        <v>0</v>
      </c>
    </row>
    <row r="27" spans="1:18" x14ac:dyDescent="0.25">
      <c r="A27" s="11" t="s">
        <v>160</v>
      </c>
      <c r="B27" s="13">
        <v>5299</v>
      </c>
      <c r="C27" s="14">
        <f>(4380/B27*100)</f>
        <v>82.657105114172481</v>
      </c>
      <c r="D27" s="15">
        <v>919</v>
      </c>
      <c r="E27" s="14">
        <v>86.604049169999996</v>
      </c>
      <c r="F27" s="16">
        <v>1.0729720199999999</v>
      </c>
      <c r="G27" s="14">
        <v>13.39595083</v>
      </c>
      <c r="H27" s="16">
        <v>1.0729720199999999</v>
      </c>
      <c r="I27" s="14" t="s">
        <v>139</v>
      </c>
      <c r="J27" s="16" t="s">
        <v>139</v>
      </c>
      <c r="K27" s="14">
        <v>0</v>
      </c>
      <c r="L27" s="16">
        <v>0</v>
      </c>
      <c r="M27" s="14">
        <v>0</v>
      </c>
      <c r="N27" s="16">
        <v>0</v>
      </c>
      <c r="O27" s="14">
        <v>0</v>
      </c>
      <c r="P27" s="16">
        <v>0</v>
      </c>
      <c r="Q27" s="14">
        <v>0</v>
      </c>
      <c r="R27" s="16">
        <v>0</v>
      </c>
    </row>
    <row r="28" spans="1:18" x14ac:dyDescent="0.25">
      <c r="A28" s="11" t="s">
        <v>161</v>
      </c>
      <c r="B28" s="13">
        <v>7568</v>
      </c>
      <c r="C28" s="14">
        <f>(6284/B28*100)</f>
        <v>83.033826638477805</v>
      </c>
      <c r="D28" s="15">
        <v>1284</v>
      </c>
      <c r="E28" s="14">
        <v>79.978208019999997</v>
      </c>
      <c r="F28" s="16">
        <v>1.23592338</v>
      </c>
      <c r="G28" s="14">
        <v>20.02179198</v>
      </c>
      <c r="H28" s="16">
        <v>1.23592338</v>
      </c>
      <c r="I28" s="14" t="s">
        <v>139</v>
      </c>
      <c r="J28" s="16" t="s">
        <v>139</v>
      </c>
      <c r="K28" s="14">
        <v>0</v>
      </c>
      <c r="L28" s="16">
        <v>0</v>
      </c>
      <c r="M28" s="14">
        <v>0</v>
      </c>
      <c r="N28" s="16">
        <v>0</v>
      </c>
      <c r="O28" s="14">
        <v>0</v>
      </c>
      <c r="P28" s="16">
        <v>0</v>
      </c>
      <c r="Q28" s="14">
        <v>0</v>
      </c>
      <c r="R28" s="16">
        <v>0</v>
      </c>
    </row>
    <row r="29" spans="1:18" x14ac:dyDescent="0.25">
      <c r="A29" s="11" t="s">
        <v>162</v>
      </c>
      <c r="B29" s="13">
        <v>5385</v>
      </c>
      <c r="C29" s="14">
        <f>(4499/B29*100)</f>
        <v>83.546889507892303</v>
      </c>
      <c r="D29" s="15">
        <v>886</v>
      </c>
      <c r="E29" s="14">
        <v>78.250699040000001</v>
      </c>
      <c r="F29" s="16">
        <v>1.1713751100000001</v>
      </c>
      <c r="G29" s="14">
        <v>21.749300959999999</v>
      </c>
      <c r="H29" s="16">
        <v>1.1713751100000001</v>
      </c>
      <c r="I29" s="14" t="s">
        <v>139</v>
      </c>
      <c r="J29" s="16" t="s">
        <v>139</v>
      </c>
      <c r="K29" s="14">
        <v>0</v>
      </c>
      <c r="L29" s="16">
        <v>0</v>
      </c>
      <c r="M29" s="14">
        <v>0</v>
      </c>
      <c r="N29" s="16">
        <v>0</v>
      </c>
      <c r="O29" s="14">
        <v>0</v>
      </c>
      <c r="P29" s="16">
        <v>0</v>
      </c>
      <c r="Q29" s="14">
        <v>0</v>
      </c>
      <c r="R29" s="16">
        <v>0</v>
      </c>
    </row>
    <row r="30" spans="1:18" x14ac:dyDescent="0.25">
      <c r="A30" s="11" t="s">
        <v>163</v>
      </c>
      <c r="B30" s="13">
        <v>4520</v>
      </c>
      <c r="C30" s="14">
        <f>(3777/B30*100)</f>
        <v>83.561946902654867</v>
      </c>
      <c r="D30" s="15">
        <v>743</v>
      </c>
      <c r="E30" s="14">
        <v>80.184286569999998</v>
      </c>
      <c r="F30" s="16">
        <v>1.64120435</v>
      </c>
      <c r="G30" s="14">
        <v>19.815713429999999</v>
      </c>
      <c r="H30" s="16">
        <v>1.64120435</v>
      </c>
      <c r="I30" s="14" t="s">
        <v>139</v>
      </c>
      <c r="J30" s="16" t="s">
        <v>139</v>
      </c>
      <c r="K30" s="14">
        <v>0</v>
      </c>
      <c r="L30" s="16">
        <v>0</v>
      </c>
      <c r="M30" s="14">
        <v>0</v>
      </c>
      <c r="N30" s="16">
        <v>0</v>
      </c>
      <c r="O30" s="14">
        <v>0</v>
      </c>
      <c r="P30" s="16">
        <v>0</v>
      </c>
      <c r="Q30" s="14">
        <v>0</v>
      </c>
      <c r="R30" s="16">
        <v>0</v>
      </c>
    </row>
    <row r="31" spans="1:18" x14ac:dyDescent="0.25">
      <c r="A31" s="11" t="s">
        <v>164</v>
      </c>
      <c r="B31" s="13">
        <v>5456</v>
      </c>
      <c r="C31" s="14">
        <f>(4534/B31*100)</f>
        <v>83.101173020527867</v>
      </c>
      <c r="D31" s="15">
        <v>922</v>
      </c>
      <c r="E31" s="14">
        <v>85.490110060000006</v>
      </c>
      <c r="F31" s="16">
        <v>1.136897</v>
      </c>
      <c r="G31" s="14">
        <v>14.509889940000001</v>
      </c>
      <c r="H31" s="16">
        <v>1.136897</v>
      </c>
      <c r="I31" s="14" t="s">
        <v>139</v>
      </c>
      <c r="J31" s="16" t="s">
        <v>139</v>
      </c>
      <c r="K31" s="14">
        <v>0</v>
      </c>
      <c r="L31" s="16">
        <v>0</v>
      </c>
      <c r="M31" s="14">
        <v>0</v>
      </c>
      <c r="N31" s="16">
        <v>0</v>
      </c>
      <c r="O31" s="14">
        <v>0</v>
      </c>
      <c r="P31" s="16">
        <v>0</v>
      </c>
      <c r="Q31" s="14">
        <v>0</v>
      </c>
      <c r="R31" s="16">
        <v>0</v>
      </c>
    </row>
    <row r="32" spans="1:18" x14ac:dyDescent="0.25">
      <c r="A32" s="11" t="s">
        <v>165</v>
      </c>
      <c r="B32" s="17" t="s">
        <v>154</v>
      </c>
      <c r="C32" s="17" t="s">
        <v>154</v>
      </c>
      <c r="D32" s="18" t="s">
        <v>154</v>
      </c>
      <c r="E32" s="17" t="s">
        <v>154</v>
      </c>
      <c r="F32" s="18" t="s">
        <v>154</v>
      </c>
      <c r="G32" s="17" t="s">
        <v>154</v>
      </c>
      <c r="H32" s="18" t="s">
        <v>154</v>
      </c>
      <c r="I32" s="17" t="s">
        <v>154</v>
      </c>
      <c r="J32" s="18" t="s">
        <v>154</v>
      </c>
      <c r="K32" s="17" t="s">
        <v>154</v>
      </c>
      <c r="L32" s="18" t="s">
        <v>154</v>
      </c>
      <c r="M32" s="17" t="s">
        <v>154</v>
      </c>
      <c r="N32" s="18" t="s">
        <v>154</v>
      </c>
      <c r="O32" s="17" t="s">
        <v>154</v>
      </c>
      <c r="P32" s="18" t="s">
        <v>154</v>
      </c>
      <c r="Q32" s="17" t="s">
        <v>154</v>
      </c>
      <c r="R32" s="18" t="s">
        <v>154</v>
      </c>
    </row>
    <row r="33" spans="1:18" x14ac:dyDescent="0.25">
      <c r="A33" s="11" t="s">
        <v>166</v>
      </c>
      <c r="B33" s="13">
        <v>7325</v>
      </c>
      <c r="C33" s="14">
        <f>(6081/B33*100)</f>
        <v>83.017064846416375</v>
      </c>
      <c r="D33" s="15">
        <v>1244</v>
      </c>
      <c r="E33" s="14">
        <v>88.947933980000002</v>
      </c>
      <c r="F33" s="16">
        <v>0.98550325000000005</v>
      </c>
      <c r="G33" s="14">
        <v>11.05206602</v>
      </c>
      <c r="H33" s="16">
        <v>0.98550325000000005</v>
      </c>
      <c r="I33" s="14" t="s">
        <v>139</v>
      </c>
      <c r="J33" s="16" t="s">
        <v>139</v>
      </c>
      <c r="K33" s="14">
        <v>0</v>
      </c>
      <c r="L33" s="16">
        <v>0</v>
      </c>
      <c r="M33" s="14">
        <v>0</v>
      </c>
      <c r="N33" s="16">
        <v>0</v>
      </c>
      <c r="O33" s="14">
        <v>0</v>
      </c>
      <c r="P33" s="16">
        <v>0</v>
      </c>
      <c r="Q33" s="14">
        <v>0</v>
      </c>
      <c r="R33" s="16">
        <v>0</v>
      </c>
    </row>
    <row r="34" spans="1:18" x14ac:dyDescent="0.25">
      <c r="A34" s="11" t="s">
        <v>167</v>
      </c>
      <c r="B34" s="13">
        <v>6350</v>
      </c>
      <c r="C34" s="14">
        <f>(5292/B34*100)</f>
        <v>83.338582677165348</v>
      </c>
      <c r="D34" s="15">
        <v>1058</v>
      </c>
      <c r="E34" s="14">
        <v>90.144605690000006</v>
      </c>
      <c r="F34" s="16">
        <v>0.89089602000000001</v>
      </c>
      <c r="G34" s="14">
        <v>9.8553943099999994</v>
      </c>
      <c r="H34" s="16">
        <v>0.89089602000000001</v>
      </c>
      <c r="I34" s="14" t="s">
        <v>139</v>
      </c>
      <c r="J34" s="16" t="s">
        <v>139</v>
      </c>
      <c r="K34" s="14">
        <v>0</v>
      </c>
      <c r="L34" s="16">
        <v>0</v>
      </c>
      <c r="M34" s="14">
        <v>0</v>
      </c>
      <c r="N34" s="16">
        <v>0</v>
      </c>
      <c r="O34" s="14">
        <v>0</v>
      </c>
      <c r="P34" s="16">
        <v>0</v>
      </c>
      <c r="Q34" s="14">
        <v>0</v>
      </c>
      <c r="R34" s="16">
        <v>0</v>
      </c>
    </row>
    <row r="35" spans="1:18" x14ac:dyDescent="0.25">
      <c r="A35" s="11" t="s">
        <v>168</v>
      </c>
      <c r="B35" s="13">
        <v>6406</v>
      </c>
      <c r="C35" s="14">
        <f>(5349/B35*100)</f>
        <v>83.499843896347173</v>
      </c>
      <c r="D35" s="15">
        <v>1057</v>
      </c>
      <c r="E35" s="14">
        <v>87.677516999999995</v>
      </c>
      <c r="F35" s="16">
        <v>1.31170323</v>
      </c>
      <c r="G35" s="14">
        <v>12.322483</v>
      </c>
      <c r="H35" s="16">
        <v>1.31170323</v>
      </c>
      <c r="I35" s="14" t="s">
        <v>139</v>
      </c>
      <c r="J35" s="16" t="s">
        <v>139</v>
      </c>
      <c r="K35" s="14">
        <v>0</v>
      </c>
      <c r="L35" s="16">
        <v>0</v>
      </c>
      <c r="M35" s="14">
        <v>0</v>
      </c>
      <c r="N35" s="16">
        <v>0</v>
      </c>
      <c r="O35" s="14">
        <v>0</v>
      </c>
      <c r="P35" s="16">
        <v>0</v>
      </c>
      <c r="Q35" s="14">
        <v>0</v>
      </c>
      <c r="R35" s="16">
        <v>0</v>
      </c>
    </row>
    <row r="36" spans="1:18" x14ac:dyDescent="0.25">
      <c r="A36" s="11" t="s">
        <v>169</v>
      </c>
      <c r="B36" s="13">
        <v>6736</v>
      </c>
      <c r="C36" s="14">
        <f>(5578/B36*100)</f>
        <v>82.808788598574822</v>
      </c>
      <c r="D36" s="15">
        <v>1158</v>
      </c>
      <c r="E36" s="14">
        <v>86.931331389999997</v>
      </c>
      <c r="F36" s="16">
        <v>0.91003455</v>
      </c>
      <c r="G36" s="14">
        <v>13.06866861</v>
      </c>
      <c r="H36" s="16">
        <v>0.91003455</v>
      </c>
      <c r="I36" s="14" t="s">
        <v>139</v>
      </c>
      <c r="J36" s="16" t="s">
        <v>139</v>
      </c>
      <c r="K36" s="14">
        <v>0</v>
      </c>
      <c r="L36" s="16">
        <v>0</v>
      </c>
      <c r="M36" s="14">
        <v>0</v>
      </c>
      <c r="N36" s="16">
        <v>0</v>
      </c>
      <c r="O36" s="14">
        <v>0</v>
      </c>
      <c r="P36" s="16">
        <v>0</v>
      </c>
      <c r="Q36" s="14">
        <v>0</v>
      </c>
      <c r="R36" s="16">
        <v>0</v>
      </c>
    </row>
    <row r="37" spans="1:18" x14ac:dyDescent="0.25">
      <c r="A37" s="11" t="s">
        <v>170</v>
      </c>
      <c r="B37" s="13">
        <v>5458</v>
      </c>
      <c r="C37" s="14">
        <f>(4538/B37*100)</f>
        <v>83.144008794430192</v>
      </c>
      <c r="D37" s="15">
        <v>920</v>
      </c>
      <c r="E37" s="14">
        <v>83.91091136</v>
      </c>
      <c r="F37" s="16">
        <v>1.22993544</v>
      </c>
      <c r="G37" s="14">
        <v>16.08908864</v>
      </c>
      <c r="H37" s="16">
        <v>1.22993544</v>
      </c>
      <c r="I37" s="14" t="s">
        <v>139</v>
      </c>
      <c r="J37" s="16" t="s">
        <v>139</v>
      </c>
      <c r="K37" s="14">
        <v>0</v>
      </c>
      <c r="L37" s="16">
        <v>0</v>
      </c>
      <c r="M37" s="14">
        <v>0</v>
      </c>
      <c r="N37" s="16">
        <v>0</v>
      </c>
      <c r="O37" s="14">
        <v>0</v>
      </c>
      <c r="P37" s="16">
        <v>0</v>
      </c>
      <c r="Q37" s="14">
        <v>0</v>
      </c>
      <c r="R37" s="16">
        <v>0</v>
      </c>
    </row>
    <row r="38" spans="1:18" x14ac:dyDescent="0.25">
      <c r="A38" s="11" t="s">
        <v>171</v>
      </c>
      <c r="B38" s="17" t="s">
        <v>154</v>
      </c>
      <c r="C38" s="17" t="s">
        <v>154</v>
      </c>
      <c r="D38" s="18" t="s">
        <v>154</v>
      </c>
      <c r="E38" s="17" t="s">
        <v>154</v>
      </c>
      <c r="F38" s="18" t="s">
        <v>154</v>
      </c>
      <c r="G38" s="17" t="s">
        <v>154</v>
      </c>
      <c r="H38" s="18" t="s">
        <v>154</v>
      </c>
      <c r="I38" s="17" t="s">
        <v>154</v>
      </c>
      <c r="J38" s="18" t="s">
        <v>154</v>
      </c>
      <c r="K38" s="17" t="s">
        <v>154</v>
      </c>
      <c r="L38" s="18" t="s">
        <v>154</v>
      </c>
      <c r="M38" s="17" t="s">
        <v>154</v>
      </c>
      <c r="N38" s="18" t="s">
        <v>154</v>
      </c>
      <c r="O38" s="17" t="s">
        <v>154</v>
      </c>
      <c r="P38" s="18" t="s">
        <v>154</v>
      </c>
      <c r="Q38" s="17" t="s">
        <v>154</v>
      </c>
      <c r="R38" s="18" t="s">
        <v>154</v>
      </c>
    </row>
    <row r="39" spans="1:18" x14ac:dyDescent="0.25">
      <c r="A39" s="11" t="s">
        <v>172</v>
      </c>
      <c r="B39" s="13">
        <v>5895</v>
      </c>
      <c r="C39" s="14">
        <f>(4864/B39*100)</f>
        <v>82.510602205258692</v>
      </c>
      <c r="D39" s="15">
        <v>1031</v>
      </c>
      <c r="E39" s="14">
        <v>85.226217169999998</v>
      </c>
      <c r="F39" s="16">
        <v>1.2137752500000001</v>
      </c>
      <c r="G39" s="14">
        <v>14.77378283</v>
      </c>
      <c r="H39" s="16">
        <v>1.2137752500000001</v>
      </c>
      <c r="I39" s="14" t="s">
        <v>139</v>
      </c>
      <c r="J39" s="16" t="s">
        <v>139</v>
      </c>
      <c r="K39" s="14">
        <v>0</v>
      </c>
      <c r="L39" s="16">
        <v>0</v>
      </c>
      <c r="M39" s="14">
        <v>0</v>
      </c>
      <c r="N39" s="16">
        <v>0</v>
      </c>
      <c r="O39" s="14">
        <v>0</v>
      </c>
      <c r="P39" s="16">
        <v>0</v>
      </c>
      <c r="Q39" s="14">
        <v>0</v>
      </c>
      <c r="R39" s="16">
        <v>0</v>
      </c>
    </row>
    <row r="40" spans="1:18" x14ac:dyDescent="0.25">
      <c r="A40" s="11" t="s">
        <v>173</v>
      </c>
      <c r="B40" s="13">
        <v>14157</v>
      </c>
      <c r="C40" s="14">
        <f>(11730/B40*100)</f>
        <v>82.856537401991943</v>
      </c>
      <c r="D40" s="15">
        <v>2427</v>
      </c>
      <c r="E40" s="14">
        <v>83.390742880000005</v>
      </c>
      <c r="F40" s="16">
        <v>1.1300620400000001</v>
      </c>
      <c r="G40" s="14">
        <v>16.609257119999999</v>
      </c>
      <c r="H40" s="16">
        <v>1.1300620400000001</v>
      </c>
      <c r="I40" s="14" t="s">
        <v>139</v>
      </c>
      <c r="J40" s="16" t="s">
        <v>139</v>
      </c>
      <c r="K40" s="14">
        <v>0</v>
      </c>
      <c r="L40" s="16">
        <v>0</v>
      </c>
      <c r="M40" s="14">
        <v>0</v>
      </c>
      <c r="N40" s="16">
        <v>0</v>
      </c>
      <c r="O40" s="14">
        <v>0</v>
      </c>
      <c r="P40" s="16">
        <v>0</v>
      </c>
      <c r="Q40" s="14">
        <v>0</v>
      </c>
      <c r="R40" s="16">
        <v>0</v>
      </c>
    </row>
    <row r="41" spans="1:18" x14ac:dyDescent="0.25">
      <c r="A41" s="11" t="s">
        <v>174</v>
      </c>
      <c r="B41" s="13">
        <v>5712</v>
      </c>
      <c r="C41" s="14">
        <f>(4725/B41*100)</f>
        <v>82.720588235294116</v>
      </c>
      <c r="D41" s="15">
        <v>987</v>
      </c>
      <c r="E41" s="14">
        <v>78.917793880000005</v>
      </c>
      <c r="F41" s="16">
        <v>1.4342667600000001</v>
      </c>
      <c r="G41" s="14">
        <v>21.082206119999999</v>
      </c>
      <c r="H41" s="16">
        <v>1.4342667600000001</v>
      </c>
      <c r="I41" s="14" t="s">
        <v>139</v>
      </c>
      <c r="J41" s="16" t="s">
        <v>139</v>
      </c>
      <c r="K41" s="14">
        <v>0</v>
      </c>
      <c r="L41" s="16">
        <v>0</v>
      </c>
      <c r="M41" s="14">
        <v>0</v>
      </c>
      <c r="N41" s="16">
        <v>0</v>
      </c>
      <c r="O41" s="14">
        <v>0</v>
      </c>
      <c r="P41" s="16">
        <v>0</v>
      </c>
      <c r="Q41" s="14">
        <v>0</v>
      </c>
      <c r="R41" s="16">
        <v>0</v>
      </c>
    </row>
    <row r="42" spans="1:18" x14ac:dyDescent="0.25">
      <c r="A42" s="11" t="s">
        <v>175</v>
      </c>
      <c r="B42" s="13">
        <f>IF(COUNT(B7:B41) &gt; 0, AVERAGE(B7:B41), "\u2014")</f>
        <v>7266.90625</v>
      </c>
      <c r="C42" s="14">
        <f>IF(COUNT(C7:C41) &gt; 0, AVERAGE(C7:C41), "—")</f>
        <v>83.007131132027368</v>
      </c>
      <c r="D42" s="15">
        <f>IF(COUNT(D7:D41) &gt; 0, AVERAGE(D7:D41), "—")</f>
        <v>1235.65625</v>
      </c>
      <c r="E42" s="14">
        <f>IF(COUNT(E7:E41) &gt; 0, AVERAGE(E7:E41), "—")</f>
        <v>82.540644600624987</v>
      </c>
      <c r="F42" s="16">
        <f>IF(COUNT(F7:F41) &gt; 0, SQRT(SUMSQ(F7:F41)/(COUNT(F7:F41)*COUNT(F7:F41)) ), "—")</f>
        <v>0.21640152605899862</v>
      </c>
      <c r="G42" s="14">
        <f>IF(COUNT(G7:G41) &gt; 0, AVERAGE(G7:G41), "—")</f>
        <v>17.459355399374999</v>
      </c>
      <c r="H42" s="16">
        <f>IF(COUNT(H7:H41) &gt; 0, SQRT(SUMSQ(H7:H41)/(COUNT(H7:H41)*COUNT(H7:H41)) ), "—")</f>
        <v>0.21640152605899862</v>
      </c>
      <c r="I42" s="14" t="str">
        <f>IF(COUNT(I7:I41) &gt; 0, AVERAGE(I7:I41), "—")</f>
        <v>—</v>
      </c>
      <c r="J42" s="16" t="str">
        <f>IF(COUNT(J7:J41) &gt; 0, SQRT(SUMSQ(J7:J41)/(COUNT(J7:J41)*COUNT(J7:J41)) ), "—")</f>
        <v>—</v>
      </c>
      <c r="K42" s="14">
        <f>IF(COUNT(K7:K41) &gt; 0, AVERAGE(K7:K41), "—")</f>
        <v>0</v>
      </c>
      <c r="L42" s="16">
        <f>IF(COUNT(L7:L41) &gt; 0, SQRT(SUMSQ(L7:L41)/(COUNT(L7:L41)*COUNT(L7:L41)) ), "—")</f>
        <v>0</v>
      </c>
      <c r="M42" s="14">
        <f>IF(COUNT(M7:M41) &gt; 0, AVERAGE(M7:M41), "—")</f>
        <v>0</v>
      </c>
      <c r="N42" s="16">
        <f>IF(COUNT(N7:N41) &gt; 0, SQRT(SUMSQ(N7:N41)/(COUNT(N7:N41)*COUNT(N7:N41)) ), "—")</f>
        <v>0</v>
      </c>
      <c r="O42" s="14">
        <f>IF(COUNT(O7:O41) &gt; 0, AVERAGE(O7:O41), "—")</f>
        <v>0</v>
      </c>
      <c r="P42" s="16">
        <f>IF(COUNT(P7:P41) &gt; 0, SQRT(SUMSQ(P7:P41)/(COUNT(P7:P41)*COUNT(P7:P41)) ), "—")</f>
        <v>0</v>
      </c>
      <c r="Q42" s="14">
        <f>IF(COUNT(Q7:Q41) &gt; 0, AVERAGE(Q7:Q41), "—")</f>
        <v>0</v>
      </c>
      <c r="R42" s="16">
        <f>IF(COUNT(R7:R41) &gt; 0, SQRT(SUMSQ(R7:R41)/(COUNT(R7:R41)*COUNT(R7:R41)) ), "—")</f>
        <v>0</v>
      </c>
    </row>
    <row r="43" spans="1:18" x14ac:dyDescent="0.25">
      <c r="A43" s="9" t="s">
        <v>176</v>
      </c>
      <c r="B43" s="10"/>
      <c r="C43" s="10"/>
      <c r="D43" s="11"/>
      <c r="E43" s="10"/>
      <c r="F43" s="11"/>
      <c r="G43" s="10"/>
      <c r="H43" s="11"/>
      <c r="I43" s="10"/>
      <c r="J43" s="11"/>
      <c r="K43" s="10"/>
      <c r="L43" s="11"/>
      <c r="M43" s="10"/>
      <c r="N43" s="11"/>
      <c r="O43" s="10"/>
      <c r="P43" s="11"/>
      <c r="Q43" s="10"/>
      <c r="R43" s="12"/>
    </row>
    <row r="44" spans="1:18" x14ac:dyDescent="0.25">
      <c r="A44" s="11" t="s">
        <v>177</v>
      </c>
      <c r="B44" s="17" t="s">
        <v>154</v>
      </c>
      <c r="C44" s="17" t="s">
        <v>154</v>
      </c>
      <c r="D44" s="18" t="s">
        <v>154</v>
      </c>
      <c r="E44" s="17" t="s">
        <v>154</v>
      </c>
      <c r="F44" s="18" t="s">
        <v>154</v>
      </c>
      <c r="G44" s="17" t="s">
        <v>154</v>
      </c>
      <c r="H44" s="18" t="s">
        <v>154</v>
      </c>
      <c r="I44" s="17" t="s">
        <v>154</v>
      </c>
      <c r="J44" s="18" t="s">
        <v>154</v>
      </c>
      <c r="K44" s="17" t="s">
        <v>154</v>
      </c>
      <c r="L44" s="18" t="s">
        <v>154</v>
      </c>
      <c r="M44" s="17" t="s">
        <v>154</v>
      </c>
      <c r="N44" s="18" t="s">
        <v>154</v>
      </c>
      <c r="O44" s="17" t="s">
        <v>154</v>
      </c>
      <c r="P44" s="18" t="s">
        <v>154</v>
      </c>
      <c r="Q44" s="17" t="s">
        <v>154</v>
      </c>
      <c r="R44" s="18" t="s">
        <v>154</v>
      </c>
    </row>
    <row r="45" spans="1:18" x14ac:dyDescent="0.25">
      <c r="A45" s="11" t="s">
        <v>178</v>
      </c>
      <c r="B45" s="17" t="s">
        <v>154</v>
      </c>
      <c r="C45" s="17" t="s">
        <v>154</v>
      </c>
      <c r="D45" s="18" t="s">
        <v>154</v>
      </c>
      <c r="E45" s="17" t="s">
        <v>154</v>
      </c>
      <c r="F45" s="18" t="s">
        <v>154</v>
      </c>
      <c r="G45" s="17" t="s">
        <v>154</v>
      </c>
      <c r="H45" s="18" t="s">
        <v>154</v>
      </c>
      <c r="I45" s="17" t="s">
        <v>154</v>
      </c>
      <c r="J45" s="18" t="s">
        <v>154</v>
      </c>
      <c r="K45" s="17" t="s">
        <v>154</v>
      </c>
      <c r="L45" s="18" t="s">
        <v>154</v>
      </c>
      <c r="M45" s="17" t="s">
        <v>154</v>
      </c>
      <c r="N45" s="18" t="s">
        <v>154</v>
      </c>
      <c r="O45" s="17" t="s">
        <v>154</v>
      </c>
      <c r="P45" s="18" t="s">
        <v>154</v>
      </c>
      <c r="Q45" s="17" t="s">
        <v>154</v>
      </c>
      <c r="R45" s="18" t="s">
        <v>154</v>
      </c>
    </row>
    <row r="46" spans="1:18" x14ac:dyDescent="0.25">
      <c r="A46" s="11" t="s">
        <v>179</v>
      </c>
      <c r="B46" s="13">
        <v>23141</v>
      </c>
      <c r="C46" s="14">
        <f>(19566/B46*100)</f>
        <v>84.551229419644784</v>
      </c>
      <c r="D46" s="15">
        <v>3575</v>
      </c>
      <c r="E46" s="14">
        <v>88.124842419999993</v>
      </c>
      <c r="F46" s="16">
        <v>0.66484191000000004</v>
      </c>
      <c r="G46" s="14">
        <v>11.87515758</v>
      </c>
      <c r="H46" s="16">
        <v>0.66484191000000004</v>
      </c>
      <c r="I46" s="14" t="s">
        <v>139</v>
      </c>
      <c r="J46" s="16" t="s">
        <v>139</v>
      </c>
      <c r="K46" s="14">
        <v>0</v>
      </c>
      <c r="L46" s="16">
        <v>0</v>
      </c>
      <c r="M46" s="14">
        <v>0</v>
      </c>
      <c r="N46" s="16">
        <v>0</v>
      </c>
      <c r="O46" s="14">
        <v>0</v>
      </c>
      <c r="P46" s="16">
        <v>0</v>
      </c>
      <c r="Q46" s="14">
        <v>0</v>
      </c>
      <c r="R46" s="16">
        <v>0</v>
      </c>
    </row>
    <row r="47" spans="1:18" x14ac:dyDescent="0.25">
      <c r="A47" s="11" t="s">
        <v>180</v>
      </c>
      <c r="B47" s="13">
        <v>5928</v>
      </c>
      <c r="C47" s="14">
        <f>(4910/B47*100)</f>
        <v>82.827260458839405</v>
      </c>
      <c r="D47" s="15">
        <v>1018</v>
      </c>
      <c r="E47" s="14">
        <v>79.557961199999994</v>
      </c>
      <c r="F47" s="16">
        <v>1.23479082</v>
      </c>
      <c r="G47" s="14">
        <v>20.442038799999999</v>
      </c>
      <c r="H47" s="16">
        <v>1.23479082</v>
      </c>
      <c r="I47" s="14" t="s">
        <v>139</v>
      </c>
      <c r="J47" s="16" t="s">
        <v>139</v>
      </c>
      <c r="K47" s="14">
        <v>0</v>
      </c>
      <c r="L47" s="16">
        <v>0</v>
      </c>
      <c r="M47" s="14">
        <v>0</v>
      </c>
      <c r="N47" s="16">
        <v>0</v>
      </c>
      <c r="O47" s="14">
        <v>0</v>
      </c>
      <c r="P47" s="16">
        <v>0</v>
      </c>
      <c r="Q47" s="14">
        <v>0</v>
      </c>
      <c r="R47" s="16">
        <v>0</v>
      </c>
    </row>
    <row r="48" spans="1:18" x14ac:dyDescent="0.25">
      <c r="A48" s="11" t="s">
        <v>181</v>
      </c>
      <c r="B48" s="13">
        <v>9841</v>
      </c>
      <c r="C48" s="14">
        <f>(8164/B48*100)</f>
        <v>82.959048877146628</v>
      </c>
      <c r="D48" s="15">
        <v>1677</v>
      </c>
      <c r="E48" s="14">
        <v>87.511652940000005</v>
      </c>
      <c r="F48" s="16">
        <v>0.81998771999999998</v>
      </c>
      <c r="G48" s="14">
        <v>12.488347060000001</v>
      </c>
      <c r="H48" s="16">
        <v>0.81998771999999998</v>
      </c>
      <c r="I48" s="14" t="s">
        <v>139</v>
      </c>
      <c r="J48" s="16" t="s">
        <v>139</v>
      </c>
      <c r="K48" s="14">
        <v>0</v>
      </c>
      <c r="L48" s="16">
        <v>0</v>
      </c>
      <c r="M48" s="14">
        <v>0</v>
      </c>
      <c r="N48" s="16">
        <v>0</v>
      </c>
      <c r="O48" s="14">
        <v>0</v>
      </c>
      <c r="P48" s="16">
        <v>0</v>
      </c>
      <c r="Q48" s="14">
        <v>0</v>
      </c>
      <c r="R48" s="16">
        <v>0</v>
      </c>
    </row>
    <row r="49" spans="1:18" x14ac:dyDescent="0.25">
      <c r="A49" s="11" t="s">
        <v>182</v>
      </c>
      <c r="B49" s="17" t="s">
        <v>154</v>
      </c>
      <c r="C49" s="17" t="s">
        <v>154</v>
      </c>
      <c r="D49" s="18" t="s">
        <v>154</v>
      </c>
      <c r="E49" s="17" t="s">
        <v>154</v>
      </c>
      <c r="F49" s="18" t="s">
        <v>154</v>
      </c>
      <c r="G49" s="17" t="s">
        <v>154</v>
      </c>
      <c r="H49" s="18" t="s">
        <v>154</v>
      </c>
      <c r="I49" s="17" t="s">
        <v>154</v>
      </c>
      <c r="J49" s="18" t="s">
        <v>154</v>
      </c>
      <c r="K49" s="17" t="s">
        <v>154</v>
      </c>
      <c r="L49" s="18" t="s">
        <v>154</v>
      </c>
      <c r="M49" s="17" t="s">
        <v>154</v>
      </c>
      <c r="N49" s="18" t="s">
        <v>154</v>
      </c>
      <c r="O49" s="17" t="s">
        <v>154</v>
      </c>
      <c r="P49" s="18" t="s">
        <v>154</v>
      </c>
      <c r="Q49" s="17" t="s">
        <v>154</v>
      </c>
      <c r="R49" s="18" t="s">
        <v>154</v>
      </c>
    </row>
    <row r="50" spans="1:18" x14ac:dyDescent="0.25">
      <c r="A50" s="11" t="s">
        <v>183</v>
      </c>
      <c r="B50" s="13">
        <v>11795</v>
      </c>
      <c r="C50" s="14">
        <f>(9777/B50*100)</f>
        <v>82.891055532005083</v>
      </c>
      <c r="D50" s="15">
        <v>2018</v>
      </c>
      <c r="E50" s="14">
        <v>91.123034730000001</v>
      </c>
      <c r="F50" s="16">
        <v>0.68233297000000004</v>
      </c>
      <c r="G50" s="14">
        <v>8.8769652699999995</v>
      </c>
      <c r="H50" s="16">
        <v>0.68233297000000004</v>
      </c>
      <c r="I50" s="14" t="s">
        <v>139</v>
      </c>
      <c r="J50" s="16" t="s">
        <v>139</v>
      </c>
      <c r="K50" s="14">
        <v>0</v>
      </c>
      <c r="L50" s="16">
        <v>0</v>
      </c>
      <c r="M50" s="14">
        <v>0</v>
      </c>
      <c r="N50" s="16">
        <v>0</v>
      </c>
      <c r="O50" s="14">
        <v>0</v>
      </c>
      <c r="P50" s="16">
        <v>0</v>
      </c>
      <c r="Q50" s="14">
        <v>0</v>
      </c>
      <c r="R50" s="16">
        <v>0</v>
      </c>
    </row>
    <row r="51" spans="1:18" x14ac:dyDescent="0.25">
      <c r="A51" s="11" t="s">
        <v>184</v>
      </c>
      <c r="B51" s="13">
        <v>6866</v>
      </c>
      <c r="C51" s="14">
        <f>(5820/B51*100)</f>
        <v>84.765511214681027</v>
      </c>
      <c r="D51" s="15">
        <v>1046</v>
      </c>
      <c r="E51" s="14">
        <v>92.982797360000006</v>
      </c>
      <c r="F51" s="16">
        <v>0.75489017999999997</v>
      </c>
      <c r="G51" s="14">
        <v>7.0172026399999998</v>
      </c>
      <c r="H51" s="16">
        <v>0.75489017999999997</v>
      </c>
      <c r="I51" s="14" t="s">
        <v>139</v>
      </c>
      <c r="J51" s="16" t="s">
        <v>139</v>
      </c>
      <c r="K51" s="14">
        <v>0</v>
      </c>
      <c r="L51" s="16">
        <v>0</v>
      </c>
      <c r="M51" s="14">
        <v>0</v>
      </c>
      <c r="N51" s="16">
        <v>0</v>
      </c>
      <c r="O51" s="14">
        <v>0</v>
      </c>
      <c r="P51" s="16">
        <v>0</v>
      </c>
      <c r="Q51" s="14">
        <v>0</v>
      </c>
      <c r="R51" s="16">
        <v>0</v>
      </c>
    </row>
    <row r="52" spans="1:18" x14ac:dyDescent="0.25">
      <c r="A52" s="11" t="s">
        <v>185</v>
      </c>
      <c r="B52" s="13">
        <v>5809</v>
      </c>
      <c r="C52" s="14">
        <f>(4829/B52*100)</f>
        <v>83.129626441728348</v>
      </c>
      <c r="D52" s="15">
        <v>980</v>
      </c>
      <c r="E52" s="14">
        <v>88.187554719999994</v>
      </c>
      <c r="F52" s="16">
        <v>0.99958172000000001</v>
      </c>
      <c r="G52" s="14">
        <v>11.81244528</v>
      </c>
      <c r="H52" s="16">
        <v>0.99958172000000001</v>
      </c>
      <c r="I52" s="14" t="s">
        <v>139</v>
      </c>
      <c r="J52" s="16" t="s">
        <v>139</v>
      </c>
      <c r="K52" s="14">
        <v>0</v>
      </c>
      <c r="L52" s="16">
        <v>0</v>
      </c>
      <c r="M52" s="14">
        <v>0</v>
      </c>
      <c r="N52" s="16">
        <v>0</v>
      </c>
      <c r="O52" s="14">
        <v>0</v>
      </c>
      <c r="P52" s="16">
        <v>0</v>
      </c>
      <c r="Q52" s="14">
        <v>0</v>
      </c>
      <c r="R52" s="16">
        <v>0</v>
      </c>
    </row>
    <row r="53" spans="1:18" x14ac:dyDescent="0.25">
      <c r="A53" s="11" t="s">
        <v>186</v>
      </c>
      <c r="B53" s="13">
        <v>5571</v>
      </c>
      <c r="C53" s="14">
        <f>(4632/B53*100)</f>
        <v>83.144857296715131</v>
      </c>
      <c r="D53" s="15">
        <v>939</v>
      </c>
      <c r="E53" s="14">
        <v>76.778717270000001</v>
      </c>
      <c r="F53" s="16">
        <v>1.7800698699999999</v>
      </c>
      <c r="G53" s="14">
        <v>23.221282729999999</v>
      </c>
      <c r="H53" s="16">
        <v>1.7800698699999999</v>
      </c>
      <c r="I53" s="14" t="s">
        <v>139</v>
      </c>
      <c r="J53" s="16" t="s">
        <v>139</v>
      </c>
      <c r="K53" s="14">
        <v>0</v>
      </c>
      <c r="L53" s="16">
        <v>0</v>
      </c>
      <c r="M53" s="14">
        <v>0</v>
      </c>
      <c r="N53" s="16">
        <v>0</v>
      </c>
      <c r="O53" s="14">
        <v>0</v>
      </c>
      <c r="P53" s="16">
        <v>0</v>
      </c>
      <c r="Q53" s="14">
        <v>0</v>
      </c>
      <c r="R53" s="16">
        <v>0</v>
      </c>
    </row>
    <row r="54" spans="1:18" x14ac:dyDescent="0.25">
      <c r="A54" s="11" t="s">
        <v>187</v>
      </c>
      <c r="B54" s="17" t="s">
        <v>154</v>
      </c>
      <c r="C54" s="17" t="s">
        <v>154</v>
      </c>
      <c r="D54" s="18" t="s">
        <v>154</v>
      </c>
      <c r="E54" s="17" t="s">
        <v>154</v>
      </c>
      <c r="F54" s="18" t="s">
        <v>154</v>
      </c>
      <c r="G54" s="17" t="s">
        <v>154</v>
      </c>
      <c r="H54" s="18" t="s">
        <v>154</v>
      </c>
      <c r="I54" s="17" t="s">
        <v>154</v>
      </c>
      <c r="J54" s="18" t="s">
        <v>154</v>
      </c>
      <c r="K54" s="17" t="s">
        <v>154</v>
      </c>
      <c r="L54" s="18" t="s">
        <v>154</v>
      </c>
      <c r="M54" s="17" t="s">
        <v>154</v>
      </c>
      <c r="N54" s="18" t="s">
        <v>154</v>
      </c>
      <c r="O54" s="17" t="s">
        <v>154</v>
      </c>
      <c r="P54" s="18" t="s">
        <v>154</v>
      </c>
      <c r="Q54" s="17" t="s">
        <v>154</v>
      </c>
      <c r="R54" s="18" t="s">
        <v>154</v>
      </c>
    </row>
    <row r="55" spans="1:18" x14ac:dyDescent="0.25">
      <c r="A55" s="11" t="s">
        <v>188</v>
      </c>
      <c r="B55" s="17" t="s">
        <v>154</v>
      </c>
      <c r="C55" s="17" t="s">
        <v>154</v>
      </c>
      <c r="D55" s="18" t="s">
        <v>154</v>
      </c>
      <c r="E55" s="17" t="s">
        <v>154</v>
      </c>
      <c r="F55" s="18" t="s">
        <v>154</v>
      </c>
      <c r="G55" s="17" t="s">
        <v>154</v>
      </c>
      <c r="H55" s="18" t="s">
        <v>154</v>
      </c>
      <c r="I55" s="17" t="s">
        <v>154</v>
      </c>
      <c r="J55" s="18" t="s">
        <v>154</v>
      </c>
      <c r="K55" s="17" t="s">
        <v>154</v>
      </c>
      <c r="L55" s="18" t="s">
        <v>154</v>
      </c>
      <c r="M55" s="17" t="s">
        <v>154</v>
      </c>
      <c r="N55" s="18" t="s">
        <v>154</v>
      </c>
      <c r="O55" s="17" t="s">
        <v>154</v>
      </c>
      <c r="P55" s="18" t="s">
        <v>154</v>
      </c>
      <c r="Q55" s="17" t="s">
        <v>154</v>
      </c>
      <c r="R55" s="18" t="s">
        <v>154</v>
      </c>
    </row>
    <row r="56" spans="1:18" x14ac:dyDescent="0.25">
      <c r="A56" s="11" t="s">
        <v>189</v>
      </c>
      <c r="B56" s="13">
        <v>5359</v>
      </c>
      <c r="C56" s="14">
        <f>(4444/B56*100)</f>
        <v>82.925919014741552</v>
      </c>
      <c r="D56" s="15">
        <v>915</v>
      </c>
      <c r="E56" s="14">
        <v>81.287114689999996</v>
      </c>
      <c r="F56" s="16">
        <v>1.41072015</v>
      </c>
      <c r="G56" s="14">
        <v>18.712885310000001</v>
      </c>
      <c r="H56" s="16">
        <v>1.41072015</v>
      </c>
      <c r="I56" s="14" t="s">
        <v>139</v>
      </c>
      <c r="J56" s="16" t="s">
        <v>139</v>
      </c>
      <c r="K56" s="14">
        <v>0</v>
      </c>
      <c r="L56" s="16">
        <v>0</v>
      </c>
      <c r="M56" s="14">
        <v>0</v>
      </c>
      <c r="N56" s="16">
        <v>0</v>
      </c>
      <c r="O56" s="14">
        <v>0</v>
      </c>
      <c r="P56" s="16">
        <v>0</v>
      </c>
      <c r="Q56" s="14">
        <v>0</v>
      </c>
      <c r="R56" s="16">
        <v>0</v>
      </c>
    </row>
    <row r="57" spans="1:18" x14ac:dyDescent="0.25">
      <c r="A57" s="11" t="s">
        <v>190</v>
      </c>
      <c r="B57" s="17" t="s">
        <v>154</v>
      </c>
      <c r="C57" s="17" t="s">
        <v>154</v>
      </c>
      <c r="D57" s="18" t="s">
        <v>154</v>
      </c>
      <c r="E57" s="17" t="s">
        <v>154</v>
      </c>
      <c r="F57" s="18" t="s">
        <v>154</v>
      </c>
      <c r="G57" s="17" t="s">
        <v>154</v>
      </c>
      <c r="H57" s="18" t="s">
        <v>154</v>
      </c>
      <c r="I57" s="17" t="s">
        <v>154</v>
      </c>
      <c r="J57" s="18" t="s">
        <v>154</v>
      </c>
      <c r="K57" s="17" t="s">
        <v>154</v>
      </c>
      <c r="L57" s="18" t="s">
        <v>154</v>
      </c>
      <c r="M57" s="17" t="s">
        <v>154</v>
      </c>
      <c r="N57" s="18" t="s">
        <v>154</v>
      </c>
      <c r="O57" s="17" t="s">
        <v>154</v>
      </c>
      <c r="P57" s="18" t="s">
        <v>154</v>
      </c>
      <c r="Q57" s="17" t="s">
        <v>154</v>
      </c>
      <c r="R57" s="18" t="s">
        <v>154</v>
      </c>
    </row>
    <row r="58" spans="1:18" x14ac:dyDescent="0.25">
      <c r="A58" s="11" t="s">
        <v>191</v>
      </c>
      <c r="B58" s="17" t="s">
        <v>154</v>
      </c>
      <c r="C58" s="17" t="s">
        <v>154</v>
      </c>
      <c r="D58" s="18" t="s">
        <v>154</v>
      </c>
      <c r="E58" s="17" t="s">
        <v>154</v>
      </c>
      <c r="F58" s="18" t="s">
        <v>154</v>
      </c>
      <c r="G58" s="17" t="s">
        <v>154</v>
      </c>
      <c r="H58" s="18" t="s">
        <v>154</v>
      </c>
      <c r="I58" s="17" t="s">
        <v>154</v>
      </c>
      <c r="J58" s="18" t="s">
        <v>154</v>
      </c>
      <c r="K58" s="17" t="s">
        <v>154</v>
      </c>
      <c r="L58" s="18" t="s">
        <v>154</v>
      </c>
      <c r="M58" s="17" t="s">
        <v>154</v>
      </c>
      <c r="N58" s="18" t="s">
        <v>154</v>
      </c>
      <c r="O58" s="17" t="s">
        <v>154</v>
      </c>
      <c r="P58" s="18" t="s">
        <v>154</v>
      </c>
      <c r="Q58" s="17" t="s">
        <v>154</v>
      </c>
      <c r="R58" s="18" t="s">
        <v>154</v>
      </c>
    </row>
    <row r="59" spans="1:18" x14ac:dyDescent="0.25">
      <c r="A59" s="11" t="s">
        <v>192</v>
      </c>
      <c r="B59" s="17" t="s">
        <v>154</v>
      </c>
      <c r="C59" s="17" t="s">
        <v>154</v>
      </c>
      <c r="D59" s="18" t="s">
        <v>154</v>
      </c>
      <c r="E59" s="17" t="s">
        <v>154</v>
      </c>
      <c r="F59" s="18" t="s">
        <v>154</v>
      </c>
      <c r="G59" s="17" t="s">
        <v>154</v>
      </c>
      <c r="H59" s="18" t="s">
        <v>154</v>
      </c>
      <c r="I59" s="17" t="s">
        <v>154</v>
      </c>
      <c r="J59" s="18" t="s">
        <v>154</v>
      </c>
      <c r="K59" s="17" t="s">
        <v>154</v>
      </c>
      <c r="L59" s="18" t="s">
        <v>154</v>
      </c>
      <c r="M59" s="17" t="s">
        <v>154</v>
      </c>
      <c r="N59" s="18" t="s">
        <v>154</v>
      </c>
      <c r="O59" s="17" t="s">
        <v>154</v>
      </c>
      <c r="P59" s="18" t="s">
        <v>154</v>
      </c>
      <c r="Q59" s="17" t="s">
        <v>154</v>
      </c>
      <c r="R59" s="18" t="s">
        <v>154</v>
      </c>
    </row>
    <row r="60" spans="1:18" x14ac:dyDescent="0.25">
      <c r="A60" s="11" t="s">
        <v>193</v>
      </c>
      <c r="B60" s="17" t="s">
        <v>154</v>
      </c>
      <c r="C60" s="17" t="s">
        <v>154</v>
      </c>
      <c r="D60" s="18" t="s">
        <v>154</v>
      </c>
      <c r="E60" s="17" t="s">
        <v>154</v>
      </c>
      <c r="F60" s="18" t="s">
        <v>154</v>
      </c>
      <c r="G60" s="17" t="s">
        <v>154</v>
      </c>
      <c r="H60" s="18" t="s">
        <v>154</v>
      </c>
      <c r="I60" s="17" t="s">
        <v>154</v>
      </c>
      <c r="J60" s="18" t="s">
        <v>154</v>
      </c>
      <c r="K60" s="17" t="s">
        <v>154</v>
      </c>
      <c r="L60" s="18" t="s">
        <v>154</v>
      </c>
      <c r="M60" s="17" t="s">
        <v>154</v>
      </c>
      <c r="N60" s="18" t="s">
        <v>154</v>
      </c>
      <c r="O60" s="17" t="s">
        <v>154</v>
      </c>
      <c r="P60" s="18" t="s">
        <v>154</v>
      </c>
      <c r="Q60" s="17" t="s">
        <v>154</v>
      </c>
      <c r="R60" s="18" t="s">
        <v>154</v>
      </c>
    </row>
    <row r="61" spans="1:18" x14ac:dyDescent="0.25">
      <c r="A61" s="11" t="s">
        <v>194</v>
      </c>
      <c r="B61" s="13">
        <v>6525</v>
      </c>
      <c r="C61" s="14">
        <f>(5419/B61*100)</f>
        <v>83.049808429118769</v>
      </c>
      <c r="D61" s="15">
        <v>1106</v>
      </c>
      <c r="E61" s="14">
        <v>89.164425199999997</v>
      </c>
      <c r="F61" s="16">
        <v>0.88827292000000002</v>
      </c>
      <c r="G61" s="14">
        <v>10.8355748</v>
      </c>
      <c r="H61" s="16">
        <v>0.88827292000000002</v>
      </c>
      <c r="I61" s="14" t="s">
        <v>139</v>
      </c>
      <c r="J61" s="16" t="s">
        <v>139</v>
      </c>
      <c r="K61" s="14">
        <v>0</v>
      </c>
      <c r="L61" s="16">
        <v>0</v>
      </c>
      <c r="M61" s="14">
        <v>0</v>
      </c>
      <c r="N61" s="16">
        <v>0</v>
      </c>
      <c r="O61" s="14">
        <v>0</v>
      </c>
      <c r="P61" s="16">
        <v>0</v>
      </c>
      <c r="Q61" s="14">
        <v>0</v>
      </c>
      <c r="R61" s="16">
        <v>0</v>
      </c>
    </row>
    <row r="62" spans="1:18" x14ac:dyDescent="0.25">
      <c r="A62" s="11" t="s">
        <v>195</v>
      </c>
      <c r="B62" s="13">
        <v>4476</v>
      </c>
      <c r="C62" s="14">
        <f>(3700/B62*100)</f>
        <v>82.663092046470069</v>
      </c>
      <c r="D62" s="15">
        <v>776</v>
      </c>
      <c r="E62" s="14">
        <v>78.242833289999993</v>
      </c>
      <c r="F62" s="16">
        <v>1.44792674</v>
      </c>
      <c r="G62" s="14">
        <v>21.75716671</v>
      </c>
      <c r="H62" s="16">
        <v>1.44792674</v>
      </c>
      <c r="I62" s="14" t="s">
        <v>139</v>
      </c>
      <c r="J62" s="16" t="s">
        <v>139</v>
      </c>
      <c r="K62" s="14">
        <v>0</v>
      </c>
      <c r="L62" s="16">
        <v>0</v>
      </c>
      <c r="M62" s="14">
        <v>0</v>
      </c>
      <c r="N62" s="16">
        <v>0</v>
      </c>
      <c r="O62" s="14">
        <v>0</v>
      </c>
      <c r="P62" s="16">
        <v>0</v>
      </c>
      <c r="Q62" s="14">
        <v>0</v>
      </c>
      <c r="R62" s="16">
        <v>0</v>
      </c>
    </row>
    <row r="63" spans="1:18" x14ac:dyDescent="0.25">
      <c r="A63" s="11" t="s">
        <v>196</v>
      </c>
      <c r="B63" s="17" t="s">
        <v>154</v>
      </c>
      <c r="C63" s="17" t="s">
        <v>154</v>
      </c>
      <c r="D63" s="18" t="s">
        <v>154</v>
      </c>
      <c r="E63" s="17" t="s">
        <v>154</v>
      </c>
      <c r="F63" s="18" t="s">
        <v>154</v>
      </c>
      <c r="G63" s="17" t="s">
        <v>154</v>
      </c>
      <c r="H63" s="18" t="s">
        <v>154</v>
      </c>
      <c r="I63" s="17" t="s">
        <v>154</v>
      </c>
      <c r="J63" s="18" t="s">
        <v>154</v>
      </c>
      <c r="K63" s="17" t="s">
        <v>154</v>
      </c>
      <c r="L63" s="18" t="s">
        <v>154</v>
      </c>
      <c r="M63" s="17" t="s">
        <v>154</v>
      </c>
      <c r="N63" s="18" t="s">
        <v>154</v>
      </c>
      <c r="O63" s="17" t="s">
        <v>154</v>
      </c>
      <c r="P63" s="18" t="s">
        <v>154</v>
      </c>
      <c r="Q63" s="17" t="s">
        <v>154</v>
      </c>
      <c r="R63" s="18" t="s">
        <v>154</v>
      </c>
    </row>
    <row r="64" spans="1:18" x14ac:dyDescent="0.25">
      <c r="A64" s="11" t="s">
        <v>197</v>
      </c>
      <c r="B64" s="17" t="s">
        <v>154</v>
      </c>
      <c r="C64" s="17" t="s">
        <v>154</v>
      </c>
      <c r="D64" s="18" t="s">
        <v>154</v>
      </c>
      <c r="E64" s="17" t="s">
        <v>154</v>
      </c>
      <c r="F64" s="18" t="s">
        <v>154</v>
      </c>
      <c r="G64" s="17" t="s">
        <v>154</v>
      </c>
      <c r="H64" s="18" t="s">
        <v>154</v>
      </c>
      <c r="I64" s="17" t="s">
        <v>154</v>
      </c>
      <c r="J64" s="18" t="s">
        <v>154</v>
      </c>
      <c r="K64" s="17" t="s">
        <v>154</v>
      </c>
      <c r="L64" s="18" t="s">
        <v>154</v>
      </c>
      <c r="M64" s="17" t="s">
        <v>154</v>
      </c>
      <c r="N64" s="18" t="s">
        <v>154</v>
      </c>
      <c r="O64" s="17" t="s">
        <v>154</v>
      </c>
      <c r="P64" s="18" t="s">
        <v>154</v>
      </c>
      <c r="Q64" s="17" t="s">
        <v>154</v>
      </c>
      <c r="R64" s="18" t="s">
        <v>154</v>
      </c>
    </row>
    <row r="65" spans="1:18" x14ac:dyDescent="0.25">
      <c r="A65" s="11" t="s">
        <v>198</v>
      </c>
      <c r="B65" s="17" t="s">
        <v>154</v>
      </c>
      <c r="C65" s="17" t="s">
        <v>154</v>
      </c>
      <c r="D65" s="18" t="s">
        <v>154</v>
      </c>
      <c r="E65" s="17" t="s">
        <v>154</v>
      </c>
      <c r="F65" s="18" t="s">
        <v>154</v>
      </c>
      <c r="G65" s="17" t="s">
        <v>154</v>
      </c>
      <c r="H65" s="18" t="s">
        <v>154</v>
      </c>
      <c r="I65" s="17" t="s">
        <v>154</v>
      </c>
      <c r="J65" s="18" t="s">
        <v>154</v>
      </c>
      <c r="K65" s="17" t="s">
        <v>154</v>
      </c>
      <c r="L65" s="18" t="s">
        <v>154</v>
      </c>
      <c r="M65" s="17" t="s">
        <v>154</v>
      </c>
      <c r="N65" s="18" t="s">
        <v>154</v>
      </c>
      <c r="O65" s="17" t="s">
        <v>154</v>
      </c>
      <c r="P65" s="18" t="s">
        <v>154</v>
      </c>
      <c r="Q65" s="17" t="s">
        <v>154</v>
      </c>
      <c r="R65" s="18" t="s">
        <v>154</v>
      </c>
    </row>
    <row r="66" spans="1:18" x14ac:dyDescent="0.25">
      <c r="A66" s="11" t="s">
        <v>199</v>
      </c>
      <c r="B66" s="13">
        <v>5665</v>
      </c>
      <c r="C66" s="14">
        <f>(4713/B66*100)</f>
        <v>83.195057369814648</v>
      </c>
      <c r="D66" s="15">
        <v>952</v>
      </c>
      <c r="E66" s="14">
        <v>85.367654639999998</v>
      </c>
      <c r="F66" s="16">
        <v>1.2436833</v>
      </c>
      <c r="G66" s="14">
        <v>14.63234536</v>
      </c>
      <c r="H66" s="16">
        <v>1.2436833</v>
      </c>
      <c r="I66" s="14" t="s">
        <v>139</v>
      </c>
      <c r="J66" s="16" t="s">
        <v>139</v>
      </c>
      <c r="K66" s="14">
        <v>0</v>
      </c>
      <c r="L66" s="16">
        <v>0</v>
      </c>
      <c r="M66" s="14">
        <v>0</v>
      </c>
      <c r="N66" s="16">
        <v>0</v>
      </c>
      <c r="O66" s="14">
        <v>0</v>
      </c>
      <c r="P66" s="16">
        <v>0</v>
      </c>
      <c r="Q66" s="14">
        <v>0</v>
      </c>
      <c r="R66" s="16">
        <v>0</v>
      </c>
    </row>
    <row r="67" spans="1:18" x14ac:dyDescent="0.25">
      <c r="A67" s="11" t="s">
        <v>200</v>
      </c>
      <c r="B67" s="13">
        <v>6971</v>
      </c>
      <c r="C67" s="14">
        <f>(5859/B67*100)</f>
        <v>84.048199684406839</v>
      </c>
      <c r="D67" s="15">
        <v>1112</v>
      </c>
      <c r="E67" s="14">
        <v>88.68507391</v>
      </c>
      <c r="F67" s="16">
        <v>0.93279643000000001</v>
      </c>
      <c r="G67" s="14">
        <v>11.31492609</v>
      </c>
      <c r="H67" s="16">
        <v>0.93279643000000001</v>
      </c>
      <c r="I67" s="14" t="s">
        <v>139</v>
      </c>
      <c r="J67" s="16" t="s">
        <v>139</v>
      </c>
      <c r="K67" s="14">
        <v>0</v>
      </c>
      <c r="L67" s="16">
        <v>0</v>
      </c>
      <c r="M67" s="14">
        <v>0</v>
      </c>
      <c r="N67" s="16">
        <v>0</v>
      </c>
      <c r="O67" s="14">
        <v>0</v>
      </c>
      <c r="P67" s="16">
        <v>0</v>
      </c>
      <c r="Q67" s="14">
        <v>0</v>
      </c>
      <c r="R67" s="16">
        <v>0</v>
      </c>
    </row>
    <row r="68" spans="1:18" x14ac:dyDescent="0.25">
      <c r="A68" s="11" t="s">
        <v>201</v>
      </c>
      <c r="B68" s="17" t="s">
        <v>154</v>
      </c>
      <c r="C68" s="17" t="s">
        <v>154</v>
      </c>
      <c r="D68" s="18" t="s">
        <v>154</v>
      </c>
      <c r="E68" s="17" t="s">
        <v>154</v>
      </c>
      <c r="F68" s="18" t="s">
        <v>154</v>
      </c>
      <c r="G68" s="17" t="s">
        <v>154</v>
      </c>
      <c r="H68" s="18" t="s">
        <v>154</v>
      </c>
      <c r="I68" s="17" t="s">
        <v>154</v>
      </c>
      <c r="J68" s="18" t="s">
        <v>154</v>
      </c>
      <c r="K68" s="17" t="s">
        <v>154</v>
      </c>
      <c r="L68" s="18" t="s">
        <v>154</v>
      </c>
      <c r="M68" s="17" t="s">
        <v>154</v>
      </c>
      <c r="N68" s="18" t="s">
        <v>154</v>
      </c>
      <c r="O68" s="17" t="s">
        <v>154</v>
      </c>
      <c r="P68" s="18" t="s">
        <v>154</v>
      </c>
      <c r="Q68" s="17" t="s">
        <v>154</v>
      </c>
      <c r="R68" s="18" t="s">
        <v>154</v>
      </c>
    </row>
    <row r="69" spans="1:18" x14ac:dyDescent="0.25">
      <c r="A69" s="11" t="s">
        <v>202</v>
      </c>
      <c r="B69" s="17" t="s">
        <v>154</v>
      </c>
      <c r="C69" s="17" t="s">
        <v>154</v>
      </c>
      <c r="D69" s="18" t="s">
        <v>154</v>
      </c>
      <c r="E69" s="17" t="s">
        <v>154</v>
      </c>
      <c r="F69" s="18" t="s">
        <v>154</v>
      </c>
      <c r="G69" s="17" t="s">
        <v>154</v>
      </c>
      <c r="H69" s="18" t="s">
        <v>154</v>
      </c>
      <c r="I69" s="17" t="s">
        <v>154</v>
      </c>
      <c r="J69" s="18" t="s">
        <v>154</v>
      </c>
      <c r="K69" s="17" t="s">
        <v>154</v>
      </c>
      <c r="L69" s="18" t="s">
        <v>154</v>
      </c>
      <c r="M69" s="17" t="s">
        <v>154</v>
      </c>
      <c r="N69" s="18" t="s">
        <v>154</v>
      </c>
      <c r="O69" s="17" t="s">
        <v>154</v>
      </c>
      <c r="P69" s="18" t="s">
        <v>154</v>
      </c>
      <c r="Q69" s="17" t="s">
        <v>154</v>
      </c>
      <c r="R69" s="18" t="s">
        <v>154</v>
      </c>
    </row>
    <row r="70" spans="1:18" x14ac:dyDescent="0.25">
      <c r="A70" s="11" t="s">
        <v>203</v>
      </c>
      <c r="B70" s="13">
        <v>6036</v>
      </c>
      <c r="C70" s="14">
        <f>(4995/B70*100)</f>
        <v>82.753479125248504</v>
      </c>
      <c r="D70" s="15">
        <v>1041</v>
      </c>
      <c r="E70" s="14">
        <v>84.668390439999996</v>
      </c>
      <c r="F70" s="16">
        <v>1.30246752</v>
      </c>
      <c r="G70" s="14">
        <v>15.33160956</v>
      </c>
      <c r="H70" s="16">
        <v>1.30246752</v>
      </c>
      <c r="I70" s="14" t="s">
        <v>139</v>
      </c>
      <c r="J70" s="16" t="s">
        <v>139</v>
      </c>
      <c r="K70" s="14">
        <v>0</v>
      </c>
      <c r="L70" s="16">
        <v>0</v>
      </c>
      <c r="M70" s="14">
        <v>0</v>
      </c>
      <c r="N70" s="16">
        <v>0</v>
      </c>
      <c r="O70" s="14">
        <v>0</v>
      </c>
      <c r="P70" s="16">
        <v>0</v>
      </c>
      <c r="Q70" s="14">
        <v>0</v>
      </c>
      <c r="R70" s="16">
        <v>0</v>
      </c>
    </row>
    <row r="71" spans="1:18" x14ac:dyDescent="0.25">
      <c r="A71" s="11" t="s">
        <v>204</v>
      </c>
      <c r="B71" s="17" t="s">
        <v>154</v>
      </c>
      <c r="C71" s="17" t="s">
        <v>154</v>
      </c>
      <c r="D71" s="18" t="s">
        <v>154</v>
      </c>
      <c r="E71" s="17" t="s">
        <v>154</v>
      </c>
      <c r="F71" s="18" t="s">
        <v>154</v>
      </c>
      <c r="G71" s="17" t="s">
        <v>154</v>
      </c>
      <c r="H71" s="18" t="s">
        <v>154</v>
      </c>
      <c r="I71" s="17" t="s">
        <v>154</v>
      </c>
      <c r="J71" s="18" t="s">
        <v>154</v>
      </c>
      <c r="K71" s="17" t="s">
        <v>154</v>
      </c>
      <c r="L71" s="18" t="s">
        <v>154</v>
      </c>
      <c r="M71" s="17" t="s">
        <v>154</v>
      </c>
      <c r="N71" s="18" t="s">
        <v>154</v>
      </c>
      <c r="O71" s="17" t="s">
        <v>154</v>
      </c>
      <c r="P71" s="18" t="s">
        <v>154</v>
      </c>
      <c r="Q71" s="17" t="s">
        <v>154</v>
      </c>
      <c r="R71" s="18" t="s">
        <v>154</v>
      </c>
    </row>
    <row r="72" spans="1:18" x14ac:dyDescent="0.25">
      <c r="A72" s="11" t="s">
        <v>205</v>
      </c>
      <c r="B72" s="13">
        <v>7708</v>
      </c>
      <c r="C72" s="14">
        <f>(6365/B72*100)</f>
        <v>82.576543850544894</v>
      </c>
      <c r="D72" s="15">
        <v>1343</v>
      </c>
      <c r="E72" s="14">
        <v>74.386668150000006</v>
      </c>
      <c r="F72" s="16">
        <v>1.2984251899999999</v>
      </c>
      <c r="G72" s="14">
        <v>25.613331850000002</v>
      </c>
      <c r="H72" s="16">
        <v>1.2984251899999999</v>
      </c>
      <c r="I72" s="14" t="s">
        <v>139</v>
      </c>
      <c r="J72" s="16" t="s">
        <v>139</v>
      </c>
      <c r="K72" s="14">
        <v>0</v>
      </c>
      <c r="L72" s="16">
        <v>0</v>
      </c>
      <c r="M72" s="14">
        <v>0</v>
      </c>
      <c r="N72" s="16">
        <v>0</v>
      </c>
      <c r="O72" s="14">
        <v>0</v>
      </c>
      <c r="P72" s="16">
        <v>0</v>
      </c>
      <c r="Q72" s="14">
        <v>0</v>
      </c>
      <c r="R72" s="16">
        <v>0</v>
      </c>
    </row>
    <row r="73" spans="1:18" x14ac:dyDescent="0.25">
      <c r="A73" s="11" t="s">
        <v>206</v>
      </c>
      <c r="B73" s="13">
        <v>8249</v>
      </c>
      <c r="C73" s="14">
        <f>(6849/B73*100)</f>
        <v>83.02824584798158</v>
      </c>
      <c r="D73" s="15">
        <v>1400</v>
      </c>
      <c r="E73" s="14">
        <v>67.544729290000006</v>
      </c>
      <c r="F73" s="16">
        <v>1.67676501</v>
      </c>
      <c r="G73" s="14">
        <v>32.455270710000001</v>
      </c>
      <c r="H73" s="16">
        <v>1.67676501</v>
      </c>
      <c r="I73" s="14" t="s">
        <v>139</v>
      </c>
      <c r="J73" s="16" t="s">
        <v>139</v>
      </c>
      <c r="K73" s="14">
        <v>0</v>
      </c>
      <c r="L73" s="16">
        <v>0</v>
      </c>
      <c r="M73" s="14">
        <v>0</v>
      </c>
      <c r="N73" s="16">
        <v>0</v>
      </c>
      <c r="O73" s="14">
        <v>0</v>
      </c>
      <c r="P73" s="16">
        <v>0</v>
      </c>
      <c r="Q73" s="14">
        <v>0</v>
      </c>
      <c r="R73" s="16">
        <v>0</v>
      </c>
    </row>
    <row r="74" spans="1:18" x14ac:dyDescent="0.25">
      <c r="A74" s="11" t="s">
        <v>207</v>
      </c>
      <c r="B74" s="17" t="s">
        <v>154</v>
      </c>
      <c r="C74" s="17" t="s">
        <v>154</v>
      </c>
      <c r="D74" s="18" t="s">
        <v>154</v>
      </c>
      <c r="E74" s="17" t="s">
        <v>154</v>
      </c>
      <c r="F74" s="18" t="s">
        <v>154</v>
      </c>
      <c r="G74" s="17" t="s">
        <v>154</v>
      </c>
      <c r="H74" s="18" t="s">
        <v>154</v>
      </c>
      <c r="I74" s="17" t="s">
        <v>154</v>
      </c>
      <c r="J74" s="18" t="s">
        <v>154</v>
      </c>
      <c r="K74" s="17" t="s">
        <v>154</v>
      </c>
      <c r="L74" s="18" t="s">
        <v>154</v>
      </c>
      <c r="M74" s="17" t="s">
        <v>154</v>
      </c>
      <c r="N74" s="18" t="s">
        <v>154</v>
      </c>
      <c r="O74" s="17" t="s">
        <v>154</v>
      </c>
      <c r="P74" s="18" t="s">
        <v>154</v>
      </c>
      <c r="Q74" s="17" t="s">
        <v>154</v>
      </c>
      <c r="R74" s="18" t="s">
        <v>154</v>
      </c>
    </row>
    <row r="75" spans="1:18" x14ac:dyDescent="0.25">
      <c r="A75" s="11" t="s">
        <v>208</v>
      </c>
      <c r="B75" s="13">
        <v>5375</v>
      </c>
      <c r="C75" s="14">
        <f>(4523/B75*100)</f>
        <v>84.148837209302329</v>
      </c>
      <c r="D75" s="15">
        <v>852</v>
      </c>
      <c r="E75" s="14">
        <v>88.857719099999997</v>
      </c>
      <c r="F75" s="16">
        <v>1.0980981400000001</v>
      </c>
      <c r="G75" s="14">
        <v>11.142280899999999</v>
      </c>
      <c r="H75" s="16">
        <v>1.0980981400000001</v>
      </c>
      <c r="I75" s="14" t="s">
        <v>139</v>
      </c>
      <c r="J75" s="16" t="s">
        <v>139</v>
      </c>
      <c r="K75" s="14">
        <v>0</v>
      </c>
      <c r="L75" s="16">
        <v>0</v>
      </c>
      <c r="M75" s="14">
        <v>0</v>
      </c>
      <c r="N75" s="16">
        <v>0</v>
      </c>
      <c r="O75" s="14">
        <v>0</v>
      </c>
      <c r="P75" s="16">
        <v>0</v>
      </c>
      <c r="Q75" s="14">
        <v>0</v>
      </c>
      <c r="R75" s="16">
        <v>0</v>
      </c>
    </row>
    <row r="76" spans="1:18" x14ac:dyDescent="0.25">
      <c r="A76" s="11" t="s">
        <v>209</v>
      </c>
      <c r="B76" s="13">
        <v>14167</v>
      </c>
      <c r="C76" s="14">
        <f>(11764/B76*100)</f>
        <v>83.038046163619683</v>
      </c>
      <c r="D76" s="15">
        <v>2403</v>
      </c>
      <c r="E76" s="14">
        <v>86.580444400000005</v>
      </c>
      <c r="F76" s="16">
        <v>0.81687611000000004</v>
      </c>
      <c r="G76" s="14">
        <v>13.419555600000001</v>
      </c>
      <c r="H76" s="16">
        <v>0.81687611000000004</v>
      </c>
      <c r="I76" s="14" t="s">
        <v>139</v>
      </c>
      <c r="J76" s="16" t="s">
        <v>139</v>
      </c>
      <c r="K76" s="14">
        <v>0</v>
      </c>
      <c r="L76" s="16">
        <v>0</v>
      </c>
      <c r="M76" s="14">
        <v>0</v>
      </c>
      <c r="N76" s="16">
        <v>0</v>
      </c>
      <c r="O76" s="14">
        <v>0</v>
      </c>
      <c r="P76" s="16">
        <v>0</v>
      </c>
      <c r="Q76" s="14">
        <v>0</v>
      </c>
      <c r="R76" s="16">
        <v>0</v>
      </c>
    </row>
    <row r="77" spans="1:18" x14ac:dyDescent="0.25">
      <c r="A77" s="11" t="s">
        <v>210</v>
      </c>
      <c r="B77" s="13">
        <v>6062</v>
      </c>
      <c r="C77" s="14">
        <f>(5042/B77*100)</f>
        <v>83.173870009897726</v>
      </c>
      <c r="D77" s="15">
        <v>1020</v>
      </c>
      <c r="E77" s="14">
        <v>89.24069428</v>
      </c>
      <c r="F77" s="16">
        <v>1.0651487399999999</v>
      </c>
      <c r="G77" s="14">
        <v>10.75930572</v>
      </c>
      <c r="H77" s="16">
        <v>1.0651487399999999</v>
      </c>
      <c r="I77" s="14" t="s">
        <v>139</v>
      </c>
      <c r="J77" s="16" t="s">
        <v>139</v>
      </c>
      <c r="K77" s="14">
        <v>0</v>
      </c>
      <c r="L77" s="16">
        <v>0</v>
      </c>
      <c r="M77" s="14">
        <v>0</v>
      </c>
      <c r="N77" s="16">
        <v>0</v>
      </c>
      <c r="O77" s="14">
        <v>0</v>
      </c>
      <c r="P77" s="16">
        <v>0</v>
      </c>
      <c r="Q77" s="14">
        <v>0</v>
      </c>
      <c r="R77" s="16">
        <v>0</v>
      </c>
    </row>
    <row r="78" spans="1:18" x14ac:dyDescent="0.25">
      <c r="A78" s="11" t="s">
        <v>211</v>
      </c>
      <c r="B78" s="17" t="s">
        <v>154</v>
      </c>
      <c r="C78" s="17" t="s">
        <v>154</v>
      </c>
      <c r="D78" s="18" t="s">
        <v>154</v>
      </c>
      <c r="E78" s="17" t="s">
        <v>154</v>
      </c>
      <c r="F78" s="18" t="s">
        <v>154</v>
      </c>
      <c r="G78" s="17" t="s">
        <v>154</v>
      </c>
      <c r="H78" s="18" t="s">
        <v>154</v>
      </c>
      <c r="I78" s="17" t="s">
        <v>154</v>
      </c>
      <c r="J78" s="18" t="s">
        <v>154</v>
      </c>
      <c r="K78" s="17" t="s">
        <v>154</v>
      </c>
      <c r="L78" s="18" t="s">
        <v>154</v>
      </c>
      <c r="M78" s="17" t="s">
        <v>154</v>
      </c>
      <c r="N78" s="18" t="s">
        <v>154</v>
      </c>
      <c r="O78" s="17" t="s">
        <v>154</v>
      </c>
      <c r="P78" s="18" t="s">
        <v>154</v>
      </c>
      <c r="Q78" s="17" t="s">
        <v>154</v>
      </c>
      <c r="R78" s="18" t="s">
        <v>154</v>
      </c>
    </row>
    <row r="79" spans="1:18" ht="24.95" customHeight="1" x14ac:dyDescent="0.25">
      <c r="A79" s="11" t="s">
        <v>212</v>
      </c>
      <c r="B79" s="17" t="s">
        <v>154</v>
      </c>
      <c r="C79" s="17" t="s">
        <v>154</v>
      </c>
      <c r="D79" s="18" t="s">
        <v>154</v>
      </c>
      <c r="E79" s="17" t="s">
        <v>154</v>
      </c>
      <c r="F79" s="18" t="s">
        <v>154</v>
      </c>
      <c r="G79" s="17" t="s">
        <v>154</v>
      </c>
      <c r="H79" s="18" t="s">
        <v>154</v>
      </c>
      <c r="I79" s="17" t="s">
        <v>154</v>
      </c>
      <c r="J79" s="18" t="s">
        <v>154</v>
      </c>
      <c r="K79" s="17" t="s">
        <v>154</v>
      </c>
      <c r="L79" s="18" t="s">
        <v>154</v>
      </c>
      <c r="M79" s="17" t="s">
        <v>154</v>
      </c>
      <c r="N79" s="18" t="s">
        <v>154</v>
      </c>
      <c r="O79" s="17" t="s">
        <v>154</v>
      </c>
      <c r="P79" s="18" t="s">
        <v>154</v>
      </c>
      <c r="Q79" s="17" t="s">
        <v>154</v>
      </c>
      <c r="R79" s="18" t="s">
        <v>154</v>
      </c>
    </row>
    <row r="80" spans="1:18" x14ac:dyDescent="0.25">
      <c r="A80" s="11" t="s">
        <v>213</v>
      </c>
      <c r="B80" s="17" t="s">
        <v>154</v>
      </c>
      <c r="C80" s="17" t="s">
        <v>154</v>
      </c>
      <c r="D80" s="18" t="s">
        <v>154</v>
      </c>
      <c r="E80" s="17" t="s">
        <v>154</v>
      </c>
      <c r="F80" s="18" t="s">
        <v>154</v>
      </c>
      <c r="G80" s="17" t="s">
        <v>154</v>
      </c>
      <c r="H80" s="18" t="s">
        <v>154</v>
      </c>
      <c r="I80" s="17" t="s">
        <v>154</v>
      </c>
      <c r="J80" s="18" t="s">
        <v>154</v>
      </c>
      <c r="K80" s="17" t="s">
        <v>154</v>
      </c>
      <c r="L80" s="18" t="s">
        <v>154</v>
      </c>
      <c r="M80" s="17" t="s">
        <v>154</v>
      </c>
      <c r="N80" s="18" t="s">
        <v>154</v>
      </c>
      <c r="O80" s="17" t="s">
        <v>154</v>
      </c>
      <c r="P80" s="18" t="s">
        <v>154</v>
      </c>
      <c r="Q80" s="17" t="s">
        <v>154</v>
      </c>
      <c r="R80" s="18" t="s">
        <v>154</v>
      </c>
    </row>
    <row r="81" spans="1:18" x14ac:dyDescent="0.25">
      <c r="A81" s="19" t="s">
        <v>214</v>
      </c>
      <c r="B81" s="13">
        <v>8861</v>
      </c>
      <c r="C81" s="14">
        <f>(7341/B81*100)</f>
        <v>82.846179889403004</v>
      </c>
      <c r="D81" s="15">
        <v>1520</v>
      </c>
      <c r="E81" s="14">
        <v>69.319215220000004</v>
      </c>
      <c r="F81" s="16">
        <v>1.46351597</v>
      </c>
      <c r="G81" s="14">
        <v>30.68078478</v>
      </c>
      <c r="H81" s="16">
        <v>1.46351597</v>
      </c>
      <c r="I81" s="14" t="s">
        <v>139</v>
      </c>
      <c r="J81" s="16" t="s">
        <v>139</v>
      </c>
      <c r="K81" s="14">
        <v>0</v>
      </c>
      <c r="L81" s="16">
        <v>0</v>
      </c>
      <c r="M81" s="14">
        <v>0</v>
      </c>
      <c r="N81" s="16">
        <v>0</v>
      </c>
      <c r="O81" s="14">
        <v>0</v>
      </c>
      <c r="P81" s="16">
        <v>0</v>
      </c>
      <c r="Q81" s="14">
        <v>0</v>
      </c>
      <c r="R81" s="16">
        <v>0</v>
      </c>
    </row>
    <row r="82" spans="1:18" x14ac:dyDescent="0.25">
      <c r="A82" s="20"/>
      <c r="B82" s="20" t="s">
        <v>215</v>
      </c>
      <c r="C82" s="20" t="s">
        <v>215</v>
      </c>
      <c r="D82" s="20" t="s">
        <v>215</v>
      </c>
      <c r="E82" s="20" t="s">
        <v>215</v>
      </c>
      <c r="F82" s="20" t="s">
        <v>215</v>
      </c>
      <c r="G82" s="20" t="s">
        <v>215</v>
      </c>
      <c r="H82" s="20" t="s">
        <v>215</v>
      </c>
      <c r="I82" s="20" t="s">
        <v>215</v>
      </c>
      <c r="J82" s="20" t="s">
        <v>215</v>
      </c>
      <c r="K82" s="20" t="s">
        <v>215</v>
      </c>
      <c r="L82" s="20" t="s">
        <v>215</v>
      </c>
      <c r="M82" s="20" t="s">
        <v>215</v>
      </c>
      <c r="N82" s="20" t="s">
        <v>215</v>
      </c>
      <c r="O82" s="20" t="s">
        <v>215</v>
      </c>
      <c r="P82" s="20" t="s">
        <v>215</v>
      </c>
      <c r="Q82" s="20" t="s">
        <v>215</v>
      </c>
      <c r="R82" s="20" t="s">
        <v>215</v>
      </c>
    </row>
    <row r="83" spans="1:18" x14ac:dyDescent="0.25">
      <c r="A83" s="3" t="s">
        <v>216</v>
      </c>
    </row>
    <row r="84" spans="1:18" x14ac:dyDescent="0.25">
      <c r="A84" s="22" t="s">
        <v>217</v>
      </c>
      <c r="B84" s="23"/>
      <c r="C84" s="23"/>
      <c r="D84" s="23"/>
      <c r="E84" s="23"/>
      <c r="F84" s="23"/>
      <c r="G84" s="23"/>
      <c r="H84" s="23"/>
      <c r="I84" s="23"/>
      <c r="J84" s="23"/>
      <c r="K84" s="23"/>
      <c r="L84" s="23"/>
      <c r="M84" s="23"/>
      <c r="N84" s="23"/>
      <c r="O84" s="23"/>
      <c r="P84" s="23"/>
      <c r="Q84" s="23"/>
      <c r="R84" s="23"/>
    </row>
    <row r="85" spans="1:18" x14ac:dyDescent="0.25">
      <c r="A85" s="22" t="s">
        <v>218</v>
      </c>
      <c r="B85" s="23"/>
      <c r="C85" s="23"/>
      <c r="D85" s="23"/>
      <c r="E85" s="23"/>
      <c r="F85" s="23"/>
      <c r="G85" s="23"/>
      <c r="H85" s="23"/>
      <c r="I85" s="23"/>
      <c r="J85" s="23"/>
      <c r="K85" s="23"/>
      <c r="L85" s="23"/>
      <c r="M85" s="23"/>
      <c r="N85" s="23"/>
      <c r="O85" s="23"/>
      <c r="P85" s="23"/>
      <c r="Q85" s="23"/>
      <c r="R85" s="23"/>
    </row>
    <row r="86" spans="1:18" ht="30" customHeight="1" x14ac:dyDescent="0.25">
      <c r="A86" s="22" t="s">
        <v>219</v>
      </c>
      <c r="B86" s="23"/>
      <c r="C86" s="23"/>
      <c r="D86" s="23"/>
      <c r="E86" s="23"/>
      <c r="F86" s="23"/>
      <c r="G86" s="23"/>
      <c r="H86" s="23"/>
      <c r="I86" s="23"/>
      <c r="J86" s="23"/>
      <c r="K86" s="23"/>
      <c r="L86" s="23"/>
      <c r="M86" s="23"/>
      <c r="N86" s="23"/>
      <c r="O86" s="23"/>
      <c r="P86" s="23"/>
      <c r="Q86" s="23"/>
      <c r="R86" s="23"/>
    </row>
    <row r="87" spans="1:18" ht="30" customHeight="1" x14ac:dyDescent="0.25">
      <c r="A87" s="22" t="s">
        <v>215</v>
      </c>
      <c r="B87" s="23"/>
      <c r="C87" s="23"/>
      <c r="D87" s="23"/>
      <c r="E87" s="23"/>
      <c r="F87" s="23"/>
      <c r="G87" s="23"/>
      <c r="H87" s="23"/>
      <c r="I87" s="23"/>
      <c r="J87" s="23"/>
      <c r="K87" s="23"/>
      <c r="L87" s="23"/>
      <c r="M87" s="23"/>
      <c r="N87" s="23"/>
      <c r="O87" s="23"/>
      <c r="P87" s="23"/>
      <c r="Q87" s="23"/>
      <c r="R87" s="23"/>
    </row>
    <row r="88" spans="1:18" ht="30" customHeight="1" x14ac:dyDescent="0.25">
      <c r="A88" s="22" t="s">
        <v>220</v>
      </c>
      <c r="B88" s="23"/>
      <c r="C88" s="23"/>
      <c r="D88" s="23"/>
      <c r="E88" s="23"/>
      <c r="F88" s="23"/>
      <c r="G88" s="23"/>
      <c r="H88" s="23"/>
      <c r="I88" s="23"/>
      <c r="J88" s="23"/>
      <c r="K88" s="23"/>
      <c r="L88" s="23"/>
      <c r="M88" s="23"/>
      <c r="N88" s="23"/>
      <c r="O88" s="23"/>
      <c r="P88" s="23"/>
      <c r="Q88" s="23"/>
      <c r="R88" s="23"/>
    </row>
    <row r="89" spans="1:18" ht="30" customHeight="1" x14ac:dyDescent="0.25">
      <c r="A89" s="22" t="s">
        <v>221</v>
      </c>
      <c r="B89" s="23"/>
      <c r="C89" s="23"/>
      <c r="D89" s="23"/>
      <c r="E89" s="23"/>
      <c r="F89" s="23"/>
      <c r="G89" s="23"/>
      <c r="H89" s="23"/>
      <c r="I89" s="23"/>
      <c r="J89" s="23"/>
      <c r="K89" s="23"/>
      <c r="L89" s="23"/>
      <c r="M89" s="23"/>
      <c r="N89" s="23"/>
      <c r="O89" s="23"/>
      <c r="P89" s="23"/>
      <c r="Q89" s="23"/>
      <c r="R89" s="23"/>
    </row>
    <row r="90" spans="1:18" ht="30" customHeight="1" x14ac:dyDescent="0.25">
      <c r="A90" s="22" t="s">
        <v>222</v>
      </c>
      <c r="B90" s="23"/>
      <c r="C90" s="23"/>
      <c r="D90" s="23"/>
      <c r="E90" s="23"/>
      <c r="F90" s="23"/>
      <c r="G90" s="23"/>
      <c r="H90" s="23"/>
      <c r="I90" s="23"/>
      <c r="J90" s="23"/>
      <c r="K90" s="23"/>
      <c r="L90" s="23"/>
      <c r="M90" s="23"/>
      <c r="N90" s="23"/>
      <c r="O90" s="23"/>
      <c r="P90" s="23"/>
      <c r="Q90" s="23"/>
      <c r="R90" s="23"/>
    </row>
    <row r="91" spans="1:18" ht="30" customHeight="1" x14ac:dyDescent="0.25">
      <c r="A91" s="22" t="s">
        <v>223</v>
      </c>
      <c r="B91" s="23"/>
      <c r="C91" s="23"/>
      <c r="D91" s="23"/>
      <c r="E91" s="23"/>
      <c r="F91" s="23"/>
      <c r="G91" s="23"/>
      <c r="H91" s="23"/>
      <c r="I91" s="23"/>
      <c r="J91" s="23"/>
      <c r="K91" s="23"/>
      <c r="L91" s="23"/>
      <c r="M91" s="23"/>
      <c r="N91" s="23"/>
      <c r="O91" s="23"/>
      <c r="P91" s="23"/>
      <c r="Q91" s="23"/>
      <c r="R91" s="23"/>
    </row>
    <row r="92" spans="1:18" ht="30" customHeight="1" x14ac:dyDescent="0.25">
      <c r="A92" s="22" t="s">
        <v>224</v>
      </c>
      <c r="B92" s="23"/>
      <c r="C92" s="23"/>
      <c r="D92" s="23"/>
      <c r="E92" s="23"/>
      <c r="F92" s="23"/>
      <c r="G92" s="23"/>
      <c r="H92" s="23"/>
      <c r="I92" s="23"/>
      <c r="J92" s="23"/>
      <c r="K92" s="23"/>
      <c r="L92" s="23"/>
      <c r="M92" s="23"/>
      <c r="N92" s="23"/>
      <c r="O92" s="23"/>
      <c r="P92" s="23"/>
      <c r="Q92" s="23"/>
      <c r="R92" s="23"/>
    </row>
    <row r="93" spans="1:18" ht="30" customHeight="1" x14ac:dyDescent="0.25">
      <c r="A93" s="22" t="s">
        <v>225</v>
      </c>
      <c r="B93" s="23"/>
      <c r="C93" s="23"/>
      <c r="D93" s="23"/>
      <c r="E93" s="23"/>
      <c r="F93" s="23"/>
      <c r="G93" s="23"/>
      <c r="H93" s="23"/>
      <c r="I93" s="23"/>
      <c r="J93" s="23"/>
      <c r="K93" s="23"/>
      <c r="L93" s="23"/>
      <c r="M93" s="23"/>
      <c r="N93" s="23"/>
      <c r="O93" s="23"/>
      <c r="P93" s="23"/>
      <c r="Q93" s="23"/>
      <c r="R93" s="23"/>
    </row>
    <row r="94" spans="1:18" ht="30" customHeight="1" x14ac:dyDescent="0.25">
      <c r="A94" s="22" t="s">
        <v>226</v>
      </c>
      <c r="B94" s="23"/>
      <c r="C94" s="23"/>
      <c r="D94" s="23"/>
      <c r="E94" s="23"/>
      <c r="F94" s="23"/>
      <c r="G94" s="23"/>
      <c r="H94" s="23"/>
      <c r="I94" s="23"/>
      <c r="J94" s="23"/>
      <c r="K94" s="23"/>
      <c r="L94" s="23"/>
      <c r="M94" s="23"/>
      <c r="N94" s="23"/>
      <c r="O94" s="23"/>
      <c r="P94" s="23"/>
      <c r="Q94" s="23"/>
      <c r="R94" s="23"/>
    </row>
    <row r="95" spans="1:18" ht="30" customHeight="1" x14ac:dyDescent="0.25">
      <c r="A95" s="22" t="s">
        <v>227</v>
      </c>
      <c r="B95" s="23"/>
      <c r="C95" s="23"/>
      <c r="D95" s="23"/>
      <c r="E95" s="23"/>
      <c r="F95" s="23"/>
      <c r="G95" s="23"/>
      <c r="H95" s="23"/>
      <c r="I95" s="23"/>
      <c r="J95" s="23"/>
      <c r="K95" s="23"/>
      <c r="L95" s="23"/>
      <c r="M95" s="23"/>
      <c r="N95" s="23"/>
      <c r="O95" s="23"/>
      <c r="P95" s="23"/>
      <c r="Q95" s="23"/>
      <c r="R95" s="23"/>
    </row>
    <row r="96" spans="1:18" ht="30" customHeight="1" x14ac:dyDescent="0.25">
      <c r="A96" s="22" t="s">
        <v>228</v>
      </c>
      <c r="B96" s="23"/>
      <c r="C96" s="23"/>
      <c r="D96" s="23"/>
      <c r="E96" s="23"/>
      <c r="F96" s="23"/>
      <c r="G96" s="23"/>
      <c r="H96" s="23"/>
      <c r="I96" s="23"/>
      <c r="J96" s="23"/>
      <c r="K96" s="23"/>
      <c r="L96" s="23"/>
      <c r="M96" s="23"/>
      <c r="N96" s="23"/>
      <c r="O96" s="23"/>
      <c r="P96" s="23"/>
      <c r="Q96" s="23"/>
      <c r="R96" s="23"/>
    </row>
  </sheetData>
  <mergeCells count="22">
    <mergeCell ref="O4:P4"/>
    <mergeCell ref="Q4:R4"/>
    <mergeCell ref="A1:R1"/>
    <mergeCell ref="A2:R2"/>
    <mergeCell ref="A84:R84"/>
    <mergeCell ref="E4:F4"/>
    <mergeCell ref="G4:H4"/>
    <mergeCell ref="I4:J4"/>
    <mergeCell ref="K4:L4"/>
    <mergeCell ref="M4:N4"/>
    <mergeCell ref="A85:R85"/>
    <mergeCell ref="A86:R86"/>
    <mergeCell ref="A87:R87"/>
    <mergeCell ref="A88:R88"/>
    <mergeCell ref="A89:R89"/>
    <mergeCell ref="A95:R95"/>
    <mergeCell ref="A96:R96"/>
    <mergeCell ref="A90:R90"/>
    <mergeCell ref="A91:R91"/>
    <mergeCell ref="A92:R92"/>
    <mergeCell ref="A93:R93"/>
    <mergeCell ref="A94:R94"/>
  </mergeCells>
  <pageMargins left="0.75" right="0.75" top="1" bottom="1" header="0.5" footer="0.5"/>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2"/>
  <dimension ref="A1:R96"/>
  <sheetViews>
    <sheetView zoomScale="80" workbookViewId="0">
      <pane xSplit="4" topLeftCell="E1" activePane="topRight" state="frozen"/>
      <selection sqref="A1:R1"/>
      <selection pane="topRight" sqref="A1:R1"/>
    </sheetView>
  </sheetViews>
  <sheetFormatPr defaultColWidth="11.42578125" defaultRowHeight="15" x14ac:dyDescent="0.25"/>
  <cols>
    <col min="1" max="1" width="50" customWidth="1"/>
  </cols>
  <sheetData>
    <row r="1" spans="1:18" x14ac:dyDescent="0.25">
      <c r="A1" s="26" t="s">
        <v>122</v>
      </c>
      <c r="B1" s="23"/>
      <c r="C1" s="23"/>
      <c r="D1" s="23"/>
      <c r="E1" s="23"/>
      <c r="F1" s="23"/>
      <c r="G1" s="23"/>
      <c r="H1" s="23"/>
      <c r="I1" s="23"/>
      <c r="J1" s="23"/>
      <c r="K1" s="23"/>
      <c r="L1" s="23"/>
      <c r="M1" s="23"/>
      <c r="N1" s="23"/>
      <c r="O1" s="23"/>
      <c r="P1" s="23"/>
      <c r="Q1" s="23"/>
      <c r="R1" s="23"/>
    </row>
    <row r="2" spans="1:18" x14ac:dyDescent="0.25">
      <c r="A2" s="27" t="s">
        <v>328</v>
      </c>
      <c r="B2" s="23"/>
      <c r="C2" s="23"/>
      <c r="D2" s="23"/>
      <c r="E2" s="23"/>
      <c r="F2" s="23"/>
      <c r="G2" s="23"/>
      <c r="H2" s="23"/>
      <c r="I2" s="23"/>
      <c r="J2" s="23"/>
      <c r="K2" s="23"/>
      <c r="L2" s="23"/>
      <c r="M2" s="23"/>
      <c r="N2" s="23"/>
      <c r="O2" s="23"/>
      <c r="P2" s="23"/>
      <c r="Q2" s="23"/>
      <c r="R2" s="23"/>
    </row>
    <row r="4" spans="1:18" ht="30" customHeight="1" x14ac:dyDescent="0.25">
      <c r="A4" s="4"/>
      <c r="B4" s="5" t="s">
        <v>123</v>
      </c>
      <c r="C4" s="5" t="s">
        <v>124</v>
      </c>
      <c r="D4" s="6" t="s">
        <v>123</v>
      </c>
      <c r="E4" s="24" t="s">
        <v>125</v>
      </c>
      <c r="F4" s="25"/>
      <c r="G4" s="24" t="s">
        <v>126</v>
      </c>
      <c r="H4" s="25"/>
      <c r="I4" s="24" t="s">
        <v>127</v>
      </c>
      <c r="J4" s="25"/>
      <c r="K4" s="24" t="s">
        <v>128</v>
      </c>
      <c r="L4" s="25"/>
      <c r="M4" s="24" t="s">
        <v>129</v>
      </c>
      <c r="N4" s="25"/>
      <c r="O4" s="24" t="s">
        <v>130</v>
      </c>
      <c r="P4" s="25"/>
      <c r="Q4" s="24" t="s">
        <v>131</v>
      </c>
      <c r="R4" s="25"/>
    </row>
    <row r="5" spans="1:18" x14ac:dyDescent="0.25">
      <c r="A5" s="7"/>
      <c r="B5" s="8" t="s">
        <v>132</v>
      </c>
      <c r="C5" s="8" t="s">
        <v>133</v>
      </c>
      <c r="D5" s="7" t="s">
        <v>134</v>
      </c>
      <c r="E5" s="8" t="s">
        <v>135</v>
      </c>
      <c r="F5" s="7" t="s">
        <v>136</v>
      </c>
      <c r="G5" s="8" t="s">
        <v>135</v>
      </c>
      <c r="H5" s="7" t="s">
        <v>136</v>
      </c>
      <c r="I5" s="8" t="s">
        <v>135</v>
      </c>
      <c r="J5" s="7" t="s">
        <v>136</v>
      </c>
      <c r="K5" s="8" t="s">
        <v>135</v>
      </c>
      <c r="L5" s="7" t="s">
        <v>136</v>
      </c>
      <c r="M5" s="8" t="s">
        <v>135</v>
      </c>
      <c r="N5" s="7" t="s">
        <v>136</v>
      </c>
      <c r="O5" s="8" t="s">
        <v>135</v>
      </c>
      <c r="P5" s="7" t="s">
        <v>136</v>
      </c>
      <c r="Q5" s="8" t="s">
        <v>135</v>
      </c>
      <c r="R5" s="7" t="s">
        <v>136</v>
      </c>
    </row>
    <row r="6" spans="1:18" x14ac:dyDescent="0.25">
      <c r="A6" s="9" t="s">
        <v>137</v>
      </c>
      <c r="B6" s="10"/>
      <c r="C6" s="10"/>
      <c r="D6" s="11"/>
      <c r="E6" s="10"/>
      <c r="F6" s="11"/>
      <c r="G6" s="10"/>
      <c r="H6" s="11"/>
      <c r="I6" s="10"/>
      <c r="J6" s="11"/>
      <c r="K6" s="10"/>
      <c r="L6" s="11"/>
      <c r="M6" s="10"/>
      <c r="N6" s="11"/>
      <c r="O6" s="10"/>
      <c r="P6" s="11"/>
      <c r="Q6" s="10"/>
      <c r="R6" s="12"/>
    </row>
    <row r="7" spans="1:18" x14ac:dyDescent="0.25">
      <c r="A7" s="11" t="s">
        <v>138</v>
      </c>
      <c r="B7" s="13">
        <v>14530</v>
      </c>
      <c r="C7" s="14">
        <f>(12052/B7*100)</f>
        <v>82.945629731589804</v>
      </c>
      <c r="D7" s="15">
        <v>2478</v>
      </c>
      <c r="E7" s="14">
        <v>60.130433830000001</v>
      </c>
      <c r="F7" s="16">
        <v>1.02491625</v>
      </c>
      <c r="G7" s="14">
        <v>39.869566169999999</v>
      </c>
      <c r="H7" s="16">
        <v>1.02491625</v>
      </c>
      <c r="I7" s="14" t="s">
        <v>139</v>
      </c>
      <c r="J7" s="16" t="s">
        <v>139</v>
      </c>
      <c r="K7" s="14">
        <v>0</v>
      </c>
      <c r="L7" s="16">
        <v>0</v>
      </c>
      <c r="M7" s="14">
        <v>0</v>
      </c>
      <c r="N7" s="16">
        <v>0</v>
      </c>
      <c r="O7" s="14">
        <v>0</v>
      </c>
      <c r="P7" s="16">
        <v>0</v>
      </c>
      <c r="Q7" s="14">
        <v>0</v>
      </c>
      <c r="R7" s="16">
        <v>0</v>
      </c>
    </row>
    <row r="8" spans="1:18" x14ac:dyDescent="0.25">
      <c r="A8" s="11" t="s">
        <v>140</v>
      </c>
      <c r="B8" s="13">
        <v>7007</v>
      </c>
      <c r="C8" s="14">
        <f>(5771/B8*100)</f>
        <v>82.360496646210933</v>
      </c>
      <c r="D8" s="15">
        <v>1236</v>
      </c>
      <c r="E8" s="14">
        <v>69.213960529999994</v>
      </c>
      <c r="F8" s="16">
        <v>1.32298892</v>
      </c>
      <c r="G8" s="14">
        <v>30.786039469999999</v>
      </c>
      <c r="H8" s="16">
        <v>1.32298892</v>
      </c>
      <c r="I8" s="14" t="s">
        <v>139</v>
      </c>
      <c r="J8" s="16" t="s">
        <v>139</v>
      </c>
      <c r="K8" s="14">
        <v>0</v>
      </c>
      <c r="L8" s="16">
        <v>0</v>
      </c>
      <c r="M8" s="14">
        <v>0</v>
      </c>
      <c r="N8" s="16">
        <v>0</v>
      </c>
      <c r="O8" s="14">
        <v>0</v>
      </c>
      <c r="P8" s="16">
        <v>0</v>
      </c>
      <c r="Q8" s="14">
        <v>0</v>
      </c>
      <c r="R8" s="16">
        <v>0</v>
      </c>
    </row>
    <row r="9" spans="1:18" x14ac:dyDescent="0.25">
      <c r="A9" s="11" t="s">
        <v>141</v>
      </c>
      <c r="B9" s="13">
        <v>9651</v>
      </c>
      <c r="C9" s="14">
        <f>(8041/B9*100)</f>
        <v>83.317790902497151</v>
      </c>
      <c r="D9" s="15">
        <v>1610</v>
      </c>
      <c r="E9" s="14">
        <v>64.319517500000003</v>
      </c>
      <c r="F9" s="16">
        <v>1.1452231399999999</v>
      </c>
      <c r="G9" s="14">
        <v>35.680482499999997</v>
      </c>
      <c r="H9" s="16">
        <v>1.1452231399999999</v>
      </c>
      <c r="I9" s="14" t="s">
        <v>139</v>
      </c>
      <c r="J9" s="16" t="s">
        <v>139</v>
      </c>
      <c r="K9" s="14">
        <v>0</v>
      </c>
      <c r="L9" s="16">
        <v>0</v>
      </c>
      <c r="M9" s="14">
        <v>0</v>
      </c>
      <c r="N9" s="16">
        <v>0</v>
      </c>
      <c r="O9" s="14">
        <v>0</v>
      </c>
      <c r="P9" s="16">
        <v>0</v>
      </c>
      <c r="Q9" s="14">
        <v>0</v>
      </c>
      <c r="R9" s="16">
        <v>0</v>
      </c>
    </row>
    <row r="10" spans="1:18" x14ac:dyDescent="0.25">
      <c r="A10" s="11" t="s">
        <v>142</v>
      </c>
      <c r="B10" s="13">
        <v>20058</v>
      </c>
      <c r="C10" s="14">
        <f>(16653/B10*100)</f>
        <v>83.02422973377206</v>
      </c>
      <c r="D10" s="15">
        <v>3405</v>
      </c>
      <c r="E10" s="14">
        <v>62.796396039999998</v>
      </c>
      <c r="F10" s="16">
        <v>1.0706485800000001</v>
      </c>
      <c r="G10" s="14">
        <v>37.203603960000002</v>
      </c>
      <c r="H10" s="16">
        <v>1.0706485800000001</v>
      </c>
      <c r="I10" s="14" t="s">
        <v>139</v>
      </c>
      <c r="J10" s="16" t="s">
        <v>139</v>
      </c>
      <c r="K10" s="14">
        <v>0</v>
      </c>
      <c r="L10" s="16">
        <v>0</v>
      </c>
      <c r="M10" s="14">
        <v>0</v>
      </c>
      <c r="N10" s="16">
        <v>0</v>
      </c>
      <c r="O10" s="14">
        <v>0</v>
      </c>
      <c r="P10" s="16">
        <v>0</v>
      </c>
      <c r="Q10" s="14">
        <v>0</v>
      </c>
      <c r="R10" s="16">
        <v>0</v>
      </c>
    </row>
    <row r="11" spans="1:18" x14ac:dyDescent="0.25">
      <c r="A11" s="11" t="s">
        <v>143</v>
      </c>
      <c r="B11" s="13">
        <v>7053</v>
      </c>
      <c r="C11" s="14">
        <f>(5828/B11*100)</f>
        <v>82.631504324400964</v>
      </c>
      <c r="D11" s="15">
        <v>1225</v>
      </c>
      <c r="E11" s="14">
        <v>62.638835360000002</v>
      </c>
      <c r="F11" s="16">
        <v>1.60999713</v>
      </c>
      <c r="G11" s="14">
        <v>37.361164639999998</v>
      </c>
      <c r="H11" s="16">
        <v>1.60999713</v>
      </c>
      <c r="I11" s="14" t="s">
        <v>139</v>
      </c>
      <c r="J11" s="16" t="s">
        <v>139</v>
      </c>
      <c r="K11" s="14">
        <v>0</v>
      </c>
      <c r="L11" s="16">
        <v>0</v>
      </c>
      <c r="M11" s="14">
        <v>0</v>
      </c>
      <c r="N11" s="16">
        <v>0</v>
      </c>
      <c r="O11" s="14">
        <v>0</v>
      </c>
      <c r="P11" s="16">
        <v>0</v>
      </c>
      <c r="Q11" s="14">
        <v>0</v>
      </c>
      <c r="R11" s="16">
        <v>0</v>
      </c>
    </row>
    <row r="12" spans="1:18" x14ac:dyDescent="0.25">
      <c r="A12" s="11" t="s">
        <v>144</v>
      </c>
      <c r="B12" s="13">
        <v>6894</v>
      </c>
      <c r="C12" s="14">
        <f>(5721/B12*100)</f>
        <v>82.98520452567449</v>
      </c>
      <c r="D12" s="15">
        <v>1173</v>
      </c>
      <c r="E12" s="14">
        <v>62.828634440000002</v>
      </c>
      <c r="F12" s="16">
        <v>1.64088269</v>
      </c>
      <c r="G12" s="14">
        <v>37.171365559999998</v>
      </c>
      <c r="H12" s="16">
        <v>1.64088269</v>
      </c>
      <c r="I12" s="14" t="s">
        <v>139</v>
      </c>
      <c r="J12" s="16" t="s">
        <v>139</v>
      </c>
      <c r="K12" s="14">
        <v>0</v>
      </c>
      <c r="L12" s="16">
        <v>0</v>
      </c>
      <c r="M12" s="14">
        <v>0</v>
      </c>
      <c r="N12" s="16">
        <v>0</v>
      </c>
      <c r="O12" s="14">
        <v>0</v>
      </c>
      <c r="P12" s="16">
        <v>0</v>
      </c>
      <c r="Q12" s="14">
        <v>0</v>
      </c>
      <c r="R12" s="16">
        <v>0</v>
      </c>
    </row>
    <row r="13" spans="1:18" x14ac:dyDescent="0.25">
      <c r="A13" s="11" t="s">
        <v>145</v>
      </c>
      <c r="B13" s="13">
        <v>7161</v>
      </c>
      <c r="C13" s="14">
        <f>(5993/B13*100)</f>
        <v>83.689428850719167</v>
      </c>
      <c r="D13" s="15">
        <v>1168</v>
      </c>
      <c r="E13" s="14">
        <v>54.074063170000002</v>
      </c>
      <c r="F13" s="16">
        <v>1.7008183800000001</v>
      </c>
      <c r="G13" s="14">
        <v>45.925936829999998</v>
      </c>
      <c r="H13" s="16">
        <v>1.7008183800000001</v>
      </c>
      <c r="I13" s="14" t="s">
        <v>139</v>
      </c>
      <c r="J13" s="16" t="s">
        <v>139</v>
      </c>
      <c r="K13" s="14">
        <v>0</v>
      </c>
      <c r="L13" s="16">
        <v>0</v>
      </c>
      <c r="M13" s="14">
        <v>0</v>
      </c>
      <c r="N13" s="16">
        <v>0</v>
      </c>
      <c r="O13" s="14">
        <v>0</v>
      </c>
      <c r="P13" s="16">
        <v>0</v>
      </c>
      <c r="Q13" s="14">
        <v>0</v>
      </c>
      <c r="R13" s="16">
        <v>0</v>
      </c>
    </row>
    <row r="14" spans="1:18" x14ac:dyDescent="0.25">
      <c r="A14" s="11" t="s">
        <v>146</v>
      </c>
      <c r="B14" s="13">
        <v>5587</v>
      </c>
      <c r="C14" s="14">
        <f>(4624/B14*100)</f>
        <v>82.763558260247009</v>
      </c>
      <c r="D14" s="15">
        <v>963</v>
      </c>
      <c r="E14" s="14">
        <v>56.364120409999998</v>
      </c>
      <c r="F14" s="16">
        <v>1.6034746499999999</v>
      </c>
      <c r="G14" s="14">
        <v>43.635879590000002</v>
      </c>
      <c r="H14" s="16">
        <v>1.6034746499999999</v>
      </c>
      <c r="I14" s="14" t="s">
        <v>139</v>
      </c>
      <c r="J14" s="16" t="s">
        <v>139</v>
      </c>
      <c r="K14" s="14">
        <v>0</v>
      </c>
      <c r="L14" s="16">
        <v>0</v>
      </c>
      <c r="M14" s="14">
        <v>0</v>
      </c>
      <c r="N14" s="16">
        <v>0</v>
      </c>
      <c r="O14" s="14">
        <v>0</v>
      </c>
      <c r="P14" s="16">
        <v>0</v>
      </c>
      <c r="Q14" s="14">
        <v>0</v>
      </c>
      <c r="R14" s="16">
        <v>0</v>
      </c>
    </row>
    <row r="15" spans="1:18" x14ac:dyDescent="0.25">
      <c r="A15" s="11" t="s">
        <v>147</v>
      </c>
      <c r="B15" s="13">
        <v>5882</v>
      </c>
      <c r="C15" s="14">
        <f>(4870/B15*100)</f>
        <v>82.794967698061882</v>
      </c>
      <c r="D15" s="15">
        <v>1012</v>
      </c>
      <c r="E15" s="14">
        <v>56.598550199999998</v>
      </c>
      <c r="F15" s="16">
        <v>1.7289061100000001</v>
      </c>
      <c r="G15" s="14">
        <v>43.401449800000002</v>
      </c>
      <c r="H15" s="16">
        <v>1.7289061100000001</v>
      </c>
      <c r="I15" s="14" t="s">
        <v>139</v>
      </c>
      <c r="J15" s="16" t="s">
        <v>139</v>
      </c>
      <c r="K15" s="14">
        <v>0</v>
      </c>
      <c r="L15" s="16">
        <v>0</v>
      </c>
      <c r="M15" s="14">
        <v>0</v>
      </c>
      <c r="N15" s="16">
        <v>0</v>
      </c>
      <c r="O15" s="14">
        <v>0</v>
      </c>
      <c r="P15" s="16">
        <v>0</v>
      </c>
      <c r="Q15" s="14">
        <v>0</v>
      </c>
      <c r="R15" s="16">
        <v>0</v>
      </c>
    </row>
    <row r="16" spans="1:18" x14ac:dyDescent="0.25">
      <c r="A16" s="11" t="s">
        <v>148</v>
      </c>
      <c r="B16" s="13">
        <v>6108</v>
      </c>
      <c r="C16" s="14">
        <f>(5077/B16*100)</f>
        <v>83.120497707924031</v>
      </c>
      <c r="D16" s="15">
        <v>1031</v>
      </c>
      <c r="E16" s="14">
        <v>65.631117869999997</v>
      </c>
      <c r="F16" s="16">
        <v>1.6222913999999999</v>
      </c>
      <c r="G16" s="14">
        <v>34.368882130000003</v>
      </c>
      <c r="H16" s="16">
        <v>1.6222913999999999</v>
      </c>
      <c r="I16" s="14" t="s">
        <v>139</v>
      </c>
      <c r="J16" s="16" t="s">
        <v>139</v>
      </c>
      <c r="K16" s="14">
        <v>0</v>
      </c>
      <c r="L16" s="16">
        <v>0</v>
      </c>
      <c r="M16" s="14">
        <v>0</v>
      </c>
      <c r="N16" s="16">
        <v>0</v>
      </c>
      <c r="O16" s="14">
        <v>0</v>
      </c>
      <c r="P16" s="16">
        <v>0</v>
      </c>
      <c r="Q16" s="14">
        <v>0</v>
      </c>
      <c r="R16" s="16">
        <v>0</v>
      </c>
    </row>
    <row r="17" spans="1:18" x14ac:dyDescent="0.25">
      <c r="A17" s="11" t="s">
        <v>149</v>
      </c>
      <c r="B17" s="13">
        <v>6504</v>
      </c>
      <c r="C17" s="14">
        <f>(5411/B17*100)</f>
        <v>83.194956949569502</v>
      </c>
      <c r="D17" s="15">
        <v>1093</v>
      </c>
      <c r="E17" s="14">
        <v>67.392293370000004</v>
      </c>
      <c r="F17" s="16">
        <v>1.5872096899999999</v>
      </c>
      <c r="G17" s="14">
        <v>32.607706630000003</v>
      </c>
      <c r="H17" s="16">
        <v>1.5872096899999999</v>
      </c>
      <c r="I17" s="14" t="s">
        <v>139</v>
      </c>
      <c r="J17" s="16" t="s">
        <v>139</v>
      </c>
      <c r="K17" s="14">
        <v>0</v>
      </c>
      <c r="L17" s="16">
        <v>0</v>
      </c>
      <c r="M17" s="14">
        <v>0</v>
      </c>
      <c r="N17" s="16">
        <v>0</v>
      </c>
      <c r="O17" s="14">
        <v>0</v>
      </c>
      <c r="P17" s="16">
        <v>0</v>
      </c>
      <c r="Q17" s="14">
        <v>0</v>
      </c>
      <c r="R17" s="16">
        <v>0</v>
      </c>
    </row>
    <row r="18" spans="1:18" x14ac:dyDescent="0.25">
      <c r="A18" s="11" t="s">
        <v>150</v>
      </c>
      <c r="B18" s="13">
        <v>5532</v>
      </c>
      <c r="C18" s="14">
        <f>(4579/B18*100)</f>
        <v>82.772957339117852</v>
      </c>
      <c r="D18" s="15">
        <v>953</v>
      </c>
      <c r="E18" s="14">
        <v>62.63378539</v>
      </c>
      <c r="F18" s="16">
        <v>1.8420704299999999</v>
      </c>
      <c r="G18" s="14">
        <v>37.36621461</v>
      </c>
      <c r="H18" s="16">
        <v>1.8420704299999999</v>
      </c>
      <c r="I18" s="14" t="s">
        <v>139</v>
      </c>
      <c r="J18" s="16" t="s">
        <v>139</v>
      </c>
      <c r="K18" s="14">
        <v>0</v>
      </c>
      <c r="L18" s="16">
        <v>0</v>
      </c>
      <c r="M18" s="14">
        <v>0</v>
      </c>
      <c r="N18" s="16">
        <v>0</v>
      </c>
      <c r="O18" s="14">
        <v>0</v>
      </c>
      <c r="P18" s="16">
        <v>0</v>
      </c>
      <c r="Q18" s="14">
        <v>0</v>
      </c>
      <c r="R18" s="16">
        <v>0</v>
      </c>
    </row>
    <row r="19" spans="1:18" x14ac:dyDescent="0.25">
      <c r="A19" s="11" t="s">
        <v>151</v>
      </c>
      <c r="B19" s="13">
        <v>5658</v>
      </c>
      <c r="C19" s="14">
        <f>(4693/B19*100)</f>
        <v>82.944503358077057</v>
      </c>
      <c r="D19" s="15">
        <v>965</v>
      </c>
      <c r="E19" s="14">
        <v>54.724631369999997</v>
      </c>
      <c r="F19" s="16">
        <v>1.6808744</v>
      </c>
      <c r="G19" s="14">
        <v>45.275368630000003</v>
      </c>
      <c r="H19" s="16">
        <v>1.6808744</v>
      </c>
      <c r="I19" s="14" t="s">
        <v>139</v>
      </c>
      <c r="J19" s="16" t="s">
        <v>139</v>
      </c>
      <c r="K19" s="14">
        <v>0</v>
      </c>
      <c r="L19" s="16">
        <v>0</v>
      </c>
      <c r="M19" s="14">
        <v>0</v>
      </c>
      <c r="N19" s="16">
        <v>0</v>
      </c>
      <c r="O19" s="14">
        <v>0</v>
      </c>
      <c r="P19" s="16">
        <v>0</v>
      </c>
      <c r="Q19" s="14">
        <v>0</v>
      </c>
      <c r="R19" s="16">
        <v>0</v>
      </c>
    </row>
    <row r="20" spans="1:18" x14ac:dyDescent="0.25">
      <c r="A20" s="11" t="s">
        <v>152</v>
      </c>
      <c r="B20" s="13">
        <v>3371</v>
      </c>
      <c r="C20" s="14">
        <f>(2798/B20*100)</f>
        <v>83.002076535152767</v>
      </c>
      <c r="D20" s="15">
        <v>573</v>
      </c>
      <c r="E20" s="14">
        <v>73.20258072</v>
      </c>
      <c r="F20" s="16">
        <v>1.96699844</v>
      </c>
      <c r="G20" s="14">
        <v>26.79741928</v>
      </c>
      <c r="H20" s="16">
        <v>1.96699844</v>
      </c>
      <c r="I20" s="14" t="s">
        <v>139</v>
      </c>
      <c r="J20" s="16" t="s">
        <v>139</v>
      </c>
      <c r="K20" s="14">
        <v>0</v>
      </c>
      <c r="L20" s="16">
        <v>0</v>
      </c>
      <c r="M20" s="14">
        <v>0</v>
      </c>
      <c r="N20" s="16">
        <v>0</v>
      </c>
      <c r="O20" s="14">
        <v>0</v>
      </c>
      <c r="P20" s="16">
        <v>0</v>
      </c>
      <c r="Q20" s="14">
        <v>0</v>
      </c>
      <c r="R20" s="16">
        <v>0</v>
      </c>
    </row>
    <row r="21" spans="1:18" x14ac:dyDescent="0.25">
      <c r="A21" s="11" t="s">
        <v>153</v>
      </c>
      <c r="B21" s="17" t="s">
        <v>154</v>
      </c>
      <c r="C21" s="17" t="s">
        <v>154</v>
      </c>
      <c r="D21" s="18" t="s">
        <v>154</v>
      </c>
      <c r="E21" s="17" t="s">
        <v>154</v>
      </c>
      <c r="F21" s="18" t="s">
        <v>154</v>
      </c>
      <c r="G21" s="17" t="s">
        <v>154</v>
      </c>
      <c r="H21" s="18" t="s">
        <v>154</v>
      </c>
      <c r="I21" s="17" t="s">
        <v>154</v>
      </c>
      <c r="J21" s="18" t="s">
        <v>154</v>
      </c>
      <c r="K21" s="17" t="s">
        <v>154</v>
      </c>
      <c r="L21" s="18" t="s">
        <v>154</v>
      </c>
      <c r="M21" s="17" t="s">
        <v>154</v>
      </c>
      <c r="N21" s="18" t="s">
        <v>154</v>
      </c>
      <c r="O21" s="17" t="s">
        <v>154</v>
      </c>
      <c r="P21" s="18" t="s">
        <v>154</v>
      </c>
      <c r="Q21" s="17" t="s">
        <v>154</v>
      </c>
      <c r="R21" s="18" t="s">
        <v>154</v>
      </c>
    </row>
    <row r="22" spans="1:18" x14ac:dyDescent="0.25">
      <c r="A22" s="11" t="s">
        <v>155</v>
      </c>
      <c r="B22" s="13">
        <v>6598</v>
      </c>
      <c r="C22" s="14">
        <f>(5571/B22*100)</f>
        <v>84.434677174901481</v>
      </c>
      <c r="D22" s="15">
        <v>1027</v>
      </c>
      <c r="E22" s="14">
        <v>71.722631500000006</v>
      </c>
      <c r="F22" s="16">
        <v>1.3225083500000001</v>
      </c>
      <c r="G22" s="14">
        <v>28.277368500000001</v>
      </c>
      <c r="H22" s="16">
        <v>1.3225083500000001</v>
      </c>
      <c r="I22" s="14" t="s">
        <v>139</v>
      </c>
      <c r="J22" s="16" t="s">
        <v>139</v>
      </c>
      <c r="K22" s="14">
        <v>0</v>
      </c>
      <c r="L22" s="16">
        <v>0</v>
      </c>
      <c r="M22" s="14">
        <v>0</v>
      </c>
      <c r="N22" s="16">
        <v>0</v>
      </c>
      <c r="O22" s="14">
        <v>0</v>
      </c>
      <c r="P22" s="16">
        <v>0</v>
      </c>
      <c r="Q22" s="14">
        <v>0</v>
      </c>
      <c r="R22" s="16">
        <v>0</v>
      </c>
    </row>
    <row r="23" spans="1:18" x14ac:dyDescent="0.25">
      <c r="A23" s="11" t="s">
        <v>156</v>
      </c>
      <c r="B23" s="13">
        <v>11583</v>
      </c>
      <c r="C23" s="14">
        <f>(9580/B23*100)</f>
        <v>82.707416040749365</v>
      </c>
      <c r="D23" s="15">
        <v>2003</v>
      </c>
      <c r="E23" s="14">
        <v>61.529686079999998</v>
      </c>
      <c r="F23" s="16">
        <v>1.4824222</v>
      </c>
      <c r="G23" s="14">
        <v>38.470313920000002</v>
      </c>
      <c r="H23" s="16">
        <v>1.4824222</v>
      </c>
      <c r="I23" s="14" t="s">
        <v>139</v>
      </c>
      <c r="J23" s="16" t="s">
        <v>139</v>
      </c>
      <c r="K23" s="14">
        <v>0</v>
      </c>
      <c r="L23" s="16">
        <v>0</v>
      </c>
      <c r="M23" s="14">
        <v>0</v>
      </c>
      <c r="N23" s="16">
        <v>0</v>
      </c>
      <c r="O23" s="14">
        <v>0</v>
      </c>
      <c r="P23" s="16">
        <v>0</v>
      </c>
      <c r="Q23" s="14">
        <v>0</v>
      </c>
      <c r="R23" s="16">
        <v>0</v>
      </c>
    </row>
    <row r="24" spans="1:18" x14ac:dyDescent="0.25">
      <c r="A24" s="11" t="s">
        <v>157</v>
      </c>
      <c r="B24" s="13">
        <v>6647</v>
      </c>
      <c r="C24" s="14">
        <f>(5489/B24*100)</f>
        <v>82.578606890326469</v>
      </c>
      <c r="D24" s="15">
        <v>1158</v>
      </c>
      <c r="E24" s="14">
        <v>72.761434949999995</v>
      </c>
      <c r="F24" s="16">
        <v>1.31413508</v>
      </c>
      <c r="G24" s="14">
        <v>27.238565049999998</v>
      </c>
      <c r="H24" s="16">
        <v>1.31413508</v>
      </c>
      <c r="I24" s="14" t="s">
        <v>139</v>
      </c>
      <c r="J24" s="16" t="s">
        <v>139</v>
      </c>
      <c r="K24" s="14">
        <v>0</v>
      </c>
      <c r="L24" s="16">
        <v>0</v>
      </c>
      <c r="M24" s="14">
        <v>0</v>
      </c>
      <c r="N24" s="16">
        <v>0</v>
      </c>
      <c r="O24" s="14">
        <v>0</v>
      </c>
      <c r="P24" s="16">
        <v>0</v>
      </c>
      <c r="Q24" s="14">
        <v>0</v>
      </c>
      <c r="R24" s="16">
        <v>0</v>
      </c>
    </row>
    <row r="25" spans="1:18" x14ac:dyDescent="0.25">
      <c r="A25" s="11" t="s">
        <v>158</v>
      </c>
      <c r="B25" s="13">
        <v>5581</v>
      </c>
      <c r="C25" s="14">
        <f>(4617/B25*100)</f>
        <v>82.727109836946795</v>
      </c>
      <c r="D25" s="15">
        <v>964</v>
      </c>
      <c r="E25" s="14">
        <v>0</v>
      </c>
      <c r="F25" s="16">
        <v>0</v>
      </c>
      <c r="G25" s="14">
        <v>0</v>
      </c>
      <c r="H25" s="16">
        <v>0</v>
      </c>
      <c r="I25" s="14" t="s">
        <v>139</v>
      </c>
      <c r="J25" s="16" t="s">
        <v>139</v>
      </c>
      <c r="K25" s="14">
        <v>0</v>
      </c>
      <c r="L25" s="16">
        <v>0</v>
      </c>
      <c r="M25" s="14">
        <v>100</v>
      </c>
      <c r="N25" s="16">
        <v>0</v>
      </c>
      <c r="O25" s="14">
        <v>0</v>
      </c>
      <c r="P25" s="16">
        <v>0</v>
      </c>
      <c r="Q25" s="14">
        <v>0</v>
      </c>
      <c r="R25" s="16">
        <v>0</v>
      </c>
    </row>
    <row r="26" spans="1:18" x14ac:dyDescent="0.25">
      <c r="A26" s="11" t="s">
        <v>159</v>
      </c>
      <c r="B26" s="13">
        <v>4869</v>
      </c>
      <c r="C26" s="14">
        <f>(4032/B26*100)</f>
        <v>82.809611829944558</v>
      </c>
      <c r="D26" s="15">
        <v>837</v>
      </c>
      <c r="E26" s="14">
        <v>66.057630930000002</v>
      </c>
      <c r="F26" s="16">
        <v>1.6574073</v>
      </c>
      <c r="G26" s="14">
        <v>33.942369069999998</v>
      </c>
      <c r="H26" s="16">
        <v>1.6574073</v>
      </c>
      <c r="I26" s="14" t="s">
        <v>139</v>
      </c>
      <c r="J26" s="16" t="s">
        <v>139</v>
      </c>
      <c r="K26" s="14">
        <v>0</v>
      </c>
      <c r="L26" s="16">
        <v>0</v>
      </c>
      <c r="M26" s="14">
        <v>0</v>
      </c>
      <c r="N26" s="16">
        <v>0</v>
      </c>
      <c r="O26" s="14">
        <v>0</v>
      </c>
      <c r="P26" s="16">
        <v>0</v>
      </c>
      <c r="Q26" s="14">
        <v>0</v>
      </c>
      <c r="R26" s="16">
        <v>0</v>
      </c>
    </row>
    <row r="27" spans="1:18" x14ac:dyDescent="0.25">
      <c r="A27" s="11" t="s">
        <v>160</v>
      </c>
      <c r="B27" s="13">
        <v>5299</v>
      </c>
      <c r="C27" s="14">
        <f>(4382/B27*100)</f>
        <v>82.694848084544262</v>
      </c>
      <c r="D27" s="15">
        <v>917</v>
      </c>
      <c r="E27" s="14">
        <v>70.908210080000003</v>
      </c>
      <c r="F27" s="16">
        <v>1.4881842300000001</v>
      </c>
      <c r="G27" s="14">
        <v>29.09178992</v>
      </c>
      <c r="H27" s="16">
        <v>1.4881842300000001</v>
      </c>
      <c r="I27" s="14" t="s">
        <v>139</v>
      </c>
      <c r="J27" s="16" t="s">
        <v>139</v>
      </c>
      <c r="K27" s="14">
        <v>0</v>
      </c>
      <c r="L27" s="16">
        <v>0</v>
      </c>
      <c r="M27" s="14">
        <v>0</v>
      </c>
      <c r="N27" s="16">
        <v>0</v>
      </c>
      <c r="O27" s="14">
        <v>0</v>
      </c>
      <c r="P27" s="16">
        <v>0</v>
      </c>
      <c r="Q27" s="14">
        <v>0</v>
      </c>
      <c r="R27" s="16">
        <v>0</v>
      </c>
    </row>
    <row r="28" spans="1:18" x14ac:dyDescent="0.25">
      <c r="A28" s="11" t="s">
        <v>161</v>
      </c>
      <c r="B28" s="13">
        <v>7568</v>
      </c>
      <c r="C28" s="14">
        <f>(6293/B28*100)</f>
        <v>83.152748414376319</v>
      </c>
      <c r="D28" s="15">
        <v>1275</v>
      </c>
      <c r="E28" s="14">
        <v>65.818946260000004</v>
      </c>
      <c r="F28" s="16">
        <v>1.3173739</v>
      </c>
      <c r="G28" s="14">
        <v>34.181053740000003</v>
      </c>
      <c r="H28" s="16">
        <v>1.3173739</v>
      </c>
      <c r="I28" s="14" t="s">
        <v>139</v>
      </c>
      <c r="J28" s="16" t="s">
        <v>139</v>
      </c>
      <c r="K28" s="14">
        <v>0</v>
      </c>
      <c r="L28" s="16">
        <v>0</v>
      </c>
      <c r="M28" s="14">
        <v>0</v>
      </c>
      <c r="N28" s="16">
        <v>0</v>
      </c>
      <c r="O28" s="14">
        <v>0</v>
      </c>
      <c r="P28" s="16">
        <v>0</v>
      </c>
      <c r="Q28" s="14">
        <v>0</v>
      </c>
      <c r="R28" s="16">
        <v>0</v>
      </c>
    </row>
    <row r="29" spans="1:18" x14ac:dyDescent="0.25">
      <c r="A29" s="11" t="s">
        <v>162</v>
      </c>
      <c r="B29" s="13">
        <v>5385</v>
      </c>
      <c r="C29" s="14">
        <f>(4499/B29*100)</f>
        <v>83.546889507892303</v>
      </c>
      <c r="D29" s="15">
        <v>886</v>
      </c>
      <c r="E29" s="14">
        <v>56.875545199999998</v>
      </c>
      <c r="F29" s="16">
        <v>1.6409895999999999</v>
      </c>
      <c r="G29" s="14">
        <v>43.124454800000002</v>
      </c>
      <c r="H29" s="16">
        <v>1.6409895999999999</v>
      </c>
      <c r="I29" s="14" t="s">
        <v>139</v>
      </c>
      <c r="J29" s="16" t="s">
        <v>139</v>
      </c>
      <c r="K29" s="14">
        <v>0</v>
      </c>
      <c r="L29" s="16">
        <v>0</v>
      </c>
      <c r="M29" s="14">
        <v>0</v>
      </c>
      <c r="N29" s="16">
        <v>0</v>
      </c>
      <c r="O29" s="14">
        <v>0</v>
      </c>
      <c r="P29" s="16">
        <v>0</v>
      </c>
      <c r="Q29" s="14">
        <v>0</v>
      </c>
      <c r="R29" s="16">
        <v>0</v>
      </c>
    </row>
    <row r="30" spans="1:18" x14ac:dyDescent="0.25">
      <c r="A30" s="11" t="s">
        <v>163</v>
      </c>
      <c r="B30" s="13">
        <v>4520</v>
      </c>
      <c r="C30" s="14">
        <f>(3777/B30*100)</f>
        <v>83.561946902654867</v>
      </c>
      <c r="D30" s="15">
        <v>743</v>
      </c>
      <c r="E30" s="14">
        <v>60.798259530000003</v>
      </c>
      <c r="F30" s="16">
        <v>1.7983754300000001</v>
      </c>
      <c r="G30" s="14">
        <v>39.201740469999997</v>
      </c>
      <c r="H30" s="16">
        <v>1.7983754300000001</v>
      </c>
      <c r="I30" s="14" t="s">
        <v>139</v>
      </c>
      <c r="J30" s="16" t="s">
        <v>139</v>
      </c>
      <c r="K30" s="14">
        <v>0</v>
      </c>
      <c r="L30" s="16">
        <v>0</v>
      </c>
      <c r="M30" s="14">
        <v>0</v>
      </c>
      <c r="N30" s="16">
        <v>0</v>
      </c>
      <c r="O30" s="14">
        <v>0</v>
      </c>
      <c r="P30" s="16">
        <v>0</v>
      </c>
      <c r="Q30" s="14">
        <v>0</v>
      </c>
      <c r="R30" s="16">
        <v>0</v>
      </c>
    </row>
    <row r="31" spans="1:18" x14ac:dyDescent="0.25">
      <c r="A31" s="11" t="s">
        <v>164</v>
      </c>
      <c r="B31" s="13">
        <v>5456</v>
      </c>
      <c r="C31" s="14">
        <f>(4535/B31*100)</f>
        <v>83.119501466275665</v>
      </c>
      <c r="D31" s="15">
        <v>921</v>
      </c>
      <c r="E31" s="14">
        <v>68.725663510000004</v>
      </c>
      <c r="F31" s="16">
        <v>1.6680030699999999</v>
      </c>
      <c r="G31" s="14">
        <v>31.27433649</v>
      </c>
      <c r="H31" s="16">
        <v>1.6680030699999999</v>
      </c>
      <c r="I31" s="14" t="s">
        <v>139</v>
      </c>
      <c r="J31" s="16" t="s">
        <v>139</v>
      </c>
      <c r="K31" s="14">
        <v>0</v>
      </c>
      <c r="L31" s="16">
        <v>0</v>
      </c>
      <c r="M31" s="14">
        <v>0</v>
      </c>
      <c r="N31" s="16">
        <v>0</v>
      </c>
      <c r="O31" s="14">
        <v>0</v>
      </c>
      <c r="P31" s="16">
        <v>0</v>
      </c>
      <c r="Q31" s="14">
        <v>0</v>
      </c>
      <c r="R31" s="16">
        <v>0</v>
      </c>
    </row>
    <row r="32" spans="1:18" x14ac:dyDescent="0.25">
      <c r="A32" s="11" t="s">
        <v>165</v>
      </c>
      <c r="B32" s="17" t="s">
        <v>154</v>
      </c>
      <c r="C32" s="17" t="s">
        <v>154</v>
      </c>
      <c r="D32" s="18" t="s">
        <v>154</v>
      </c>
      <c r="E32" s="17" t="s">
        <v>154</v>
      </c>
      <c r="F32" s="18" t="s">
        <v>154</v>
      </c>
      <c r="G32" s="17" t="s">
        <v>154</v>
      </c>
      <c r="H32" s="18" t="s">
        <v>154</v>
      </c>
      <c r="I32" s="17" t="s">
        <v>154</v>
      </c>
      <c r="J32" s="18" t="s">
        <v>154</v>
      </c>
      <c r="K32" s="17" t="s">
        <v>154</v>
      </c>
      <c r="L32" s="18" t="s">
        <v>154</v>
      </c>
      <c r="M32" s="17" t="s">
        <v>154</v>
      </c>
      <c r="N32" s="18" t="s">
        <v>154</v>
      </c>
      <c r="O32" s="17" t="s">
        <v>154</v>
      </c>
      <c r="P32" s="18" t="s">
        <v>154</v>
      </c>
      <c r="Q32" s="17" t="s">
        <v>154</v>
      </c>
      <c r="R32" s="18" t="s">
        <v>154</v>
      </c>
    </row>
    <row r="33" spans="1:18" x14ac:dyDescent="0.25">
      <c r="A33" s="11" t="s">
        <v>166</v>
      </c>
      <c r="B33" s="13">
        <v>7325</v>
      </c>
      <c r="C33" s="14">
        <f>(6082/B33*100)</f>
        <v>83.030716723549489</v>
      </c>
      <c r="D33" s="15">
        <v>1243</v>
      </c>
      <c r="E33" s="14">
        <v>59.987838789999998</v>
      </c>
      <c r="F33" s="16">
        <v>1.37292719</v>
      </c>
      <c r="G33" s="14">
        <v>40.012161210000002</v>
      </c>
      <c r="H33" s="16">
        <v>1.37292719</v>
      </c>
      <c r="I33" s="14" t="s">
        <v>139</v>
      </c>
      <c r="J33" s="16" t="s">
        <v>139</v>
      </c>
      <c r="K33" s="14">
        <v>0</v>
      </c>
      <c r="L33" s="16">
        <v>0</v>
      </c>
      <c r="M33" s="14">
        <v>0</v>
      </c>
      <c r="N33" s="16">
        <v>0</v>
      </c>
      <c r="O33" s="14">
        <v>0</v>
      </c>
      <c r="P33" s="16">
        <v>0</v>
      </c>
      <c r="Q33" s="14">
        <v>0</v>
      </c>
      <c r="R33" s="16">
        <v>0</v>
      </c>
    </row>
    <row r="34" spans="1:18" x14ac:dyDescent="0.25">
      <c r="A34" s="11" t="s">
        <v>167</v>
      </c>
      <c r="B34" s="13">
        <v>6350</v>
      </c>
      <c r="C34" s="14">
        <f>(5294/B34*100)</f>
        <v>83.370078740157481</v>
      </c>
      <c r="D34" s="15">
        <v>1056</v>
      </c>
      <c r="E34" s="14">
        <v>75.837710049999998</v>
      </c>
      <c r="F34" s="16">
        <v>1.2771364000000001</v>
      </c>
      <c r="G34" s="14">
        <v>24.162289950000002</v>
      </c>
      <c r="H34" s="16">
        <v>1.2771364000000001</v>
      </c>
      <c r="I34" s="14" t="s">
        <v>139</v>
      </c>
      <c r="J34" s="16" t="s">
        <v>139</v>
      </c>
      <c r="K34" s="14">
        <v>0</v>
      </c>
      <c r="L34" s="16">
        <v>0</v>
      </c>
      <c r="M34" s="14">
        <v>0</v>
      </c>
      <c r="N34" s="16">
        <v>0</v>
      </c>
      <c r="O34" s="14">
        <v>0</v>
      </c>
      <c r="P34" s="16">
        <v>0</v>
      </c>
      <c r="Q34" s="14">
        <v>0</v>
      </c>
      <c r="R34" s="16">
        <v>0</v>
      </c>
    </row>
    <row r="35" spans="1:18" x14ac:dyDescent="0.25">
      <c r="A35" s="11" t="s">
        <v>168</v>
      </c>
      <c r="B35" s="13">
        <v>6406</v>
      </c>
      <c r="C35" s="14">
        <f>(5349/B35*100)</f>
        <v>83.499843896347173</v>
      </c>
      <c r="D35" s="15">
        <v>1057</v>
      </c>
      <c r="E35" s="14">
        <v>69.741351820000006</v>
      </c>
      <c r="F35" s="16">
        <v>1.50955934</v>
      </c>
      <c r="G35" s="14">
        <v>30.258648180000002</v>
      </c>
      <c r="H35" s="16">
        <v>1.50955934</v>
      </c>
      <c r="I35" s="14" t="s">
        <v>139</v>
      </c>
      <c r="J35" s="16" t="s">
        <v>139</v>
      </c>
      <c r="K35" s="14">
        <v>0</v>
      </c>
      <c r="L35" s="16">
        <v>0</v>
      </c>
      <c r="M35" s="14">
        <v>0</v>
      </c>
      <c r="N35" s="16">
        <v>0</v>
      </c>
      <c r="O35" s="14">
        <v>0</v>
      </c>
      <c r="P35" s="16">
        <v>0</v>
      </c>
      <c r="Q35" s="14">
        <v>0</v>
      </c>
      <c r="R35" s="16">
        <v>0</v>
      </c>
    </row>
    <row r="36" spans="1:18" x14ac:dyDescent="0.25">
      <c r="A36" s="11" t="s">
        <v>169</v>
      </c>
      <c r="B36" s="13">
        <v>6736</v>
      </c>
      <c r="C36" s="14">
        <f>(5578/B36*100)</f>
        <v>82.808788598574822</v>
      </c>
      <c r="D36" s="15">
        <v>1158</v>
      </c>
      <c r="E36" s="14">
        <v>48.72363928</v>
      </c>
      <c r="F36" s="16">
        <v>1.67666293</v>
      </c>
      <c r="G36" s="14">
        <v>51.27636072</v>
      </c>
      <c r="H36" s="16">
        <v>1.67666293</v>
      </c>
      <c r="I36" s="14" t="s">
        <v>139</v>
      </c>
      <c r="J36" s="16" t="s">
        <v>139</v>
      </c>
      <c r="K36" s="14">
        <v>0</v>
      </c>
      <c r="L36" s="16">
        <v>0</v>
      </c>
      <c r="M36" s="14">
        <v>0</v>
      </c>
      <c r="N36" s="16">
        <v>0</v>
      </c>
      <c r="O36" s="14">
        <v>0</v>
      </c>
      <c r="P36" s="16">
        <v>0</v>
      </c>
      <c r="Q36" s="14">
        <v>0</v>
      </c>
      <c r="R36" s="16">
        <v>0</v>
      </c>
    </row>
    <row r="37" spans="1:18" x14ac:dyDescent="0.25">
      <c r="A37" s="11" t="s">
        <v>170</v>
      </c>
      <c r="B37" s="13">
        <v>5458</v>
      </c>
      <c r="C37" s="14">
        <f>(4539/B37*100)</f>
        <v>83.162330524001476</v>
      </c>
      <c r="D37" s="15">
        <v>919</v>
      </c>
      <c r="E37" s="14">
        <v>66.42561619</v>
      </c>
      <c r="F37" s="16">
        <v>1.5410476900000001</v>
      </c>
      <c r="G37" s="14">
        <v>33.57438381</v>
      </c>
      <c r="H37" s="16">
        <v>1.5410476900000001</v>
      </c>
      <c r="I37" s="14" t="s">
        <v>139</v>
      </c>
      <c r="J37" s="16" t="s">
        <v>139</v>
      </c>
      <c r="K37" s="14">
        <v>0</v>
      </c>
      <c r="L37" s="16">
        <v>0</v>
      </c>
      <c r="M37" s="14">
        <v>0</v>
      </c>
      <c r="N37" s="16">
        <v>0</v>
      </c>
      <c r="O37" s="14">
        <v>0</v>
      </c>
      <c r="P37" s="16">
        <v>0</v>
      </c>
      <c r="Q37" s="14">
        <v>0</v>
      </c>
      <c r="R37" s="16">
        <v>0</v>
      </c>
    </row>
    <row r="38" spans="1:18" x14ac:dyDescent="0.25">
      <c r="A38" s="11" t="s">
        <v>171</v>
      </c>
      <c r="B38" s="17" t="s">
        <v>154</v>
      </c>
      <c r="C38" s="17" t="s">
        <v>154</v>
      </c>
      <c r="D38" s="18" t="s">
        <v>154</v>
      </c>
      <c r="E38" s="17" t="s">
        <v>154</v>
      </c>
      <c r="F38" s="18" t="s">
        <v>154</v>
      </c>
      <c r="G38" s="17" t="s">
        <v>154</v>
      </c>
      <c r="H38" s="18" t="s">
        <v>154</v>
      </c>
      <c r="I38" s="17" t="s">
        <v>154</v>
      </c>
      <c r="J38" s="18" t="s">
        <v>154</v>
      </c>
      <c r="K38" s="17" t="s">
        <v>154</v>
      </c>
      <c r="L38" s="18" t="s">
        <v>154</v>
      </c>
      <c r="M38" s="17" t="s">
        <v>154</v>
      </c>
      <c r="N38" s="18" t="s">
        <v>154</v>
      </c>
      <c r="O38" s="17" t="s">
        <v>154</v>
      </c>
      <c r="P38" s="18" t="s">
        <v>154</v>
      </c>
      <c r="Q38" s="17" t="s">
        <v>154</v>
      </c>
      <c r="R38" s="18" t="s">
        <v>154</v>
      </c>
    </row>
    <row r="39" spans="1:18" x14ac:dyDescent="0.25">
      <c r="A39" s="11" t="s">
        <v>172</v>
      </c>
      <c r="B39" s="13">
        <v>5895</v>
      </c>
      <c r="C39" s="14">
        <f>(4864/B39*100)</f>
        <v>82.510602205258692</v>
      </c>
      <c r="D39" s="15">
        <v>1031</v>
      </c>
      <c r="E39" s="14">
        <v>79.631172250000006</v>
      </c>
      <c r="F39" s="16">
        <v>1.3752404600000001</v>
      </c>
      <c r="G39" s="14">
        <v>20.368827750000001</v>
      </c>
      <c r="H39" s="16">
        <v>1.3752404600000001</v>
      </c>
      <c r="I39" s="14" t="s">
        <v>139</v>
      </c>
      <c r="J39" s="16" t="s">
        <v>139</v>
      </c>
      <c r="K39" s="14">
        <v>0</v>
      </c>
      <c r="L39" s="16">
        <v>0</v>
      </c>
      <c r="M39" s="14">
        <v>0</v>
      </c>
      <c r="N39" s="16">
        <v>0</v>
      </c>
      <c r="O39" s="14">
        <v>0</v>
      </c>
      <c r="P39" s="16">
        <v>0</v>
      </c>
      <c r="Q39" s="14">
        <v>0</v>
      </c>
      <c r="R39" s="16">
        <v>0</v>
      </c>
    </row>
    <row r="40" spans="1:18" x14ac:dyDescent="0.25">
      <c r="A40" s="11" t="s">
        <v>173</v>
      </c>
      <c r="B40" s="13">
        <v>14157</v>
      </c>
      <c r="C40" s="14">
        <f>(11731/B40*100)</f>
        <v>82.863601045419216</v>
      </c>
      <c r="D40" s="15">
        <v>2426</v>
      </c>
      <c r="E40" s="14">
        <v>55.606877359999999</v>
      </c>
      <c r="F40" s="16">
        <v>1.740302</v>
      </c>
      <c r="G40" s="14">
        <v>44.393122640000001</v>
      </c>
      <c r="H40" s="16">
        <v>1.740302</v>
      </c>
      <c r="I40" s="14" t="s">
        <v>139</v>
      </c>
      <c r="J40" s="16" t="s">
        <v>139</v>
      </c>
      <c r="K40" s="14">
        <v>0</v>
      </c>
      <c r="L40" s="16">
        <v>0</v>
      </c>
      <c r="M40" s="14">
        <v>0</v>
      </c>
      <c r="N40" s="16">
        <v>0</v>
      </c>
      <c r="O40" s="14">
        <v>0</v>
      </c>
      <c r="P40" s="16">
        <v>0</v>
      </c>
      <c r="Q40" s="14">
        <v>0</v>
      </c>
      <c r="R40" s="16">
        <v>0</v>
      </c>
    </row>
    <row r="41" spans="1:18" x14ac:dyDescent="0.25">
      <c r="A41" s="11" t="s">
        <v>174</v>
      </c>
      <c r="B41" s="13">
        <v>5712</v>
      </c>
      <c r="C41" s="14">
        <f>(4726/B41*100)</f>
        <v>82.738095238095227</v>
      </c>
      <c r="D41" s="15">
        <v>986</v>
      </c>
      <c r="E41" s="14">
        <v>53.576439309999998</v>
      </c>
      <c r="F41" s="16">
        <v>1.56755209</v>
      </c>
      <c r="G41" s="14">
        <v>46.423560690000002</v>
      </c>
      <c r="H41" s="16">
        <v>1.56755209</v>
      </c>
      <c r="I41" s="14" t="s">
        <v>139</v>
      </c>
      <c r="J41" s="16" t="s">
        <v>139</v>
      </c>
      <c r="K41" s="14">
        <v>0</v>
      </c>
      <c r="L41" s="16">
        <v>0</v>
      </c>
      <c r="M41" s="14">
        <v>0</v>
      </c>
      <c r="N41" s="16">
        <v>0</v>
      </c>
      <c r="O41" s="14">
        <v>0</v>
      </c>
      <c r="P41" s="16">
        <v>0</v>
      </c>
      <c r="Q41" s="14">
        <v>0</v>
      </c>
      <c r="R41" s="16">
        <v>0</v>
      </c>
    </row>
    <row r="42" spans="1:18" x14ac:dyDescent="0.25">
      <c r="A42" s="11" t="s">
        <v>175</v>
      </c>
      <c r="B42" s="13">
        <f>IF(COUNT(B7:B41) &gt; 0, AVERAGE(B7:B41), "\u2014")</f>
        <v>7266.90625</v>
      </c>
      <c r="C42" s="14">
        <f>IF(COUNT(C7:C41) &gt; 0, AVERAGE(C7:C41), "—")</f>
        <v>83.027037990094698</v>
      </c>
      <c r="D42" s="15">
        <f>IF(COUNT(D7:D41) &gt; 0, AVERAGE(D7:D41), "—")</f>
        <v>1234.125</v>
      </c>
      <c r="E42" s="14">
        <f>IF(COUNT(E7:E41) &gt; 0, AVERAGE(E7:E41), "—")</f>
        <v>61.789924165312513</v>
      </c>
      <c r="F42" s="16">
        <f>IF(COUNT(F7:F41) &gt; 0, SQRT(SUMSQ(F7:F41)/(COUNT(F7:F41)*COUNT(F7:F41)) ), "—")</f>
        <v>0.2682277238457077</v>
      </c>
      <c r="G42" s="14">
        <f>IF(COUNT(G7:G41) &gt; 0, AVERAGE(G7:G41), "—")</f>
        <v>35.085075834687494</v>
      </c>
      <c r="H42" s="16">
        <f>IF(COUNT(H7:H41) &gt; 0, SQRT(SUMSQ(H7:H41)/(COUNT(H7:H41)*COUNT(H7:H41)) ), "—")</f>
        <v>0.2682277238457077</v>
      </c>
      <c r="I42" s="14" t="str">
        <f>IF(COUNT(I7:I41) &gt; 0, AVERAGE(I7:I41), "—")</f>
        <v>—</v>
      </c>
      <c r="J42" s="16" t="str">
        <f>IF(COUNT(J7:J41) &gt; 0, SQRT(SUMSQ(J7:J41)/(COUNT(J7:J41)*COUNT(J7:J41)) ), "—")</f>
        <v>—</v>
      </c>
      <c r="K42" s="14">
        <f>IF(COUNT(K7:K41) &gt; 0, AVERAGE(K7:K41), "—")</f>
        <v>0</v>
      </c>
      <c r="L42" s="16">
        <f>IF(COUNT(L7:L41) &gt; 0, SQRT(SUMSQ(L7:L41)/(COUNT(L7:L41)*COUNT(L7:L41)) ), "—")</f>
        <v>0</v>
      </c>
      <c r="M42" s="14">
        <f>IF(COUNT(M7:M41) &gt; 0, AVERAGE(M7:M41), "—")</f>
        <v>3.125</v>
      </c>
      <c r="N42" s="16">
        <f>IF(COUNT(N7:N41) &gt; 0, SQRT(SUMSQ(N7:N41)/(COUNT(N7:N41)*COUNT(N7:N41)) ), "—")</f>
        <v>0</v>
      </c>
      <c r="O42" s="14">
        <f>IF(COUNT(O7:O41) &gt; 0, AVERAGE(O7:O41), "—")</f>
        <v>0</v>
      </c>
      <c r="P42" s="16">
        <f>IF(COUNT(P7:P41) &gt; 0, SQRT(SUMSQ(P7:P41)/(COUNT(P7:P41)*COUNT(P7:P41)) ), "—")</f>
        <v>0</v>
      </c>
      <c r="Q42" s="14">
        <f>IF(COUNT(Q7:Q41) &gt; 0, AVERAGE(Q7:Q41), "—")</f>
        <v>0</v>
      </c>
      <c r="R42" s="16">
        <f>IF(COUNT(R7:R41) &gt; 0, SQRT(SUMSQ(R7:R41)/(COUNT(R7:R41)*COUNT(R7:R41)) ), "—")</f>
        <v>0</v>
      </c>
    </row>
    <row r="43" spans="1:18" x14ac:dyDescent="0.25">
      <c r="A43" s="9" t="s">
        <v>176</v>
      </c>
      <c r="B43" s="10"/>
      <c r="C43" s="10"/>
      <c r="D43" s="11"/>
      <c r="E43" s="10"/>
      <c r="F43" s="11"/>
      <c r="G43" s="10"/>
      <c r="H43" s="11"/>
      <c r="I43" s="10"/>
      <c r="J43" s="11"/>
      <c r="K43" s="10"/>
      <c r="L43" s="11"/>
      <c r="M43" s="10"/>
      <c r="N43" s="11"/>
      <c r="O43" s="10"/>
      <c r="P43" s="11"/>
      <c r="Q43" s="10"/>
      <c r="R43" s="12"/>
    </row>
    <row r="44" spans="1:18" x14ac:dyDescent="0.25">
      <c r="A44" s="11" t="s">
        <v>177</v>
      </c>
      <c r="B44" s="17" t="s">
        <v>154</v>
      </c>
      <c r="C44" s="17" t="s">
        <v>154</v>
      </c>
      <c r="D44" s="18" t="s">
        <v>154</v>
      </c>
      <c r="E44" s="17" t="s">
        <v>154</v>
      </c>
      <c r="F44" s="18" t="s">
        <v>154</v>
      </c>
      <c r="G44" s="17" t="s">
        <v>154</v>
      </c>
      <c r="H44" s="18" t="s">
        <v>154</v>
      </c>
      <c r="I44" s="17" t="s">
        <v>154</v>
      </c>
      <c r="J44" s="18" t="s">
        <v>154</v>
      </c>
      <c r="K44" s="17" t="s">
        <v>154</v>
      </c>
      <c r="L44" s="18" t="s">
        <v>154</v>
      </c>
      <c r="M44" s="17" t="s">
        <v>154</v>
      </c>
      <c r="N44" s="18" t="s">
        <v>154</v>
      </c>
      <c r="O44" s="17" t="s">
        <v>154</v>
      </c>
      <c r="P44" s="18" t="s">
        <v>154</v>
      </c>
      <c r="Q44" s="17" t="s">
        <v>154</v>
      </c>
      <c r="R44" s="18" t="s">
        <v>154</v>
      </c>
    </row>
    <row r="45" spans="1:18" x14ac:dyDescent="0.25">
      <c r="A45" s="11" t="s">
        <v>178</v>
      </c>
      <c r="B45" s="17" t="s">
        <v>154</v>
      </c>
      <c r="C45" s="17" t="s">
        <v>154</v>
      </c>
      <c r="D45" s="18" t="s">
        <v>154</v>
      </c>
      <c r="E45" s="17" t="s">
        <v>154</v>
      </c>
      <c r="F45" s="18" t="s">
        <v>154</v>
      </c>
      <c r="G45" s="17" t="s">
        <v>154</v>
      </c>
      <c r="H45" s="18" t="s">
        <v>154</v>
      </c>
      <c r="I45" s="17" t="s">
        <v>154</v>
      </c>
      <c r="J45" s="18" t="s">
        <v>154</v>
      </c>
      <c r="K45" s="17" t="s">
        <v>154</v>
      </c>
      <c r="L45" s="18" t="s">
        <v>154</v>
      </c>
      <c r="M45" s="17" t="s">
        <v>154</v>
      </c>
      <c r="N45" s="18" t="s">
        <v>154</v>
      </c>
      <c r="O45" s="17" t="s">
        <v>154</v>
      </c>
      <c r="P45" s="18" t="s">
        <v>154</v>
      </c>
      <c r="Q45" s="17" t="s">
        <v>154</v>
      </c>
      <c r="R45" s="18" t="s">
        <v>154</v>
      </c>
    </row>
    <row r="46" spans="1:18" x14ac:dyDescent="0.25">
      <c r="A46" s="11" t="s">
        <v>179</v>
      </c>
      <c r="B46" s="13">
        <v>23141</v>
      </c>
      <c r="C46" s="14">
        <f>(19620/B46*100)</f>
        <v>84.784581478760643</v>
      </c>
      <c r="D46" s="15">
        <v>3521</v>
      </c>
      <c r="E46" s="14">
        <v>65.000932649999996</v>
      </c>
      <c r="F46" s="16">
        <v>1.14421924</v>
      </c>
      <c r="G46" s="14">
        <v>34.999067349999997</v>
      </c>
      <c r="H46" s="16">
        <v>1.14421924</v>
      </c>
      <c r="I46" s="14" t="s">
        <v>139</v>
      </c>
      <c r="J46" s="16" t="s">
        <v>139</v>
      </c>
      <c r="K46" s="14">
        <v>0</v>
      </c>
      <c r="L46" s="16">
        <v>0</v>
      </c>
      <c r="M46" s="14">
        <v>0</v>
      </c>
      <c r="N46" s="16">
        <v>0</v>
      </c>
      <c r="O46" s="14">
        <v>0</v>
      </c>
      <c r="P46" s="16">
        <v>0</v>
      </c>
      <c r="Q46" s="14">
        <v>0</v>
      </c>
      <c r="R46" s="16">
        <v>0</v>
      </c>
    </row>
    <row r="47" spans="1:18" x14ac:dyDescent="0.25">
      <c r="A47" s="11" t="s">
        <v>180</v>
      </c>
      <c r="B47" s="13">
        <v>5928</v>
      </c>
      <c r="C47" s="14">
        <f>(4915/B47*100)</f>
        <v>82.911605937921735</v>
      </c>
      <c r="D47" s="15">
        <v>1013</v>
      </c>
      <c r="E47" s="14">
        <v>73.454815969999999</v>
      </c>
      <c r="F47" s="16">
        <v>1.14195343</v>
      </c>
      <c r="G47" s="14">
        <v>26.545184030000001</v>
      </c>
      <c r="H47" s="16">
        <v>1.14195343</v>
      </c>
      <c r="I47" s="14" t="s">
        <v>139</v>
      </c>
      <c r="J47" s="16" t="s">
        <v>139</v>
      </c>
      <c r="K47" s="14">
        <v>0</v>
      </c>
      <c r="L47" s="16">
        <v>0</v>
      </c>
      <c r="M47" s="14">
        <v>0</v>
      </c>
      <c r="N47" s="16">
        <v>0</v>
      </c>
      <c r="O47" s="14">
        <v>0</v>
      </c>
      <c r="P47" s="16">
        <v>0</v>
      </c>
      <c r="Q47" s="14">
        <v>0</v>
      </c>
      <c r="R47" s="16">
        <v>0</v>
      </c>
    </row>
    <row r="48" spans="1:18" x14ac:dyDescent="0.25">
      <c r="A48" s="11" t="s">
        <v>181</v>
      </c>
      <c r="B48" s="13">
        <v>9841</v>
      </c>
      <c r="C48" s="14">
        <f>(8166/B48*100)</f>
        <v>82.979372015039118</v>
      </c>
      <c r="D48" s="15">
        <v>1675</v>
      </c>
      <c r="E48" s="14">
        <v>70.120840659999999</v>
      </c>
      <c r="F48" s="16">
        <v>1.86132944</v>
      </c>
      <c r="G48" s="14">
        <v>29.879159340000001</v>
      </c>
      <c r="H48" s="16">
        <v>1.86132944</v>
      </c>
      <c r="I48" s="14" t="s">
        <v>139</v>
      </c>
      <c r="J48" s="16" t="s">
        <v>139</v>
      </c>
      <c r="K48" s="14">
        <v>0</v>
      </c>
      <c r="L48" s="16">
        <v>0</v>
      </c>
      <c r="M48" s="14">
        <v>0</v>
      </c>
      <c r="N48" s="16">
        <v>0</v>
      </c>
      <c r="O48" s="14">
        <v>0</v>
      </c>
      <c r="P48" s="16">
        <v>0</v>
      </c>
      <c r="Q48" s="14">
        <v>0</v>
      </c>
      <c r="R48" s="16">
        <v>0</v>
      </c>
    </row>
    <row r="49" spans="1:18" x14ac:dyDescent="0.25">
      <c r="A49" s="11" t="s">
        <v>182</v>
      </c>
      <c r="B49" s="17" t="s">
        <v>154</v>
      </c>
      <c r="C49" s="17" t="s">
        <v>154</v>
      </c>
      <c r="D49" s="18" t="s">
        <v>154</v>
      </c>
      <c r="E49" s="17" t="s">
        <v>154</v>
      </c>
      <c r="F49" s="18" t="s">
        <v>154</v>
      </c>
      <c r="G49" s="17" t="s">
        <v>154</v>
      </c>
      <c r="H49" s="18" t="s">
        <v>154</v>
      </c>
      <c r="I49" s="17" t="s">
        <v>154</v>
      </c>
      <c r="J49" s="18" t="s">
        <v>154</v>
      </c>
      <c r="K49" s="17" t="s">
        <v>154</v>
      </c>
      <c r="L49" s="18" t="s">
        <v>154</v>
      </c>
      <c r="M49" s="17" t="s">
        <v>154</v>
      </c>
      <c r="N49" s="18" t="s">
        <v>154</v>
      </c>
      <c r="O49" s="17" t="s">
        <v>154</v>
      </c>
      <c r="P49" s="18" t="s">
        <v>154</v>
      </c>
      <c r="Q49" s="17" t="s">
        <v>154</v>
      </c>
      <c r="R49" s="18" t="s">
        <v>154</v>
      </c>
    </row>
    <row r="50" spans="1:18" x14ac:dyDescent="0.25">
      <c r="A50" s="11" t="s">
        <v>183</v>
      </c>
      <c r="B50" s="13">
        <v>11795</v>
      </c>
      <c r="C50" s="14">
        <f>(9783/B50*100)</f>
        <v>82.941924544298431</v>
      </c>
      <c r="D50" s="15">
        <v>2012</v>
      </c>
      <c r="E50" s="14">
        <v>62.163715189999998</v>
      </c>
      <c r="F50" s="16">
        <v>1.60035017</v>
      </c>
      <c r="G50" s="14">
        <v>37.836284810000002</v>
      </c>
      <c r="H50" s="16">
        <v>1.60035017</v>
      </c>
      <c r="I50" s="14" t="s">
        <v>139</v>
      </c>
      <c r="J50" s="16" t="s">
        <v>139</v>
      </c>
      <c r="K50" s="14">
        <v>0</v>
      </c>
      <c r="L50" s="16">
        <v>0</v>
      </c>
      <c r="M50" s="14">
        <v>0</v>
      </c>
      <c r="N50" s="16">
        <v>0</v>
      </c>
      <c r="O50" s="14">
        <v>0</v>
      </c>
      <c r="P50" s="16">
        <v>0</v>
      </c>
      <c r="Q50" s="14">
        <v>0</v>
      </c>
      <c r="R50" s="16">
        <v>0</v>
      </c>
    </row>
    <row r="51" spans="1:18" x14ac:dyDescent="0.25">
      <c r="A51" s="11" t="s">
        <v>184</v>
      </c>
      <c r="B51" s="13">
        <v>6866</v>
      </c>
      <c r="C51" s="14">
        <f>(5821/B51*100)</f>
        <v>84.780075735508291</v>
      </c>
      <c r="D51" s="15">
        <v>1045</v>
      </c>
      <c r="E51" s="14">
        <v>65.76405785</v>
      </c>
      <c r="F51" s="16">
        <v>1.51096315</v>
      </c>
      <c r="G51" s="14">
        <v>34.23594215</v>
      </c>
      <c r="H51" s="16">
        <v>1.51096315</v>
      </c>
      <c r="I51" s="14" t="s">
        <v>139</v>
      </c>
      <c r="J51" s="16" t="s">
        <v>139</v>
      </c>
      <c r="K51" s="14">
        <v>0</v>
      </c>
      <c r="L51" s="16">
        <v>0</v>
      </c>
      <c r="M51" s="14">
        <v>0</v>
      </c>
      <c r="N51" s="16">
        <v>0</v>
      </c>
      <c r="O51" s="14">
        <v>0</v>
      </c>
      <c r="P51" s="16">
        <v>0</v>
      </c>
      <c r="Q51" s="14">
        <v>0</v>
      </c>
      <c r="R51" s="16">
        <v>0</v>
      </c>
    </row>
    <row r="52" spans="1:18" x14ac:dyDescent="0.25">
      <c r="A52" s="11" t="s">
        <v>185</v>
      </c>
      <c r="B52" s="13">
        <v>5809</v>
      </c>
      <c r="C52" s="14">
        <f>(4831/B52*100)</f>
        <v>83.164055775520737</v>
      </c>
      <c r="D52" s="15">
        <v>978</v>
      </c>
      <c r="E52" s="14">
        <v>58.302700520000002</v>
      </c>
      <c r="F52" s="16">
        <v>1.4192182600000001</v>
      </c>
      <c r="G52" s="14">
        <v>41.697299479999998</v>
      </c>
      <c r="H52" s="16">
        <v>1.4192182600000001</v>
      </c>
      <c r="I52" s="14" t="s">
        <v>139</v>
      </c>
      <c r="J52" s="16" t="s">
        <v>139</v>
      </c>
      <c r="K52" s="14">
        <v>0</v>
      </c>
      <c r="L52" s="16">
        <v>0</v>
      </c>
      <c r="M52" s="14">
        <v>0</v>
      </c>
      <c r="N52" s="16">
        <v>0</v>
      </c>
      <c r="O52" s="14">
        <v>0</v>
      </c>
      <c r="P52" s="16">
        <v>0</v>
      </c>
      <c r="Q52" s="14">
        <v>0</v>
      </c>
      <c r="R52" s="16">
        <v>0</v>
      </c>
    </row>
    <row r="53" spans="1:18" x14ac:dyDescent="0.25">
      <c r="A53" s="11" t="s">
        <v>186</v>
      </c>
      <c r="B53" s="13">
        <v>5571</v>
      </c>
      <c r="C53" s="14">
        <f>(4635/B53*100)</f>
        <v>83.198707592891765</v>
      </c>
      <c r="D53" s="15">
        <v>936</v>
      </c>
      <c r="E53" s="14">
        <v>63.84435045</v>
      </c>
      <c r="F53" s="16">
        <v>1.5900249500000001</v>
      </c>
      <c r="G53" s="14">
        <v>36.15564955</v>
      </c>
      <c r="H53" s="16">
        <v>1.5900249500000001</v>
      </c>
      <c r="I53" s="14" t="s">
        <v>139</v>
      </c>
      <c r="J53" s="16" t="s">
        <v>139</v>
      </c>
      <c r="K53" s="14">
        <v>0</v>
      </c>
      <c r="L53" s="16">
        <v>0</v>
      </c>
      <c r="M53" s="14">
        <v>0</v>
      </c>
      <c r="N53" s="16">
        <v>0</v>
      </c>
      <c r="O53" s="14">
        <v>0</v>
      </c>
      <c r="P53" s="16">
        <v>0</v>
      </c>
      <c r="Q53" s="14">
        <v>0</v>
      </c>
      <c r="R53" s="16">
        <v>0</v>
      </c>
    </row>
    <row r="54" spans="1:18" x14ac:dyDescent="0.25">
      <c r="A54" s="11" t="s">
        <v>187</v>
      </c>
      <c r="B54" s="17" t="s">
        <v>154</v>
      </c>
      <c r="C54" s="17" t="s">
        <v>154</v>
      </c>
      <c r="D54" s="18" t="s">
        <v>154</v>
      </c>
      <c r="E54" s="17" t="s">
        <v>154</v>
      </c>
      <c r="F54" s="18" t="s">
        <v>154</v>
      </c>
      <c r="G54" s="17" t="s">
        <v>154</v>
      </c>
      <c r="H54" s="18" t="s">
        <v>154</v>
      </c>
      <c r="I54" s="17" t="s">
        <v>154</v>
      </c>
      <c r="J54" s="18" t="s">
        <v>154</v>
      </c>
      <c r="K54" s="17" t="s">
        <v>154</v>
      </c>
      <c r="L54" s="18" t="s">
        <v>154</v>
      </c>
      <c r="M54" s="17" t="s">
        <v>154</v>
      </c>
      <c r="N54" s="18" t="s">
        <v>154</v>
      </c>
      <c r="O54" s="17" t="s">
        <v>154</v>
      </c>
      <c r="P54" s="18" t="s">
        <v>154</v>
      </c>
      <c r="Q54" s="17" t="s">
        <v>154</v>
      </c>
      <c r="R54" s="18" t="s">
        <v>154</v>
      </c>
    </row>
    <row r="55" spans="1:18" x14ac:dyDescent="0.25">
      <c r="A55" s="11" t="s">
        <v>188</v>
      </c>
      <c r="B55" s="17" t="s">
        <v>154</v>
      </c>
      <c r="C55" s="17" t="s">
        <v>154</v>
      </c>
      <c r="D55" s="18" t="s">
        <v>154</v>
      </c>
      <c r="E55" s="17" t="s">
        <v>154</v>
      </c>
      <c r="F55" s="18" t="s">
        <v>154</v>
      </c>
      <c r="G55" s="17" t="s">
        <v>154</v>
      </c>
      <c r="H55" s="18" t="s">
        <v>154</v>
      </c>
      <c r="I55" s="17" t="s">
        <v>154</v>
      </c>
      <c r="J55" s="18" t="s">
        <v>154</v>
      </c>
      <c r="K55" s="17" t="s">
        <v>154</v>
      </c>
      <c r="L55" s="18" t="s">
        <v>154</v>
      </c>
      <c r="M55" s="17" t="s">
        <v>154</v>
      </c>
      <c r="N55" s="18" t="s">
        <v>154</v>
      </c>
      <c r="O55" s="17" t="s">
        <v>154</v>
      </c>
      <c r="P55" s="18" t="s">
        <v>154</v>
      </c>
      <c r="Q55" s="17" t="s">
        <v>154</v>
      </c>
      <c r="R55" s="18" t="s">
        <v>154</v>
      </c>
    </row>
    <row r="56" spans="1:18" x14ac:dyDescent="0.25">
      <c r="A56" s="11" t="s">
        <v>189</v>
      </c>
      <c r="B56" s="13">
        <v>5359</v>
      </c>
      <c r="C56" s="14">
        <f>(4449/B56*100)</f>
        <v>83.019220003732045</v>
      </c>
      <c r="D56" s="15">
        <v>910</v>
      </c>
      <c r="E56" s="14">
        <v>0</v>
      </c>
      <c r="F56" s="16">
        <v>0</v>
      </c>
      <c r="G56" s="14">
        <v>0</v>
      </c>
      <c r="H56" s="16">
        <v>0</v>
      </c>
      <c r="I56" s="14" t="s">
        <v>139</v>
      </c>
      <c r="J56" s="16" t="s">
        <v>139</v>
      </c>
      <c r="K56" s="14">
        <v>0</v>
      </c>
      <c r="L56" s="16">
        <v>0</v>
      </c>
      <c r="M56" s="14">
        <v>100</v>
      </c>
      <c r="N56" s="16">
        <v>0</v>
      </c>
      <c r="O56" s="14">
        <v>0</v>
      </c>
      <c r="P56" s="16">
        <v>0</v>
      </c>
      <c r="Q56" s="14">
        <v>0</v>
      </c>
      <c r="R56" s="16">
        <v>0</v>
      </c>
    </row>
    <row r="57" spans="1:18" x14ac:dyDescent="0.25">
      <c r="A57" s="11" t="s">
        <v>190</v>
      </c>
      <c r="B57" s="17" t="s">
        <v>154</v>
      </c>
      <c r="C57" s="17" t="s">
        <v>154</v>
      </c>
      <c r="D57" s="18" t="s">
        <v>154</v>
      </c>
      <c r="E57" s="17" t="s">
        <v>154</v>
      </c>
      <c r="F57" s="18" t="s">
        <v>154</v>
      </c>
      <c r="G57" s="17" t="s">
        <v>154</v>
      </c>
      <c r="H57" s="18" t="s">
        <v>154</v>
      </c>
      <c r="I57" s="17" t="s">
        <v>154</v>
      </c>
      <c r="J57" s="18" t="s">
        <v>154</v>
      </c>
      <c r="K57" s="17" t="s">
        <v>154</v>
      </c>
      <c r="L57" s="18" t="s">
        <v>154</v>
      </c>
      <c r="M57" s="17" t="s">
        <v>154</v>
      </c>
      <c r="N57" s="18" t="s">
        <v>154</v>
      </c>
      <c r="O57" s="17" t="s">
        <v>154</v>
      </c>
      <c r="P57" s="18" t="s">
        <v>154</v>
      </c>
      <c r="Q57" s="17" t="s">
        <v>154</v>
      </c>
      <c r="R57" s="18" t="s">
        <v>154</v>
      </c>
    </row>
    <row r="58" spans="1:18" x14ac:dyDescent="0.25">
      <c r="A58" s="11" t="s">
        <v>191</v>
      </c>
      <c r="B58" s="17" t="s">
        <v>154</v>
      </c>
      <c r="C58" s="17" t="s">
        <v>154</v>
      </c>
      <c r="D58" s="18" t="s">
        <v>154</v>
      </c>
      <c r="E58" s="17" t="s">
        <v>154</v>
      </c>
      <c r="F58" s="18" t="s">
        <v>154</v>
      </c>
      <c r="G58" s="17" t="s">
        <v>154</v>
      </c>
      <c r="H58" s="18" t="s">
        <v>154</v>
      </c>
      <c r="I58" s="17" t="s">
        <v>154</v>
      </c>
      <c r="J58" s="18" t="s">
        <v>154</v>
      </c>
      <c r="K58" s="17" t="s">
        <v>154</v>
      </c>
      <c r="L58" s="18" t="s">
        <v>154</v>
      </c>
      <c r="M58" s="17" t="s">
        <v>154</v>
      </c>
      <c r="N58" s="18" t="s">
        <v>154</v>
      </c>
      <c r="O58" s="17" t="s">
        <v>154</v>
      </c>
      <c r="P58" s="18" t="s">
        <v>154</v>
      </c>
      <c r="Q58" s="17" t="s">
        <v>154</v>
      </c>
      <c r="R58" s="18" t="s">
        <v>154</v>
      </c>
    </row>
    <row r="59" spans="1:18" x14ac:dyDescent="0.25">
      <c r="A59" s="11" t="s">
        <v>192</v>
      </c>
      <c r="B59" s="17" t="s">
        <v>154</v>
      </c>
      <c r="C59" s="17" t="s">
        <v>154</v>
      </c>
      <c r="D59" s="18" t="s">
        <v>154</v>
      </c>
      <c r="E59" s="17" t="s">
        <v>154</v>
      </c>
      <c r="F59" s="18" t="s">
        <v>154</v>
      </c>
      <c r="G59" s="17" t="s">
        <v>154</v>
      </c>
      <c r="H59" s="18" t="s">
        <v>154</v>
      </c>
      <c r="I59" s="17" t="s">
        <v>154</v>
      </c>
      <c r="J59" s="18" t="s">
        <v>154</v>
      </c>
      <c r="K59" s="17" t="s">
        <v>154</v>
      </c>
      <c r="L59" s="18" t="s">
        <v>154</v>
      </c>
      <c r="M59" s="17" t="s">
        <v>154</v>
      </c>
      <c r="N59" s="18" t="s">
        <v>154</v>
      </c>
      <c r="O59" s="17" t="s">
        <v>154</v>
      </c>
      <c r="P59" s="18" t="s">
        <v>154</v>
      </c>
      <c r="Q59" s="17" t="s">
        <v>154</v>
      </c>
      <c r="R59" s="18" t="s">
        <v>154</v>
      </c>
    </row>
    <row r="60" spans="1:18" x14ac:dyDescent="0.25">
      <c r="A60" s="11" t="s">
        <v>193</v>
      </c>
      <c r="B60" s="17" t="s">
        <v>154</v>
      </c>
      <c r="C60" s="17" t="s">
        <v>154</v>
      </c>
      <c r="D60" s="18" t="s">
        <v>154</v>
      </c>
      <c r="E60" s="17" t="s">
        <v>154</v>
      </c>
      <c r="F60" s="18" t="s">
        <v>154</v>
      </c>
      <c r="G60" s="17" t="s">
        <v>154</v>
      </c>
      <c r="H60" s="18" t="s">
        <v>154</v>
      </c>
      <c r="I60" s="17" t="s">
        <v>154</v>
      </c>
      <c r="J60" s="18" t="s">
        <v>154</v>
      </c>
      <c r="K60" s="17" t="s">
        <v>154</v>
      </c>
      <c r="L60" s="18" t="s">
        <v>154</v>
      </c>
      <c r="M60" s="17" t="s">
        <v>154</v>
      </c>
      <c r="N60" s="18" t="s">
        <v>154</v>
      </c>
      <c r="O60" s="17" t="s">
        <v>154</v>
      </c>
      <c r="P60" s="18" t="s">
        <v>154</v>
      </c>
      <c r="Q60" s="17" t="s">
        <v>154</v>
      </c>
      <c r="R60" s="18" t="s">
        <v>154</v>
      </c>
    </row>
    <row r="61" spans="1:18" x14ac:dyDescent="0.25">
      <c r="A61" s="11" t="s">
        <v>194</v>
      </c>
      <c r="B61" s="13">
        <v>6525</v>
      </c>
      <c r="C61" s="14">
        <f>(5419/B61*100)</f>
        <v>83.049808429118769</v>
      </c>
      <c r="D61" s="15">
        <v>1106</v>
      </c>
      <c r="E61" s="14">
        <v>74.271127419999999</v>
      </c>
      <c r="F61" s="16">
        <v>1.5222310800000001</v>
      </c>
      <c r="G61" s="14">
        <v>25.728872580000001</v>
      </c>
      <c r="H61" s="16">
        <v>1.5222310800000001</v>
      </c>
      <c r="I61" s="14" t="s">
        <v>139</v>
      </c>
      <c r="J61" s="16" t="s">
        <v>139</v>
      </c>
      <c r="K61" s="14">
        <v>0</v>
      </c>
      <c r="L61" s="16">
        <v>0</v>
      </c>
      <c r="M61" s="14">
        <v>0</v>
      </c>
      <c r="N61" s="16">
        <v>0</v>
      </c>
      <c r="O61" s="14">
        <v>0</v>
      </c>
      <c r="P61" s="16">
        <v>0</v>
      </c>
      <c r="Q61" s="14">
        <v>0</v>
      </c>
      <c r="R61" s="16">
        <v>0</v>
      </c>
    </row>
    <row r="62" spans="1:18" x14ac:dyDescent="0.25">
      <c r="A62" s="11" t="s">
        <v>195</v>
      </c>
      <c r="B62" s="13">
        <v>4476</v>
      </c>
      <c r="C62" s="14">
        <f>(3700/B62*100)</f>
        <v>82.663092046470069</v>
      </c>
      <c r="D62" s="15">
        <v>776</v>
      </c>
      <c r="E62" s="14">
        <v>11.87825906</v>
      </c>
      <c r="F62" s="16">
        <v>1.2298592699999999</v>
      </c>
      <c r="G62" s="14">
        <v>5.2830778599999997</v>
      </c>
      <c r="H62" s="16">
        <v>0.91058349999999999</v>
      </c>
      <c r="I62" s="14" t="s">
        <v>139</v>
      </c>
      <c r="J62" s="16" t="s">
        <v>139</v>
      </c>
      <c r="K62" s="14">
        <v>0</v>
      </c>
      <c r="L62" s="16">
        <v>0</v>
      </c>
      <c r="M62" s="14">
        <v>82.838663080000003</v>
      </c>
      <c r="N62" s="16">
        <v>1.5090203600000001</v>
      </c>
      <c r="O62" s="14">
        <v>0</v>
      </c>
      <c r="P62" s="16">
        <v>0</v>
      </c>
      <c r="Q62" s="14">
        <v>0</v>
      </c>
      <c r="R62" s="16">
        <v>0</v>
      </c>
    </row>
    <row r="63" spans="1:18" x14ac:dyDescent="0.25">
      <c r="A63" s="11" t="s">
        <v>196</v>
      </c>
      <c r="B63" s="17" t="s">
        <v>154</v>
      </c>
      <c r="C63" s="17" t="s">
        <v>154</v>
      </c>
      <c r="D63" s="18" t="s">
        <v>154</v>
      </c>
      <c r="E63" s="17" t="s">
        <v>154</v>
      </c>
      <c r="F63" s="18" t="s">
        <v>154</v>
      </c>
      <c r="G63" s="17" t="s">
        <v>154</v>
      </c>
      <c r="H63" s="18" t="s">
        <v>154</v>
      </c>
      <c r="I63" s="17" t="s">
        <v>154</v>
      </c>
      <c r="J63" s="18" t="s">
        <v>154</v>
      </c>
      <c r="K63" s="17" t="s">
        <v>154</v>
      </c>
      <c r="L63" s="18" t="s">
        <v>154</v>
      </c>
      <c r="M63" s="17" t="s">
        <v>154</v>
      </c>
      <c r="N63" s="18" t="s">
        <v>154</v>
      </c>
      <c r="O63" s="17" t="s">
        <v>154</v>
      </c>
      <c r="P63" s="18" t="s">
        <v>154</v>
      </c>
      <c r="Q63" s="17" t="s">
        <v>154</v>
      </c>
      <c r="R63" s="18" t="s">
        <v>154</v>
      </c>
    </row>
    <row r="64" spans="1:18" x14ac:dyDescent="0.25">
      <c r="A64" s="11" t="s">
        <v>197</v>
      </c>
      <c r="B64" s="17" t="s">
        <v>154</v>
      </c>
      <c r="C64" s="17" t="s">
        <v>154</v>
      </c>
      <c r="D64" s="18" t="s">
        <v>154</v>
      </c>
      <c r="E64" s="17" t="s">
        <v>154</v>
      </c>
      <c r="F64" s="18" t="s">
        <v>154</v>
      </c>
      <c r="G64" s="17" t="s">
        <v>154</v>
      </c>
      <c r="H64" s="18" t="s">
        <v>154</v>
      </c>
      <c r="I64" s="17" t="s">
        <v>154</v>
      </c>
      <c r="J64" s="18" t="s">
        <v>154</v>
      </c>
      <c r="K64" s="17" t="s">
        <v>154</v>
      </c>
      <c r="L64" s="18" t="s">
        <v>154</v>
      </c>
      <c r="M64" s="17" t="s">
        <v>154</v>
      </c>
      <c r="N64" s="18" t="s">
        <v>154</v>
      </c>
      <c r="O64" s="17" t="s">
        <v>154</v>
      </c>
      <c r="P64" s="18" t="s">
        <v>154</v>
      </c>
      <c r="Q64" s="17" t="s">
        <v>154</v>
      </c>
      <c r="R64" s="18" t="s">
        <v>154</v>
      </c>
    </row>
    <row r="65" spans="1:18" x14ac:dyDescent="0.25">
      <c r="A65" s="11" t="s">
        <v>198</v>
      </c>
      <c r="B65" s="17" t="s">
        <v>154</v>
      </c>
      <c r="C65" s="17" t="s">
        <v>154</v>
      </c>
      <c r="D65" s="18" t="s">
        <v>154</v>
      </c>
      <c r="E65" s="17" t="s">
        <v>154</v>
      </c>
      <c r="F65" s="18" t="s">
        <v>154</v>
      </c>
      <c r="G65" s="17" t="s">
        <v>154</v>
      </c>
      <c r="H65" s="18" t="s">
        <v>154</v>
      </c>
      <c r="I65" s="17" t="s">
        <v>154</v>
      </c>
      <c r="J65" s="18" t="s">
        <v>154</v>
      </c>
      <c r="K65" s="17" t="s">
        <v>154</v>
      </c>
      <c r="L65" s="18" t="s">
        <v>154</v>
      </c>
      <c r="M65" s="17" t="s">
        <v>154</v>
      </c>
      <c r="N65" s="18" t="s">
        <v>154</v>
      </c>
      <c r="O65" s="17" t="s">
        <v>154</v>
      </c>
      <c r="P65" s="18" t="s">
        <v>154</v>
      </c>
      <c r="Q65" s="17" t="s">
        <v>154</v>
      </c>
      <c r="R65" s="18" t="s">
        <v>154</v>
      </c>
    </row>
    <row r="66" spans="1:18" x14ac:dyDescent="0.25">
      <c r="A66" s="11" t="s">
        <v>199</v>
      </c>
      <c r="B66" s="13">
        <v>5665</v>
      </c>
      <c r="C66" s="14">
        <f>(4714/B66*100)</f>
        <v>83.212709620476616</v>
      </c>
      <c r="D66" s="15">
        <v>951</v>
      </c>
      <c r="E66" s="14">
        <v>68.507068880000006</v>
      </c>
      <c r="F66" s="16">
        <v>1.34293153</v>
      </c>
      <c r="G66" s="14">
        <v>31.492931120000001</v>
      </c>
      <c r="H66" s="16">
        <v>1.34293153</v>
      </c>
      <c r="I66" s="14" t="s">
        <v>139</v>
      </c>
      <c r="J66" s="16" t="s">
        <v>139</v>
      </c>
      <c r="K66" s="14">
        <v>0</v>
      </c>
      <c r="L66" s="16">
        <v>0</v>
      </c>
      <c r="M66" s="14">
        <v>0</v>
      </c>
      <c r="N66" s="16">
        <v>0</v>
      </c>
      <c r="O66" s="14">
        <v>0</v>
      </c>
      <c r="P66" s="16">
        <v>0</v>
      </c>
      <c r="Q66" s="14">
        <v>0</v>
      </c>
      <c r="R66" s="16">
        <v>0</v>
      </c>
    </row>
    <row r="67" spans="1:18" x14ac:dyDescent="0.25">
      <c r="A67" s="11" t="s">
        <v>200</v>
      </c>
      <c r="B67" s="13">
        <v>6971</v>
      </c>
      <c r="C67" s="14">
        <f>(5864/B67*100)</f>
        <v>84.119925405250314</v>
      </c>
      <c r="D67" s="15">
        <v>1107</v>
      </c>
      <c r="E67" s="14">
        <v>68.04945678</v>
      </c>
      <c r="F67" s="16">
        <v>1.6152194200000001</v>
      </c>
      <c r="G67" s="14">
        <v>31.95054322</v>
      </c>
      <c r="H67" s="16">
        <v>1.6152194200000001</v>
      </c>
      <c r="I67" s="14" t="s">
        <v>139</v>
      </c>
      <c r="J67" s="16" t="s">
        <v>139</v>
      </c>
      <c r="K67" s="14">
        <v>0</v>
      </c>
      <c r="L67" s="16">
        <v>0</v>
      </c>
      <c r="M67" s="14">
        <v>0</v>
      </c>
      <c r="N67" s="16">
        <v>0</v>
      </c>
      <c r="O67" s="14">
        <v>0</v>
      </c>
      <c r="P67" s="16">
        <v>0</v>
      </c>
      <c r="Q67" s="14">
        <v>0</v>
      </c>
      <c r="R67" s="16">
        <v>0</v>
      </c>
    </row>
    <row r="68" spans="1:18" x14ac:dyDescent="0.25">
      <c r="A68" s="11" t="s">
        <v>201</v>
      </c>
      <c r="B68" s="17" t="s">
        <v>154</v>
      </c>
      <c r="C68" s="17" t="s">
        <v>154</v>
      </c>
      <c r="D68" s="18" t="s">
        <v>154</v>
      </c>
      <c r="E68" s="17" t="s">
        <v>154</v>
      </c>
      <c r="F68" s="18" t="s">
        <v>154</v>
      </c>
      <c r="G68" s="17" t="s">
        <v>154</v>
      </c>
      <c r="H68" s="18" t="s">
        <v>154</v>
      </c>
      <c r="I68" s="17" t="s">
        <v>154</v>
      </c>
      <c r="J68" s="18" t="s">
        <v>154</v>
      </c>
      <c r="K68" s="17" t="s">
        <v>154</v>
      </c>
      <c r="L68" s="18" t="s">
        <v>154</v>
      </c>
      <c r="M68" s="17" t="s">
        <v>154</v>
      </c>
      <c r="N68" s="18" t="s">
        <v>154</v>
      </c>
      <c r="O68" s="17" t="s">
        <v>154</v>
      </c>
      <c r="P68" s="18" t="s">
        <v>154</v>
      </c>
      <c r="Q68" s="17" t="s">
        <v>154</v>
      </c>
      <c r="R68" s="18" t="s">
        <v>154</v>
      </c>
    </row>
    <row r="69" spans="1:18" x14ac:dyDescent="0.25">
      <c r="A69" s="11" t="s">
        <v>202</v>
      </c>
      <c r="B69" s="17" t="s">
        <v>154</v>
      </c>
      <c r="C69" s="17" t="s">
        <v>154</v>
      </c>
      <c r="D69" s="18" t="s">
        <v>154</v>
      </c>
      <c r="E69" s="17" t="s">
        <v>154</v>
      </c>
      <c r="F69" s="18" t="s">
        <v>154</v>
      </c>
      <c r="G69" s="17" t="s">
        <v>154</v>
      </c>
      <c r="H69" s="18" t="s">
        <v>154</v>
      </c>
      <c r="I69" s="17" t="s">
        <v>154</v>
      </c>
      <c r="J69" s="18" t="s">
        <v>154</v>
      </c>
      <c r="K69" s="17" t="s">
        <v>154</v>
      </c>
      <c r="L69" s="18" t="s">
        <v>154</v>
      </c>
      <c r="M69" s="17" t="s">
        <v>154</v>
      </c>
      <c r="N69" s="18" t="s">
        <v>154</v>
      </c>
      <c r="O69" s="17" t="s">
        <v>154</v>
      </c>
      <c r="P69" s="18" t="s">
        <v>154</v>
      </c>
      <c r="Q69" s="17" t="s">
        <v>154</v>
      </c>
      <c r="R69" s="18" t="s">
        <v>154</v>
      </c>
    </row>
    <row r="70" spans="1:18" x14ac:dyDescent="0.25">
      <c r="A70" s="11" t="s">
        <v>203</v>
      </c>
      <c r="B70" s="13">
        <v>6036</v>
      </c>
      <c r="C70" s="14">
        <f>(4995/B70*100)</f>
        <v>82.753479125248504</v>
      </c>
      <c r="D70" s="15">
        <v>1041</v>
      </c>
      <c r="E70" s="14">
        <v>76.882437909999993</v>
      </c>
      <c r="F70" s="16">
        <v>1.2199735300000001</v>
      </c>
      <c r="G70" s="14">
        <v>23.11756209</v>
      </c>
      <c r="H70" s="16">
        <v>1.2199735300000001</v>
      </c>
      <c r="I70" s="14" t="s">
        <v>139</v>
      </c>
      <c r="J70" s="16" t="s">
        <v>139</v>
      </c>
      <c r="K70" s="14">
        <v>0</v>
      </c>
      <c r="L70" s="16">
        <v>0</v>
      </c>
      <c r="M70" s="14">
        <v>0</v>
      </c>
      <c r="N70" s="16">
        <v>0</v>
      </c>
      <c r="O70" s="14">
        <v>0</v>
      </c>
      <c r="P70" s="16">
        <v>0</v>
      </c>
      <c r="Q70" s="14">
        <v>0</v>
      </c>
      <c r="R70" s="16">
        <v>0</v>
      </c>
    </row>
    <row r="71" spans="1:18" x14ac:dyDescent="0.25">
      <c r="A71" s="11" t="s">
        <v>204</v>
      </c>
      <c r="B71" s="17" t="s">
        <v>154</v>
      </c>
      <c r="C71" s="17" t="s">
        <v>154</v>
      </c>
      <c r="D71" s="18" t="s">
        <v>154</v>
      </c>
      <c r="E71" s="17" t="s">
        <v>154</v>
      </c>
      <c r="F71" s="18" t="s">
        <v>154</v>
      </c>
      <c r="G71" s="17" t="s">
        <v>154</v>
      </c>
      <c r="H71" s="18" t="s">
        <v>154</v>
      </c>
      <c r="I71" s="17" t="s">
        <v>154</v>
      </c>
      <c r="J71" s="18" t="s">
        <v>154</v>
      </c>
      <c r="K71" s="17" t="s">
        <v>154</v>
      </c>
      <c r="L71" s="18" t="s">
        <v>154</v>
      </c>
      <c r="M71" s="17" t="s">
        <v>154</v>
      </c>
      <c r="N71" s="18" t="s">
        <v>154</v>
      </c>
      <c r="O71" s="17" t="s">
        <v>154</v>
      </c>
      <c r="P71" s="18" t="s">
        <v>154</v>
      </c>
      <c r="Q71" s="17" t="s">
        <v>154</v>
      </c>
      <c r="R71" s="18" t="s">
        <v>154</v>
      </c>
    </row>
    <row r="72" spans="1:18" x14ac:dyDescent="0.25">
      <c r="A72" s="11" t="s">
        <v>205</v>
      </c>
      <c r="B72" s="13">
        <v>7708</v>
      </c>
      <c r="C72" s="14">
        <f>(6365/B72*100)</f>
        <v>82.576543850544894</v>
      </c>
      <c r="D72" s="15">
        <v>1343</v>
      </c>
      <c r="E72" s="14">
        <v>79.930101690000001</v>
      </c>
      <c r="F72" s="16">
        <v>1.14511908</v>
      </c>
      <c r="G72" s="14">
        <v>20.069898309999999</v>
      </c>
      <c r="H72" s="16">
        <v>1.14511908</v>
      </c>
      <c r="I72" s="14" t="s">
        <v>139</v>
      </c>
      <c r="J72" s="16" t="s">
        <v>139</v>
      </c>
      <c r="K72" s="14">
        <v>0</v>
      </c>
      <c r="L72" s="16">
        <v>0</v>
      </c>
      <c r="M72" s="14">
        <v>0</v>
      </c>
      <c r="N72" s="16">
        <v>0</v>
      </c>
      <c r="O72" s="14">
        <v>0</v>
      </c>
      <c r="P72" s="16">
        <v>0</v>
      </c>
      <c r="Q72" s="14">
        <v>0</v>
      </c>
      <c r="R72" s="16">
        <v>0</v>
      </c>
    </row>
    <row r="73" spans="1:18" x14ac:dyDescent="0.25">
      <c r="A73" s="11" t="s">
        <v>206</v>
      </c>
      <c r="B73" s="13">
        <v>8249</v>
      </c>
      <c r="C73" s="14">
        <f>(6856/B73*100)</f>
        <v>83.113104618741659</v>
      </c>
      <c r="D73" s="15">
        <v>1393</v>
      </c>
      <c r="E73" s="14">
        <v>77.263486349999994</v>
      </c>
      <c r="F73" s="16">
        <v>1.28350546</v>
      </c>
      <c r="G73" s="14">
        <v>22.736513649999999</v>
      </c>
      <c r="H73" s="16">
        <v>1.28350546</v>
      </c>
      <c r="I73" s="14" t="s">
        <v>139</v>
      </c>
      <c r="J73" s="16" t="s">
        <v>139</v>
      </c>
      <c r="K73" s="14">
        <v>0</v>
      </c>
      <c r="L73" s="16">
        <v>0</v>
      </c>
      <c r="M73" s="14">
        <v>0</v>
      </c>
      <c r="N73" s="16">
        <v>0</v>
      </c>
      <c r="O73" s="14">
        <v>0</v>
      </c>
      <c r="P73" s="16">
        <v>0</v>
      </c>
      <c r="Q73" s="14">
        <v>0</v>
      </c>
      <c r="R73" s="16">
        <v>0</v>
      </c>
    </row>
    <row r="74" spans="1:18" x14ac:dyDescent="0.25">
      <c r="A74" s="11" t="s">
        <v>207</v>
      </c>
      <c r="B74" s="17" t="s">
        <v>154</v>
      </c>
      <c r="C74" s="17" t="s">
        <v>154</v>
      </c>
      <c r="D74" s="18" t="s">
        <v>154</v>
      </c>
      <c r="E74" s="17" t="s">
        <v>154</v>
      </c>
      <c r="F74" s="18" t="s">
        <v>154</v>
      </c>
      <c r="G74" s="17" t="s">
        <v>154</v>
      </c>
      <c r="H74" s="18" t="s">
        <v>154</v>
      </c>
      <c r="I74" s="17" t="s">
        <v>154</v>
      </c>
      <c r="J74" s="18" t="s">
        <v>154</v>
      </c>
      <c r="K74" s="17" t="s">
        <v>154</v>
      </c>
      <c r="L74" s="18" t="s">
        <v>154</v>
      </c>
      <c r="M74" s="17" t="s">
        <v>154</v>
      </c>
      <c r="N74" s="18" t="s">
        <v>154</v>
      </c>
      <c r="O74" s="17" t="s">
        <v>154</v>
      </c>
      <c r="P74" s="18" t="s">
        <v>154</v>
      </c>
      <c r="Q74" s="17" t="s">
        <v>154</v>
      </c>
      <c r="R74" s="18" t="s">
        <v>154</v>
      </c>
    </row>
    <row r="75" spans="1:18" x14ac:dyDescent="0.25">
      <c r="A75" s="11" t="s">
        <v>208</v>
      </c>
      <c r="B75" s="13">
        <v>5375</v>
      </c>
      <c r="C75" s="14">
        <f>(4528/B75*100)</f>
        <v>84.241860465116275</v>
      </c>
      <c r="D75" s="15">
        <v>847</v>
      </c>
      <c r="E75" s="14">
        <v>82.144140870000001</v>
      </c>
      <c r="F75" s="16">
        <v>1.3583683200000001</v>
      </c>
      <c r="G75" s="14">
        <v>17.855859129999999</v>
      </c>
      <c r="H75" s="16">
        <v>1.3583683200000001</v>
      </c>
      <c r="I75" s="14" t="s">
        <v>139</v>
      </c>
      <c r="J75" s="16" t="s">
        <v>139</v>
      </c>
      <c r="K75" s="14">
        <v>0</v>
      </c>
      <c r="L75" s="16">
        <v>0</v>
      </c>
      <c r="M75" s="14">
        <v>0</v>
      </c>
      <c r="N75" s="16">
        <v>0</v>
      </c>
      <c r="O75" s="14">
        <v>0</v>
      </c>
      <c r="P75" s="16">
        <v>0</v>
      </c>
      <c r="Q75" s="14">
        <v>0</v>
      </c>
      <c r="R75" s="16">
        <v>0</v>
      </c>
    </row>
    <row r="76" spans="1:18" x14ac:dyDescent="0.25">
      <c r="A76" s="11" t="s">
        <v>209</v>
      </c>
      <c r="B76" s="13">
        <v>14167</v>
      </c>
      <c r="C76" s="14">
        <f>(11764/B76*100)</f>
        <v>83.038046163619683</v>
      </c>
      <c r="D76" s="15">
        <v>2403</v>
      </c>
      <c r="E76" s="14">
        <v>68.609267900000006</v>
      </c>
      <c r="F76" s="16">
        <v>1.0932532800000001</v>
      </c>
      <c r="G76" s="14">
        <v>31.390732100000001</v>
      </c>
      <c r="H76" s="16">
        <v>1.0932532800000001</v>
      </c>
      <c r="I76" s="14" t="s">
        <v>139</v>
      </c>
      <c r="J76" s="16" t="s">
        <v>139</v>
      </c>
      <c r="K76" s="14">
        <v>0</v>
      </c>
      <c r="L76" s="16">
        <v>0</v>
      </c>
      <c r="M76" s="14">
        <v>0</v>
      </c>
      <c r="N76" s="16">
        <v>0</v>
      </c>
      <c r="O76" s="14">
        <v>0</v>
      </c>
      <c r="P76" s="16">
        <v>0</v>
      </c>
      <c r="Q76" s="14">
        <v>0</v>
      </c>
      <c r="R76" s="16">
        <v>0</v>
      </c>
    </row>
    <row r="77" spans="1:18" x14ac:dyDescent="0.25">
      <c r="A77" s="11" t="s">
        <v>210</v>
      </c>
      <c r="B77" s="13">
        <v>6062</v>
      </c>
      <c r="C77" s="14">
        <f>(5046/B77*100)</f>
        <v>83.239854833388321</v>
      </c>
      <c r="D77" s="15">
        <v>1016</v>
      </c>
      <c r="E77" s="14">
        <v>57.931328700000002</v>
      </c>
      <c r="F77" s="16">
        <v>1.4224719699999999</v>
      </c>
      <c r="G77" s="14">
        <v>42.068671299999998</v>
      </c>
      <c r="H77" s="16">
        <v>1.4224719699999999</v>
      </c>
      <c r="I77" s="14" t="s">
        <v>139</v>
      </c>
      <c r="J77" s="16" t="s">
        <v>139</v>
      </c>
      <c r="K77" s="14">
        <v>0</v>
      </c>
      <c r="L77" s="16">
        <v>0</v>
      </c>
      <c r="M77" s="14">
        <v>0</v>
      </c>
      <c r="N77" s="16">
        <v>0</v>
      </c>
      <c r="O77" s="14">
        <v>0</v>
      </c>
      <c r="P77" s="16">
        <v>0</v>
      </c>
      <c r="Q77" s="14">
        <v>0</v>
      </c>
      <c r="R77" s="16">
        <v>0</v>
      </c>
    </row>
    <row r="78" spans="1:18" x14ac:dyDescent="0.25">
      <c r="A78" s="11" t="s">
        <v>211</v>
      </c>
      <c r="B78" s="17" t="s">
        <v>154</v>
      </c>
      <c r="C78" s="17" t="s">
        <v>154</v>
      </c>
      <c r="D78" s="18" t="s">
        <v>154</v>
      </c>
      <c r="E78" s="17" t="s">
        <v>154</v>
      </c>
      <c r="F78" s="18" t="s">
        <v>154</v>
      </c>
      <c r="G78" s="17" t="s">
        <v>154</v>
      </c>
      <c r="H78" s="18" t="s">
        <v>154</v>
      </c>
      <c r="I78" s="17" t="s">
        <v>154</v>
      </c>
      <c r="J78" s="18" t="s">
        <v>154</v>
      </c>
      <c r="K78" s="17" t="s">
        <v>154</v>
      </c>
      <c r="L78" s="18" t="s">
        <v>154</v>
      </c>
      <c r="M78" s="17" t="s">
        <v>154</v>
      </c>
      <c r="N78" s="18" t="s">
        <v>154</v>
      </c>
      <c r="O78" s="17" t="s">
        <v>154</v>
      </c>
      <c r="P78" s="18" t="s">
        <v>154</v>
      </c>
      <c r="Q78" s="17" t="s">
        <v>154</v>
      </c>
      <c r="R78" s="18" t="s">
        <v>154</v>
      </c>
    </row>
    <row r="79" spans="1:18" ht="24.95" customHeight="1" x14ac:dyDescent="0.25">
      <c r="A79" s="11" t="s">
        <v>212</v>
      </c>
      <c r="B79" s="17" t="s">
        <v>154</v>
      </c>
      <c r="C79" s="17" t="s">
        <v>154</v>
      </c>
      <c r="D79" s="18" t="s">
        <v>154</v>
      </c>
      <c r="E79" s="17" t="s">
        <v>154</v>
      </c>
      <c r="F79" s="18" t="s">
        <v>154</v>
      </c>
      <c r="G79" s="17" t="s">
        <v>154</v>
      </c>
      <c r="H79" s="18" t="s">
        <v>154</v>
      </c>
      <c r="I79" s="17" t="s">
        <v>154</v>
      </c>
      <c r="J79" s="18" t="s">
        <v>154</v>
      </c>
      <c r="K79" s="17" t="s">
        <v>154</v>
      </c>
      <c r="L79" s="18" t="s">
        <v>154</v>
      </c>
      <c r="M79" s="17" t="s">
        <v>154</v>
      </c>
      <c r="N79" s="18" t="s">
        <v>154</v>
      </c>
      <c r="O79" s="17" t="s">
        <v>154</v>
      </c>
      <c r="P79" s="18" t="s">
        <v>154</v>
      </c>
      <c r="Q79" s="17" t="s">
        <v>154</v>
      </c>
      <c r="R79" s="18" t="s">
        <v>154</v>
      </c>
    </row>
    <row r="80" spans="1:18" x14ac:dyDescent="0.25">
      <c r="A80" s="11" t="s">
        <v>213</v>
      </c>
      <c r="B80" s="17" t="s">
        <v>154</v>
      </c>
      <c r="C80" s="17" t="s">
        <v>154</v>
      </c>
      <c r="D80" s="18" t="s">
        <v>154</v>
      </c>
      <c r="E80" s="17" t="s">
        <v>154</v>
      </c>
      <c r="F80" s="18" t="s">
        <v>154</v>
      </c>
      <c r="G80" s="17" t="s">
        <v>154</v>
      </c>
      <c r="H80" s="18" t="s">
        <v>154</v>
      </c>
      <c r="I80" s="17" t="s">
        <v>154</v>
      </c>
      <c r="J80" s="18" t="s">
        <v>154</v>
      </c>
      <c r="K80" s="17" t="s">
        <v>154</v>
      </c>
      <c r="L80" s="18" t="s">
        <v>154</v>
      </c>
      <c r="M80" s="17" t="s">
        <v>154</v>
      </c>
      <c r="N80" s="18" t="s">
        <v>154</v>
      </c>
      <c r="O80" s="17" t="s">
        <v>154</v>
      </c>
      <c r="P80" s="18" t="s">
        <v>154</v>
      </c>
      <c r="Q80" s="17" t="s">
        <v>154</v>
      </c>
      <c r="R80" s="18" t="s">
        <v>154</v>
      </c>
    </row>
    <row r="81" spans="1:18" x14ac:dyDescent="0.25">
      <c r="A81" s="19" t="s">
        <v>214</v>
      </c>
      <c r="B81" s="13">
        <v>8861</v>
      </c>
      <c r="C81" s="14">
        <f>(7342/B81*100)</f>
        <v>82.85746529737051</v>
      </c>
      <c r="D81" s="15">
        <v>1519</v>
      </c>
      <c r="E81" s="14">
        <v>66.022429279999997</v>
      </c>
      <c r="F81" s="16">
        <v>1.4009504100000001</v>
      </c>
      <c r="G81" s="14">
        <v>33.977570720000003</v>
      </c>
      <c r="H81" s="16">
        <v>1.4009504100000001</v>
      </c>
      <c r="I81" s="14" t="s">
        <v>139</v>
      </c>
      <c r="J81" s="16" t="s">
        <v>139</v>
      </c>
      <c r="K81" s="14">
        <v>0</v>
      </c>
      <c r="L81" s="16">
        <v>0</v>
      </c>
      <c r="M81" s="14">
        <v>0</v>
      </c>
      <c r="N81" s="16">
        <v>0</v>
      </c>
      <c r="O81" s="14">
        <v>0</v>
      </c>
      <c r="P81" s="16">
        <v>0</v>
      </c>
      <c r="Q81" s="14">
        <v>0</v>
      </c>
      <c r="R81" s="16">
        <v>0</v>
      </c>
    </row>
    <row r="82" spans="1:18" x14ac:dyDescent="0.25">
      <c r="A82" s="20"/>
      <c r="B82" s="20" t="s">
        <v>215</v>
      </c>
      <c r="C82" s="20" t="s">
        <v>215</v>
      </c>
      <c r="D82" s="20" t="s">
        <v>215</v>
      </c>
      <c r="E82" s="20" t="s">
        <v>215</v>
      </c>
      <c r="F82" s="20" t="s">
        <v>215</v>
      </c>
      <c r="G82" s="20" t="s">
        <v>215</v>
      </c>
      <c r="H82" s="20" t="s">
        <v>215</v>
      </c>
      <c r="I82" s="20" t="s">
        <v>215</v>
      </c>
      <c r="J82" s="20" t="s">
        <v>215</v>
      </c>
      <c r="K82" s="20" t="s">
        <v>215</v>
      </c>
      <c r="L82" s="20" t="s">
        <v>215</v>
      </c>
      <c r="M82" s="20" t="s">
        <v>215</v>
      </c>
      <c r="N82" s="20" t="s">
        <v>215</v>
      </c>
      <c r="O82" s="20" t="s">
        <v>215</v>
      </c>
      <c r="P82" s="20" t="s">
        <v>215</v>
      </c>
      <c r="Q82" s="20" t="s">
        <v>215</v>
      </c>
      <c r="R82" s="20" t="s">
        <v>215</v>
      </c>
    </row>
    <row r="83" spans="1:18" x14ac:dyDescent="0.25">
      <c r="A83" s="3" t="s">
        <v>216</v>
      </c>
    </row>
    <row r="84" spans="1:18" x14ac:dyDescent="0.25">
      <c r="A84" s="22" t="s">
        <v>217</v>
      </c>
      <c r="B84" s="23"/>
      <c r="C84" s="23"/>
      <c r="D84" s="23"/>
      <c r="E84" s="23"/>
      <c r="F84" s="23"/>
      <c r="G84" s="23"/>
      <c r="H84" s="23"/>
      <c r="I84" s="23"/>
      <c r="J84" s="23"/>
      <c r="K84" s="23"/>
      <c r="L84" s="23"/>
      <c r="M84" s="23"/>
      <c r="N84" s="23"/>
      <c r="O84" s="23"/>
      <c r="P84" s="23"/>
      <c r="Q84" s="23"/>
      <c r="R84" s="23"/>
    </row>
    <row r="85" spans="1:18" x14ac:dyDescent="0.25">
      <c r="A85" s="22" t="s">
        <v>218</v>
      </c>
      <c r="B85" s="23"/>
      <c r="C85" s="23"/>
      <c r="D85" s="23"/>
      <c r="E85" s="23"/>
      <c r="F85" s="23"/>
      <c r="G85" s="23"/>
      <c r="H85" s="23"/>
      <c r="I85" s="23"/>
      <c r="J85" s="23"/>
      <c r="K85" s="23"/>
      <c r="L85" s="23"/>
      <c r="M85" s="23"/>
      <c r="N85" s="23"/>
      <c r="O85" s="23"/>
      <c r="P85" s="23"/>
      <c r="Q85" s="23"/>
      <c r="R85" s="23"/>
    </row>
    <row r="86" spans="1:18" ht="30" customHeight="1" x14ac:dyDescent="0.25">
      <c r="A86" s="22" t="s">
        <v>219</v>
      </c>
      <c r="B86" s="23"/>
      <c r="C86" s="23"/>
      <c r="D86" s="23"/>
      <c r="E86" s="23"/>
      <c r="F86" s="23"/>
      <c r="G86" s="23"/>
      <c r="H86" s="23"/>
      <c r="I86" s="23"/>
      <c r="J86" s="23"/>
      <c r="K86" s="23"/>
      <c r="L86" s="23"/>
      <c r="M86" s="23"/>
      <c r="N86" s="23"/>
      <c r="O86" s="23"/>
      <c r="P86" s="23"/>
      <c r="Q86" s="23"/>
      <c r="R86" s="23"/>
    </row>
    <row r="87" spans="1:18" ht="30" customHeight="1" x14ac:dyDescent="0.25">
      <c r="A87" s="22" t="s">
        <v>215</v>
      </c>
      <c r="B87" s="23"/>
      <c r="C87" s="23"/>
      <c r="D87" s="23"/>
      <c r="E87" s="23"/>
      <c r="F87" s="23"/>
      <c r="G87" s="23"/>
      <c r="H87" s="23"/>
      <c r="I87" s="23"/>
      <c r="J87" s="23"/>
      <c r="K87" s="23"/>
      <c r="L87" s="23"/>
      <c r="M87" s="23"/>
      <c r="N87" s="23"/>
      <c r="O87" s="23"/>
      <c r="P87" s="23"/>
      <c r="Q87" s="23"/>
      <c r="R87" s="23"/>
    </row>
    <row r="88" spans="1:18" ht="30" customHeight="1" x14ac:dyDescent="0.25">
      <c r="A88" s="22" t="s">
        <v>220</v>
      </c>
      <c r="B88" s="23"/>
      <c r="C88" s="23"/>
      <c r="D88" s="23"/>
      <c r="E88" s="23"/>
      <c r="F88" s="23"/>
      <c r="G88" s="23"/>
      <c r="H88" s="23"/>
      <c r="I88" s="23"/>
      <c r="J88" s="23"/>
      <c r="K88" s="23"/>
      <c r="L88" s="23"/>
      <c r="M88" s="23"/>
      <c r="N88" s="23"/>
      <c r="O88" s="23"/>
      <c r="P88" s="23"/>
      <c r="Q88" s="23"/>
      <c r="R88" s="23"/>
    </row>
    <row r="89" spans="1:18" ht="30" customHeight="1" x14ac:dyDescent="0.25">
      <c r="A89" s="22" t="s">
        <v>221</v>
      </c>
      <c r="B89" s="23"/>
      <c r="C89" s="23"/>
      <c r="D89" s="23"/>
      <c r="E89" s="23"/>
      <c r="F89" s="23"/>
      <c r="G89" s="23"/>
      <c r="H89" s="23"/>
      <c r="I89" s="23"/>
      <c r="J89" s="23"/>
      <c r="K89" s="23"/>
      <c r="L89" s="23"/>
      <c r="M89" s="23"/>
      <c r="N89" s="23"/>
      <c r="O89" s="23"/>
      <c r="P89" s="23"/>
      <c r="Q89" s="23"/>
      <c r="R89" s="23"/>
    </row>
    <row r="90" spans="1:18" ht="30" customHeight="1" x14ac:dyDescent="0.25">
      <c r="A90" s="22" t="s">
        <v>222</v>
      </c>
      <c r="B90" s="23"/>
      <c r="C90" s="23"/>
      <c r="D90" s="23"/>
      <c r="E90" s="23"/>
      <c r="F90" s="23"/>
      <c r="G90" s="23"/>
      <c r="H90" s="23"/>
      <c r="I90" s="23"/>
      <c r="J90" s="23"/>
      <c r="K90" s="23"/>
      <c r="L90" s="23"/>
      <c r="M90" s="23"/>
      <c r="N90" s="23"/>
      <c r="O90" s="23"/>
      <c r="P90" s="23"/>
      <c r="Q90" s="23"/>
      <c r="R90" s="23"/>
    </row>
    <row r="91" spans="1:18" ht="30" customHeight="1" x14ac:dyDescent="0.25">
      <c r="A91" s="22" t="s">
        <v>223</v>
      </c>
      <c r="B91" s="23"/>
      <c r="C91" s="23"/>
      <c r="D91" s="23"/>
      <c r="E91" s="23"/>
      <c r="F91" s="23"/>
      <c r="G91" s="23"/>
      <c r="H91" s="23"/>
      <c r="I91" s="23"/>
      <c r="J91" s="23"/>
      <c r="K91" s="23"/>
      <c r="L91" s="23"/>
      <c r="M91" s="23"/>
      <c r="N91" s="23"/>
      <c r="O91" s="23"/>
      <c r="P91" s="23"/>
      <c r="Q91" s="23"/>
      <c r="R91" s="23"/>
    </row>
    <row r="92" spans="1:18" ht="30" customHeight="1" x14ac:dyDescent="0.25">
      <c r="A92" s="22" t="s">
        <v>224</v>
      </c>
      <c r="B92" s="23"/>
      <c r="C92" s="23"/>
      <c r="D92" s="23"/>
      <c r="E92" s="23"/>
      <c r="F92" s="23"/>
      <c r="G92" s="23"/>
      <c r="H92" s="23"/>
      <c r="I92" s="23"/>
      <c r="J92" s="23"/>
      <c r="K92" s="23"/>
      <c r="L92" s="23"/>
      <c r="M92" s="23"/>
      <c r="N92" s="23"/>
      <c r="O92" s="23"/>
      <c r="P92" s="23"/>
      <c r="Q92" s="23"/>
      <c r="R92" s="23"/>
    </row>
    <row r="93" spans="1:18" ht="30" customHeight="1" x14ac:dyDescent="0.25">
      <c r="A93" s="22" t="s">
        <v>225</v>
      </c>
      <c r="B93" s="23"/>
      <c r="C93" s="23"/>
      <c r="D93" s="23"/>
      <c r="E93" s="23"/>
      <c r="F93" s="23"/>
      <c r="G93" s="23"/>
      <c r="H93" s="23"/>
      <c r="I93" s="23"/>
      <c r="J93" s="23"/>
      <c r="K93" s="23"/>
      <c r="L93" s="23"/>
      <c r="M93" s="23"/>
      <c r="N93" s="23"/>
      <c r="O93" s="23"/>
      <c r="P93" s="23"/>
      <c r="Q93" s="23"/>
      <c r="R93" s="23"/>
    </row>
    <row r="94" spans="1:18" ht="30" customHeight="1" x14ac:dyDescent="0.25">
      <c r="A94" s="22" t="s">
        <v>226</v>
      </c>
      <c r="B94" s="23"/>
      <c r="C94" s="23"/>
      <c r="D94" s="23"/>
      <c r="E94" s="23"/>
      <c r="F94" s="23"/>
      <c r="G94" s="23"/>
      <c r="H94" s="23"/>
      <c r="I94" s="23"/>
      <c r="J94" s="23"/>
      <c r="K94" s="23"/>
      <c r="L94" s="23"/>
      <c r="M94" s="23"/>
      <c r="N94" s="23"/>
      <c r="O94" s="23"/>
      <c r="P94" s="23"/>
      <c r="Q94" s="23"/>
      <c r="R94" s="23"/>
    </row>
    <row r="95" spans="1:18" ht="30" customHeight="1" x14ac:dyDescent="0.25">
      <c r="A95" s="22" t="s">
        <v>227</v>
      </c>
      <c r="B95" s="23"/>
      <c r="C95" s="23"/>
      <c r="D95" s="23"/>
      <c r="E95" s="23"/>
      <c r="F95" s="23"/>
      <c r="G95" s="23"/>
      <c r="H95" s="23"/>
      <c r="I95" s="23"/>
      <c r="J95" s="23"/>
      <c r="K95" s="23"/>
      <c r="L95" s="23"/>
      <c r="M95" s="23"/>
      <c r="N95" s="23"/>
      <c r="O95" s="23"/>
      <c r="P95" s="23"/>
      <c r="Q95" s="23"/>
      <c r="R95" s="23"/>
    </row>
    <row r="96" spans="1:18" ht="30" customHeight="1" x14ac:dyDescent="0.25">
      <c r="A96" s="22" t="s">
        <v>228</v>
      </c>
      <c r="B96" s="23"/>
      <c r="C96" s="23"/>
      <c r="D96" s="23"/>
      <c r="E96" s="23"/>
      <c r="F96" s="23"/>
      <c r="G96" s="23"/>
      <c r="H96" s="23"/>
      <c r="I96" s="23"/>
      <c r="J96" s="23"/>
      <c r="K96" s="23"/>
      <c r="L96" s="23"/>
      <c r="M96" s="23"/>
      <c r="N96" s="23"/>
      <c r="O96" s="23"/>
      <c r="P96" s="23"/>
      <c r="Q96" s="23"/>
      <c r="R96" s="23"/>
    </row>
  </sheetData>
  <mergeCells count="22">
    <mergeCell ref="O4:P4"/>
    <mergeCell ref="Q4:R4"/>
    <mergeCell ref="A1:R1"/>
    <mergeCell ref="A2:R2"/>
    <mergeCell ref="A84:R84"/>
    <mergeCell ref="E4:F4"/>
    <mergeCell ref="G4:H4"/>
    <mergeCell ref="I4:J4"/>
    <mergeCell ref="K4:L4"/>
    <mergeCell ref="M4:N4"/>
    <mergeCell ref="A85:R85"/>
    <mergeCell ref="A86:R86"/>
    <mergeCell ref="A87:R87"/>
    <mergeCell ref="A88:R88"/>
    <mergeCell ref="A89:R89"/>
    <mergeCell ref="A95:R95"/>
    <mergeCell ref="A96:R96"/>
    <mergeCell ref="A90:R90"/>
    <mergeCell ref="A91:R91"/>
    <mergeCell ref="A92:R92"/>
    <mergeCell ref="A93:R93"/>
    <mergeCell ref="A94:R94"/>
  </mergeCells>
  <pageMargins left="0.75" right="0.75" top="1" bottom="1" header="0.5" footer="0.5"/>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3"/>
  <dimension ref="A1:R96"/>
  <sheetViews>
    <sheetView zoomScale="80" workbookViewId="0">
      <pane xSplit="4" topLeftCell="E1" activePane="topRight" state="frozen"/>
      <selection sqref="A1:R1"/>
      <selection pane="topRight" sqref="A1:R1"/>
    </sheetView>
  </sheetViews>
  <sheetFormatPr defaultColWidth="11.42578125" defaultRowHeight="15" x14ac:dyDescent="0.25"/>
  <cols>
    <col min="1" max="1" width="50" customWidth="1"/>
  </cols>
  <sheetData>
    <row r="1" spans="1:18" x14ac:dyDescent="0.25">
      <c r="A1" s="26" t="s">
        <v>122</v>
      </c>
      <c r="B1" s="23"/>
      <c r="C1" s="23"/>
      <c r="D1" s="23"/>
      <c r="E1" s="23"/>
      <c r="F1" s="23"/>
      <c r="G1" s="23"/>
      <c r="H1" s="23"/>
      <c r="I1" s="23"/>
      <c r="J1" s="23"/>
      <c r="K1" s="23"/>
      <c r="L1" s="23"/>
      <c r="M1" s="23"/>
      <c r="N1" s="23"/>
      <c r="O1" s="23"/>
      <c r="P1" s="23"/>
      <c r="Q1" s="23"/>
      <c r="R1" s="23"/>
    </row>
    <row r="2" spans="1:18" x14ac:dyDescent="0.25">
      <c r="A2" s="27" t="s">
        <v>329</v>
      </c>
      <c r="B2" s="23"/>
      <c r="C2" s="23"/>
      <c r="D2" s="23"/>
      <c r="E2" s="23"/>
      <c r="F2" s="23"/>
      <c r="G2" s="23"/>
      <c r="H2" s="23"/>
      <c r="I2" s="23"/>
      <c r="J2" s="23"/>
      <c r="K2" s="23"/>
      <c r="L2" s="23"/>
      <c r="M2" s="23"/>
      <c r="N2" s="23"/>
      <c r="O2" s="23"/>
      <c r="P2" s="23"/>
      <c r="Q2" s="23"/>
      <c r="R2" s="23"/>
    </row>
    <row r="4" spans="1:18" ht="30" customHeight="1" x14ac:dyDescent="0.25">
      <c r="A4" s="4"/>
      <c r="B4" s="5" t="s">
        <v>123</v>
      </c>
      <c r="C4" s="5" t="s">
        <v>124</v>
      </c>
      <c r="D4" s="6" t="s">
        <v>123</v>
      </c>
      <c r="E4" s="24" t="s">
        <v>125</v>
      </c>
      <c r="F4" s="25"/>
      <c r="G4" s="24" t="s">
        <v>126</v>
      </c>
      <c r="H4" s="25"/>
      <c r="I4" s="24" t="s">
        <v>127</v>
      </c>
      <c r="J4" s="25"/>
      <c r="K4" s="24" t="s">
        <v>128</v>
      </c>
      <c r="L4" s="25"/>
      <c r="M4" s="24" t="s">
        <v>129</v>
      </c>
      <c r="N4" s="25"/>
      <c r="O4" s="24" t="s">
        <v>130</v>
      </c>
      <c r="P4" s="25"/>
      <c r="Q4" s="24" t="s">
        <v>131</v>
      </c>
      <c r="R4" s="25"/>
    </row>
    <row r="5" spans="1:18" x14ac:dyDescent="0.25">
      <c r="A5" s="7"/>
      <c r="B5" s="8" t="s">
        <v>132</v>
      </c>
      <c r="C5" s="8" t="s">
        <v>133</v>
      </c>
      <c r="D5" s="7" t="s">
        <v>134</v>
      </c>
      <c r="E5" s="8" t="s">
        <v>135</v>
      </c>
      <c r="F5" s="7" t="s">
        <v>136</v>
      </c>
      <c r="G5" s="8" t="s">
        <v>135</v>
      </c>
      <c r="H5" s="7" t="s">
        <v>136</v>
      </c>
      <c r="I5" s="8" t="s">
        <v>135</v>
      </c>
      <c r="J5" s="7" t="s">
        <v>136</v>
      </c>
      <c r="K5" s="8" t="s">
        <v>135</v>
      </c>
      <c r="L5" s="7" t="s">
        <v>136</v>
      </c>
      <c r="M5" s="8" t="s">
        <v>135</v>
      </c>
      <c r="N5" s="7" t="s">
        <v>136</v>
      </c>
      <c r="O5" s="8" t="s">
        <v>135</v>
      </c>
      <c r="P5" s="7" t="s">
        <v>136</v>
      </c>
      <c r="Q5" s="8" t="s">
        <v>135</v>
      </c>
      <c r="R5" s="7" t="s">
        <v>136</v>
      </c>
    </row>
    <row r="6" spans="1:18" x14ac:dyDescent="0.25">
      <c r="A6" s="9" t="s">
        <v>137</v>
      </c>
      <c r="B6" s="10"/>
      <c r="C6" s="10"/>
      <c r="D6" s="11"/>
      <c r="E6" s="10"/>
      <c r="F6" s="11"/>
      <c r="G6" s="10"/>
      <c r="H6" s="11"/>
      <c r="I6" s="10"/>
      <c r="J6" s="11"/>
      <c r="K6" s="10"/>
      <c r="L6" s="11"/>
      <c r="M6" s="10"/>
      <c r="N6" s="11"/>
      <c r="O6" s="10"/>
      <c r="P6" s="11"/>
      <c r="Q6" s="10"/>
      <c r="R6" s="12"/>
    </row>
    <row r="7" spans="1:18" x14ac:dyDescent="0.25">
      <c r="A7" s="11" t="s">
        <v>138</v>
      </c>
      <c r="B7" s="13">
        <v>14530</v>
      </c>
      <c r="C7" s="14">
        <f>(12052/B7*100)</f>
        <v>82.945629731589804</v>
      </c>
      <c r="D7" s="15">
        <v>2478</v>
      </c>
      <c r="E7" s="14">
        <v>45.07109406</v>
      </c>
      <c r="F7" s="16">
        <v>1.2249133800000001</v>
      </c>
      <c r="G7" s="14">
        <v>54.92890594</v>
      </c>
      <c r="H7" s="16">
        <v>1.2249133800000001</v>
      </c>
      <c r="I7" s="14" t="s">
        <v>139</v>
      </c>
      <c r="J7" s="16" t="s">
        <v>139</v>
      </c>
      <c r="K7" s="14">
        <v>0</v>
      </c>
      <c r="L7" s="16">
        <v>0</v>
      </c>
      <c r="M7" s="14">
        <v>0</v>
      </c>
      <c r="N7" s="16">
        <v>0</v>
      </c>
      <c r="O7" s="14">
        <v>0</v>
      </c>
      <c r="P7" s="16">
        <v>0</v>
      </c>
      <c r="Q7" s="14">
        <v>0</v>
      </c>
      <c r="R7" s="16">
        <v>0</v>
      </c>
    </row>
    <row r="8" spans="1:18" x14ac:dyDescent="0.25">
      <c r="A8" s="11" t="s">
        <v>140</v>
      </c>
      <c r="B8" s="13">
        <v>7007</v>
      </c>
      <c r="C8" s="14">
        <f>(5771/B8*100)</f>
        <v>82.360496646210933</v>
      </c>
      <c r="D8" s="15">
        <v>1236</v>
      </c>
      <c r="E8" s="14">
        <v>44.296905930000001</v>
      </c>
      <c r="F8" s="16">
        <v>1.6044647400000001</v>
      </c>
      <c r="G8" s="14">
        <v>55.703094069999999</v>
      </c>
      <c r="H8" s="16">
        <v>1.6044647400000001</v>
      </c>
      <c r="I8" s="14" t="s">
        <v>139</v>
      </c>
      <c r="J8" s="16" t="s">
        <v>139</v>
      </c>
      <c r="K8" s="14">
        <v>0</v>
      </c>
      <c r="L8" s="16">
        <v>0</v>
      </c>
      <c r="M8" s="14">
        <v>0</v>
      </c>
      <c r="N8" s="16">
        <v>0</v>
      </c>
      <c r="O8" s="14">
        <v>0</v>
      </c>
      <c r="P8" s="16">
        <v>0</v>
      </c>
      <c r="Q8" s="14">
        <v>0</v>
      </c>
      <c r="R8" s="16">
        <v>0</v>
      </c>
    </row>
    <row r="9" spans="1:18" x14ac:dyDescent="0.25">
      <c r="A9" s="11" t="s">
        <v>141</v>
      </c>
      <c r="B9" s="13">
        <v>9651</v>
      </c>
      <c r="C9" s="14">
        <f>(8041/B9*100)</f>
        <v>83.317790902497151</v>
      </c>
      <c r="D9" s="15">
        <v>1610</v>
      </c>
      <c r="E9" s="14">
        <v>50.101270020000001</v>
      </c>
      <c r="F9" s="16">
        <v>1.3225343000000001</v>
      </c>
      <c r="G9" s="14">
        <v>49.898729979999999</v>
      </c>
      <c r="H9" s="16">
        <v>1.3225343000000001</v>
      </c>
      <c r="I9" s="14" t="s">
        <v>139</v>
      </c>
      <c r="J9" s="16" t="s">
        <v>139</v>
      </c>
      <c r="K9" s="14">
        <v>0</v>
      </c>
      <c r="L9" s="16">
        <v>0</v>
      </c>
      <c r="M9" s="14">
        <v>0</v>
      </c>
      <c r="N9" s="16">
        <v>0</v>
      </c>
      <c r="O9" s="14">
        <v>0</v>
      </c>
      <c r="P9" s="16">
        <v>0</v>
      </c>
      <c r="Q9" s="14">
        <v>0</v>
      </c>
      <c r="R9" s="16">
        <v>0</v>
      </c>
    </row>
    <row r="10" spans="1:18" x14ac:dyDescent="0.25">
      <c r="A10" s="11" t="s">
        <v>142</v>
      </c>
      <c r="B10" s="13">
        <v>20058</v>
      </c>
      <c r="C10" s="14">
        <f>(16653/B10*100)</f>
        <v>83.02422973377206</v>
      </c>
      <c r="D10" s="15">
        <v>3405</v>
      </c>
      <c r="E10" s="14">
        <v>51.752362249999997</v>
      </c>
      <c r="F10" s="16">
        <v>1.3698382600000001</v>
      </c>
      <c r="G10" s="14">
        <v>48.247637750000003</v>
      </c>
      <c r="H10" s="16">
        <v>1.3698382600000001</v>
      </c>
      <c r="I10" s="14" t="s">
        <v>139</v>
      </c>
      <c r="J10" s="16" t="s">
        <v>139</v>
      </c>
      <c r="K10" s="14">
        <v>0</v>
      </c>
      <c r="L10" s="16">
        <v>0</v>
      </c>
      <c r="M10" s="14">
        <v>0</v>
      </c>
      <c r="N10" s="16">
        <v>0</v>
      </c>
      <c r="O10" s="14">
        <v>0</v>
      </c>
      <c r="P10" s="16">
        <v>0</v>
      </c>
      <c r="Q10" s="14">
        <v>0</v>
      </c>
      <c r="R10" s="16">
        <v>0</v>
      </c>
    </row>
    <row r="11" spans="1:18" x14ac:dyDescent="0.25">
      <c r="A11" s="11" t="s">
        <v>143</v>
      </c>
      <c r="B11" s="13">
        <v>7053</v>
      </c>
      <c r="C11" s="14">
        <f>(5828/B11*100)</f>
        <v>82.631504324400964</v>
      </c>
      <c r="D11" s="15">
        <v>1225</v>
      </c>
      <c r="E11" s="14">
        <v>50.171603670000003</v>
      </c>
      <c r="F11" s="16">
        <v>1.69580021</v>
      </c>
      <c r="G11" s="14">
        <v>49.828396329999997</v>
      </c>
      <c r="H11" s="16">
        <v>1.69580021</v>
      </c>
      <c r="I11" s="14" t="s">
        <v>139</v>
      </c>
      <c r="J11" s="16" t="s">
        <v>139</v>
      </c>
      <c r="K11" s="14">
        <v>0</v>
      </c>
      <c r="L11" s="16">
        <v>0</v>
      </c>
      <c r="M11" s="14">
        <v>0</v>
      </c>
      <c r="N11" s="16">
        <v>0</v>
      </c>
      <c r="O11" s="14">
        <v>0</v>
      </c>
      <c r="P11" s="16">
        <v>0</v>
      </c>
      <c r="Q11" s="14">
        <v>0</v>
      </c>
      <c r="R11" s="16">
        <v>0</v>
      </c>
    </row>
    <row r="12" spans="1:18" x14ac:dyDescent="0.25">
      <c r="A12" s="11" t="s">
        <v>144</v>
      </c>
      <c r="B12" s="13">
        <v>6894</v>
      </c>
      <c r="C12" s="14">
        <f>(5721/B12*100)</f>
        <v>82.98520452567449</v>
      </c>
      <c r="D12" s="15">
        <v>1173</v>
      </c>
      <c r="E12" s="14">
        <v>52.715851829999998</v>
      </c>
      <c r="F12" s="16">
        <v>1.64151958</v>
      </c>
      <c r="G12" s="14">
        <v>47.284148170000002</v>
      </c>
      <c r="H12" s="16">
        <v>1.64151958</v>
      </c>
      <c r="I12" s="14" t="s">
        <v>139</v>
      </c>
      <c r="J12" s="16" t="s">
        <v>139</v>
      </c>
      <c r="K12" s="14">
        <v>0</v>
      </c>
      <c r="L12" s="16">
        <v>0</v>
      </c>
      <c r="M12" s="14">
        <v>0</v>
      </c>
      <c r="N12" s="16">
        <v>0</v>
      </c>
      <c r="O12" s="14">
        <v>0</v>
      </c>
      <c r="P12" s="16">
        <v>0</v>
      </c>
      <c r="Q12" s="14">
        <v>0</v>
      </c>
      <c r="R12" s="16">
        <v>0</v>
      </c>
    </row>
    <row r="13" spans="1:18" x14ac:dyDescent="0.25">
      <c r="A13" s="11" t="s">
        <v>145</v>
      </c>
      <c r="B13" s="13">
        <v>7161</v>
      </c>
      <c r="C13" s="14">
        <f>(5993/B13*100)</f>
        <v>83.689428850719167</v>
      </c>
      <c r="D13" s="15">
        <v>1168</v>
      </c>
      <c r="E13" s="14">
        <v>40.800806430000002</v>
      </c>
      <c r="F13" s="16">
        <v>1.62073205</v>
      </c>
      <c r="G13" s="14">
        <v>59.199193569999998</v>
      </c>
      <c r="H13" s="16">
        <v>1.62073205</v>
      </c>
      <c r="I13" s="14" t="s">
        <v>139</v>
      </c>
      <c r="J13" s="16" t="s">
        <v>139</v>
      </c>
      <c r="K13" s="14">
        <v>0</v>
      </c>
      <c r="L13" s="16">
        <v>0</v>
      </c>
      <c r="M13" s="14">
        <v>0</v>
      </c>
      <c r="N13" s="16">
        <v>0</v>
      </c>
      <c r="O13" s="14">
        <v>0</v>
      </c>
      <c r="P13" s="16">
        <v>0</v>
      </c>
      <c r="Q13" s="14">
        <v>0</v>
      </c>
      <c r="R13" s="16">
        <v>0</v>
      </c>
    </row>
    <row r="14" spans="1:18" x14ac:dyDescent="0.25">
      <c r="A14" s="11" t="s">
        <v>146</v>
      </c>
      <c r="B14" s="13">
        <v>5587</v>
      </c>
      <c r="C14" s="14">
        <f>(4624/B14*100)</f>
        <v>82.763558260247009</v>
      </c>
      <c r="D14" s="15">
        <v>963</v>
      </c>
      <c r="E14" s="14">
        <v>46.077663549999997</v>
      </c>
      <c r="F14" s="16">
        <v>1.8569696099999999</v>
      </c>
      <c r="G14" s="14">
        <v>53.922336450000003</v>
      </c>
      <c r="H14" s="16">
        <v>1.8569696099999999</v>
      </c>
      <c r="I14" s="14" t="s">
        <v>139</v>
      </c>
      <c r="J14" s="16" t="s">
        <v>139</v>
      </c>
      <c r="K14" s="14">
        <v>0</v>
      </c>
      <c r="L14" s="16">
        <v>0</v>
      </c>
      <c r="M14" s="14">
        <v>0</v>
      </c>
      <c r="N14" s="16">
        <v>0</v>
      </c>
      <c r="O14" s="14">
        <v>0</v>
      </c>
      <c r="P14" s="16">
        <v>0</v>
      </c>
      <c r="Q14" s="14">
        <v>0</v>
      </c>
      <c r="R14" s="16">
        <v>0</v>
      </c>
    </row>
    <row r="15" spans="1:18" x14ac:dyDescent="0.25">
      <c r="A15" s="11" t="s">
        <v>147</v>
      </c>
      <c r="B15" s="13">
        <v>5882</v>
      </c>
      <c r="C15" s="14">
        <f>(4870/B15*100)</f>
        <v>82.794967698061882</v>
      </c>
      <c r="D15" s="15">
        <v>1012</v>
      </c>
      <c r="E15" s="14">
        <v>40.045130960000002</v>
      </c>
      <c r="F15" s="16">
        <v>1.47129756</v>
      </c>
      <c r="G15" s="14">
        <v>59.954869039999998</v>
      </c>
      <c r="H15" s="16">
        <v>1.47129756</v>
      </c>
      <c r="I15" s="14" t="s">
        <v>139</v>
      </c>
      <c r="J15" s="16" t="s">
        <v>139</v>
      </c>
      <c r="K15" s="14">
        <v>0</v>
      </c>
      <c r="L15" s="16">
        <v>0</v>
      </c>
      <c r="M15" s="14">
        <v>0</v>
      </c>
      <c r="N15" s="16">
        <v>0</v>
      </c>
      <c r="O15" s="14">
        <v>0</v>
      </c>
      <c r="P15" s="16">
        <v>0</v>
      </c>
      <c r="Q15" s="14">
        <v>0</v>
      </c>
      <c r="R15" s="16">
        <v>0</v>
      </c>
    </row>
    <row r="16" spans="1:18" x14ac:dyDescent="0.25">
      <c r="A16" s="11" t="s">
        <v>148</v>
      </c>
      <c r="B16" s="13">
        <v>6108</v>
      </c>
      <c r="C16" s="14">
        <f>(5077/B16*100)</f>
        <v>83.120497707924031</v>
      </c>
      <c r="D16" s="15">
        <v>1031</v>
      </c>
      <c r="E16" s="14">
        <v>50.83137773</v>
      </c>
      <c r="F16" s="16">
        <v>1.78968756</v>
      </c>
      <c r="G16" s="14">
        <v>49.16862227</v>
      </c>
      <c r="H16" s="16">
        <v>1.78968756</v>
      </c>
      <c r="I16" s="14" t="s">
        <v>139</v>
      </c>
      <c r="J16" s="16" t="s">
        <v>139</v>
      </c>
      <c r="K16" s="14">
        <v>0</v>
      </c>
      <c r="L16" s="16">
        <v>0</v>
      </c>
      <c r="M16" s="14">
        <v>0</v>
      </c>
      <c r="N16" s="16">
        <v>0</v>
      </c>
      <c r="O16" s="14">
        <v>0</v>
      </c>
      <c r="P16" s="16">
        <v>0</v>
      </c>
      <c r="Q16" s="14">
        <v>0</v>
      </c>
      <c r="R16" s="16">
        <v>0</v>
      </c>
    </row>
    <row r="17" spans="1:18" x14ac:dyDescent="0.25">
      <c r="A17" s="11" t="s">
        <v>149</v>
      </c>
      <c r="B17" s="13">
        <v>6504</v>
      </c>
      <c r="C17" s="14">
        <f>(5411/B17*100)</f>
        <v>83.194956949569502</v>
      </c>
      <c r="D17" s="15">
        <v>1093</v>
      </c>
      <c r="E17" s="14">
        <v>46.082563389999997</v>
      </c>
      <c r="F17" s="16">
        <v>1.61971836</v>
      </c>
      <c r="G17" s="14">
        <v>53.917436610000003</v>
      </c>
      <c r="H17" s="16">
        <v>1.61971836</v>
      </c>
      <c r="I17" s="14" t="s">
        <v>139</v>
      </c>
      <c r="J17" s="16" t="s">
        <v>139</v>
      </c>
      <c r="K17" s="14">
        <v>0</v>
      </c>
      <c r="L17" s="16">
        <v>0</v>
      </c>
      <c r="M17" s="14">
        <v>0</v>
      </c>
      <c r="N17" s="16">
        <v>0</v>
      </c>
      <c r="O17" s="14">
        <v>0</v>
      </c>
      <c r="P17" s="16">
        <v>0</v>
      </c>
      <c r="Q17" s="14">
        <v>0</v>
      </c>
      <c r="R17" s="16">
        <v>0</v>
      </c>
    </row>
    <row r="18" spans="1:18" x14ac:dyDescent="0.25">
      <c r="A18" s="11" t="s">
        <v>150</v>
      </c>
      <c r="B18" s="13">
        <v>5532</v>
      </c>
      <c r="C18" s="14">
        <f>(4579/B18*100)</f>
        <v>82.772957339117852</v>
      </c>
      <c r="D18" s="15">
        <v>953</v>
      </c>
      <c r="E18" s="14">
        <v>57.339712179999999</v>
      </c>
      <c r="F18" s="16">
        <v>1.4951911099999999</v>
      </c>
      <c r="G18" s="14">
        <v>42.660287820000001</v>
      </c>
      <c r="H18" s="16">
        <v>1.4951911099999999</v>
      </c>
      <c r="I18" s="14" t="s">
        <v>139</v>
      </c>
      <c r="J18" s="16" t="s">
        <v>139</v>
      </c>
      <c r="K18" s="14">
        <v>0</v>
      </c>
      <c r="L18" s="16">
        <v>0</v>
      </c>
      <c r="M18" s="14">
        <v>0</v>
      </c>
      <c r="N18" s="16">
        <v>0</v>
      </c>
      <c r="O18" s="14">
        <v>0</v>
      </c>
      <c r="P18" s="16">
        <v>0</v>
      </c>
      <c r="Q18" s="14">
        <v>0</v>
      </c>
      <c r="R18" s="16">
        <v>0</v>
      </c>
    </row>
    <row r="19" spans="1:18" x14ac:dyDescent="0.25">
      <c r="A19" s="11" t="s">
        <v>151</v>
      </c>
      <c r="B19" s="13">
        <v>5658</v>
      </c>
      <c r="C19" s="14">
        <f>(4693/B19*100)</f>
        <v>82.944503358077057</v>
      </c>
      <c r="D19" s="15">
        <v>965</v>
      </c>
      <c r="E19" s="14">
        <v>52.390293700000001</v>
      </c>
      <c r="F19" s="16">
        <v>1.5671063599999999</v>
      </c>
      <c r="G19" s="14">
        <v>47.609706299999999</v>
      </c>
      <c r="H19" s="16">
        <v>1.5671063599999999</v>
      </c>
      <c r="I19" s="14" t="s">
        <v>139</v>
      </c>
      <c r="J19" s="16" t="s">
        <v>139</v>
      </c>
      <c r="K19" s="14">
        <v>0</v>
      </c>
      <c r="L19" s="16">
        <v>0</v>
      </c>
      <c r="M19" s="14">
        <v>0</v>
      </c>
      <c r="N19" s="16">
        <v>0</v>
      </c>
      <c r="O19" s="14">
        <v>0</v>
      </c>
      <c r="P19" s="16">
        <v>0</v>
      </c>
      <c r="Q19" s="14">
        <v>0</v>
      </c>
      <c r="R19" s="16">
        <v>0</v>
      </c>
    </row>
    <row r="20" spans="1:18" x14ac:dyDescent="0.25">
      <c r="A20" s="11" t="s">
        <v>152</v>
      </c>
      <c r="B20" s="13">
        <v>3371</v>
      </c>
      <c r="C20" s="14">
        <f>(2798/B20*100)</f>
        <v>83.002076535152767</v>
      </c>
      <c r="D20" s="15">
        <v>573</v>
      </c>
      <c r="E20" s="14">
        <v>47.25230423</v>
      </c>
      <c r="F20" s="16">
        <v>2.11283814</v>
      </c>
      <c r="G20" s="14">
        <v>52.74769577</v>
      </c>
      <c r="H20" s="16">
        <v>2.11283814</v>
      </c>
      <c r="I20" s="14" t="s">
        <v>139</v>
      </c>
      <c r="J20" s="16" t="s">
        <v>139</v>
      </c>
      <c r="K20" s="14">
        <v>0</v>
      </c>
      <c r="L20" s="16">
        <v>0</v>
      </c>
      <c r="M20" s="14">
        <v>0</v>
      </c>
      <c r="N20" s="16">
        <v>0</v>
      </c>
      <c r="O20" s="14">
        <v>0</v>
      </c>
      <c r="P20" s="16">
        <v>0</v>
      </c>
      <c r="Q20" s="14">
        <v>0</v>
      </c>
      <c r="R20" s="16">
        <v>0</v>
      </c>
    </row>
    <row r="21" spans="1:18" x14ac:dyDescent="0.25">
      <c r="A21" s="11" t="s">
        <v>153</v>
      </c>
      <c r="B21" s="17" t="s">
        <v>154</v>
      </c>
      <c r="C21" s="17" t="s">
        <v>154</v>
      </c>
      <c r="D21" s="18" t="s">
        <v>154</v>
      </c>
      <c r="E21" s="17" t="s">
        <v>154</v>
      </c>
      <c r="F21" s="18" t="s">
        <v>154</v>
      </c>
      <c r="G21" s="17" t="s">
        <v>154</v>
      </c>
      <c r="H21" s="18" t="s">
        <v>154</v>
      </c>
      <c r="I21" s="17" t="s">
        <v>154</v>
      </c>
      <c r="J21" s="18" t="s">
        <v>154</v>
      </c>
      <c r="K21" s="17" t="s">
        <v>154</v>
      </c>
      <c r="L21" s="18" t="s">
        <v>154</v>
      </c>
      <c r="M21" s="17" t="s">
        <v>154</v>
      </c>
      <c r="N21" s="18" t="s">
        <v>154</v>
      </c>
      <c r="O21" s="17" t="s">
        <v>154</v>
      </c>
      <c r="P21" s="18" t="s">
        <v>154</v>
      </c>
      <c r="Q21" s="17" t="s">
        <v>154</v>
      </c>
      <c r="R21" s="18" t="s">
        <v>154</v>
      </c>
    </row>
    <row r="22" spans="1:18" x14ac:dyDescent="0.25">
      <c r="A22" s="11" t="s">
        <v>155</v>
      </c>
      <c r="B22" s="13">
        <v>6598</v>
      </c>
      <c r="C22" s="14">
        <f>(5571/B22*100)</f>
        <v>84.434677174901481</v>
      </c>
      <c r="D22" s="15">
        <v>1027</v>
      </c>
      <c r="E22" s="14">
        <v>52.971311409999998</v>
      </c>
      <c r="F22" s="16">
        <v>1.6289454699999999</v>
      </c>
      <c r="G22" s="14">
        <v>47.028688590000002</v>
      </c>
      <c r="H22" s="16">
        <v>1.6289454699999999</v>
      </c>
      <c r="I22" s="14" t="s">
        <v>139</v>
      </c>
      <c r="J22" s="16" t="s">
        <v>139</v>
      </c>
      <c r="K22" s="14">
        <v>0</v>
      </c>
      <c r="L22" s="16">
        <v>0</v>
      </c>
      <c r="M22" s="14">
        <v>0</v>
      </c>
      <c r="N22" s="16">
        <v>0</v>
      </c>
      <c r="O22" s="14">
        <v>0</v>
      </c>
      <c r="P22" s="16">
        <v>0</v>
      </c>
      <c r="Q22" s="14">
        <v>0</v>
      </c>
      <c r="R22" s="16">
        <v>0</v>
      </c>
    </row>
    <row r="23" spans="1:18" x14ac:dyDescent="0.25">
      <c r="A23" s="11" t="s">
        <v>156</v>
      </c>
      <c r="B23" s="13">
        <v>11583</v>
      </c>
      <c r="C23" s="14">
        <f>(9580/B23*100)</f>
        <v>82.707416040749365</v>
      </c>
      <c r="D23" s="15">
        <v>2003</v>
      </c>
      <c r="E23" s="14">
        <v>54.092007670000001</v>
      </c>
      <c r="F23" s="16">
        <v>1.67770592</v>
      </c>
      <c r="G23" s="14">
        <v>45.907992329999999</v>
      </c>
      <c r="H23" s="16">
        <v>1.67770592</v>
      </c>
      <c r="I23" s="14" t="s">
        <v>139</v>
      </c>
      <c r="J23" s="16" t="s">
        <v>139</v>
      </c>
      <c r="K23" s="14">
        <v>0</v>
      </c>
      <c r="L23" s="16">
        <v>0</v>
      </c>
      <c r="M23" s="14">
        <v>0</v>
      </c>
      <c r="N23" s="16">
        <v>0</v>
      </c>
      <c r="O23" s="14">
        <v>0</v>
      </c>
      <c r="P23" s="16">
        <v>0</v>
      </c>
      <c r="Q23" s="14">
        <v>0</v>
      </c>
      <c r="R23" s="16">
        <v>0</v>
      </c>
    </row>
    <row r="24" spans="1:18" x14ac:dyDescent="0.25">
      <c r="A24" s="11" t="s">
        <v>157</v>
      </c>
      <c r="B24" s="13">
        <v>6647</v>
      </c>
      <c r="C24" s="14">
        <f>(5489/B24*100)</f>
        <v>82.578606890326469</v>
      </c>
      <c r="D24" s="15">
        <v>1158</v>
      </c>
      <c r="E24" s="14">
        <v>43.331975989999997</v>
      </c>
      <c r="F24" s="16">
        <v>1.35478096</v>
      </c>
      <c r="G24" s="14">
        <v>56.668024010000003</v>
      </c>
      <c r="H24" s="16">
        <v>1.35478096</v>
      </c>
      <c r="I24" s="14" t="s">
        <v>139</v>
      </c>
      <c r="J24" s="16" t="s">
        <v>139</v>
      </c>
      <c r="K24" s="14">
        <v>0</v>
      </c>
      <c r="L24" s="16">
        <v>0</v>
      </c>
      <c r="M24" s="14">
        <v>0</v>
      </c>
      <c r="N24" s="16">
        <v>0</v>
      </c>
      <c r="O24" s="14">
        <v>0</v>
      </c>
      <c r="P24" s="16">
        <v>0</v>
      </c>
      <c r="Q24" s="14">
        <v>0</v>
      </c>
      <c r="R24" s="16">
        <v>0</v>
      </c>
    </row>
    <row r="25" spans="1:18" x14ac:dyDescent="0.25">
      <c r="A25" s="11" t="s">
        <v>158</v>
      </c>
      <c r="B25" s="13">
        <v>5581</v>
      </c>
      <c r="C25" s="14">
        <f>(4617/B25*100)</f>
        <v>82.727109836946795</v>
      </c>
      <c r="D25" s="15">
        <v>964</v>
      </c>
      <c r="E25" s="14">
        <v>31.012653520000001</v>
      </c>
      <c r="F25" s="16">
        <v>1.2073931200000001</v>
      </c>
      <c r="G25" s="14">
        <v>68.987346479999999</v>
      </c>
      <c r="H25" s="16">
        <v>1.2073931200000001</v>
      </c>
      <c r="I25" s="14" t="s">
        <v>139</v>
      </c>
      <c r="J25" s="16" t="s">
        <v>139</v>
      </c>
      <c r="K25" s="14">
        <v>0</v>
      </c>
      <c r="L25" s="16">
        <v>0</v>
      </c>
      <c r="M25" s="14">
        <v>0</v>
      </c>
      <c r="N25" s="16">
        <v>0</v>
      </c>
      <c r="O25" s="14">
        <v>0</v>
      </c>
      <c r="P25" s="16">
        <v>0</v>
      </c>
      <c r="Q25" s="14">
        <v>0</v>
      </c>
      <c r="R25" s="16">
        <v>0</v>
      </c>
    </row>
    <row r="26" spans="1:18" x14ac:dyDescent="0.25">
      <c r="A26" s="11" t="s">
        <v>159</v>
      </c>
      <c r="B26" s="13">
        <v>4869</v>
      </c>
      <c r="C26" s="14">
        <f>(4032/B26*100)</f>
        <v>82.809611829944558</v>
      </c>
      <c r="D26" s="15">
        <v>837</v>
      </c>
      <c r="E26" s="14">
        <v>52.226764549999999</v>
      </c>
      <c r="F26" s="16">
        <v>1.9161575399999999</v>
      </c>
      <c r="G26" s="14">
        <v>47.773235450000001</v>
      </c>
      <c r="H26" s="16">
        <v>1.9161575399999999</v>
      </c>
      <c r="I26" s="14" t="s">
        <v>139</v>
      </c>
      <c r="J26" s="16" t="s">
        <v>139</v>
      </c>
      <c r="K26" s="14">
        <v>0</v>
      </c>
      <c r="L26" s="16">
        <v>0</v>
      </c>
      <c r="M26" s="14">
        <v>0</v>
      </c>
      <c r="N26" s="16">
        <v>0</v>
      </c>
      <c r="O26" s="14">
        <v>0</v>
      </c>
      <c r="P26" s="16">
        <v>0</v>
      </c>
      <c r="Q26" s="14">
        <v>0</v>
      </c>
      <c r="R26" s="16">
        <v>0</v>
      </c>
    </row>
    <row r="27" spans="1:18" x14ac:dyDescent="0.25">
      <c r="A27" s="11" t="s">
        <v>160</v>
      </c>
      <c r="B27" s="13">
        <v>5299</v>
      </c>
      <c r="C27" s="14">
        <f>(4382/B27*100)</f>
        <v>82.694848084544262</v>
      </c>
      <c r="D27" s="15">
        <v>917</v>
      </c>
      <c r="E27" s="14">
        <v>54.98411746</v>
      </c>
      <c r="F27" s="16">
        <v>1.73267317</v>
      </c>
      <c r="G27" s="14">
        <v>45.01588254</v>
      </c>
      <c r="H27" s="16">
        <v>1.73267317</v>
      </c>
      <c r="I27" s="14" t="s">
        <v>139</v>
      </c>
      <c r="J27" s="16" t="s">
        <v>139</v>
      </c>
      <c r="K27" s="14">
        <v>0</v>
      </c>
      <c r="L27" s="16">
        <v>0</v>
      </c>
      <c r="M27" s="14">
        <v>0</v>
      </c>
      <c r="N27" s="16">
        <v>0</v>
      </c>
      <c r="O27" s="14">
        <v>0</v>
      </c>
      <c r="P27" s="16">
        <v>0</v>
      </c>
      <c r="Q27" s="14">
        <v>0</v>
      </c>
      <c r="R27" s="16">
        <v>0</v>
      </c>
    </row>
    <row r="28" spans="1:18" x14ac:dyDescent="0.25">
      <c r="A28" s="11" t="s">
        <v>161</v>
      </c>
      <c r="B28" s="13">
        <v>7568</v>
      </c>
      <c r="C28" s="14">
        <f>(6293/B28*100)</f>
        <v>83.152748414376319</v>
      </c>
      <c r="D28" s="15">
        <v>1275</v>
      </c>
      <c r="E28" s="14">
        <v>54.815791699999998</v>
      </c>
      <c r="F28" s="16">
        <v>1.56581773</v>
      </c>
      <c r="G28" s="14">
        <v>45.184208300000002</v>
      </c>
      <c r="H28" s="16">
        <v>1.56581773</v>
      </c>
      <c r="I28" s="14" t="s">
        <v>139</v>
      </c>
      <c r="J28" s="16" t="s">
        <v>139</v>
      </c>
      <c r="K28" s="14">
        <v>0</v>
      </c>
      <c r="L28" s="16">
        <v>0</v>
      </c>
      <c r="M28" s="14">
        <v>0</v>
      </c>
      <c r="N28" s="16">
        <v>0</v>
      </c>
      <c r="O28" s="14">
        <v>0</v>
      </c>
      <c r="P28" s="16">
        <v>0</v>
      </c>
      <c r="Q28" s="14">
        <v>0</v>
      </c>
      <c r="R28" s="16">
        <v>0</v>
      </c>
    </row>
    <row r="29" spans="1:18" x14ac:dyDescent="0.25">
      <c r="A29" s="11" t="s">
        <v>162</v>
      </c>
      <c r="B29" s="13">
        <v>5385</v>
      </c>
      <c r="C29" s="14">
        <f>(4499/B29*100)</f>
        <v>83.546889507892303</v>
      </c>
      <c r="D29" s="15">
        <v>886</v>
      </c>
      <c r="E29" s="14">
        <v>45.956088579999999</v>
      </c>
      <c r="F29" s="16">
        <v>1.70173649</v>
      </c>
      <c r="G29" s="14">
        <v>54.043911420000001</v>
      </c>
      <c r="H29" s="16">
        <v>1.70173649</v>
      </c>
      <c r="I29" s="14" t="s">
        <v>139</v>
      </c>
      <c r="J29" s="16" t="s">
        <v>139</v>
      </c>
      <c r="K29" s="14">
        <v>0</v>
      </c>
      <c r="L29" s="16">
        <v>0</v>
      </c>
      <c r="M29" s="14">
        <v>0</v>
      </c>
      <c r="N29" s="16">
        <v>0</v>
      </c>
      <c r="O29" s="14">
        <v>0</v>
      </c>
      <c r="P29" s="16">
        <v>0</v>
      </c>
      <c r="Q29" s="14">
        <v>0</v>
      </c>
      <c r="R29" s="16">
        <v>0</v>
      </c>
    </row>
    <row r="30" spans="1:18" x14ac:dyDescent="0.25">
      <c r="A30" s="11" t="s">
        <v>163</v>
      </c>
      <c r="B30" s="13">
        <v>4520</v>
      </c>
      <c r="C30" s="14">
        <f>(3777/B30*100)</f>
        <v>83.561946902654867</v>
      </c>
      <c r="D30" s="15">
        <v>743</v>
      </c>
      <c r="E30" s="14">
        <v>51.20573443</v>
      </c>
      <c r="F30" s="16">
        <v>1.82496514</v>
      </c>
      <c r="G30" s="14">
        <v>48.79426557</v>
      </c>
      <c r="H30" s="16">
        <v>1.82496514</v>
      </c>
      <c r="I30" s="14" t="s">
        <v>139</v>
      </c>
      <c r="J30" s="16" t="s">
        <v>139</v>
      </c>
      <c r="K30" s="14">
        <v>0</v>
      </c>
      <c r="L30" s="16">
        <v>0</v>
      </c>
      <c r="M30" s="14">
        <v>0</v>
      </c>
      <c r="N30" s="16">
        <v>0</v>
      </c>
      <c r="O30" s="14">
        <v>0</v>
      </c>
      <c r="P30" s="16">
        <v>0</v>
      </c>
      <c r="Q30" s="14">
        <v>0</v>
      </c>
      <c r="R30" s="16">
        <v>0</v>
      </c>
    </row>
    <row r="31" spans="1:18" x14ac:dyDescent="0.25">
      <c r="A31" s="11" t="s">
        <v>164</v>
      </c>
      <c r="B31" s="13">
        <v>5456</v>
      </c>
      <c r="C31" s="14">
        <f>(4535/B31*100)</f>
        <v>83.119501466275665</v>
      </c>
      <c r="D31" s="15">
        <v>921</v>
      </c>
      <c r="E31" s="14">
        <v>48.128025860000001</v>
      </c>
      <c r="F31" s="16">
        <v>1.48897086</v>
      </c>
      <c r="G31" s="14">
        <v>51.871974139999999</v>
      </c>
      <c r="H31" s="16">
        <v>1.48897086</v>
      </c>
      <c r="I31" s="14" t="s">
        <v>139</v>
      </c>
      <c r="J31" s="16" t="s">
        <v>139</v>
      </c>
      <c r="K31" s="14">
        <v>0</v>
      </c>
      <c r="L31" s="16">
        <v>0</v>
      </c>
      <c r="M31" s="14">
        <v>0</v>
      </c>
      <c r="N31" s="16">
        <v>0</v>
      </c>
      <c r="O31" s="14">
        <v>0</v>
      </c>
      <c r="P31" s="16">
        <v>0</v>
      </c>
      <c r="Q31" s="14">
        <v>0</v>
      </c>
      <c r="R31" s="16">
        <v>0</v>
      </c>
    </row>
    <row r="32" spans="1:18" x14ac:dyDescent="0.25">
      <c r="A32" s="11" t="s">
        <v>165</v>
      </c>
      <c r="B32" s="17" t="s">
        <v>154</v>
      </c>
      <c r="C32" s="17" t="s">
        <v>154</v>
      </c>
      <c r="D32" s="18" t="s">
        <v>154</v>
      </c>
      <c r="E32" s="17" t="s">
        <v>154</v>
      </c>
      <c r="F32" s="18" t="s">
        <v>154</v>
      </c>
      <c r="G32" s="17" t="s">
        <v>154</v>
      </c>
      <c r="H32" s="18" t="s">
        <v>154</v>
      </c>
      <c r="I32" s="17" t="s">
        <v>154</v>
      </c>
      <c r="J32" s="18" t="s">
        <v>154</v>
      </c>
      <c r="K32" s="17" t="s">
        <v>154</v>
      </c>
      <c r="L32" s="18" t="s">
        <v>154</v>
      </c>
      <c r="M32" s="17" t="s">
        <v>154</v>
      </c>
      <c r="N32" s="18" t="s">
        <v>154</v>
      </c>
      <c r="O32" s="17" t="s">
        <v>154</v>
      </c>
      <c r="P32" s="18" t="s">
        <v>154</v>
      </c>
      <c r="Q32" s="17" t="s">
        <v>154</v>
      </c>
      <c r="R32" s="18" t="s">
        <v>154</v>
      </c>
    </row>
    <row r="33" spans="1:18" x14ac:dyDescent="0.25">
      <c r="A33" s="11" t="s">
        <v>166</v>
      </c>
      <c r="B33" s="13">
        <v>7325</v>
      </c>
      <c r="C33" s="14">
        <f>(6082/B33*100)</f>
        <v>83.030716723549489</v>
      </c>
      <c r="D33" s="15">
        <v>1243</v>
      </c>
      <c r="E33" s="14">
        <v>43.552208970000002</v>
      </c>
      <c r="F33" s="16">
        <v>1.3937325599999999</v>
      </c>
      <c r="G33" s="14">
        <v>56.447791029999998</v>
      </c>
      <c r="H33" s="16">
        <v>1.3937325599999999</v>
      </c>
      <c r="I33" s="14" t="s">
        <v>139</v>
      </c>
      <c r="J33" s="16" t="s">
        <v>139</v>
      </c>
      <c r="K33" s="14">
        <v>0</v>
      </c>
      <c r="L33" s="16">
        <v>0</v>
      </c>
      <c r="M33" s="14">
        <v>0</v>
      </c>
      <c r="N33" s="16">
        <v>0</v>
      </c>
      <c r="O33" s="14">
        <v>0</v>
      </c>
      <c r="P33" s="16">
        <v>0</v>
      </c>
      <c r="Q33" s="14">
        <v>0</v>
      </c>
      <c r="R33" s="16">
        <v>0</v>
      </c>
    </row>
    <row r="34" spans="1:18" x14ac:dyDescent="0.25">
      <c r="A34" s="11" t="s">
        <v>167</v>
      </c>
      <c r="B34" s="13">
        <v>6350</v>
      </c>
      <c r="C34" s="14">
        <f>(5294/B34*100)</f>
        <v>83.370078740157481</v>
      </c>
      <c r="D34" s="15">
        <v>1056</v>
      </c>
      <c r="E34" s="14">
        <v>61.615041720000001</v>
      </c>
      <c r="F34" s="16">
        <v>1.58786194</v>
      </c>
      <c r="G34" s="14">
        <v>38.384958279999999</v>
      </c>
      <c r="H34" s="16">
        <v>1.58786194</v>
      </c>
      <c r="I34" s="14" t="s">
        <v>139</v>
      </c>
      <c r="J34" s="16" t="s">
        <v>139</v>
      </c>
      <c r="K34" s="14">
        <v>0</v>
      </c>
      <c r="L34" s="16">
        <v>0</v>
      </c>
      <c r="M34" s="14">
        <v>0</v>
      </c>
      <c r="N34" s="16">
        <v>0</v>
      </c>
      <c r="O34" s="14">
        <v>0</v>
      </c>
      <c r="P34" s="16">
        <v>0</v>
      </c>
      <c r="Q34" s="14">
        <v>0</v>
      </c>
      <c r="R34" s="16">
        <v>0</v>
      </c>
    </row>
    <row r="35" spans="1:18" x14ac:dyDescent="0.25">
      <c r="A35" s="11" t="s">
        <v>168</v>
      </c>
      <c r="B35" s="13">
        <v>6406</v>
      </c>
      <c r="C35" s="14">
        <f>(5349/B35*100)</f>
        <v>83.499843896347173</v>
      </c>
      <c r="D35" s="15">
        <v>1057</v>
      </c>
      <c r="E35" s="14">
        <v>51.77190366</v>
      </c>
      <c r="F35" s="16">
        <v>2.0770416200000001</v>
      </c>
      <c r="G35" s="14">
        <v>48.22809634</v>
      </c>
      <c r="H35" s="16">
        <v>2.0770416200000001</v>
      </c>
      <c r="I35" s="14" t="s">
        <v>139</v>
      </c>
      <c r="J35" s="16" t="s">
        <v>139</v>
      </c>
      <c r="K35" s="14">
        <v>0</v>
      </c>
      <c r="L35" s="16">
        <v>0</v>
      </c>
      <c r="M35" s="14">
        <v>0</v>
      </c>
      <c r="N35" s="16">
        <v>0</v>
      </c>
      <c r="O35" s="14">
        <v>0</v>
      </c>
      <c r="P35" s="16">
        <v>0</v>
      </c>
      <c r="Q35" s="14">
        <v>0</v>
      </c>
      <c r="R35" s="16">
        <v>0</v>
      </c>
    </row>
    <row r="36" spans="1:18" x14ac:dyDescent="0.25">
      <c r="A36" s="11" t="s">
        <v>169</v>
      </c>
      <c r="B36" s="13">
        <v>6736</v>
      </c>
      <c r="C36" s="14">
        <f>(5578/B36*100)</f>
        <v>82.808788598574822</v>
      </c>
      <c r="D36" s="15">
        <v>1158</v>
      </c>
      <c r="E36" s="14">
        <v>50.771210809999999</v>
      </c>
      <c r="F36" s="16">
        <v>1.44365023</v>
      </c>
      <c r="G36" s="14">
        <v>49.228789190000001</v>
      </c>
      <c r="H36" s="16">
        <v>1.44365023</v>
      </c>
      <c r="I36" s="14" t="s">
        <v>139</v>
      </c>
      <c r="J36" s="16" t="s">
        <v>139</v>
      </c>
      <c r="K36" s="14">
        <v>0</v>
      </c>
      <c r="L36" s="16">
        <v>0</v>
      </c>
      <c r="M36" s="14">
        <v>0</v>
      </c>
      <c r="N36" s="16">
        <v>0</v>
      </c>
      <c r="O36" s="14">
        <v>0</v>
      </c>
      <c r="P36" s="16">
        <v>0</v>
      </c>
      <c r="Q36" s="14">
        <v>0</v>
      </c>
      <c r="R36" s="16">
        <v>0</v>
      </c>
    </row>
    <row r="37" spans="1:18" x14ac:dyDescent="0.25">
      <c r="A37" s="11" t="s">
        <v>170</v>
      </c>
      <c r="B37" s="13">
        <v>5458</v>
      </c>
      <c r="C37" s="14">
        <f>(4539/B37*100)</f>
        <v>83.162330524001476</v>
      </c>
      <c r="D37" s="15">
        <v>919</v>
      </c>
      <c r="E37" s="14">
        <v>45.147144130000001</v>
      </c>
      <c r="F37" s="16">
        <v>1.78103715</v>
      </c>
      <c r="G37" s="14">
        <v>54.852855869999999</v>
      </c>
      <c r="H37" s="16">
        <v>1.78103715</v>
      </c>
      <c r="I37" s="14" t="s">
        <v>139</v>
      </c>
      <c r="J37" s="16" t="s">
        <v>139</v>
      </c>
      <c r="K37" s="14">
        <v>0</v>
      </c>
      <c r="L37" s="16">
        <v>0</v>
      </c>
      <c r="M37" s="14">
        <v>0</v>
      </c>
      <c r="N37" s="16">
        <v>0</v>
      </c>
      <c r="O37" s="14">
        <v>0</v>
      </c>
      <c r="P37" s="16">
        <v>0</v>
      </c>
      <c r="Q37" s="14">
        <v>0</v>
      </c>
      <c r="R37" s="16">
        <v>0</v>
      </c>
    </row>
    <row r="38" spans="1:18" x14ac:dyDescent="0.25">
      <c r="A38" s="11" t="s">
        <v>171</v>
      </c>
      <c r="B38" s="17" t="s">
        <v>154</v>
      </c>
      <c r="C38" s="17" t="s">
        <v>154</v>
      </c>
      <c r="D38" s="18" t="s">
        <v>154</v>
      </c>
      <c r="E38" s="17" t="s">
        <v>154</v>
      </c>
      <c r="F38" s="18" t="s">
        <v>154</v>
      </c>
      <c r="G38" s="17" t="s">
        <v>154</v>
      </c>
      <c r="H38" s="18" t="s">
        <v>154</v>
      </c>
      <c r="I38" s="17" t="s">
        <v>154</v>
      </c>
      <c r="J38" s="18" t="s">
        <v>154</v>
      </c>
      <c r="K38" s="17" t="s">
        <v>154</v>
      </c>
      <c r="L38" s="18" t="s">
        <v>154</v>
      </c>
      <c r="M38" s="17" t="s">
        <v>154</v>
      </c>
      <c r="N38" s="18" t="s">
        <v>154</v>
      </c>
      <c r="O38" s="17" t="s">
        <v>154</v>
      </c>
      <c r="P38" s="18" t="s">
        <v>154</v>
      </c>
      <c r="Q38" s="17" t="s">
        <v>154</v>
      </c>
      <c r="R38" s="18" t="s">
        <v>154</v>
      </c>
    </row>
    <row r="39" spans="1:18" x14ac:dyDescent="0.25">
      <c r="A39" s="11" t="s">
        <v>172</v>
      </c>
      <c r="B39" s="13">
        <v>5895</v>
      </c>
      <c r="C39" s="14">
        <f>(4864/B39*100)</f>
        <v>82.510602205258692</v>
      </c>
      <c r="D39" s="15">
        <v>1031</v>
      </c>
      <c r="E39" s="14">
        <v>47.048854069999997</v>
      </c>
      <c r="F39" s="16">
        <v>1.9900894899999999</v>
      </c>
      <c r="G39" s="14">
        <v>52.951145930000003</v>
      </c>
      <c r="H39" s="16">
        <v>1.9900894899999999</v>
      </c>
      <c r="I39" s="14" t="s">
        <v>139</v>
      </c>
      <c r="J39" s="16" t="s">
        <v>139</v>
      </c>
      <c r="K39" s="14">
        <v>0</v>
      </c>
      <c r="L39" s="16">
        <v>0</v>
      </c>
      <c r="M39" s="14">
        <v>0</v>
      </c>
      <c r="N39" s="16">
        <v>0</v>
      </c>
      <c r="O39" s="14">
        <v>0</v>
      </c>
      <c r="P39" s="16">
        <v>0</v>
      </c>
      <c r="Q39" s="14">
        <v>0</v>
      </c>
      <c r="R39" s="16">
        <v>0</v>
      </c>
    </row>
    <row r="40" spans="1:18" x14ac:dyDescent="0.25">
      <c r="A40" s="11" t="s">
        <v>173</v>
      </c>
      <c r="B40" s="13">
        <v>14157</v>
      </c>
      <c r="C40" s="14">
        <f>(11731/B40*100)</f>
        <v>82.863601045419216</v>
      </c>
      <c r="D40" s="15">
        <v>2426</v>
      </c>
      <c r="E40" s="14">
        <v>52.608976740000003</v>
      </c>
      <c r="F40" s="16">
        <v>1.4666342800000001</v>
      </c>
      <c r="G40" s="14">
        <v>47.391023259999997</v>
      </c>
      <c r="H40" s="16">
        <v>1.4666342800000001</v>
      </c>
      <c r="I40" s="14" t="s">
        <v>139</v>
      </c>
      <c r="J40" s="16" t="s">
        <v>139</v>
      </c>
      <c r="K40" s="14">
        <v>0</v>
      </c>
      <c r="L40" s="16">
        <v>0</v>
      </c>
      <c r="M40" s="14">
        <v>0</v>
      </c>
      <c r="N40" s="16">
        <v>0</v>
      </c>
      <c r="O40" s="14">
        <v>0</v>
      </c>
      <c r="P40" s="16">
        <v>0</v>
      </c>
      <c r="Q40" s="14">
        <v>0</v>
      </c>
      <c r="R40" s="16">
        <v>0</v>
      </c>
    </row>
    <row r="41" spans="1:18" x14ac:dyDescent="0.25">
      <c r="A41" s="11" t="s">
        <v>174</v>
      </c>
      <c r="B41" s="13">
        <v>5712</v>
      </c>
      <c r="C41" s="14">
        <f>(4726/B41*100)</f>
        <v>82.738095238095227</v>
      </c>
      <c r="D41" s="15">
        <v>986</v>
      </c>
      <c r="E41" s="14">
        <v>47.429559920000003</v>
      </c>
      <c r="F41" s="16">
        <v>1.4502643500000001</v>
      </c>
      <c r="G41" s="14">
        <v>52.570440079999997</v>
      </c>
      <c r="H41" s="16">
        <v>1.4502643500000001</v>
      </c>
      <c r="I41" s="14" t="s">
        <v>139</v>
      </c>
      <c r="J41" s="16" t="s">
        <v>139</v>
      </c>
      <c r="K41" s="14">
        <v>0</v>
      </c>
      <c r="L41" s="16">
        <v>0</v>
      </c>
      <c r="M41" s="14">
        <v>0</v>
      </c>
      <c r="N41" s="16">
        <v>0</v>
      </c>
      <c r="O41" s="14">
        <v>0</v>
      </c>
      <c r="P41" s="16">
        <v>0</v>
      </c>
      <c r="Q41" s="14">
        <v>0</v>
      </c>
      <c r="R41" s="16">
        <v>0</v>
      </c>
    </row>
    <row r="42" spans="1:18" x14ac:dyDescent="0.25">
      <c r="A42" s="11" t="s">
        <v>175</v>
      </c>
      <c r="B42" s="13">
        <f>IF(COUNT(B7:B41) &gt; 0, AVERAGE(B7:B41), "\u2014")</f>
        <v>7266.90625</v>
      </c>
      <c r="C42" s="14">
        <f>IF(COUNT(C7:C41) &gt; 0, AVERAGE(C7:C41), "—")</f>
        <v>83.027037990094698</v>
      </c>
      <c r="D42" s="15">
        <f>IF(COUNT(D7:D41) &gt; 0, AVERAGE(D7:D41), "—")</f>
        <v>1234.125</v>
      </c>
      <c r="E42" s="14">
        <f>IF(COUNT(E7:E41) &gt; 0, AVERAGE(E7:E41), "—")</f>
        <v>48.862447222499995</v>
      </c>
      <c r="F42" s="16">
        <f>IF(COUNT(F7:F41) &gt; 0, SQRT(SUMSQ(F7:F41)/(COUNT(F7:F41)*COUNT(F7:F41)) ), "—")</f>
        <v>0.28823222497642087</v>
      </c>
      <c r="G42" s="14">
        <f>IF(COUNT(G7:G41) &gt; 0, AVERAGE(G7:G41), "—")</f>
        <v>51.137552777500005</v>
      </c>
      <c r="H42" s="16">
        <f>IF(COUNT(H7:H41) &gt; 0, SQRT(SUMSQ(H7:H41)/(COUNT(H7:H41)*COUNT(H7:H41)) ), "—")</f>
        <v>0.28823222497642087</v>
      </c>
      <c r="I42" s="14" t="str">
        <f>IF(COUNT(I7:I41) &gt; 0, AVERAGE(I7:I41), "—")</f>
        <v>—</v>
      </c>
      <c r="J42" s="16" t="str">
        <f>IF(COUNT(J7:J41) &gt; 0, SQRT(SUMSQ(J7:J41)/(COUNT(J7:J41)*COUNT(J7:J41)) ), "—")</f>
        <v>—</v>
      </c>
      <c r="K42" s="14">
        <f>IF(COUNT(K7:K41) &gt; 0, AVERAGE(K7:K41), "—")</f>
        <v>0</v>
      </c>
      <c r="L42" s="16">
        <f>IF(COUNT(L7:L41) &gt; 0, SQRT(SUMSQ(L7:L41)/(COUNT(L7:L41)*COUNT(L7:L41)) ), "—")</f>
        <v>0</v>
      </c>
      <c r="M42" s="14">
        <f>IF(COUNT(M7:M41) &gt; 0, AVERAGE(M7:M41), "—")</f>
        <v>0</v>
      </c>
      <c r="N42" s="16">
        <f>IF(COUNT(N7:N41) &gt; 0, SQRT(SUMSQ(N7:N41)/(COUNT(N7:N41)*COUNT(N7:N41)) ), "—")</f>
        <v>0</v>
      </c>
      <c r="O42" s="14">
        <f>IF(COUNT(O7:O41) &gt; 0, AVERAGE(O7:O41), "—")</f>
        <v>0</v>
      </c>
      <c r="P42" s="16">
        <f>IF(COUNT(P7:P41) &gt; 0, SQRT(SUMSQ(P7:P41)/(COUNT(P7:P41)*COUNT(P7:P41)) ), "—")</f>
        <v>0</v>
      </c>
      <c r="Q42" s="14">
        <f>IF(COUNT(Q7:Q41) &gt; 0, AVERAGE(Q7:Q41), "—")</f>
        <v>0</v>
      </c>
      <c r="R42" s="16">
        <f>IF(COUNT(R7:R41) &gt; 0, SQRT(SUMSQ(R7:R41)/(COUNT(R7:R41)*COUNT(R7:R41)) ), "—")</f>
        <v>0</v>
      </c>
    </row>
    <row r="43" spans="1:18" x14ac:dyDescent="0.25">
      <c r="A43" s="9" t="s">
        <v>176</v>
      </c>
      <c r="B43" s="10"/>
      <c r="C43" s="10"/>
      <c r="D43" s="11"/>
      <c r="E43" s="10"/>
      <c r="F43" s="11"/>
      <c r="G43" s="10"/>
      <c r="H43" s="11"/>
      <c r="I43" s="10"/>
      <c r="J43" s="11"/>
      <c r="K43" s="10"/>
      <c r="L43" s="11"/>
      <c r="M43" s="10"/>
      <c r="N43" s="11"/>
      <c r="O43" s="10"/>
      <c r="P43" s="11"/>
      <c r="Q43" s="10"/>
      <c r="R43" s="12"/>
    </row>
    <row r="44" spans="1:18" x14ac:dyDescent="0.25">
      <c r="A44" s="11" t="s">
        <v>177</v>
      </c>
      <c r="B44" s="17" t="s">
        <v>154</v>
      </c>
      <c r="C44" s="17" t="s">
        <v>154</v>
      </c>
      <c r="D44" s="18" t="s">
        <v>154</v>
      </c>
      <c r="E44" s="17" t="s">
        <v>154</v>
      </c>
      <c r="F44" s="18" t="s">
        <v>154</v>
      </c>
      <c r="G44" s="17" t="s">
        <v>154</v>
      </c>
      <c r="H44" s="18" t="s">
        <v>154</v>
      </c>
      <c r="I44" s="17" t="s">
        <v>154</v>
      </c>
      <c r="J44" s="18" t="s">
        <v>154</v>
      </c>
      <c r="K44" s="17" t="s">
        <v>154</v>
      </c>
      <c r="L44" s="18" t="s">
        <v>154</v>
      </c>
      <c r="M44" s="17" t="s">
        <v>154</v>
      </c>
      <c r="N44" s="18" t="s">
        <v>154</v>
      </c>
      <c r="O44" s="17" t="s">
        <v>154</v>
      </c>
      <c r="P44" s="18" t="s">
        <v>154</v>
      </c>
      <c r="Q44" s="17" t="s">
        <v>154</v>
      </c>
      <c r="R44" s="18" t="s">
        <v>154</v>
      </c>
    </row>
    <row r="45" spans="1:18" x14ac:dyDescent="0.25">
      <c r="A45" s="11" t="s">
        <v>178</v>
      </c>
      <c r="B45" s="17" t="s">
        <v>154</v>
      </c>
      <c r="C45" s="17" t="s">
        <v>154</v>
      </c>
      <c r="D45" s="18" t="s">
        <v>154</v>
      </c>
      <c r="E45" s="17" t="s">
        <v>154</v>
      </c>
      <c r="F45" s="18" t="s">
        <v>154</v>
      </c>
      <c r="G45" s="17" t="s">
        <v>154</v>
      </c>
      <c r="H45" s="18" t="s">
        <v>154</v>
      </c>
      <c r="I45" s="17" t="s">
        <v>154</v>
      </c>
      <c r="J45" s="18" t="s">
        <v>154</v>
      </c>
      <c r="K45" s="17" t="s">
        <v>154</v>
      </c>
      <c r="L45" s="18" t="s">
        <v>154</v>
      </c>
      <c r="M45" s="17" t="s">
        <v>154</v>
      </c>
      <c r="N45" s="18" t="s">
        <v>154</v>
      </c>
      <c r="O45" s="17" t="s">
        <v>154</v>
      </c>
      <c r="P45" s="18" t="s">
        <v>154</v>
      </c>
      <c r="Q45" s="17" t="s">
        <v>154</v>
      </c>
      <c r="R45" s="18" t="s">
        <v>154</v>
      </c>
    </row>
    <row r="46" spans="1:18" x14ac:dyDescent="0.25">
      <c r="A46" s="11" t="s">
        <v>179</v>
      </c>
      <c r="B46" s="13">
        <v>23141</v>
      </c>
      <c r="C46" s="14">
        <f>(19620/B46*100)</f>
        <v>84.784581478760643</v>
      </c>
      <c r="D46" s="15">
        <v>3521</v>
      </c>
      <c r="E46" s="14">
        <v>53.86960595</v>
      </c>
      <c r="F46" s="16">
        <v>1.04182902</v>
      </c>
      <c r="G46" s="14">
        <v>46.13039405</v>
      </c>
      <c r="H46" s="16">
        <v>1.04182902</v>
      </c>
      <c r="I46" s="14" t="s">
        <v>139</v>
      </c>
      <c r="J46" s="16" t="s">
        <v>139</v>
      </c>
      <c r="K46" s="14">
        <v>0</v>
      </c>
      <c r="L46" s="16">
        <v>0</v>
      </c>
      <c r="M46" s="14">
        <v>0</v>
      </c>
      <c r="N46" s="16">
        <v>0</v>
      </c>
      <c r="O46" s="14">
        <v>0</v>
      </c>
      <c r="P46" s="16">
        <v>0</v>
      </c>
      <c r="Q46" s="14">
        <v>0</v>
      </c>
      <c r="R46" s="16">
        <v>0</v>
      </c>
    </row>
    <row r="47" spans="1:18" x14ac:dyDescent="0.25">
      <c r="A47" s="11" t="s">
        <v>180</v>
      </c>
      <c r="B47" s="13">
        <v>5928</v>
      </c>
      <c r="C47" s="14">
        <f>(4915/B47*100)</f>
        <v>82.911605937921735</v>
      </c>
      <c r="D47" s="15">
        <v>1013</v>
      </c>
      <c r="E47" s="14">
        <v>56.385110969999999</v>
      </c>
      <c r="F47" s="16">
        <v>1.37542761</v>
      </c>
      <c r="G47" s="14">
        <v>43.614889030000001</v>
      </c>
      <c r="H47" s="16">
        <v>1.37542761</v>
      </c>
      <c r="I47" s="14" t="s">
        <v>139</v>
      </c>
      <c r="J47" s="16" t="s">
        <v>139</v>
      </c>
      <c r="K47" s="14">
        <v>0</v>
      </c>
      <c r="L47" s="16">
        <v>0</v>
      </c>
      <c r="M47" s="14">
        <v>0</v>
      </c>
      <c r="N47" s="16">
        <v>0</v>
      </c>
      <c r="O47" s="14">
        <v>0</v>
      </c>
      <c r="P47" s="16">
        <v>0</v>
      </c>
      <c r="Q47" s="14">
        <v>0</v>
      </c>
      <c r="R47" s="16">
        <v>0</v>
      </c>
    </row>
    <row r="48" spans="1:18" x14ac:dyDescent="0.25">
      <c r="A48" s="11" t="s">
        <v>181</v>
      </c>
      <c r="B48" s="13">
        <v>9841</v>
      </c>
      <c r="C48" s="14">
        <f>(8166/B48*100)</f>
        <v>82.979372015039118</v>
      </c>
      <c r="D48" s="15">
        <v>1675</v>
      </c>
      <c r="E48" s="14">
        <v>34.006467430000001</v>
      </c>
      <c r="F48" s="16">
        <v>1.6525772700000001</v>
      </c>
      <c r="G48" s="14">
        <v>65.993532569999999</v>
      </c>
      <c r="H48" s="16">
        <v>1.6525772700000001</v>
      </c>
      <c r="I48" s="14" t="s">
        <v>139</v>
      </c>
      <c r="J48" s="16" t="s">
        <v>139</v>
      </c>
      <c r="K48" s="14">
        <v>0</v>
      </c>
      <c r="L48" s="16">
        <v>0</v>
      </c>
      <c r="M48" s="14">
        <v>0</v>
      </c>
      <c r="N48" s="16">
        <v>0</v>
      </c>
      <c r="O48" s="14">
        <v>0</v>
      </c>
      <c r="P48" s="16">
        <v>0</v>
      </c>
      <c r="Q48" s="14">
        <v>0</v>
      </c>
      <c r="R48" s="16">
        <v>0</v>
      </c>
    </row>
    <row r="49" spans="1:18" x14ac:dyDescent="0.25">
      <c r="A49" s="11" t="s">
        <v>182</v>
      </c>
      <c r="B49" s="17" t="s">
        <v>154</v>
      </c>
      <c r="C49" s="17" t="s">
        <v>154</v>
      </c>
      <c r="D49" s="18" t="s">
        <v>154</v>
      </c>
      <c r="E49" s="17" t="s">
        <v>154</v>
      </c>
      <c r="F49" s="18" t="s">
        <v>154</v>
      </c>
      <c r="G49" s="17" t="s">
        <v>154</v>
      </c>
      <c r="H49" s="18" t="s">
        <v>154</v>
      </c>
      <c r="I49" s="17" t="s">
        <v>154</v>
      </c>
      <c r="J49" s="18" t="s">
        <v>154</v>
      </c>
      <c r="K49" s="17" t="s">
        <v>154</v>
      </c>
      <c r="L49" s="18" t="s">
        <v>154</v>
      </c>
      <c r="M49" s="17" t="s">
        <v>154</v>
      </c>
      <c r="N49" s="18" t="s">
        <v>154</v>
      </c>
      <c r="O49" s="17" t="s">
        <v>154</v>
      </c>
      <c r="P49" s="18" t="s">
        <v>154</v>
      </c>
      <c r="Q49" s="17" t="s">
        <v>154</v>
      </c>
      <c r="R49" s="18" t="s">
        <v>154</v>
      </c>
    </row>
    <row r="50" spans="1:18" x14ac:dyDescent="0.25">
      <c r="A50" s="11" t="s">
        <v>183</v>
      </c>
      <c r="B50" s="13">
        <v>11795</v>
      </c>
      <c r="C50" s="14">
        <f>(9783/B50*100)</f>
        <v>82.941924544298431</v>
      </c>
      <c r="D50" s="15">
        <v>2012</v>
      </c>
      <c r="E50" s="14">
        <v>52.03483121</v>
      </c>
      <c r="F50" s="16">
        <v>1.3627204500000001</v>
      </c>
      <c r="G50" s="14">
        <v>47.96516879</v>
      </c>
      <c r="H50" s="16">
        <v>1.3627204500000001</v>
      </c>
      <c r="I50" s="14" t="s">
        <v>139</v>
      </c>
      <c r="J50" s="16" t="s">
        <v>139</v>
      </c>
      <c r="K50" s="14">
        <v>0</v>
      </c>
      <c r="L50" s="16">
        <v>0</v>
      </c>
      <c r="M50" s="14">
        <v>0</v>
      </c>
      <c r="N50" s="16">
        <v>0</v>
      </c>
      <c r="O50" s="14">
        <v>0</v>
      </c>
      <c r="P50" s="16">
        <v>0</v>
      </c>
      <c r="Q50" s="14">
        <v>0</v>
      </c>
      <c r="R50" s="16">
        <v>0</v>
      </c>
    </row>
    <row r="51" spans="1:18" x14ac:dyDescent="0.25">
      <c r="A51" s="11" t="s">
        <v>184</v>
      </c>
      <c r="B51" s="13">
        <v>6866</v>
      </c>
      <c r="C51" s="14">
        <f>(5821/B51*100)</f>
        <v>84.780075735508291</v>
      </c>
      <c r="D51" s="15">
        <v>1045</v>
      </c>
      <c r="E51" s="14">
        <v>50.770969289999996</v>
      </c>
      <c r="F51" s="16">
        <v>1.7945792899999999</v>
      </c>
      <c r="G51" s="14">
        <v>49.229030710000004</v>
      </c>
      <c r="H51" s="16">
        <v>1.7945792899999999</v>
      </c>
      <c r="I51" s="14" t="s">
        <v>139</v>
      </c>
      <c r="J51" s="16" t="s">
        <v>139</v>
      </c>
      <c r="K51" s="14">
        <v>0</v>
      </c>
      <c r="L51" s="16">
        <v>0</v>
      </c>
      <c r="M51" s="14">
        <v>0</v>
      </c>
      <c r="N51" s="16">
        <v>0</v>
      </c>
      <c r="O51" s="14">
        <v>0</v>
      </c>
      <c r="P51" s="16">
        <v>0</v>
      </c>
      <c r="Q51" s="14">
        <v>0</v>
      </c>
      <c r="R51" s="16">
        <v>0</v>
      </c>
    </row>
    <row r="52" spans="1:18" x14ac:dyDescent="0.25">
      <c r="A52" s="11" t="s">
        <v>185</v>
      </c>
      <c r="B52" s="13">
        <v>5809</v>
      </c>
      <c r="C52" s="14">
        <f>(4831/B52*100)</f>
        <v>83.164055775520737</v>
      </c>
      <c r="D52" s="15">
        <v>978</v>
      </c>
      <c r="E52" s="14">
        <v>52.632652630000003</v>
      </c>
      <c r="F52" s="16">
        <v>1.5678444499999999</v>
      </c>
      <c r="G52" s="14">
        <v>47.367347369999997</v>
      </c>
      <c r="H52" s="16">
        <v>1.5678444499999999</v>
      </c>
      <c r="I52" s="14" t="s">
        <v>139</v>
      </c>
      <c r="J52" s="16" t="s">
        <v>139</v>
      </c>
      <c r="K52" s="14">
        <v>0</v>
      </c>
      <c r="L52" s="16">
        <v>0</v>
      </c>
      <c r="M52" s="14">
        <v>0</v>
      </c>
      <c r="N52" s="16">
        <v>0</v>
      </c>
      <c r="O52" s="14">
        <v>0</v>
      </c>
      <c r="P52" s="16">
        <v>0</v>
      </c>
      <c r="Q52" s="14">
        <v>0</v>
      </c>
      <c r="R52" s="16">
        <v>0</v>
      </c>
    </row>
    <row r="53" spans="1:18" x14ac:dyDescent="0.25">
      <c r="A53" s="11" t="s">
        <v>186</v>
      </c>
      <c r="B53" s="13">
        <v>5571</v>
      </c>
      <c r="C53" s="14">
        <f>(4635/B53*100)</f>
        <v>83.198707592891765</v>
      </c>
      <c r="D53" s="15">
        <v>936</v>
      </c>
      <c r="E53" s="14">
        <v>53.944258120000001</v>
      </c>
      <c r="F53" s="16">
        <v>1.7309196899999999</v>
      </c>
      <c r="G53" s="14">
        <v>46.055741879999999</v>
      </c>
      <c r="H53" s="16">
        <v>1.7309196899999999</v>
      </c>
      <c r="I53" s="14" t="s">
        <v>139</v>
      </c>
      <c r="J53" s="16" t="s">
        <v>139</v>
      </c>
      <c r="K53" s="14">
        <v>0</v>
      </c>
      <c r="L53" s="16">
        <v>0</v>
      </c>
      <c r="M53" s="14">
        <v>0</v>
      </c>
      <c r="N53" s="16">
        <v>0</v>
      </c>
      <c r="O53" s="14">
        <v>0</v>
      </c>
      <c r="P53" s="16">
        <v>0</v>
      </c>
      <c r="Q53" s="14">
        <v>0</v>
      </c>
      <c r="R53" s="16">
        <v>0</v>
      </c>
    </row>
    <row r="54" spans="1:18" x14ac:dyDescent="0.25">
      <c r="A54" s="11" t="s">
        <v>187</v>
      </c>
      <c r="B54" s="17" t="s">
        <v>154</v>
      </c>
      <c r="C54" s="17" t="s">
        <v>154</v>
      </c>
      <c r="D54" s="18" t="s">
        <v>154</v>
      </c>
      <c r="E54" s="17" t="s">
        <v>154</v>
      </c>
      <c r="F54" s="18" t="s">
        <v>154</v>
      </c>
      <c r="G54" s="17" t="s">
        <v>154</v>
      </c>
      <c r="H54" s="18" t="s">
        <v>154</v>
      </c>
      <c r="I54" s="17" t="s">
        <v>154</v>
      </c>
      <c r="J54" s="18" t="s">
        <v>154</v>
      </c>
      <c r="K54" s="17" t="s">
        <v>154</v>
      </c>
      <c r="L54" s="18" t="s">
        <v>154</v>
      </c>
      <c r="M54" s="17" t="s">
        <v>154</v>
      </c>
      <c r="N54" s="18" t="s">
        <v>154</v>
      </c>
      <c r="O54" s="17" t="s">
        <v>154</v>
      </c>
      <c r="P54" s="18" t="s">
        <v>154</v>
      </c>
      <c r="Q54" s="17" t="s">
        <v>154</v>
      </c>
      <c r="R54" s="18" t="s">
        <v>154</v>
      </c>
    </row>
    <row r="55" spans="1:18" x14ac:dyDescent="0.25">
      <c r="A55" s="11" t="s">
        <v>188</v>
      </c>
      <c r="B55" s="17" t="s">
        <v>154</v>
      </c>
      <c r="C55" s="17" t="s">
        <v>154</v>
      </c>
      <c r="D55" s="18" t="s">
        <v>154</v>
      </c>
      <c r="E55" s="17" t="s">
        <v>154</v>
      </c>
      <c r="F55" s="18" t="s">
        <v>154</v>
      </c>
      <c r="G55" s="17" t="s">
        <v>154</v>
      </c>
      <c r="H55" s="18" t="s">
        <v>154</v>
      </c>
      <c r="I55" s="17" t="s">
        <v>154</v>
      </c>
      <c r="J55" s="18" t="s">
        <v>154</v>
      </c>
      <c r="K55" s="17" t="s">
        <v>154</v>
      </c>
      <c r="L55" s="18" t="s">
        <v>154</v>
      </c>
      <c r="M55" s="17" t="s">
        <v>154</v>
      </c>
      <c r="N55" s="18" t="s">
        <v>154</v>
      </c>
      <c r="O55" s="17" t="s">
        <v>154</v>
      </c>
      <c r="P55" s="18" t="s">
        <v>154</v>
      </c>
      <c r="Q55" s="17" t="s">
        <v>154</v>
      </c>
      <c r="R55" s="18" t="s">
        <v>154</v>
      </c>
    </row>
    <row r="56" spans="1:18" x14ac:dyDescent="0.25">
      <c r="A56" s="11" t="s">
        <v>189</v>
      </c>
      <c r="B56" s="13">
        <v>5359</v>
      </c>
      <c r="C56" s="14">
        <f>(4449/B56*100)</f>
        <v>83.019220003732045</v>
      </c>
      <c r="D56" s="15">
        <v>910</v>
      </c>
      <c r="E56" s="14">
        <v>35.224185179999999</v>
      </c>
      <c r="F56" s="16">
        <v>1.6907247000000001</v>
      </c>
      <c r="G56" s="14">
        <v>64.775814819999994</v>
      </c>
      <c r="H56" s="16">
        <v>1.6907247000000001</v>
      </c>
      <c r="I56" s="14" t="s">
        <v>139</v>
      </c>
      <c r="J56" s="16" t="s">
        <v>139</v>
      </c>
      <c r="K56" s="14">
        <v>0</v>
      </c>
      <c r="L56" s="16">
        <v>0</v>
      </c>
      <c r="M56" s="14">
        <v>0</v>
      </c>
      <c r="N56" s="16">
        <v>0</v>
      </c>
      <c r="O56" s="14">
        <v>0</v>
      </c>
      <c r="P56" s="16">
        <v>0</v>
      </c>
      <c r="Q56" s="14">
        <v>0</v>
      </c>
      <c r="R56" s="16">
        <v>0</v>
      </c>
    </row>
    <row r="57" spans="1:18" x14ac:dyDescent="0.25">
      <c r="A57" s="11" t="s">
        <v>190</v>
      </c>
      <c r="B57" s="17" t="s">
        <v>154</v>
      </c>
      <c r="C57" s="17" t="s">
        <v>154</v>
      </c>
      <c r="D57" s="18" t="s">
        <v>154</v>
      </c>
      <c r="E57" s="17" t="s">
        <v>154</v>
      </c>
      <c r="F57" s="18" t="s">
        <v>154</v>
      </c>
      <c r="G57" s="17" t="s">
        <v>154</v>
      </c>
      <c r="H57" s="18" t="s">
        <v>154</v>
      </c>
      <c r="I57" s="17" t="s">
        <v>154</v>
      </c>
      <c r="J57" s="18" t="s">
        <v>154</v>
      </c>
      <c r="K57" s="17" t="s">
        <v>154</v>
      </c>
      <c r="L57" s="18" t="s">
        <v>154</v>
      </c>
      <c r="M57" s="17" t="s">
        <v>154</v>
      </c>
      <c r="N57" s="18" t="s">
        <v>154</v>
      </c>
      <c r="O57" s="17" t="s">
        <v>154</v>
      </c>
      <c r="P57" s="18" t="s">
        <v>154</v>
      </c>
      <c r="Q57" s="17" t="s">
        <v>154</v>
      </c>
      <c r="R57" s="18" t="s">
        <v>154</v>
      </c>
    </row>
    <row r="58" spans="1:18" x14ac:dyDescent="0.25">
      <c r="A58" s="11" t="s">
        <v>191</v>
      </c>
      <c r="B58" s="17" t="s">
        <v>154</v>
      </c>
      <c r="C58" s="17" t="s">
        <v>154</v>
      </c>
      <c r="D58" s="18" t="s">
        <v>154</v>
      </c>
      <c r="E58" s="17" t="s">
        <v>154</v>
      </c>
      <c r="F58" s="18" t="s">
        <v>154</v>
      </c>
      <c r="G58" s="17" t="s">
        <v>154</v>
      </c>
      <c r="H58" s="18" t="s">
        <v>154</v>
      </c>
      <c r="I58" s="17" t="s">
        <v>154</v>
      </c>
      <c r="J58" s="18" t="s">
        <v>154</v>
      </c>
      <c r="K58" s="17" t="s">
        <v>154</v>
      </c>
      <c r="L58" s="18" t="s">
        <v>154</v>
      </c>
      <c r="M58" s="17" t="s">
        <v>154</v>
      </c>
      <c r="N58" s="18" t="s">
        <v>154</v>
      </c>
      <c r="O58" s="17" t="s">
        <v>154</v>
      </c>
      <c r="P58" s="18" t="s">
        <v>154</v>
      </c>
      <c r="Q58" s="17" t="s">
        <v>154</v>
      </c>
      <c r="R58" s="18" t="s">
        <v>154</v>
      </c>
    </row>
    <row r="59" spans="1:18" x14ac:dyDescent="0.25">
      <c r="A59" s="11" t="s">
        <v>192</v>
      </c>
      <c r="B59" s="17" t="s">
        <v>154</v>
      </c>
      <c r="C59" s="17" t="s">
        <v>154</v>
      </c>
      <c r="D59" s="18" t="s">
        <v>154</v>
      </c>
      <c r="E59" s="17" t="s">
        <v>154</v>
      </c>
      <c r="F59" s="18" t="s">
        <v>154</v>
      </c>
      <c r="G59" s="17" t="s">
        <v>154</v>
      </c>
      <c r="H59" s="18" t="s">
        <v>154</v>
      </c>
      <c r="I59" s="17" t="s">
        <v>154</v>
      </c>
      <c r="J59" s="18" t="s">
        <v>154</v>
      </c>
      <c r="K59" s="17" t="s">
        <v>154</v>
      </c>
      <c r="L59" s="18" t="s">
        <v>154</v>
      </c>
      <c r="M59" s="17" t="s">
        <v>154</v>
      </c>
      <c r="N59" s="18" t="s">
        <v>154</v>
      </c>
      <c r="O59" s="17" t="s">
        <v>154</v>
      </c>
      <c r="P59" s="18" t="s">
        <v>154</v>
      </c>
      <c r="Q59" s="17" t="s">
        <v>154</v>
      </c>
      <c r="R59" s="18" t="s">
        <v>154</v>
      </c>
    </row>
    <row r="60" spans="1:18" x14ac:dyDescent="0.25">
      <c r="A60" s="11" t="s">
        <v>193</v>
      </c>
      <c r="B60" s="17" t="s">
        <v>154</v>
      </c>
      <c r="C60" s="17" t="s">
        <v>154</v>
      </c>
      <c r="D60" s="18" t="s">
        <v>154</v>
      </c>
      <c r="E60" s="17" t="s">
        <v>154</v>
      </c>
      <c r="F60" s="18" t="s">
        <v>154</v>
      </c>
      <c r="G60" s="17" t="s">
        <v>154</v>
      </c>
      <c r="H60" s="18" t="s">
        <v>154</v>
      </c>
      <c r="I60" s="17" t="s">
        <v>154</v>
      </c>
      <c r="J60" s="18" t="s">
        <v>154</v>
      </c>
      <c r="K60" s="17" t="s">
        <v>154</v>
      </c>
      <c r="L60" s="18" t="s">
        <v>154</v>
      </c>
      <c r="M60" s="17" t="s">
        <v>154</v>
      </c>
      <c r="N60" s="18" t="s">
        <v>154</v>
      </c>
      <c r="O60" s="17" t="s">
        <v>154</v>
      </c>
      <c r="P60" s="18" t="s">
        <v>154</v>
      </c>
      <c r="Q60" s="17" t="s">
        <v>154</v>
      </c>
      <c r="R60" s="18" t="s">
        <v>154</v>
      </c>
    </row>
    <row r="61" spans="1:18" x14ac:dyDescent="0.25">
      <c r="A61" s="11" t="s">
        <v>194</v>
      </c>
      <c r="B61" s="13">
        <v>6525</v>
      </c>
      <c r="C61" s="14">
        <f>(5419/B61*100)</f>
        <v>83.049808429118769</v>
      </c>
      <c r="D61" s="15">
        <v>1106</v>
      </c>
      <c r="E61" s="14">
        <v>45.277468720000002</v>
      </c>
      <c r="F61" s="16">
        <v>1.54269396</v>
      </c>
      <c r="G61" s="14">
        <v>54.722531279999998</v>
      </c>
      <c r="H61" s="16">
        <v>1.54269396</v>
      </c>
      <c r="I61" s="14" t="s">
        <v>139</v>
      </c>
      <c r="J61" s="16" t="s">
        <v>139</v>
      </c>
      <c r="K61" s="14">
        <v>0</v>
      </c>
      <c r="L61" s="16">
        <v>0</v>
      </c>
      <c r="M61" s="14">
        <v>0</v>
      </c>
      <c r="N61" s="16">
        <v>0</v>
      </c>
      <c r="O61" s="14">
        <v>0</v>
      </c>
      <c r="P61" s="16">
        <v>0</v>
      </c>
      <c r="Q61" s="14">
        <v>0</v>
      </c>
      <c r="R61" s="16">
        <v>0</v>
      </c>
    </row>
    <row r="62" spans="1:18" x14ac:dyDescent="0.25">
      <c r="A62" s="11" t="s">
        <v>195</v>
      </c>
      <c r="B62" s="13">
        <v>4476</v>
      </c>
      <c r="C62" s="14">
        <f>(3700/B62*100)</f>
        <v>82.663092046470069</v>
      </c>
      <c r="D62" s="15">
        <v>776</v>
      </c>
      <c r="E62" s="14">
        <v>33.82359288</v>
      </c>
      <c r="F62" s="16">
        <v>1.8953614999999999</v>
      </c>
      <c r="G62" s="14">
        <v>66.176407119999993</v>
      </c>
      <c r="H62" s="16">
        <v>1.8953614999999999</v>
      </c>
      <c r="I62" s="14" t="s">
        <v>139</v>
      </c>
      <c r="J62" s="16" t="s">
        <v>139</v>
      </c>
      <c r="K62" s="14">
        <v>0</v>
      </c>
      <c r="L62" s="16">
        <v>0</v>
      </c>
      <c r="M62" s="14">
        <v>0</v>
      </c>
      <c r="N62" s="16">
        <v>0</v>
      </c>
      <c r="O62" s="14">
        <v>0</v>
      </c>
      <c r="P62" s="16">
        <v>0</v>
      </c>
      <c r="Q62" s="14">
        <v>0</v>
      </c>
      <c r="R62" s="16">
        <v>0</v>
      </c>
    </row>
    <row r="63" spans="1:18" x14ac:dyDescent="0.25">
      <c r="A63" s="11" t="s">
        <v>196</v>
      </c>
      <c r="B63" s="17" t="s">
        <v>154</v>
      </c>
      <c r="C63" s="17" t="s">
        <v>154</v>
      </c>
      <c r="D63" s="18" t="s">
        <v>154</v>
      </c>
      <c r="E63" s="17" t="s">
        <v>154</v>
      </c>
      <c r="F63" s="18" t="s">
        <v>154</v>
      </c>
      <c r="G63" s="17" t="s">
        <v>154</v>
      </c>
      <c r="H63" s="18" t="s">
        <v>154</v>
      </c>
      <c r="I63" s="17" t="s">
        <v>154</v>
      </c>
      <c r="J63" s="18" t="s">
        <v>154</v>
      </c>
      <c r="K63" s="17" t="s">
        <v>154</v>
      </c>
      <c r="L63" s="18" t="s">
        <v>154</v>
      </c>
      <c r="M63" s="17" t="s">
        <v>154</v>
      </c>
      <c r="N63" s="18" t="s">
        <v>154</v>
      </c>
      <c r="O63" s="17" t="s">
        <v>154</v>
      </c>
      <c r="P63" s="18" t="s">
        <v>154</v>
      </c>
      <c r="Q63" s="17" t="s">
        <v>154</v>
      </c>
      <c r="R63" s="18" t="s">
        <v>154</v>
      </c>
    </row>
    <row r="64" spans="1:18" x14ac:dyDescent="0.25">
      <c r="A64" s="11" t="s">
        <v>197</v>
      </c>
      <c r="B64" s="17" t="s">
        <v>154</v>
      </c>
      <c r="C64" s="17" t="s">
        <v>154</v>
      </c>
      <c r="D64" s="18" t="s">
        <v>154</v>
      </c>
      <c r="E64" s="17" t="s">
        <v>154</v>
      </c>
      <c r="F64" s="18" t="s">
        <v>154</v>
      </c>
      <c r="G64" s="17" t="s">
        <v>154</v>
      </c>
      <c r="H64" s="18" t="s">
        <v>154</v>
      </c>
      <c r="I64" s="17" t="s">
        <v>154</v>
      </c>
      <c r="J64" s="18" t="s">
        <v>154</v>
      </c>
      <c r="K64" s="17" t="s">
        <v>154</v>
      </c>
      <c r="L64" s="18" t="s">
        <v>154</v>
      </c>
      <c r="M64" s="17" t="s">
        <v>154</v>
      </c>
      <c r="N64" s="18" t="s">
        <v>154</v>
      </c>
      <c r="O64" s="17" t="s">
        <v>154</v>
      </c>
      <c r="P64" s="18" t="s">
        <v>154</v>
      </c>
      <c r="Q64" s="17" t="s">
        <v>154</v>
      </c>
      <c r="R64" s="18" t="s">
        <v>154</v>
      </c>
    </row>
    <row r="65" spans="1:18" x14ac:dyDescent="0.25">
      <c r="A65" s="11" t="s">
        <v>198</v>
      </c>
      <c r="B65" s="17" t="s">
        <v>154</v>
      </c>
      <c r="C65" s="17" t="s">
        <v>154</v>
      </c>
      <c r="D65" s="18" t="s">
        <v>154</v>
      </c>
      <c r="E65" s="17" t="s">
        <v>154</v>
      </c>
      <c r="F65" s="18" t="s">
        <v>154</v>
      </c>
      <c r="G65" s="17" t="s">
        <v>154</v>
      </c>
      <c r="H65" s="18" t="s">
        <v>154</v>
      </c>
      <c r="I65" s="17" t="s">
        <v>154</v>
      </c>
      <c r="J65" s="18" t="s">
        <v>154</v>
      </c>
      <c r="K65" s="17" t="s">
        <v>154</v>
      </c>
      <c r="L65" s="18" t="s">
        <v>154</v>
      </c>
      <c r="M65" s="17" t="s">
        <v>154</v>
      </c>
      <c r="N65" s="18" t="s">
        <v>154</v>
      </c>
      <c r="O65" s="17" t="s">
        <v>154</v>
      </c>
      <c r="P65" s="18" t="s">
        <v>154</v>
      </c>
      <c r="Q65" s="17" t="s">
        <v>154</v>
      </c>
      <c r="R65" s="18" t="s">
        <v>154</v>
      </c>
    </row>
    <row r="66" spans="1:18" x14ac:dyDescent="0.25">
      <c r="A66" s="11" t="s">
        <v>199</v>
      </c>
      <c r="B66" s="13">
        <v>5665</v>
      </c>
      <c r="C66" s="14">
        <f>(4714/B66*100)</f>
        <v>83.212709620476616</v>
      </c>
      <c r="D66" s="15">
        <v>951</v>
      </c>
      <c r="E66" s="14">
        <v>54.609529250000001</v>
      </c>
      <c r="F66" s="16">
        <v>1.6879088799999999</v>
      </c>
      <c r="G66" s="14">
        <v>45.390470749999999</v>
      </c>
      <c r="H66" s="16">
        <v>1.6879088799999999</v>
      </c>
      <c r="I66" s="14" t="s">
        <v>139</v>
      </c>
      <c r="J66" s="16" t="s">
        <v>139</v>
      </c>
      <c r="K66" s="14">
        <v>0</v>
      </c>
      <c r="L66" s="16">
        <v>0</v>
      </c>
      <c r="M66" s="14">
        <v>0</v>
      </c>
      <c r="N66" s="16">
        <v>0</v>
      </c>
      <c r="O66" s="14">
        <v>0</v>
      </c>
      <c r="P66" s="16">
        <v>0</v>
      </c>
      <c r="Q66" s="14">
        <v>0</v>
      </c>
      <c r="R66" s="16">
        <v>0</v>
      </c>
    </row>
    <row r="67" spans="1:18" x14ac:dyDescent="0.25">
      <c r="A67" s="11" t="s">
        <v>200</v>
      </c>
      <c r="B67" s="13">
        <v>6971</v>
      </c>
      <c r="C67" s="14">
        <f>(5864/B67*100)</f>
        <v>84.119925405250314</v>
      </c>
      <c r="D67" s="15">
        <v>1107</v>
      </c>
      <c r="E67" s="14">
        <v>55.404096369999998</v>
      </c>
      <c r="F67" s="16">
        <v>1.7857674400000001</v>
      </c>
      <c r="G67" s="14">
        <v>44.595903630000002</v>
      </c>
      <c r="H67" s="16">
        <v>1.7857674400000001</v>
      </c>
      <c r="I67" s="14" t="s">
        <v>139</v>
      </c>
      <c r="J67" s="16" t="s">
        <v>139</v>
      </c>
      <c r="K67" s="14">
        <v>0</v>
      </c>
      <c r="L67" s="16">
        <v>0</v>
      </c>
      <c r="M67" s="14">
        <v>0</v>
      </c>
      <c r="N67" s="16">
        <v>0</v>
      </c>
      <c r="O67" s="14">
        <v>0</v>
      </c>
      <c r="P67" s="16">
        <v>0</v>
      </c>
      <c r="Q67" s="14">
        <v>0</v>
      </c>
      <c r="R67" s="16">
        <v>0</v>
      </c>
    </row>
    <row r="68" spans="1:18" x14ac:dyDescent="0.25">
      <c r="A68" s="11" t="s">
        <v>201</v>
      </c>
      <c r="B68" s="17" t="s">
        <v>154</v>
      </c>
      <c r="C68" s="17" t="s">
        <v>154</v>
      </c>
      <c r="D68" s="18" t="s">
        <v>154</v>
      </c>
      <c r="E68" s="17" t="s">
        <v>154</v>
      </c>
      <c r="F68" s="18" t="s">
        <v>154</v>
      </c>
      <c r="G68" s="17" t="s">
        <v>154</v>
      </c>
      <c r="H68" s="18" t="s">
        <v>154</v>
      </c>
      <c r="I68" s="17" t="s">
        <v>154</v>
      </c>
      <c r="J68" s="18" t="s">
        <v>154</v>
      </c>
      <c r="K68" s="17" t="s">
        <v>154</v>
      </c>
      <c r="L68" s="18" t="s">
        <v>154</v>
      </c>
      <c r="M68" s="17" t="s">
        <v>154</v>
      </c>
      <c r="N68" s="18" t="s">
        <v>154</v>
      </c>
      <c r="O68" s="17" t="s">
        <v>154</v>
      </c>
      <c r="P68" s="18" t="s">
        <v>154</v>
      </c>
      <c r="Q68" s="17" t="s">
        <v>154</v>
      </c>
      <c r="R68" s="18" t="s">
        <v>154</v>
      </c>
    </row>
    <row r="69" spans="1:18" x14ac:dyDescent="0.25">
      <c r="A69" s="11" t="s">
        <v>202</v>
      </c>
      <c r="B69" s="17" t="s">
        <v>154</v>
      </c>
      <c r="C69" s="17" t="s">
        <v>154</v>
      </c>
      <c r="D69" s="18" t="s">
        <v>154</v>
      </c>
      <c r="E69" s="17" t="s">
        <v>154</v>
      </c>
      <c r="F69" s="18" t="s">
        <v>154</v>
      </c>
      <c r="G69" s="17" t="s">
        <v>154</v>
      </c>
      <c r="H69" s="18" t="s">
        <v>154</v>
      </c>
      <c r="I69" s="17" t="s">
        <v>154</v>
      </c>
      <c r="J69" s="18" t="s">
        <v>154</v>
      </c>
      <c r="K69" s="17" t="s">
        <v>154</v>
      </c>
      <c r="L69" s="18" t="s">
        <v>154</v>
      </c>
      <c r="M69" s="17" t="s">
        <v>154</v>
      </c>
      <c r="N69" s="18" t="s">
        <v>154</v>
      </c>
      <c r="O69" s="17" t="s">
        <v>154</v>
      </c>
      <c r="P69" s="18" t="s">
        <v>154</v>
      </c>
      <c r="Q69" s="17" t="s">
        <v>154</v>
      </c>
      <c r="R69" s="18" t="s">
        <v>154</v>
      </c>
    </row>
    <row r="70" spans="1:18" x14ac:dyDescent="0.25">
      <c r="A70" s="11" t="s">
        <v>203</v>
      </c>
      <c r="B70" s="13">
        <v>6036</v>
      </c>
      <c r="C70" s="14">
        <f>(4995/B70*100)</f>
        <v>82.753479125248504</v>
      </c>
      <c r="D70" s="15">
        <v>1041</v>
      </c>
      <c r="E70" s="14">
        <v>50.712821810000001</v>
      </c>
      <c r="F70" s="16">
        <v>1.6575334500000001</v>
      </c>
      <c r="G70" s="14">
        <v>49.287178189999999</v>
      </c>
      <c r="H70" s="16">
        <v>1.6575334500000001</v>
      </c>
      <c r="I70" s="14" t="s">
        <v>139</v>
      </c>
      <c r="J70" s="16" t="s">
        <v>139</v>
      </c>
      <c r="K70" s="14">
        <v>0</v>
      </c>
      <c r="L70" s="16">
        <v>0</v>
      </c>
      <c r="M70" s="14">
        <v>0</v>
      </c>
      <c r="N70" s="16">
        <v>0</v>
      </c>
      <c r="O70" s="14">
        <v>0</v>
      </c>
      <c r="P70" s="16">
        <v>0</v>
      </c>
      <c r="Q70" s="14">
        <v>0</v>
      </c>
      <c r="R70" s="16">
        <v>0</v>
      </c>
    </row>
    <row r="71" spans="1:18" x14ac:dyDescent="0.25">
      <c r="A71" s="11" t="s">
        <v>204</v>
      </c>
      <c r="B71" s="17" t="s">
        <v>154</v>
      </c>
      <c r="C71" s="17" t="s">
        <v>154</v>
      </c>
      <c r="D71" s="18" t="s">
        <v>154</v>
      </c>
      <c r="E71" s="17" t="s">
        <v>154</v>
      </c>
      <c r="F71" s="18" t="s">
        <v>154</v>
      </c>
      <c r="G71" s="17" t="s">
        <v>154</v>
      </c>
      <c r="H71" s="18" t="s">
        <v>154</v>
      </c>
      <c r="I71" s="17" t="s">
        <v>154</v>
      </c>
      <c r="J71" s="18" t="s">
        <v>154</v>
      </c>
      <c r="K71" s="17" t="s">
        <v>154</v>
      </c>
      <c r="L71" s="18" t="s">
        <v>154</v>
      </c>
      <c r="M71" s="17" t="s">
        <v>154</v>
      </c>
      <c r="N71" s="18" t="s">
        <v>154</v>
      </c>
      <c r="O71" s="17" t="s">
        <v>154</v>
      </c>
      <c r="P71" s="18" t="s">
        <v>154</v>
      </c>
      <c r="Q71" s="17" t="s">
        <v>154</v>
      </c>
      <c r="R71" s="18" t="s">
        <v>154</v>
      </c>
    </row>
    <row r="72" spans="1:18" x14ac:dyDescent="0.25">
      <c r="A72" s="11" t="s">
        <v>205</v>
      </c>
      <c r="B72" s="13">
        <v>7708</v>
      </c>
      <c r="C72" s="14">
        <f>(6365/B72*100)</f>
        <v>82.576543850544894</v>
      </c>
      <c r="D72" s="15">
        <v>1343</v>
      </c>
      <c r="E72" s="14">
        <v>40.18158107</v>
      </c>
      <c r="F72" s="16">
        <v>1.3377022000000001</v>
      </c>
      <c r="G72" s="14">
        <v>59.81841893</v>
      </c>
      <c r="H72" s="16">
        <v>1.3377022000000001</v>
      </c>
      <c r="I72" s="14" t="s">
        <v>139</v>
      </c>
      <c r="J72" s="16" t="s">
        <v>139</v>
      </c>
      <c r="K72" s="14">
        <v>0</v>
      </c>
      <c r="L72" s="16">
        <v>0</v>
      </c>
      <c r="M72" s="14">
        <v>0</v>
      </c>
      <c r="N72" s="16">
        <v>0</v>
      </c>
      <c r="O72" s="14">
        <v>0</v>
      </c>
      <c r="P72" s="16">
        <v>0</v>
      </c>
      <c r="Q72" s="14">
        <v>0</v>
      </c>
      <c r="R72" s="16">
        <v>0</v>
      </c>
    </row>
    <row r="73" spans="1:18" x14ac:dyDescent="0.25">
      <c r="A73" s="11" t="s">
        <v>206</v>
      </c>
      <c r="B73" s="13">
        <v>8249</v>
      </c>
      <c r="C73" s="14">
        <f>(6856/B73*100)</f>
        <v>83.113104618741659</v>
      </c>
      <c r="D73" s="15">
        <v>1393</v>
      </c>
      <c r="E73" s="14">
        <v>33.491844469999997</v>
      </c>
      <c r="F73" s="16">
        <v>1.6405462099999999</v>
      </c>
      <c r="G73" s="14">
        <v>66.508155529999996</v>
      </c>
      <c r="H73" s="16">
        <v>1.6405462099999999</v>
      </c>
      <c r="I73" s="14" t="s">
        <v>139</v>
      </c>
      <c r="J73" s="16" t="s">
        <v>139</v>
      </c>
      <c r="K73" s="14">
        <v>0</v>
      </c>
      <c r="L73" s="16">
        <v>0</v>
      </c>
      <c r="M73" s="14">
        <v>0</v>
      </c>
      <c r="N73" s="16">
        <v>0</v>
      </c>
      <c r="O73" s="14">
        <v>0</v>
      </c>
      <c r="P73" s="16">
        <v>0</v>
      </c>
      <c r="Q73" s="14">
        <v>0</v>
      </c>
      <c r="R73" s="16">
        <v>0</v>
      </c>
    </row>
    <row r="74" spans="1:18" x14ac:dyDescent="0.25">
      <c r="A74" s="11" t="s">
        <v>207</v>
      </c>
      <c r="B74" s="17" t="s">
        <v>154</v>
      </c>
      <c r="C74" s="17" t="s">
        <v>154</v>
      </c>
      <c r="D74" s="18" t="s">
        <v>154</v>
      </c>
      <c r="E74" s="17" t="s">
        <v>154</v>
      </c>
      <c r="F74" s="18" t="s">
        <v>154</v>
      </c>
      <c r="G74" s="17" t="s">
        <v>154</v>
      </c>
      <c r="H74" s="18" t="s">
        <v>154</v>
      </c>
      <c r="I74" s="17" t="s">
        <v>154</v>
      </c>
      <c r="J74" s="18" t="s">
        <v>154</v>
      </c>
      <c r="K74" s="17" t="s">
        <v>154</v>
      </c>
      <c r="L74" s="18" t="s">
        <v>154</v>
      </c>
      <c r="M74" s="17" t="s">
        <v>154</v>
      </c>
      <c r="N74" s="18" t="s">
        <v>154</v>
      </c>
      <c r="O74" s="17" t="s">
        <v>154</v>
      </c>
      <c r="P74" s="18" t="s">
        <v>154</v>
      </c>
      <c r="Q74" s="17" t="s">
        <v>154</v>
      </c>
      <c r="R74" s="18" t="s">
        <v>154</v>
      </c>
    </row>
    <row r="75" spans="1:18" x14ac:dyDescent="0.25">
      <c r="A75" s="11" t="s">
        <v>208</v>
      </c>
      <c r="B75" s="13">
        <v>5375</v>
      </c>
      <c r="C75" s="14">
        <f>(4528/B75*100)</f>
        <v>84.241860465116275</v>
      </c>
      <c r="D75" s="15">
        <v>847</v>
      </c>
      <c r="E75" s="14">
        <v>59.734419099999997</v>
      </c>
      <c r="F75" s="16">
        <v>1.78788441</v>
      </c>
      <c r="G75" s="14">
        <v>40.265580900000003</v>
      </c>
      <c r="H75" s="16">
        <v>1.78788441</v>
      </c>
      <c r="I75" s="14" t="s">
        <v>139</v>
      </c>
      <c r="J75" s="16" t="s">
        <v>139</v>
      </c>
      <c r="K75" s="14">
        <v>0</v>
      </c>
      <c r="L75" s="16">
        <v>0</v>
      </c>
      <c r="M75" s="14">
        <v>0</v>
      </c>
      <c r="N75" s="16">
        <v>0</v>
      </c>
      <c r="O75" s="14">
        <v>0</v>
      </c>
      <c r="P75" s="16">
        <v>0</v>
      </c>
      <c r="Q75" s="14">
        <v>0</v>
      </c>
      <c r="R75" s="16">
        <v>0</v>
      </c>
    </row>
    <row r="76" spans="1:18" x14ac:dyDescent="0.25">
      <c r="A76" s="11" t="s">
        <v>209</v>
      </c>
      <c r="B76" s="13">
        <v>14167</v>
      </c>
      <c r="C76" s="14">
        <f>(11764/B76*100)</f>
        <v>83.038046163619683</v>
      </c>
      <c r="D76" s="15">
        <v>2403</v>
      </c>
      <c r="E76" s="14">
        <v>55.485649410000001</v>
      </c>
      <c r="F76" s="16">
        <v>1.2696189600000001</v>
      </c>
      <c r="G76" s="14">
        <v>44.514350589999999</v>
      </c>
      <c r="H76" s="16">
        <v>1.2696189600000001</v>
      </c>
      <c r="I76" s="14" t="s">
        <v>139</v>
      </c>
      <c r="J76" s="16" t="s">
        <v>139</v>
      </c>
      <c r="K76" s="14">
        <v>0</v>
      </c>
      <c r="L76" s="16">
        <v>0</v>
      </c>
      <c r="M76" s="14">
        <v>0</v>
      </c>
      <c r="N76" s="16">
        <v>0</v>
      </c>
      <c r="O76" s="14">
        <v>0</v>
      </c>
      <c r="P76" s="16">
        <v>0</v>
      </c>
      <c r="Q76" s="14">
        <v>0</v>
      </c>
      <c r="R76" s="16">
        <v>0</v>
      </c>
    </row>
    <row r="77" spans="1:18" x14ac:dyDescent="0.25">
      <c r="A77" s="11" t="s">
        <v>210</v>
      </c>
      <c r="B77" s="13">
        <v>6062</v>
      </c>
      <c r="C77" s="14">
        <f>(5046/B77*100)</f>
        <v>83.239854833388321</v>
      </c>
      <c r="D77" s="15">
        <v>1016</v>
      </c>
      <c r="E77" s="14">
        <v>54.42504314</v>
      </c>
      <c r="F77" s="16">
        <v>1.5914525500000001</v>
      </c>
      <c r="G77" s="14">
        <v>45.57495686</v>
      </c>
      <c r="H77" s="16">
        <v>1.5914525500000001</v>
      </c>
      <c r="I77" s="14" t="s">
        <v>139</v>
      </c>
      <c r="J77" s="16" t="s">
        <v>139</v>
      </c>
      <c r="K77" s="14">
        <v>0</v>
      </c>
      <c r="L77" s="16">
        <v>0</v>
      </c>
      <c r="M77" s="14">
        <v>0</v>
      </c>
      <c r="N77" s="16">
        <v>0</v>
      </c>
      <c r="O77" s="14">
        <v>0</v>
      </c>
      <c r="P77" s="16">
        <v>0</v>
      </c>
      <c r="Q77" s="14">
        <v>0</v>
      </c>
      <c r="R77" s="16">
        <v>0</v>
      </c>
    </row>
    <row r="78" spans="1:18" x14ac:dyDescent="0.25">
      <c r="A78" s="11" t="s">
        <v>211</v>
      </c>
      <c r="B78" s="17" t="s">
        <v>154</v>
      </c>
      <c r="C78" s="17" t="s">
        <v>154</v>
      </c>
      <c r="D78" s="18" t="s">
        <v>154</v>
      </c>
      <c r="E78" s="17" t="s">
        <v>154</v>
      </c>
      <c r="F78" s="18" t="s">
        <v>154</v>
      </c>
      <c r="G78" s="17" t="s">
        <v>154</v>
      </c>
      <c r="H78" s="18" t="s">
        <v>154</v>
      </c>
      <c r="I78" s="17" t="s">
        <v>154</v>
      </c>
      <c r="J78" s="18" t="s">
        <v>154</v>
      </c>
      <c r="K78" s="17" t="s">
        <v>154</v>
      </c>
      <c r="L78" s="18" t="s">
        <v>154</v>
      </c>
      <c r="M78" s="17" t="s">
        <v>154</v>
      </c>
      <c r="N78" s="18" t="s">
        <v>154</v>
      </c>
      <c r="O78" s="17" t="s">
        <v>154</v>
      </c>
      <c r="P78" s="18" t="s">
        <v>154</v>
      </c>
      <c r="Q78" s="17" t="s">
        <v>154</v>
      </c>
      <c r="R78" s="18" t="s">
        <v>154</v>
      </c>
    </row>
    <row r="79" spans="1:18" ht="24.95" customHeight="1" x14ac:dyDescent="0.25">
      <c r="A79" s="11" t="s">
        <v>212</v>
      </c>
      <c r="B79" s="17" t="s">
        <v>154</v>
      </c>
      <c r="C79" s="17" t="s">
        <v>154</v>
      </c>
      <c r="D79" s="18" t="s">
        <v>154</v>
      </c>
      <c r="E79" s="17" t="s">
        <v>154</v>
      </c>
      <c r="F79" s="18" t="s">
        <v>154</v>
      </c>
      <c r="G79" s="17" t="s">
        <v>154</v>
      </c>
      <c r="H79" s="18" t="s">
        <v>154</v>
      </c>
      <c r="I79" s="17" t="s">
        <v>154</v>
      </c>
      <c r="J79" s="18" t="s">
        <v>154</v>
      </c>
      <c r="K79" s="17" t="s">
        <v>154</v>
      </c>
      <c r="L79" s="18" t="s">
        <v>154</v>
      </c>
      <c r="M79" s="17" t="s">
        <v>154</v>
      </c>
      <c r="N79" s="18" t="s">
        <v>154</v>
      </c>
      <c r="O79" s="17" t="s">
        <v>154</v>
      </c>
      <c r="P79" s="18" t="s">
        <v>154</v>
      </c>
      <c r="Q79" s="17" t="s">
        <v>154</v>
      </c>
      <c r="R79" s="18" t="s">
        <v>154</v>
      </c>
    </row>
    <row r="80" spans="1:18" x14ac:dyDescent="0.25">
      <c r="A80" s="11" t="s">
        <v>213</v>
      </c>
      <c r="B80" s="17" t="s">
        <v>154</v>
      </c>
      <c r="C80" s="17" t="s">
        <v>154</v>
      </c>
      <c r="D80" s="18" t="s">
        <v>154</v>
      </c>
      <c r="E80" s="17" t="s">
        <v>154</v>
      </c>
      <c r="F80" s="18" t="s">
        <v>154</v>
      </c>
      <c r="G80" s="17" t="s">
        <v>154</v>
      </c>
      <c r="H80" s="18" t="s">
        <v>154</v>
      </c>
      <c r="I80" s="17" t="s">
        <v>154</v>
      </c>
      <c r="J80" s="18" t="s">
        <v>154</v>
      </c>
      <c r="K80" s="17" t="s">
        <v>154</v>
      </c>
      <c r="L80" s="18" t="s">
        <v>154</v>
      </c>
      <c r="M80" s="17" t="s">
        <v>154</v>
      </c>
      <c r="N80" s="18" t="s">
        <v>154</v>
      </c>
      <c r="O80" s="17" t="s">
        <v>154</v>
      </c>
      <c r="P80" s="18" t="s">
        <v>154</v>
      </c>
      <c r="Q80" s="17" t="s">
        <v>154</v>
      </c>
      <c r="R80" s="18" t="s">
        <v>154</v>
      </c>
    </row>
    <row r="81" spans="1:18" x14ac:dyDescent="0.25">
      <c r="A81" s="19" t="s">
        <v>214</v>
      </c>
      <c r="B81" s="13">
        <v>8861</v>
      </c>
      <c r="C81" s="14">
        <f>(7342/B81*100)</f>
        <v>82.85746529737051</v>
      </c>
      <c r="D81" s="15">
        <v>1519</v>
      </c>
      <c r="E81" s="14">
        <v>45.122676540000001</v>
      </c>
      <c r="F81" s="16">
        <v>1.51137078</v>
      </c>
      <c r="G81" s="14">
        <v>54.877323459999999</v>
      </c>
      <c r="H81" s="16">
        <v>1.51137078</v>
      </c>
      <c r="I81" s="14" t="s">
        <v>139</v>
      </c>
      <c r="J81" s="16" t="s">
        <v>139</v>
      </c>
      <c r="K81" s="14">
        <v>0</v>
      </c>
      <c r="L81" s="16">
        <v>0</v>
      </c>
      <c r="M81" s="14">
        <v>0</v>
      </c>
      <c r="N81" s="16">
        <v>0</v>
      </c>
      <c r="O81" s="14">
        <v>0</v>
      </c>
      <c r="P81" s="16">
        <v>0</v>
      </c>
      <c r="Q81" s="14">
        <v>0</v>
      </c>
      <c r="R81" s="16">
        <v>0</v>
      </c>
    </row>
    <row r="82" spans="1:18" x14ac:dyDescent="0.25">
      <c r="A82" s="20"/>
      <c r="B82" s="20" t="s">
        <v>215</v>
      </c>
      <c r="C82" s="20" t="s">
        <v>215</v>
      </c>
      <c r="D82" s="20" t="s">
        <v>215</v>
      </c>
      <c r="E82" s="20" t="s">
        <v>215</v>
      </c>
      <c r="F82" s="20" t="s">
        <v>215</v>
      </c>
      <c r="G82" s="20" t="s">
        <v>215</v>
      </c>
      <c r="H82" s="20" t="s">
        <v>215</v>
      </c>
      <c r="I82" s="20" t="s">
        <v>215</v>
      </c>
      <c r="J82" s="20" t="s">
        <v>215</v>
      </c>
      <c r="K82" s="20" t="s">
        <v>215</v>
      </c>
      <c r="L82" s="20" t="s">
        <v>215</v>
      </c>
      <c r="M82" s="20" t="s">
        <v>215</v>
      </c>
      <c r="N82" s="20" t="s">
        <v>215</v>
      </c>
      <c r="O82" s="20" t="s">
        <v>215</v>
      </c>
      <c r="P82" s="20" t="s">
        <v>215</v>
      </c>
      <c r="Q82" s="20" t="s">
        <v>215</v>
      </c>
      <c r="R82" s="20" t="s">
        <v>215</v>
      </c>
    </row>
    <row r="83" spans="1:18" x14ac:dyDescent="0.25">
      <c r="A83" s="3" t="s">
        <v>216</v>
      </c>
    </row>
    <row r="84" spans="1:18" x14ac:dyDescent="0.25">
      <c r="A84" s="22" t="s">
        <v>217</v>
      </c>
      <c r="B84" s="23"/>
      <c r="C84" s="23"/>
      <c r="D84" s="23"/>
      <c r="E84" s="23"/>
      <c r="F84" s="23"/>
      <c r="G84" s="23"/>
      <c r="H84" s="23"/>
      <c r="I84" s="23"/>
      <c r="J84" s="23"/>
      <c r="K84" s="23"/>
      <c r="L84" s="23"/>
      <c r="M84" s="23"/>
      <c r="N84" s="23"/>
      <c r="O84" s="23"/>
      <c r="P84" s="23"/>
      <c r="Q84" s="23"/>
      <c r="R84" s="23"/>
    </row>
    <row r="85" spans="1:18" x14ac:dyDescent="0.25">
      <c r="A85" s="22" t="s">
        <v>218</v>
      </c>
      <c r="B85" s="23"/>
      <c r="C85" s="23"/>
      <c r="D85" s="23"/>
      <c r="E85" s="23"/>
      <c r="F85" s="23"/>
      <c r="G85" s="23"/>
      <c r="H85" s="23"/>
      <c r="I85" s="23"/>
      <c r="J85" s="23"/>
      <c r="K85" s="23"/>
      <c r="L85" s="23"/>
      <c r="M85" s="23"/>
      <c r="N85" s="23"/>
      <c r="O85" s="23"/>
      <c r="P85" s="23"/>
      <c r="Q85" s="23"/>
      <c r="R85" s="23"/>
    </row>
    <row r="86" spans="1:18" ht="30" customHeight="1" x14ac:dyDescent="0.25">
      <c r="A86" s="22" t="s">
        <v>219</v>
      </c>
      <c r="B86" s="23"/>
      <c r="C86" s="23"/>
      <c r="D86" s="23"/>
      <c r="E86" s="23"/>
      <c r="F86" s="23"/>
      <c r="G86" s="23"/>
      <c r="H86" s="23"/>
      <c r="I86" s="23"/>
      <c r="J86" s="23"/>
      <c r="K86" s="23"/>
      <c r="L86" s="23"/>
      <c r="M86" s="23"/>
      <c r="N86" s="23"/>
      <c r="O86" s="23"/>
      <c r="P86" s="23"/>
      <c r="Q86" s="23"/>
      <c r="R86" s="23"/>
    </row>
    <row r="87" spans="1:18" ht="30" customHeight="1" x14ac:dyDescent="0.25">
      <c r="A87" s="22" t="s">
        <v>215</v>
      </c>
      <c r="B87" s="23"/>
      <c r="C87" s="23"/>
      <c r="D87" s="23"/>
      <c r="E87" s="23"/>
      <c r="F87" s="23"/>
      <c r="G87" s="23"/>
      <c r="H87" s="23"/>
      <c r="I87" s="23"/>
      <c r="J87" s="23"/>
      <c r="K87" s="23"/>
      <c r="L87" s="23"/>
      <c r="M87" s="23"/>
      <c r="N87" s="23"/>
      <c r="O87" s="23"/>
      <c r="P87" s="23"/>
      <c r="Q87" s="23"/>
      <c r="R87" s="23"/>
    </row>
    <row r="88" spans="1:18" ht="30" customHeight="1" x14ac:dyDescent="0.25">
      <c r="A88" s="22" t="s">
        <v>220</v>
      </c>
      <c r="B88" s="23"/>
      <c r="C88" s="23"/>
      <c r="D88" s="23"/>
      <c r="E88" s="23"/>
      <c r="F88" s="23"/>
      <c r="G88" s="23"/>
      <c r="H88" s="23"/>
      <c r="I88" s="23"/>
      <c r="J88" s="23"/>
      <c r="K88" s="23"/>
      <c r="L88" s="23"/>
      <c r="M88" s="23"/>
      <c r="N88" s="23"/>
      <c r="O88" s="23"/>
      <c r="P88" s="23"/>
      <c r="Q88" s="23"/>
      <c r="R88" s="23"/>
    </row>
    <row r="89" spans="1:18" ht="30" customHeight="1" x14ac:dyDescent="0.25">
      <c r="A89" s="22" t="s">
        <v>221</v>
      </c>
      <c r="B89" s="23"/>
      <c r="C89" s="23"/>
      <c r="D89" s="23"/>
      <c r="E89" s="23"/>
      <c r="F89" s="23"/>
      <c r="G89" s="23"/>
      <c r="H89" s="23"/>
      <c r="I89" s="23"/>
      <c r="J89" s="23"/>
      <c r="K89" s="23"/>
      <c r="L89" s="23"/>
      <c r="M89" s="23"/>
      <c r="N89" s="23"/>
      <c r="O89" s="23"/>
      <c r="P89" s="23"/>
      <c r="Q89" s="23"/>
      <c r="R89" s="23"/>
    </row>
    <row r="90" spans="1:18" ht="30" customHeight="1" x14ac:dyDescent="0.25">
      <c r="A90" s="22" t="s">
        <v>222</v>
      </c>
      <c r="B90" s="23"/>
      <c r="C90" s="23"/>
      <c r="D90" s="23"/>
      <c r="E90" s="23"/>
      <c r="F90" s="23"/>
      <c r="G90" s="23"/>
      <c r="H90" s="23"/>
      <c r="I90" s="23"/>
      <c r="J90" s="23"/>
      <c r="K90" s="23"/>
      <c r="L90" s="23"/>
      <c r="M90" s="23"/>
      <c r="N90" s="23"/>
      <c r="O90" s="23"/>
      <c r="P90" s="23"/>
      <c r="Q90" s="23"/>
      <c r="R90" s="23"/>
    </row>
    <row r="91" spans="1:18" ht="30" customHeight="1" x14ac:dyDescent="0.25">
      <c r="A91" s="22" t="s">
        <v>223</v>
      </c>
      <c r="B91" s="23"/>
      <c r="C91" s="23"/>
      <c r="D91" s="23"/>
      <c r="E91" s="23"/>
      <c r="F91" s="23"/>
      <c r="G91" s="23"/>
      <c r="H91" s="23"/>
      <c r="I91" s="23"/>
      <c r="J91" s="23"/>
      <c r="K91" s="23"/>
      <c r="L91" s="23"/>
      <c r="M91" s="23"/>
      <c r="N91" s="23"/>
      <c r="O91" s="23"/>
      <c r="P91" s="23"/>
      <c r="Q91" s="23"/>
      <c r="R91" s="23"/>
    </row>
    <row r="92" spans="1:18" ht="30" customHeight="1" x14ac:dyDescent="0.25">
      <c r="A92" s="22" t="s">
        <v>224</v>
      </c>
      <c r="B92" s="23"/>
      <c r="C92" s="23"/>
      <c r="D92" s="23"/>
      <c r="E92" s="23"/>
      <c r="F92" s="23"/>
      <c r="G92" s="23"/>
      <c r="H92" s="23"/>
      <c r="I92" s="23"/>
      <c r="J92" s="23"/>
      <c r="K92" s="23"/>
      <c r="L92" s="23"/>
      <c r="M92" s="23"/>
      <c r="N92" s="23"/>
      <c r="O92" s="23"/>
      <c r="P92" s="23"/>
      <c r="Q92" s="23"/>
      <c r="R92" s="23"/>
    </row>
    <row r="93" spans="1:18" ht="30" customHeight="1" x14ac:dyDescent="0.25">
      <c r="A93" s="22" t="s">
        <v>225</v>
      </c>
      <c r="B93" s="23"/>
      <c r="C93" s="23"/>
      <c r="D93" s="23"/>
      <c r="E93" s="23"/>
      <c r="F93" s="23"/>
      <c r="G93" s="23"/>
      <c r="H93" s="23"/>
      <c r="I93" s="23"/>
      <c r="J93" s="23"/>
      <c r="K93" s="23"/>
      <c r="L93" s="23"/>
      <c r="M93" s="23"/>
      <c r="N93" s="23"/>
      <c r="O93" s="23"/>
      <c r="P93" s="23"/>
      <c r="Q93" s="23"/>
      <c r="R93" s="23"/>
    </row>
    <row r="94" spans="1:18" ht="30" customHeight="1" x14ac:dyDescent="0.25">
      <c r="A94" s="22" t="s">
        <v>226</v>
      </c>
      <c r="B94" s="23"/>
      <c r="C94" s="23"/>
      <c r="D94" s="23"/>
      <c r="E94" s="23"/>
      <c r="F94" s="23"/>
      <c r="G94" s="23"/>
      <c r="H94" s="23"/>
      <c r="I94" s="23"/>
      <c r="J94" s="23"/>
      <c r="K94" s="23"/>
      <c r="L94" s="23"/>
      <c r="M94" s="23"/>
      <c r="N94" s="23"/>
      <c r="O94" s="23"/>
      <c r="P94" s="23"/>
      <c r="Q94" s="23"/>
      <c r="R94" s="23"/>
    </row>
    <row r="95" spans="1:18" ht="30" customHeight="1" x14ac:dyDescent="0.25">
      <c r="A95" s="22" t="s">
        <v>227</v>
      </c>
      <c r="B95" s="23"/>
      <c r="C95" s="23"/>
      <c r="D95" s="23"/>
      <c r="E95" s="23"/>
      <c r="F95" s="23"/>
      <c r="G95" s="23"/>
      <c r="H95" s="23"/>
      <c r="I95" s="23"/>
      <c r="J95" s="23"/>
      <c r="K95" s="23"/>
      <c r="L95" s="23"/>
      <c r="M95" s="23"/>
      <c r="N95" s="23"/>
      <c r="O95" s="23"/>
      <c r="P95" s="23"/>
      <c r="Q95" s="23"/>
      <c r="R95" s="23"/>
    </row>
    <row r="96" spans="1:18" ht="30" customHeight="1" x14ac:dyDescent="0.25">
      <c r="A96" s="22" t="s">
        <v>228</v>
      </c>
      <c r="B96" s="23"/>
      <c r="C96" s="23"/>
      <c r="D96" s="23"/>
      <c r="E96" s="23"/>
      <c r="F96" s="23"/>
      <c r="G96" s="23"/>
      <c r="H96" s="23"/>
      <c r="I96" s="23"/>
      <c r="J96" s="23"/>
      <c r="K96" s="23"/>
      <c r="L96" s="23"/>
      <c r="M96" s="23"/>
      <c r="N96" s="23"/>
      <c r="O96" s="23"/>
      <c r="P96" s="23"/>
      <c r="Q96" s="23"/>
      <c r="R96" s="23"/>
    </row>
  </sheetData>
  <mergeCells count="22">
    <mergeCell ref="O4:P4"/>
    <mergeCell ref="Q4:R4"/>
    <mergeCell ref="A1:R1"/>
    <mergeCell ref="A2:R2"/>
    <mergeCell ref="A84:R84"/>
    <mergeCell ref="E4:F4"/>
    <mergeCell ref="G4:H4"/>
    <mergeCell ref="I4:J4"/>
    <mergeCell ref="K4:L4"/>
    <mergeCell ref="M4:N4"/>
    <mergeCell ref="A85:R85"/>
    <mergeCell ref="A86:R86"/>
    <mergeCell ref="A87:R87"/>
    <mergeCell ref="A88:R88"/>
    <mergeCell ref="A89:R89"/>
    <mergeCell ref="A95:R95"/>
    <mergeCell ref="A96:R96"/>
    <mergeCell ref="A90:R90"/>
    <mergeCell ref="A91:R91"/>
    <mergeCell ref="A92:R92"/>
    <mergeCell ref="A93:R93"/>
    <mergeCell ref="A94:R94"/>
  </mergeCells>
  <pageMargins left="0.75" right="0.75" top="1" bottom="1" header="0.5" footer="0.5"/>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4"/>
  <dimension ref="A1:T96"/>
  <sheetViews>
    <sheetView zoomScale="80" workbookViewId="0">
      <pane xSplit="4" topLeftCell="E1" activePane="topRight" state="frozen"/>
      <selection sqref="A1:R1"/>
      <selection pane="topRight" sqref="A1:T1"/>
    </sheetView>
  </sheetViews>
  <sheetFormatPr defaultColWidth="11.42578125" defaultRowHeight="15" x14ac:dyDescent="0.25"/>
  <cols>
    <col min="1" max="1" width="50" customWidth="1"/>
  </cols>
  <sheetData>
    <row r="1" spans="1:20" x14ac:dyDescent="0.25">
      <c r="A1" s="26" t="s">
        <v>122</v>
      </c>
      <c r="B1" s="23"/>
      <c r="C1" s="23"/>
      <c r="D1" s="23"/>
      <c r="E1" s="23"/>
      <c r="F1" s="23"/>
      <c r="G1" s="23"/>
      <c r="H1" s="23"/>
      <c r="I1" s="23"/>
      <c r="J1" s="23"/>
      <c r="K1" s="23"/>
      <c r="L1" s="23"/>
      <c r="M1" s="23"/>
      <c r="N1" s="23"/>
      <c r="O1" s="23"/>
      <c r="P1" s="23"/>
      <c r="Q1" s="23"/>
      <c r="R1" s="23"/>
      <c r="S1" s="23"/>
      <c r="T1" s="23"/>
    </row>
    <row r="2" spans="1:20" x14ac:dyDescent="0.25">
      <c r="A2" s="27" t="s">
        <v>330</v>
      </c>
      <c r="B2" s="23"/>
      <c r="C2" s="23"/>
      <c r="D2" s="23"/>
      <c r="E2" s="23"/>
      <c r="F2" s="23"/>
      <c r="G2" s="23"/>
      <c r="H2" s="23"/>
      <c r="I2" s="23"/>
      <c r="J2" s="23"/>
      <c r="K2" s="23"/>
      <c r="L2" s="23"/>
      <c r="M2" s="23"/>
      <c r="N2" s="23"/>
      <c r="O2" s="23"/>
      <c r="P2" s="23"/>
      <c r="Q2" s="23"/>
      <c r="R2" s="23"/>
      <c r="S2" s="23"/>
      <c r="T2" s="23"/>
    </row>
    <row r="4" spans="1:20" ht="30" customHeight="1" x14ac:dyDescent="0.25">
      <c r="A4" s="4"/>
      <c r="B4" s="5" t="s">
        <v>123</v>
      </c>
      <c r="C4" s="5" t="s">
        <v>124</v>
      </c>
      <c r="D4" s="6" t="s">
        <v>123</v>
      </c>
      <c r="E4" s="24" t="s">
        <v>125</v>
      </c>
      <c r="F4" s="25"/>
      <c r="G4" s="24" t="s">
        <v>233</v>
      </c>
      <c r="H4" s="25"/>
      <c r="I4" s="24" t="s">
        <v>234</v>
      </c>
      <c r="J4" s="25"/>
      <c r="K4" s="24" t="s">
        <v>127</v>
      </c>
      <c r="L4" s="25"/>
      <c r="M4" s="24" t="s">
        <v>128</v>
      </c>
      <c r="N4" s="25"/>
      <c r="O4" s="24" t="s">
        <v>129</v>
      </c>
      <c r="P4" s="25"/>
      <c r="Q4" s="24" t="s">
        <v>130</v>
      </c>
      <c r="R4" s="25"/>
      <c r="S4" s="24" t="s">
        <v>131</v>
      </c>
      <c r="T4" s="25"/>
    </row>
    <row r="5" spans="1:20" x14ac:dyDescent="0.25">
      <c r="A5" s="7"/>
      <c r="B5" s="8" t="s">
        <v>132</v>
      </c>
      <c r="C5" s="8" t="s">
        <v>133</v>
      </c>
      <c r="D5" s="7" t="s">
        <v>134</v>
      </c>
      <c r="E5" s="8" t="s">
        <v>135</v>
      </c>
      <c r="F5" s="7" t="s">
        <v>136</v>
      </c>
      <c r="G5" s="8" t="s">
        <v>135</v>
      </c>
      <c r="H5" s="7" t="s">
        <v>136</v>
      </c>
      <c r="I5" s="8" t="s">
        <v>135</v>
      </c>
      <c r="J5" s="7" t="s">
        <v>136</v>
      </c>
      <c r="K5" s="8" t="s">
        <v>135</v>
      </c>
      <c r="L5" s="7" t="s">
        <v>136</v>
      </c>
      <c r="M5" s="8" t="s">
        <v>135</v>
      </c>
      <c r="N5" s="7" t="s">
        <v>136</v>
      </c>
      <c r="O5" s="8" t="s">
        <v>135</v>
      </c>
      <c r="P5" s="7" t="s">
        <v>136</v>
      </c>
      <c r="Q5" s="8" t="s">
        <v>135</v>
      </c>
      <c r="R5" s="7" t="s">
        <v>136</v>
      </c>
      <c r="S5" s="8" t="s">
        <v>135</v>
      </c>
      <c r="T5" s="7" t="s">
        <v>136</v>
      </c>
    </row>
    <row r="6" spans="1:20" x14ac:dyDescent="0.25">
      <c r="A6" s="9" t="s">
        <v>137</v>
      </c>
      <c r="B6" s="10"/>
      <c r="C6" s="10"/>
      <c r="D6" s="11"/>
      <c r="E6" s="10"/>
      <c r="F6" s="11"/>
      <c r="G6" s="10"/>
      <c r="H6" s="11"/>
      <c r="I6" s="10"/>
      <c r="J6" s="11"/>
      <c r="K6" s="10"/>
      <c r="L6" s="11"/>
      <c r="M6" s="10"/>
      <c r="N6" s="11"/>
      <c r="O6" s="10"/>
      <c r="P6" s="11"/>
      <c r="Q6" s="10"/>
      <c r="R6" s="11"/>
      <c r="S6" s="10"/>
      <c r="T6" s="12"/>
    </row>
    <row r="7" spans="1:20" x14ac:dyDescent="0.25">
      <c r="A7" s="11" t="s">
        <v>138</v>
      </c>
      <c r="B7" s="13">
        <v>14530</v>
      </c>
      <c r="C7" s="14">
        <f>(12071/B7*100)</f>
        <v>83.076393668272544</v>
      </c>
      <c r="D7" s="15">
        <v>2459</v>
      </c>
      <c r="E7" s="14">
        <v>27.703342339999999</v>
      </c>
      <c r="F7" s="16">
        <v>1.0681284900000001</v>
      </c>
      <c r="G7" s="14">
        <v>7.62921169</v>
      </c>
      <c r="H7" s="16">
        <v>0.63161853000000001</v>
      </c>
      <c r="I7" s="14">
        <v>64.667445970000003</v>
      </c>
      <c r="J7" s="16">
        <v>1.1636492000000001</v>
      </c>
      <c r="K7" s="14" t="s">
        <v>139</v>
      </c>
      <c r="L7" s="16" t="s">
        <v>139</v>
      </c>
      <c r="M7" s="14">
        <v>0</v>
      </c>
      <c r="N7" s="16">
        <v>0</v>
      </c>
      <c r="O7" s="14">
        <v>0</v>
      </c>
      <c r="P7" s="16">
        <v>0</v>
      </c>
      <c r="Q7" s="14">
        <v>0</v>
      </c>
      <c r="R7" s="16">
        <v>0</v>
      </c>
      <c r="S7" s="14">
        <v>0</v>
      </c>
      <c r="T7" s="16">
        <v>0</v>
      </c>
    </row>
    <row r="8" spans="1:20" x14ac:dyDescent="0.25">
      <c r="A8" s="11" t="s">
        <v>140</v>
      </c>
      <c r="B8" s="13">
        <v>7007</v>
      </c>
      <c r="C8" s="14">
        <f>(5776/B8*100)</f>
        <v>82.431853860425292</v>
      </c>
      <c r="D8" s="15">
        <v>1231</v>
      </c>
      <c r="E8" s="14">
        <v>29.970051990000002</v>
      </c>
      <c r="F8" s="16">
        <v>1.6860159800000001</v>
      </c>
      <c r="G8" s="14">
        <v>11.75121719</v>
      </c>
      <c r="H8" s="16">
        <v>1.1456900699999999</v>
      </c>
      <c r="I8" s="14">
        <v>58.27873082</v>
      </c>
      <c r="J8" s="16">
        <v>1.71351045</v>
      </c>
      <c r="K8" s="14" t="s">
        <v>139</v>
      </c>
      <c r="L8" s="16" t="s">
        <v>139</v>
      </c>
      <c r="M8" s="14">
        <v>0</v>
      </c>
      <c r="N8" s="16">
        <v>0</v>
      </c>
      <c r="O8" s="14">
        <v>0</v>
      </c>
      <c r="P8" s="16">
        <v>0</v>
      </c>
      <c r="Q8" s="14">
        <v>0</v>
      </c>
      <c r="R8" s="16">
        <v>0</v>
      </c>
      <c r="S8" s="14">
        <v>0</v>
      </c>
      <c r="T8" s="16">
        <v>0</v>
      </c>
    </row>
    <row r="9" spans="1:20" x14ac:dyDescent="0.25">
      <c r="A9" s="11" t="s">
        <v>141</v>
      </c>
      <c r="B9" s="13">
        <v>9651</v>
      </c>
      <c r="C9" s="14">
        <f>(8052/B9*100)</f>
        <v>83.431768728629152</v>
      </c>
      <c r="D9" s="15">
        <v>1599</v>
      </c>
      <c r="E9" s="14">
        <v>28.979871500000002</v>
      </c>
      <c r="F9" s="16">
        <v>1.4486992599999999</v>
      </c>
      <c r="G9" s="14">
        <v>17.668068779999999</v>
      </c>
      <c r="H9" s="16">
        <v>0.89918487999999996</v>
      </c>
      <c r="I9" s="14">
        <v>53.35205972</v>
      </c>
      <c r="J9" s="16">
        <v>1.48463937</v>
      </c>
      <c r="K9" s="14" t="s">
        <v>139</v>
      </c>
      <c r="L9" s="16" t="s">
        <v>139</v>
      </c>
      <c r="M9" s="14">
        <v>0</v>
      </c>
      <c r="N9" s="16">
        <v>0</v>
      </c>
      <c r="O9" s="14">
        <v>0</v>
      </c>
      <c r="P9" s="16">
        <v>0</v>
      </c>
      <c r="Q9" s="14">
        <v>0</v>
      </c>
      <c r="R9" s="16">
        <v>0</v>
      </c>
      <c r="S9" s="14">
        <v>0</v>
      </c>
      <c r="T9" s="16">
        <v>0</v>
      </c>
    </row>
    <row r="10" spans="1:20" x14ac:dyDescent="0.25">
      <c r="A10" s="11" t="s">
        <v>142</v>
      </c>
      <c r="B10" s="13">
        <v>20058</v>
      </c>
      <c r="C10" s="14">
        <f>(16662/B10*100)</f>
        <v>83.069099611127726</v>
      </c>
      <c r="D10" s="15">
        <v>3396</v>
      </c>
      <c r="E10" s="14">
        <v>23.599511759999999</v>
      </c>
      <c r="F10" s="16">
        <v>0.81912565000000004</v>
      </c>
      <c r="G10" s="14">
        <v>11.143505060000001</v>
      </c>
      <c r="H10" s="16">
        <v>0.73792232999999996</v>
      </c>
      <c r="I10" s="14">
        <v>65.256983180000006</v>
      </c>
      <c r="J10" s="16">
        <v>0.90729428000000001</v>
      </c>
      <c r="K10" s="14" t="s">
        <v>139</v>
      </c>
      <c r="L10" s="16" t="s">
        <v>139</v>
      </c>
      <c r="M10" s="14">
        <v>0</v>
      </c>
      <c r="N10" s="16">
        <v>0</v>
      </c>
      <c r="O10" s="14">
        <v>0</v>
      </c>
      <c r="P10" s="16">
        <v>0</v>
      </c>
      <c r="Q10" s="14">
        <v>0</v>
      </c>
      <c r="R10" s="16">
        <v>0</v>
      </c>
      <c r="S10" s="14">
        <v>0</v>
      </c>
      <c r="T10" s="16">
        <v>0</v>
      </c>
    </row>
    <row r="11" spans="1:20" x14ac:dyDescent="0.25">
      <c r="A11" s="11" t="s">
        <v>143</v>
      </c>
      <c r="B11" s="13">
        <v>7053</v>
      </c>
      <c r="C11" s="14">
        <f>(5845/B11*100)</f>
        <v>82.872536509286832</v>
      </c>
      <c r="D11" s="15">
        <v>1208</v>
      </c>
      <c r="E11" s="14">
        <v>39.040472110000003</v>
      </c>
      <c r="F11" s="16">
        <v>1.54454102</v>
      </c>
      <c r="G11" s="14">
        <v>16.741453629999999</v>
      </c>
      <c r="H11" s="16">
        <v>1.3323777299999999</v>
      </c>
      <c r="I11" s="14">
        <v>44.218074260000002</v>
      </c>
      <c r="J11" s="16">
        <v>1.7823006299999999</v>
      </c>
      <c r="K11" s="14" t="s">
        <v>139</v>
      </c>
      <c r="L11" s="16" t="s">
        <v>139</v>
      </c>
      <c r="M11" s="14">
        <v>0</v>
      </c>
      <c r="N11" s="16">
        <v>0</v>
      </c>
      <c r="O11" s="14">
        <v>0</v>
      </c>
      <c r="P11" s="16">
        <v>0</v>
      </c>
      <c r="Q11" s="14">
        <v>0</v>
      </c>
      <c r="R11" s="16">
        <v>0</v>
      </c>
      <c r="S11" s="14">
        <v>0</v>
      </c>
      <c r="T11" s="16">
        <v>0</v>
      </c>
    </row>
    <row r="12" spans="1:20" x14ac:dyDescent="0.25">
      <c r="A12" s="11" t="s">
        <v>144</v>
      </c>
      <c r="B12" s="13">
        <v>6894</v>
      </c>
      <c r="C12" s="14">
        <f>(5730/B12*100)</f>
        <v>83.115752828546562</v>
      </c>
      <c r="D12" s="15">
        <v>1164</v>
      </c>
      <c r="E12" s="14">
        <v>27.804170769999999</v>
      </c>
      <c r="F12" s="16">
        <v>1.3198036500000001</v>
      </c>
      <c r="G12" s="14">
        <v>16.901675010000002</v>
      </c>
      <c r="H12" s="16">
        <v>1.2349256</v>
      </c>
      <c r="I12" s="14">
        <v>55.294154220000003</v>
      </c>
      <c r="J12" s="16">
        <v>1.79172182</v>
      </c>
      <c r="K12" s="14" t="s">
        <v>139</v>
      </c>
      <c r="L12" s="16" t="s">
        <v>139</v>
      </c>
      <c r="M12" s="14">
        <v>0</v>
      </c>
      <c r="N12" s="16">
        <v>0</v>
      </c>
      <c r="O12" s="14">
        <v>0</v>
      </c>
      <c r="P12" s="16">
        <v>0</v>
      </c>
      <c r="Q12" s="14">
        <v>0</v>
      </c>
      <c r="R12" s="16">
        <v>0</v>
      </c>
      <c r="S12" s="14">
        <v>0</v>
      </c>
      <c r="T12" s="16">
        <v>0</v>
      </c>
    </row>
    <row r="13" spans="1:20" x14ac:dyDescent="0.25">
      <c r="A13" s="11" t="s">
        <v>145</v>
      </c>
      <c r="B13" s="13">
        <v>7161</v>
      </c>
      <c r="C13" s="14">
        <f>(5999/B13*100)</f>
        <v>83.773216031280555</v>
      </c>
      <c r="D13" s="15">
        <v>1162</v>
      </c>
      <c r="E13" s="14">
        <v>25.884299469999998</v>
      </c>
      <c r="F13" s="16">
        <v>1.58691128</v>
      </c>
      <c r="G13" s="14">
        <v>17.117031040000001</v>
      </c>
      <c r="H13" s="16">
        <v>1.43502423</v>
      </c>
      <c r="I13" s="14">
        <v>56.998669479999997</v>
      </c>
      <c r="J13" s="16">
        <v>1.7441338799999999</v>
      </c>
      <c r="K13" s="14" t="s">
        <v>139</v>
      </c>
      <c r="L13" s="16" t="s">
        <v>139</v>
      </c>
      <c r="M13" s="14">
        <v>0</v>
      </c>
      <c r="N13" s="16">
        <v>0</v>
      </c>
      <c r="O13" s="14">
        <v>0</v>
      </c>
      <c r="P13" s="16">
        <v>0</v>
      </c>
      <c r="Q13" s="14">
        <v>0</v>
      </c>
      <c r="R13" s="16">
        <v>0</v>
      </c>
      <c r="S13" s="14">
        <v>0</v>
      </c>
      <c r="T13" s="16">
        <v>0</v>
      </c>
    </row>
    <row r="14" spans="1:20" x14ac:dyDescent="0.25">
      <c r="A14" s="11" t="s">
        <v>146</v>
      </c>
      <c r="B14" s="13">
        <v>5587</v>
      </c>
      <c r="C14" s="14">
        <f>(4624/B14*100)</f>
        <v>82.763558260247009</v>
      </c>
      <c r="D14" s="15">
        <v>963</v>
      </c>
      <c r="E14" s="14">
        <v>22.787093890000001</v>
      </c>
      <c r="F14" s="16">
        <v>1.2785291299999999</v>
      </c>
      <c r="G14" s="14">
        <v>12.277935210000001</v>
      </c>
      <c r="H14" s="16">
        <v>1.0985471200000001</v>
      </c>
      <c r="I14" s="14">
        <v>64.934970899999996</v>
      </c>
      <c r="J14" s="16">
        <v>1.6534934400000001</v>
      </c>
      <c r="K14" s="14" t="s">
        <v>139</v>
      </c>
      <c r="L14" s="16" t="s">
        <v>139</v>
      </c>
      <c r="M14" s="14">
        <v>0</v>
      </c>
      <c r="N14" s="16">
        <v>0</v>
      </c>
      <c r="O14" s="14">
        <v>0</v>
      </c>
      <c r="P14" s="16">
        <v>0</v>
      </c>
      <c r="Q14" s="14">
        <v>0</v>
      </c>
      <c r="R14" s="16">
        <v>0</v>
      </c>
      <c r="S14" s="14">
        <v>0</v>
      </c>
      <c r="T14" s="16">
        <v>0</v>
      </c>
    </row>
    <row r="15" spans="1:20" x14ac:dyDescent="0.25">
      <c r="A15" s="11" t="s">
        <v>147</v>
      </c>
      <c r="B15" s="13">
        <v>5882</v>
      </c>
      <c r="C15" s="14">
        <f>(4872/B15*100)</f>
        <v>82.828969738184284</v>
      </c>
      <c r="D15" s="15">
        <v>1010</v>
      </c>
      <c r="E15" s="14">
        <v>27.53863544</v>
      </c>
      <c r="F15" s="16">
        <v>1.52219459</v>
      </c>
      <c r="G15" s="14">
        <v>15.28820573</v>
      </c>
      <c r="H15" s="16">
        <v>1.16826352</v>
      </c>
      <c r="I15" s="14">
        <v>57.173158829999998</v>
      </c>
      <c r="J15" s="16">
        <v>1.7644991800000001</v>
      </c>
      <c r="K15" s="14" t="s">
        <v>139</v>
      </c>
      <c r="L15" s="16" t="s">
        <v>139</v>
      </c>
      <c r="M15" s="14">
        <v>0</v>
      </c>
      <c r="N15" s="16">
        <v>0</v>
      </c>
      <c r="O15" s="14">
        <v>0</v>
      </c>
      <c r="P15" s="16">
        <v>0</v>
      </c>
      <c r="Q15" s="14">
        <v>0</v>
      </c>
      <c r="R15" s="16">
        <v>0</v>
      </c>
      <c r="S15" s="14">
        <v>0</v>
      </c>
      <c r="T15" s="16">
        <v>0</v>
      </c>
    </row>
    <row r="16" spans="1:20" x14ac:dyDescent="0.25">
      <c r="A16" s="11" t="s">
        <v>148</v>
      </c>
      <c r="B16" s="13">
        <v>6108</v>
      </c>
      <c r="C16" s="14">
        <f>(5082/B16*100)</f>
        <v>83.202357563850697</v>
      </c>
      <c r="D16" s="15">
        <v>1026</v>
      </c>
      <c r="E16" s="14">
        <v>32.652679139999996</v>
      </c>
      <c r="F16" s="16">
        <v>1.39869917</v>
      </c>
      <c r="G16" s="14">
        <v>16.17318367</v>
      </c>
      <c r="H16" s="16">
        <v>1.10306543</v>
      </c>
      <c r="I16" s="14">
        <v>51.174137180000002</v>
      </c>
      <c r="J16" s="16">
        <v>1.58706507</v>
      </c>
      <c r="K16" s="14" t="s">
        <v>139</v>
      </c>
      <c r="L16" s="16" t="s">
        <v>139</v>
      </c>
      <c r="M16" s="14">
        <v>0</v>
      </c>
      <c r="N16" s="16">
        <v>0</v>
      </c>
      <c r="O16" s="14">
        <v>0</v>
      </c>
      <c r="P16" s="16">
        <v>0</v>
      </c>
      <c r="Q16" s="14">
        <v>0</v>
      </c>
      <c r="R16" s="16">
        <v>0</v>
      </c>
      <c r="S16" s="14">
        <v>0</v>
      </c>
      <c r="T16" s="16">
        <v>0</v>
      </c>
    </row>
    <row r="17" spans="1:20" x14ac:dyDescent="0.25">
      <c r="A17" s="11" t="s">
        <v>149</v>
      </c>
      <c r="B17" s="13">
        <v>6504</v>
      </c>
      <c r="C17" s="14">
        <f>(5413/B17*100)</f>
        <v>83.225707257072571</v>
      </c>
      <c r="D17" s="15">
        <v>1091</v>
      </c>
      <c r="E17" s="14">
        <v>26.181965460000001</v>
      </c>
      <c r="F17" s="16">
        <v>1.3238687200000001</v>
      </c>
      <c r="G17" s="14">
        <v>11.25924678</v>
      </c>
      <c r="H17" s="16">
        <v>0.97265327999999995</v>
      </c>
      <c r="I17" s="14">
        <v>62.55878775</v>
      </c>
      <c r="J17" s="16">
        <v>1.5266661699999999</v>
      </c>
      <c r="K17" s="14" t="s">
        <v>139</v>
      </c>
      <c r="L17" s="16" t="s">
        <v>139</v>
      </c>
      <c r="M17" s="14">
        <v>0</v>
      </c>
      <c r="N17" s="16">
        <v>0</v>
      </c>
      <c r="O17" s="14">
        <v>0</v>
      </c>
      <c r="P17" s="16">
        <v>0</v>
      </c>
      <c r="Q17" s="14">
        <v>0</v>
      </c>
      <c r="R17" s="16">
        <v>0</v>
      </c>
      <c r="S17" s="14">
        <v>0</v>
      </c>
      <c r="T17" s="16">
        <v>0</v>
      </c>
    </row>
    <row r="18" spans="1:20" x14ac:dyDescent="0.25">
      <c r="A18" s="11" t="s">
        <v>150</v>
      </c>
      <c r="B18" s="13">
        <v>5532</v>
      </c>
      <c r="C18" s="14">
        <f>(4580/B18*100)</f>
        <v>82.79103398409255</v>
      </c>
      <c r="D18" s="15">
        <v>952</v>
      </c>
      <c r="E18" s="14">
        <v>38.904337249999998</v>
      </c>
      <c r="F18" s="16">
        <v>1.7252438999999999</v>
      </c>
      <c r="G18" s="14">
        <v>16.467519759999998</v>
      </c>
      <c r="H18" s="16">
        <v>1.19498116</v>
      </c>
      <c r="I18" s="14">
        <v>44.628142990000001</v>
      </c>
      <c r="J18" s="16">
        <v>1.64670596</v>
      </c>
      <c r="K18" s="14" t="s">
        <v>139</v>
      </c>
      <c r="L18" s="16" t="s">
        <v>139</v>
      </c>
      <c r="M18" s="14">
        <v>0</v>
      </c>
      <c r="N18" s="16">
        <v>0</v>
      </c>
      <c r="O18" s="14">
        <v>0</v>
      </c>
      <c r="P18" s="16">
        <v>0</v>
      </c>
      <c r="Q18" s="14">
        <v>0</v>
      </c>
      <c r="R18" s="16">
        <v>0</v>
      </c>
      <c r="S18" s="14">
        <v>0</v>
      </c>
      <c r="T18" s="16">
        <v>0</v>
      </c>
    </row>
    <row r="19" spans="1:20" x14ac:dyDescent="0.25">
      <c r="A19" s="11" t="s">
        <v>151</v>
      </c>
      <c r="B19" s="13">
        <v>5658</v>
      </c>
      <c r="C19" s="14">
        <f>(4698/B19*100)</f>
        <v>83.032873806998936</v>
      </c>
      <c r="D19" s="15">
        <v>960</v>
      </c>
      <c r="E19" s="14">
        <v>37.25331225</v>
      </c>
      <c r="F19" s="16">
        <v>1.81679492</v>
      </c>
      <c r="G19" s="14">
        <v>18.546500269999999</v>
      </c>
      <c r="H19" s="16">
        <v>1.1583263800000001</v>
      </c>
      <c r="I19" s="14">
        <v>44.200187479999997</v>
      </c>
      <c r="J19" s="16">
        <v>1.78218626</v>
      </c>
      <c r="K19" s="14" t="s">
        <v>139</v>
      </c>
      <c r="L19" s="16" t="s">
        <v>139</v>
      </c>
      <c r="M19" s="14">
        <v>0</v>
      </c>
      <c r="N19" s="16">
        <v>0</v>
      </c>
      <c r="O19" s="14">
        <v>0</v>
      </c>
      <c r="P19" s="16">
        <v>0</v>
      </c>
      <c r="Q19" s="14">
        <v>0</v>
      </c>
      <c r="R19" s="16">
        <v>0</v>
      </c>
      <c r="S19" s="14">
        <v>0</v>
      </c>
      <c r="T19" s="16">
        <v>0</v>
      </c>
    </row>
    <row r="20" spans="1:20" x14ac:dyDescent="0.25">
      <c r="A20" s="11" t="s">
        <v>152</v>
      </c>
      <c r="B20" s="13">
        <v>3371</v>
      </c>
      <c r="C20" s="14">
        <f>(2801/B20*100)</f>
        <v>83.091070898843071</v>
      </c>
      <c r="D20" s="15">
        <v>570</v>
      </c>
      <c r="E20" s="14">
        <v>31.14730926</v>
      </c>
      <c r="F20" s="16">
        <v>1.68273783</v>
      </c>
      <c r="G20" s="14">
        <v>11.25962666</v>
      </c>
      <c r="H20" s="16">
        <v>1.3273993500000001</v>
      </c>
      <c r="I20" s="14">
        <v>57.593064079999998</v>
      </c>
      <c r="J20" s="16">
        <v>1.9152102799999999</v>
      </c>
      <c r="K20" s="14" t="s">
        <v>139</v>
      </c>
      <c r="L20" s="16" t="s">
        <v>139</v>
      </c>
      <c r="M20" s="14">
        <v>0</v>
      </c>
      <c r="N20" s="16">
        <v>0</v>
      </c>
      <c r="O20" s="14">
        <v>0</v>
      </c>
      <c r="P20" s="16">
        <v>0</v>
      </c>
      <c r="Q20" s="14">
        <v>0</v>
      </c>
      <c r="R20" s="16">
        <v>0</v>
      </c>
      <c r="S20" s="14">
        <v>0</v>
      </c>
      <c r="T20" s="16">
        <v>0</v>
      </c>
    </row>
    <row r="21" spans="1:20" x14ac:dyDescent="0.25">
      <c r="A21" s="11" t="s">
        <v>153</v>
      </c>
      <c r="B21" s="17" t="s">
        <v>154</v>
      </c>
      <c r="C21" s="17" t="s">
        <v>154</v>
      </c>
      <c r="D21" s="18" t="s">
        <v>154</v>
      </c>
      <c r="E21" s="17" t="s">
        <v>154</v>
      </c>
      <c r="F21" s="18" t="s">
        <v>154</v>
      </c>
      <c r="G21" s="17" t="s">
        <v>154</v>
      </c>
      <c r="H21" s="18" t="s">
        <v>154</v>
      </c>
      <c r="I21" s="17" t="s">
        <v>154</v>
      </c>
      <c r="J21" s="18" t="s">
        <v>154</v>
      </c>
      <c r="K21" s="17" t="s">
        <v>154</v>
      </c>
      <c r="L21" s="18" t="s">
        <v>154</v>
      </c>
      <c r="M21" s="17" t="s">
        <v>154</v>
      </c>
      <c r="N21" s="18" t="s">
        <v>154</v>
      </c>
      <c r="O21" s="17" t="s">
        <v>154</v>
      </c>
      <c r="P21" s="18" t="s">
        <v>154</v>
      </c>
      <c r="Q21" s="17" t="s">
        <v>154</v>
      </c>
      <c r="R21" s="18" t="s">
        <v>154</v>
      </c>
      <c r="S21" s="17" t="s">
        <v>154</v>
      </c>
      <c r="T21" s="18" t="s">
        <v>154</v>
      </c>
    </row>
    <row r="22" spans="1:20" x14ac:dyDescent="0.25">
      <c r="A22" s="11" t="s">
        <v>155</v>
      </c>
      <c r="B22" s="13">
        <v>6598</v>
      </c>
      <c r="C22" s="14">
        <f>(5578/B22*100)</f>
        <v>84.540769930281897</v>
      </c>
      <c r="D22" s="15">
        <v>1020</v>
      </c>
      <c r="E22" s="14">
        <v>34.566491820000003</v>
      </c>
      <c r="F22" s="16">
        <v>1.7384185000000001</v>
      </c>
      <c r="G22" s="14">
        <v>14.16083712</v>
      </c>
      <c r="H22" s="16">
        <v>1.1882217399999999</v>
      </c>
      <c r="I22" s="14">
        <v>51.27267106</v>
      </c>
      <c r="J22" s="16">
        <v>1.8693870500000001</v>
      </c>
      <c r="K22" s="14" t="s">
        <v>139</v>
      </c>
      <c r="L22" s="16" t="s">
        <v>139</v>
      </c>
      <c r="M22" s="14">
        <v>0</v>
      </c>
      <c r="N22" s="16">
        <v>0</v>
      </c>
      <c r="O22" s="14">
        <v>0</v>
      </c>
      <c r="P22" s="16">
        <v>0</v>
      </c>
      <c r="Q22" s="14">
        <v>0</v>
      </c>
      <c r="R22" s="16">
        <v>0</v>
      </c>
      <c r="S22" s="14">
        <v>0</v>
      </c>
      <c r="T22" s="16">
        <v>0</v>
      </c>
    </row>
    <row r="23" spans="1:20" x14ac:dyDescent="0.25">
      <c r="A23" s="11" t="s">
        <v>156</v>
      </c>
      <c r="B23" s="13">
        <v>11583</v>
      </c>
      <c r="C23" s="14">
        <f>(9588/B23*100)</f>
        <v>82.77648277648278</v>
      </c>
      <c r="D23" s="15">
        <v>1995</v>
      </c>
      <c r="E23" s="14">
        <v>31.441281020000002</v>
      </c>
      <c r="F23" s="16">
        <v>1.5387241300000001</v>
      </c>
      <c r="G23" s="14">
        <v>16.290507510000001</v>
      </c>
      <c r="H23" s="16">
        <v>1.09921829</v>
      </c>
      <c r="I23" s="14">
        <v>52.268211469999997</v>
      </c>
      <c r="J23" s="16">
        <v>1.48505785</v>
      </c>
      <c r="K23" s="14" t="s">
        <v>139</v>
      </c>
      <c r="L23" s="16" t="s">
        <v>139</v>
      </c>
      <c r="M23" s="14">
        <v>0</v>
      </c>
      <c r="N23" s="16">
        <v>0</v>
      </c>
      <c r="O23" s="14">
        <v>0</v>
      </c>
      <c r="P23" s="16">
        <v>0</v>
      </c>
      <c r="Q23" s="14">
        <v>0</v>
      </c>
      <c r="R23" s="16">
        <v>0</v>
      </c>
      <c r="S23" s="14">
        <v>0</v>
      </c>
      <c r="T23" s="16">
        <v>0</v>
      </c>
    </row>
    <row r="24" spans="1:20" x14ac:dyDescent="0.25">
      <c r="A24" s="11" t="s">
        <v>157</v>
      </c>
      <c r="B24" s="13">
        <v>6647</v>
      </c>
      <c r="C24" s="14">
        <f>(5492/B24*100)</f>
        <v>82.623740033097633</v>
      </c>
      <c r="D24" s="15">
        <v>1155</v>
      </c>
      <c r="E24" s="14">
        <v>58.454209290000001</v>
      </c>
      <c r="F24" s="16">
        <v>1.54165862</v>
      </c>
      <c r="G24" s="14">
        <v>22.0532124</v>
      </c>
      <c r="H24" s="16">
        <v>1.0868472600000001</v>
      </c>
      <c r="I24" s="14">
        <v>19.492578309999999</v>
      </c>
      <c r="J24" s="16">
        <v>1.2728186100000001</v>
      </c>
      <c r="K24" s="14" t="s">
        <v>139</v>
      </c>
      <c r="L24" s="16" t="s">
        <v>139</v>
      </c>
      <c r="M24" s="14">
        <v>0</v>
      </c>
      <c r="N24" s="16">
        <v>0</v>
      </c>
      <c r="O24" s="14">
        <v>0</v>
      </c>
      <c r="P24" s="16">
        <v>0</v>
      </c>
      <c r="Q24" s="14">
        <v>0</v>
      </c>
      <c r="R24" s="16">
        <v>0</v>
      </c>
      <c r="S24" s="14">
        <v>0</v>
      </c>
      <c r="T24" s="16">
        <v>0</v>
      </c>
    </row>
    <row r="25" spans="1:20" x14ac:dyDescent="0.25">
      <c r="A25" s="11" t="s">
        <v>158</v>
      </c>
      <c r="B25" s="13">
        <v>5581</v>
      </c>
      <c r="C25" s="14">
        <f>(4615/B25*100)</f>
        <v>82.691273965239205</v>
      </c>
      <c r="D25" s="15">
        <v>966</v>
      </c>
      <c r="E25" s="14">
        <v>28.255317420000001</v>
      </c>
      <c r="F25" s="16">
        <v>1.4404543700000001</v>
      </c>
      <c r="G25" s="14">
        <v>11.123483630000001</v>
      </c>
      <c r="H25" s="16">
        <v>0.87694002000000004</v>
      </c>
      <c r="I25" s="14">
        <v>60.62119895</v>
      </c>
      <c r="J25" s="16">
        <v>1.5337177500000001</v>
      </c>
      <c r="K25" s="14" t="s">
        <v>139</v>
      </c>
      <c r="L25" s="16" t="s">
        <v>139</v>
      </c>
      <c r="M25" s="14">
        <v>0</v>
      </c>
      <c r="N25" s="16">
        <v>0</v>
      </c>
      <c r="O25" s="14">
        <v>0</v>
      </c>
      <c r="P25" s="16">
        <v>0</v>
      </c>
      <c r="Q25" s="14">
        <v>0</v>
      </c>
      <c r="R25" s="16">
        <v>0</v>
      </c>
      <c r="S25" s="14">
        <v>0</v>
      </c>
      <c r="T25" s="16">
        <v>0</v>
      </c>
    </row>
    <row r="26" spans="1:20" x14ac:dyDescent="0.25">
      <c r="A26" s="11" t="s">
        <v>159</v>
      </c>
      <c r="B26" s="13">
        <v>4869</v>
      </c>
      <c r="C26" s="14">
        <f>(4034/B26*100)</f>
        <v>82.850688026288765</v>
      </c>
      <c r="D26" s="15">
        <v>835</v>
      </c>
      <c r="E26" s="14">
        <v>34.202648959999998</v>
      </c>
      <c r="F26" s="16">
        <v>1.84056357</v>
      </c>
      <c r="G26" s="14">
        <v>12.78327996</v>
      </c>
      <c r="H26" s="16">
        <v>1.19321396</v>
      </c>
      <c r="I26" s="14">
        <v>53.014071080000001</v>
      </c>
      <c r="J26" s="16">
        <v>1.9470222399999999</v>
      </c>
      <c r="K26" s="14" t="s">
        <v>139</v>
      </c>
      <c r="L26" s="16" t="s">
        <v>139</v>
      </c>
      <c r="M26" s="14">
        <v>0</v>
      </c>
      <c r="N26" s="16">
        <v>0</v>
      </c>
      <c r="O26" s="14">
        <v>0</v>
      </c>
      <c r="P26" s="16">
        <v>0</v>
      </c>
      <c r="Q26" s="14">
        <v>0</v>
      </c>
      <c r="R26" s="16">
        <v>0</v>
      </c>
      <c r="S26" s="14">
        <v>0</v>
      </c>
      <c r="T26" s="16">
        <v>0</v>
      </c>
    </row>
    <row r="27" spans="1:20" x14ac:dyDescent="0.25">
      <c r="A27" s="11" t="s">
        <v>160</v>
      </c>
      <c r="B27" s="13">
        <v>5299</v>
      </c>
      <c r="C27" s="14">
        <f>(4392/B27*100)</f>
        <v>82.883562936403095</v>
      </c>
      <c r="D27" s="15">
        <v>907</v>
      </c>
      <c r="E27" s="14">
        <v>32.407670449999998</v>
      </c>
      <c r="F27" s="16">
        <v>1.6893534100000001</v>
      </c>
      <c r="G27" s="14">
        <v>15.035784659999999</v>
      </c>
      <c r="H27" s="16">
        <v>1.06856986</v>
      </c>
      <c r="I27" s="14">
        <v>52.556544889999998</v>
      </c>
      <c r="J27" s="16">
        <v>1.65658792</v>
      </c>
      <c r="K27" s="14" t="s">
        <v>139</v>
      </c>
      <c r="L27" s="16" t="s">
        <v>139</v>
      </c>
      <c r="M27" s="14">
        <v>0</v>
      </c>
      <c r="N27" s="16">
        <v>0</v>
      </c>
      <c r="O27" s="14">
        <v>0</v>
      </c>
      <c r="P27" s="16">
        <v>0</v>
      </c>
      <c r="Q27" s="14">
        <v>0</v>
      </c>
      <c r="R27" s="16">
        <v>0</v>
      </c>
      <c r="S27" s="14">
        <v>0</v>
      </c>
      <c r="T27" s="16">
        <v>0</v>
      </c>
    </row>
    <row r="28" spans="1:20" x14ac:dyDescent="0.25">
      <c r="A28" s="11" t="s">
        <v>161</v>
      </c>
      <c r="B28" s="13">
        <v>7568</v>
      </c>
      <c r="C28" s="14">
        <f>(6329/B28*100)</f>
        <v>83.628435517970402</v>
      </c>
      <c r="D28" s="15">
        <v>1239</v>
      </c>
      <c r="E28" s="14">
        <v>41.983255409999998</v>
      </c>
      <c r="F28" s="16">
        <v>1.4403724099999999</v>
      </c>
      <c r="G28" s="14">
        <v>12.79717525</v>
      </c>
      <c r="H28" s="16">
        <v>0.86694461</v>
      </c>
      <c r="I28" s="14">
        <v>45.219569329999999</v>
      </c>
      <c r="J28" s="16">
        <v>1.44334578</v>
      </c>
      <c r="K28" s="14" t="s">
        <v>139</v>
      </c>
      <c r="L28" s="16" t="s">
        <v>139</v>
      </c>
      <c r="M28" s="14">
        <v>0</v>
      </c>
      <c r="N28" s="16">
        <v>0</v>
      </c>
      <c r="O28" s="14">
        <v>0</v>
      </c>
      <c r="P28" s="16">
        <v>0</v>
      </c>
      <c r="Q28" s="14">
        <v>0</v>
      </c>
      <c r="R28" s="16">
        <v>0</v>
      </c>
      <c r="S28" s="14">
        <v>0</v>
      </c>
      <c r="T28" s="16">
        <v>0</v>
      </c>
    </row>
    <row r="29" spans="1:20" x14ac:dyDescent="0.25">
      <c r="A29" s="11" t="s">
        <v>162</v>
      </c>
      <c r="B29" s="13">
        <v>5385</v>
      </c>
      <c r="C29" s="14">
        <f>(4499/B29*100)</f>
        <v>83.546889507892303</v>
      </c>
      <c r="D29" s="15">
        <v>886</v>
      </c>
      <c r="E29" s="14">
        <v>27.578402969999999</v>
      </c>
      <c r="F29" s="16">
        <v>1.35874629</v>
      </c>
      <c r="G29" s="14">
        <v>18.83387244</v>
      </c>
      <c r="H29" s="16">
        <v>1.33450242</v>
      </c>
      <c r="I29" s="14">
        <v>53.587724590000001</v>
      </c>
      <c r="J29" s="16">
        <v>1.5430719100000001</v>
      </c>
      <c r="K29" s="14" t="s">
        <v>139</v>
      </c>
      <c r="L29" s="16" t="s">
        <v>139</v>
      </c>
      <c r="M29" s="14">
        <v>0</v>
      </c>
      <c r="N29" s="16">
        <v>0</v>
      </c>
      <c r="O29" s="14">
        <v>0</v>
      </c>
      <c r="P29" s="16">
        <v>0</v>
      </c>
      <c r="Q29" s="14">
        <v>0</v>
      </c>
      <c r="R29" s="16">
        <v>0</v>
      </c>
      <c r="S29" s="14">
        <v>0</v>
      </c>
      <c r="T29" s="16">
        <v>0</v>
      </c>
    </row>
    <row r="30" spans="1:20" x14ac:dyDescent="0.25">
      <c r="A30" s="11" t="s">
        <v>163</v>
      </c>
      <c r="B30" s="13">
        <v>4520</v>
      </c>
      <c r="C30" s="14">
        <f>(3785/B30*100)</f>
        <v>83.738938053097343</v>
      </c>
      <c r="D30" s="15">
        <v>735</v>
      </c>
      <c r="E30" s="14">
        <v>27.813024639999998</v>
      </c>
      <c r="F30" s="16">
        <v>1.67681586</v>
      </c>
      <c r="G30" s="14">
        <v>9.0991517799999997</v>
      </c>
      <c r="H30" s="16">
        <v>1.0003094699999999</v>
      </c>
      <c r="I30" s="14">
        <v>63.087823579999998</v>
      </c>
      <c r="J30" s="16">
        <v>1.7845716199999999</v>
      </c>
      <c r="K30" s="14" t="s">
        <v>139</v>
      </c>
      <c r="L30" s="16" t="s">
        <v>139</v>
      </c>
      <c r="M30" s="14">
        <v>0</v>
      </c>
      <c r="N30" s="16">
        <v>0</v>
      </c>
      <c r="O30" s="14">
        <v>0</v>
      </c>
      <c r="P30" s="16">
        <v>0</v>
      </c>
      <c r="Q30" s="14">
        <v>0</v>
      </c>
      <c r="R30" s="16">
        <v>0</v>
      </c>
      <c r="S30" s="14">
        <v>0</v>
      </c>
      <c r="T30" s="16">
        <v>0</v>
      </c>
    </row>
    <row r="31" spans="1:20" x14ac:dyDescent="0.25">
      <c r="A31" s="11" t="s">
        <v>164</v>
      </c>
      <c r="B31" s="13">
        <v>5456</v>
      </c>
      <c r="C31" s="14">
        <f>(4540/B31*100)</f>
        <v>83.21114369501467</v>
      </c>
      <c r="D31" s="15">
        <v>916</v>
      </c>
      <c r="E31" s="14">
        <v>27.390704849999999</v>
      </c>
      <c r="F31" s="16">
        <v>1.3939776500000001</v>
      </c>
      <c r="G31" s="14">
        <v>18.390384149999999</v>
      </c>
      <c r="H31" s="16">
        <v>1.216054</v>
      </c>
      <c r="I31" s="14">
        <v>54.218910999999999</v>
      </c>
      <c r="J31" s="16">
        <v>1.60724369</v>
      </c>
      <c r="K31" s="14" t="s">
        <v>139</v>
      </c>
      <c r="L31" s="16" t="s">
        <v>139</v>
      </c>
      <c r="M31" s="14">
        <v>0</v>
      </c>
      <c r="N31" s="16">
        <v>0</v>
      </c>
      <c r="O31" s="14">
        <v>0</v>
      </c>
      <c r="P31" s="16">
        <v>0</v>
      </c>
      <c r="Q31" s="14">
        <v>0</v>
      </c>
      <c r="R31" s="16">
        <v>0</v>
      </c>
      <c r="S31" s="14">
        <v>0</v>
      </c>
      <c r="T31" s="16">
        <v>0</v>
      </c>
    </row>
    <row r="32" spans="1:20" x14ac:dyDescent="0.25">
      <c r="A32" s="11" t="s">
        <v>165</v>
      </c>
      <c r="B32" s="17" t="s">
        <v>154</v>
      </c>
      <c r="C32" s="17" t="s">
        <v>154</v>
      </c>
      <c r="D32" s="18" t="s">
        <v>154</v>
      </c>
      <c r="E32" s="17" t="s">
        <v>154</v>
      </c>
      <c r="F32" s="18" t="s">
        <v>154</v>
      </c>
      <c r="G32" s="17" t="s">
        <v>154</v>
      </c>
      <c r="H32" s="18" t="s">
        <v>154</v>
      </c>
      <c r="I32" s="17" t="s">
        <v>154</v>
      </c>
      <c r="J32" s="18" t="s">
        <v>154</v>
      </c>
      <c r="K32" s="17" t="s">
        <v>154</v>
      </c>
      <c r="L32" s="18" t="s">
        <v>154</v>
      </c>
      <c r="M32" s="17" t="s">
        <v>154</v>
      </c>
      <c r="N32" s="18" t="s">
        <v>154</v>
      </c>
      <c r="O32" s="17" t="s">
        <v>154</v>
      </c>
      <c r="P32" s="18" t="s">
        <v>154</v>
      </c>
      <c r="Q32" s="17" t="s">
        <v>154</v>
      </c>
      <c r="R32" s="18" t="s">
        <v>154</v>
      </c>
      <c r="S32" s="17" t="s">
        <v>154</v>
      </c>
      <c r="T32" s="18" t="s">
        <v>154</v>
      </c>
    </row>
    <row r="33" spans="1:20" x14ac:dyDescent="0.25">
      <c r="A33" s="11" t="s">
        <v>166</v>
      </c>
      <c r="B33" s="13">
        <v>7325</v>
      </c>
      <c r="C33" s="14">
        <f>(6097/B33*100)</f>
        <v>83.235494880546085</v>
      </c>
      <c r="D33" s="15">
        <v>1228</v>
      </c>
      <c r="E33" s="14">
        <v>29.005758579999998</v>
      </c>
      <c r="F33" s="16">
        <v>1.5637577300000001</v>
      </c>
      <c r="G33" s="14">
        <v>11.561412929999999</v>
      </c>
      <c r="H33" s="16">
        <v>0.97914029000000002</v>
      </c>
      <c r="I33" s="14">
        <v>59.432828489999999</v>
      </c>
      <c r="J33" s="16">
        <v>1.5697937900000001</v>
      </c>
      <c r="K33" s="14" t="s">
        <v>139</v>
      </c>
      <c r="L33" s="16" t="s">
        <v>139</v>
      </c>
      <c r="M33" s="14">
        <v>0</v>
      </c>
      <c r="N33" s="16">
        <v>0</v>
      </c>
      <c r="O33" s="14">
        <v>0</v>
      </c>
      <c r="P33" s="16">
        <v>0</v>
      </c>
      <c r="Q33" s="14">
        <v>0</v>
      </c>
      <c r="R33" s="16">
        <v>0</v>
      </c>
      <c r="S33" s="14">
        <v>0</v>
      </c>
      <c r="T33" s="16">
        <v>0</v>
      </c>
    </row>
    <row r="34" spans="1:20" x14ac:dyDescent="0.25">
      <c r="A34" s="11" t="s">
        <v>167</v>
      </c>
      <c r="B34" s="13">
        <v>6350</v>
      </c>
      <c r="C34" s="14">
        <f>(5305/B34*100)</f>
        <v>83.543307086614178</v>
      </c>
      <c r="D34" s="15">
        <v>1045</v>
      </c>
      <c r="E34" s="14">
        <v>40.777133659999997</v>
      </c>
      <c r="F34" s="16">
        <v>1.6084540000000001</v>
      </c>
      <c r="G34" s="14">
        <v>14.63720874</v>
      </c>
      <c r="H34" s="16">
        <v>1.2387998099999999</v>
      </c>
      <c r="I34" s="14">
        <v>44.585657599999998</v>
      </c>
      <c r="J34" s="16">
        <v>1.55153747</v>
      </c>
      <c r="K34" s="14" t="s">
        <v>139</v>
      </c>
      <c r="L34" s="16" t="s">
        <v>139</v>
      </c>
      <c r="M34" s="14">
        <v>0</v>
      </c>
      <c r="N34" s="16">
        <v>0</v>
      </c>
      <c r="O34" s="14">
        <v>0</v>
      </c>
      <c r="P34" s="16">
        <v>0</v>
      </c>
      <c r="Q34" s="14">
        <v>0</v>
      </c>
      <c r="R34" s="16">
        <v>0</v>
      </c>
      <c r="S34" s="14">
        <v>0</v>
      </c>
      <c r="T34" s="16">
        <v>0</v>
      </c>
    </row>
    <row r="35" spans="1:20" x14ac:dyDescent="0.25">
      <c r="A35" s="11" t="s">
        <v>168</v>
      </c>
      <c r="B35" s="13">
        <v>6406</v>
      </c>
      <c r="C35" s="14">
        <f>(5349/B35*100)</f>
        <v>83.499843896347173</v>
      </c>
      <c r="D35" s="15">
        <v>1057</v>
      </c>
      <c r="E35" s="14">
        <v>40.421365360000003</v>
      </c>
      <c r="F35" s="16">
        <v>2.00689618</v>
      </c>
      <c r="G35" s="14">
        <v>9.3754366400000002</v>
      </c>
      <c r="H35" s="16">
        <v>1.1399276599999999</v>
      </c>
      <c r="I35" s="14">
        <v>50.203198</v>
      </c>
      <c r="J35" s="16">
        <v>1.8693758899999999</v>
      </c>
      <c r="K35" s="14" t="s">
        <v>139</v>
      </c>
      <c r="L35" s="16" t="s">
        <v>139</v>
      </c>
      <c r="M35" s="14">
        <v>0</v>
      </c>
      <c r="N35" s="16">
        <v>0</v>
      </c>
      <c r="O35" s="14">
        <v>0</v>
      </c>
      <c r="P35" s="16">
        <v>0</v>
      </c>
      <c r="Q35" s="14">
        <v>0</v>
      </c>
      <c r="R35" s="16">
        <v>0</v>
      </c>
      <c r="S35" s="14">
        <v>0</v>
      </c>
      <c r="T35" s="16">
        <v>0</v>
      </c>
    </row>
    <row r="36" spans="1:20" x14ac:dyDescent="0.25">
      <c r="A36" s="11" t="s">
        <v>169</v>
      </c>
      <c r="B36" s="13">
        <v>6736</v>
      </c>
      <c r="C36" s="14">
        <f>(5587/B36*100)</f>
        <v>82.942399049881232</v>
      </c>
      <c r="D36" s="15">
        <v>1149</v>
      </c>
      <c r="E36" s="14">
        <v>25.951616040000001</v>
      </c>
      <c r="F36" s="16">
        <v>1.28004004</v>
      </c>
      <c r="G36" s="14">
        <v>17.327979089999999</v>
      </c>
      <c r="H36" s="16">
        <v>1.1265020100000001</v>
      </c>
      <c r="I36" s="14">
        <v>56.720404870000003</v>
      </c>
      <c r="J36" s="16">
        <v>1.5223907699999999</v>
      </c>
      <c r="K36" s="14" t="s">
        <v>139</v>
      </c>
      <c r="L36" s="16" t="s">
        <v>139</v>
      </c>
      <c r="M36" s="14">
        <v>0</v>
      </c>
      <c r="N36" s="16">
        <v>0</v>
      </c>
      <c r="O36" s="14">
        <v>0</v>
      </c>
      <c r="P36" s="16">
        <v>0</v>
      </c>
      <c r="Q36" s="14">
        <v>0</v>
      </c>
      <c r="R36" s="16">
        <v>0</v>
      </c>
      <c r="S36" s="14">
        <v>0</v>
      </c>
      <c r="T36" s="16">
        <v>0</v>
      </c>
    </row>
    <row r="37" spans="1:20" x14ac:dyDescent="0.25">
      <c r="A37" s="11" t="s">
        <v>170</v>
      </c>
      <c r="B37" s="13">
        <v>5458</v>
      </c>
      <c r="C37" s="14">
        <f>(4553/B37*100)</f>
        <v>83.418834737999276</v>
      </c>
      <c r="D37" s="15">
        <v>905</v>
      </c>
      <c r="E37" s="14">
        <v>33.923580710000003</v>
      </c>
      <c r="F37" s="16">
        <v>1.7279068799999999</v>
      </c>
      <c r="G37" s="14">
        <v>16.652052699999999</v>
      </c>
      <c r="H37" s="16">
        <v>1.1373079699999999</v>
      </c>
      <c r="I37" s="14">
        <v>49.424366589999998</v>
      </c>
      <c r="J37" s="16">
        <v>1.8271471699999999</v>
      </c>
      <c r="K37" s="14" t="s">
        <v>139</v>
      </c>
      <c r="L37" s="16" t="s">
        <v>139</v>
      </c>
      <c r="M37" s="14">
        <v>0</v>
      </c>
      <c r="N37" s="16">
        <v>0</v>
      </c>
      <c r="O37" s="14">
        <v>0</v>
      </c>
      <c r="P37" s="16">
        <v>0</v>
      </c>
      <c r="Q37" s="14">
        <v>0</v>
      </c>
      <c r="R37" s="16">
        <v>0</v>
      </c>
      <c r="S37" s="14">
        <v>0</v>
      </c>
      <c r="T37" s="16">
        <v>0</v>
      </c>
    </row>
    <row r="38" spans="1:20" x14ac:dyDescent="0.25">
      <c r="A38" s="11" t="s">
        <v>171</v>
      </c>
      <c r="B38" s="17" t="s">
        <v>154</v>
      </c>
      <c r="C38" s="17" t="s">
        <v>154</v>
      </c>
      <c r="D38" s="18" t="s">
        <v>154</v>
      </c>
      <c r="E38" s="17" t="s">
        <v>154</v>
      </c>
      <c r="F38" s="18" t="s">
        <v>154</v>
      </c>
      <c r="G38" s="17" t="s">
        <v>154</v>
      </c>
      <c r="H38" s="18" t="s">
        <v>154</v>
      </c>
      <c r="I38" s="17" t="s">
        <v>154</v>
      </c>
      <c r="J38" s="18" t="s">
        <v>154</v>
      </c>
      <c r="K38" s="17" t="s">
        <v>154</v>
      </c>
      <c r="L38" s="18" t="s">
        <v>154</v>
      </c>
      <c r="M38" s="17" t="s">
        <v>154</v>
      </c>
      <c r="N38" s="18" t="s">
        <v>154</v>
      </c>
      <c r="O38" s="17" t="s">
        <v>154</v>
      </c>
      <c r="P38" s="18" t="s">
        <v>154</v>
      </c>
      <c r="Q38" s="17" t="s">
        <v>154</v>
      </c>
      <c r="R38" s="18" t="s">
        <v>154</v>
      </c>
      <c r="S38" s="17" t="s">
        <v>154</v>
      </c>
      <c r="T38" s="18" t="s">
        <v>154</v>
      </c>
    </row>
    <row r="39" spans="1:20" x14ac:dyDescent="0.25">
      <c r="A39" s="11" t="s">
        <v>172</v>
      </c>
      <c r="B39" s="13">
        <v>5895</v>
      </c>
      <c r="C39" s="14">
        <f>(4863/B39*100)</f>
        <v>82.493638676844782</v>
      </c>
      <c r="D39" s="15">
        <v>1032</v>
      </c>
      <c r="E39" s="14">
        <v>48.784319629999999</v>
      </c>
      <c r="F39" s="16">
        <v>1.8177475700000001</v>
      </c>
      <c r="G39" s="14">
        <v>14.377897620000001</v>
      </c>
      <c r="H39" s="16">
        <v>1.1931923099999999</v>
      </c>
      <c r="I39" s="14">
        <v>36.837782760000003</v>
      </c>
      <c r="J39" s="16">
        <v>1.6896229599999999</v>
      </c>
      <c r="K39" s="14" t="s">
        <v>139</v>
      </c>
      <c r="L39" s="16" t="s">
        <v>139</v>
      </c>
      <c r="M39" s="14">
        <v>0</v>
      </c>
      <c r="N39" s="16">
        <v>0</v>
      </c>
      <c r="O39" s="14">
        <v>0</v>
      </c>
      <c r="P39" s="16">
        <v>0</v>
      </c>
      <c r="Q39" s="14">
        <v>0</v>
      </c>
      <c r="R39" s="16">
        <v>0</v>
      </c>
      <c r="S39" s="14">
        <v>0</v>
      </c>
      <c r="T39" s="16">
        <v>0</v>
      </c>
    </row>
    <row r="40" spans="1:20" x14ac:dyDescent="0.25">
      <c r="A40" s="11" t="s">
        <v>173</v>
      </c>
      <c r="B40" s="13">
        <v>14157</v>
      </c>
      <c r="C40" s="14">
        <f>(11741/B40*100)</f>
        <v>82.93423747969203</v>
      </c>
      <c r="D40" s="15">
        <v>2416</v>
      </c>
      <c r="E40" s="14">
        <v>29.24728343</v>
      </c>
      <c r="F40" s="16">
        <v>1.37889917</v>
      </c>
      <c r="G40" s="14">
        <v>10.5904913</v>
      </c>
      <c r="H40" s="16">
        <v>0.97693118000000001</v>
      </c>
      <c r="I40" s="14">
        <v>60.162225280000001</v>
      </c>
      <c r="J40" s="16">
        <v>1.65967299</v>
      </c>
      <c r="K40" s="14" t="s">
        <v>139</v>
      </c>
      <c r="L40" s="16" t="s">
        <v>139</v>
      </c>
      <c r="M40" s="14">
        <v>0</v>
      </c>
      <c r="N40" s="16">
        <v>0</v>
      </c>
      <c r="O40" s="14">
        <v>0</v>
      </c>
      <c r="P40" s="16">
        <v>0</v>
      </c>
      <c r="Q40" s="14">
        <v>0</v>
      </c>
      <c r="R40" s="16">
        <v>0</v>
      </c>
      <c r="S40" s="14">
        <v>0</v>
      </c>
      <c r="T40" s="16">
        <v>0</v>
      </c>
    </row>
    <row r="41" spans="1:20" x14ac:dyDescent="0.25">
      <c r="A41" s="11" t="s">
        <v>174</v>
      </c>
      <c r="B41" s="13">
        <v>5712</v>
      </c>
      <c r="C41" s="14">
        <f>(4732/B41*100)</f>
        <v>82.843137254901961</v>
      </c>
      <c r="D41" s="15">
        <v>980</v>
      </c>
      <c r="E41" s="14">
        <v>30.819094249999999</v>
      </c>
      <c r="F41" s="16">
        <v>1.6902557899999999</v>
      </c>
      <c r="G41" s="14">
        <v>10.23025133</v>
      </c>
      <c r="H41" s="16">
        <v>1.08965103</v>
      </c>
      <c r="I41" s="14">
        <v>58.950654419999999</v>
      </c>
      <c r="J41" s="16">
        <v>1.8928833300000001</v>
      </c>
      <c r="K41" s="14" t="s">
        <v>139</v>
      </c>
      <c r="L41" s="16" t="s">
        <v>139</v>
      </c>
      <c r="M41" s="14">
        <v>0</v>
      </c>
      <c r="N41" s="16">
        <v>0</v>
      </c>
      <c r="O41" s="14">
        <v>0</v>
      </c>
      <c r="P41" s="16">
        <v>0</v>
      </c>
      <c r="Q41" s="14">
        <v>0</v>
      </c>
      <c r="R41" s="16">
        <v>0</v>
      </c>
      <c r="S41" s="14">
        <v>0</v>
      </c>
      <c r="T41" s="16">
        <v>0</v>
      </c>
    </row>
    <row r="42" spans="1:20" x14ac:dyDescent="0.25">
      <c r="A42" s="11" t="s">
        <v>175</v>
      </c>
      <c r="B42" s="13">
        <f>IF(COUNT(B7:B41) &gt; 0, AVERAGE(B7:B41), "\u2014")</f>
        <v>7266.90625</v>
      </c>
      <c r="C42" s="14">
        <f>IF(COUNT(C7:C41) &gt; 0, AVERAGE(C7:C41), "—")</f>
        <v>83.128406570357896</v>
      </c>
      <c r="D42" s="15">
        <f>IF(COUNT(D7:D41) &gt; 0, AVERAGE(D7:D41), "—")</f>
        <v>1226.78125</v>
      </c>
      <c r="E42" s="14">
        <f>IF(COUNT(E7:E41) &gt; 0, AVERAGE(E7:E41), "—")</f>
        <v>32.577194097500005</v>
      </c>
      <c r="F42" s="16">
        <f>IF(COUNT(F7:F41) &gt; 0, SQRT(SUMSQ(F7:F41)/(COUNT(F7:F41)*COUNT(F7:F41)) ), "—")</f>
        <v>0.27363664391238668</v>
      </c>
      <c r="G42" s="14">
        <f>IF(COUNT(G7:G41) &gt; 0, AVERAGE(G7:G41), "—")</f>
        <v>14.235774991562499</v>
      </c>
      <c r="H42" s="16">
        <f>IF(COUNT(H7:H41) &gt; 0, SQRT(SUMSQ(H7:H41)/(COUNT(H7:H41)*COUNT(H7:H41)) ), "—")</f>
        <v>0.19704586403546442</v>
      </c>
      <c r="I42" s="14">
        <f>IF(COUNT(I7:I41) &gt; 0, AVERAGE(I7:I41), "—")</f>
        <v>53.187030910312508</v>
      </c>
      <c r="J42" s="16">
        <f>IF(COUNT(J7:J41) &gt; 0, SQRT(SUMSQ(J7:J41)/(COUNT(J7:J41)*COUNT(J7:J41)) ), "—")</f>
        <v>0.29089974329027996</v>
      </c>
      <c r="K42" s="14" t="str">
        <f>IF(COUNT(K7:K41) &gt; 0, AVERAGE(K7:K41), "—")</f>
        <v>—</v>
      </c>
      <c r="L42" s="16" t="str">
        <f>IF(COUNT(L7:L41) &gt; 0, SQRT(SUMSQ(L7:L41)/(COUNT(L7:L41)*COUNT(L7:L41)) ), "—")</f>
        <v>—</v>
      </c>
      <c r="M42" s="14">
        <f>IF(COUNT(M7:M41) &gt; 0, AVERAGE(M7:M41), "—")</f>
        <v>0</v>
      </c>
      <c r="N42" s="16">
        <f>IF(COUNT(N7:N41) &gt; 0, SQRT(SUMSQ(N7:N41)/(COUNT(N7:N41)*COUNT(N7:N41)) ), "—")</f>
        <v>0</v>
      </c>
      <c r="O42" s="14">
        <f>IF(COUNT(O7:O41) &gt; 0, AVERAGE(O7:O41), "—")</f>
        <v>0</v>
      </c>
      <c r="P42" s="16">
        <f>IF(COUNT(P7:P41) &gt; 0, SQRT(SUMSQ(P7:P41)/(COUNT(P7:P41)*COUNT(P7:P41)) ), "—")</f>
        <v>0</v>
      </c>
      <c r="Q42" s="14">
        <f>IF(COUNT(Q7:Q41) &gt; 0, AVERAGE(Q7:Q41), "—")</f>
        <v>0</v>
      </c>
      <c r="R42" s="16">
        <f>IF(COUNT(R7:R41) &gt; 0, SQRT(SUMSQ(R7:R41)/(COUNT(R7:R41)*COUNT(R7:R41)) ), "—")</f>
        <v>0</v>
      </c>
      <c r="S42" s="14">
        <f>IF(COUNT(S7:S41) &gt; 0, AVERAGE(S7:S41), "—")</f>
        <v>0</v>
      </c>
      <c r="T42" s="16">
        <f>IF(COUNT(T7:T41) &gt; 0, SQRT(SUMSQ(T7:T41)/(COUNT(T7:T41)*COUNT(T7:T41)) ), "—")</f>
        <v>0</v>
      </c>
    </row>
    <row r="43" spans="1:20" x14ac:dyDescent="0.25">
      <c r="A43" s="9" t="s">
        <v>176</v>
      </c>
      <c r="B43" s="10"/>
      <c r="C43" s="10"/>
      <c r="D43" s="11"/>
      <c r="E43" s="10"/>
      <c r="F43" s="11"/>
      <c r="G43" s="10"/>
      <c r="H43" s="11"/>
      <c r="I43" s="10"/>
      <c r="J43" s="11"/>
      <c r="K43" s="10"/>
      <c r="L43" s="11"/>
      <c r="M43" s="10"/>
      <c r="N43" s="11"/>
      <c r="O43" s="10"/>
      <c r="P43" s="11"/>
      <c r="Q43" s="10"/>
      <c r="R43" s="11"/>
      <c r="S43" s="10"/>
      <c r="T43" s="12"/>
    </row>
    <row r="44" spans="1:20" x14ac:dyDescent="0.25">
      <c r="A44" s="11" t="s">
        <v>177</v>
      </c>
      <c r="B44" s="17" t="s">
        <v>154</v>
      </c>
      <c r="C44" s="17" t="s">
        <v>154</v>
      </c>
      <c r="D44" s="18" t="s">
        <v>154</v>
      </c>
      <c r="E44" s="17" t="s">
        <v>154</v>
      </c>
      <c r="F44" s="18" t="s">
        <v>154</v>
      </c>
      <c r="G44" s="17" t="s">
        <v>154</v>
      </c>
      <c r="H44" s="18" t="s">
        <v>154</v>
      </c>
      <c r="I44" s="17" t="s">
        <v>154</v>
      </c>
      <c r="J44" s="18" t="s">
        <v>154</v>
      </c>
      <c r="K44" s="17" t="s">
        <v>154</v>
      </c>
      <c r="L44" s="18" t="s">
        <v>154</v>
      </c>
      <c r="M44" s="17" t="s">
        <v>154</v>
      </c>
      <c r="N44" s="18" t="s">
        <v>154</v>
      </c>
      <c r="O44" s="17" t="s">
        <v>154</v>
      </c>
      <c r="P44" s="18" t="s">
        <v>154</v>
      </c>
      <c r="Q44" s="17" t="s">
        <v>154</v>
      </c>
      <c r="R44" s="18" t="s">
        <v>154</v>
      </c>
      <c r="S44" s="17" t="s">
        <v>154</v>
      </c>
      <c r="T44" s="18" t="s">
        <v>154</v>
      </c>
    </row>
    <row r="45" spans="1:20" x14ac:dyDescent="0.25">
      <c r="A45" s="11" t="s">
        <v>178</v>
      </c>
      <c r="B45" s="17" t="s">
        <v>154</v>
      </c>
      <c r="C45" s="17" t="s">
        <v>154</v>
      </c>
      <c r="D45" s="18" t="s">
        <v>154</v>
      </c>
      <c r="E45" s="17" t="s">
        <v>154</v>
      </c>
      <c r="F45" s="18" t="s">
        <v>154</v>
      </c>
      <c r="G45" s="17" t="s">
        <v>154</v>
      </c>
      <c r="H45" s="18" t="s">
        <v>154</v>
      </c>
      <c r="I45" s="17" t="s">
        <v>154</v>
      </c>
      <c r="J45" s="18" t="s">
        <v>154</v>
      </c>
      <c r="K45" s="17" t="s">
        <v>154</v>
      </c>
      <c r="L45" s="18" t="s">
        <v>154</v>
      </c>
      <c r="M45" s="17" t="s">
        <v>154</v>
      </c>
      <c r="N45" s="18" t="s">
        <v>154</v>
      </c>
      <c r="O45" s="17" t="s">
        <v>154</v>
      </c>
      <c r="P45" s="18" t="s">
        <v>154</v>
      </c>
      <c r="Q45" s="17" t="s">
        <v>154</v>
      </c>
      <c r="R45" s="18" t="s">
        <v>154</v>
      </c>
      <c r="S45" s="17" t="s">
        <v>154</v>
      </c>
      <c r="T45" s="18" t="s">
        <v>154</v>
      </c>
    </row>
    <row r="46" spans="1:20" x14ac:dyDescent="0.25">
      <c r="A46" s="11" t="s">
        <v>179</v>
      </c>
      <c r="B46" s="13">
        <v>23141</v>
      </c>
      <c r="C46" s="14">
        <f>(19861/B46*100)</f>
        <v>85.826023075925846</v>
      </c>
      <c r="D46" s="15">
        <v>3280</v>
      </c>
      <c r="E46" s="14">
        <v>52.75121111</v>
      </c>
      <c r="F46" s="16">
        <v>1.2616478099999999</v>
      </c>
      <c r="G46" s="14">
        <v>10.54625893</v>
      </c>
      <c r="H46" s="16">
        <v>0.76351488999999995</v>
      </c>
      <c r="I46" s="14">
        <v>36.70252996</v>
      </c>
      <c r="J46" s="16">
        <v>1.20085753</v>
      </c>
      <c r="K46" s="14" t="s">
        <v>139</v>
      </c>
      <c r="L46" s="16" t="s">
        <v>139</v>
      </c>
      <c r="M46" s="14">
        <v>0</v>
      </c>
      <c r="N46" s="16">
        <v>0</v>
      </c>
      <c r="O46" s="14">
        <v>0</v>
      </c>
      <c r="P46" s="16">
        <v>0</v>
      </c>
      <c r="Q46" s="14">
        <v>0</v>
      </c>
      <c r="R46" s="16">
        <v>0</v>
      </c>
      <c r="S46" s="14">
        <v>0</v>
      </c>
      <c r="T46" s="16">
        <v>0</v>
      </c>
    </row>
    <row r="47" spans="1:20" x14ac:dyDescent="0.25">
      <c r="A47" s="11" t="s">
        <v>180</v>
      </c>
      <c r="B47" s="13">
        <v>5928</v>
      </c>
      <c r="C47" s="14">
        <f>(4932/B47*100)</f>
        <v>83.198380566801617</v>
      </c>
      <c r="D47" s="15">
        <v>996</v>
      </c>
      <c r="E47" s="14">
        <v>41.585476999999997</v>
      </c>
      <c r="F47" s="16">
        <v>1.8628447800000001</v>
      </c>
      <c r="G47" s="14">
        <v>13.934558819999999</v>
      </c>
      <c r="H47" s="16">
        <v>1.11155738</v>
      </c>
      <c r="I47" s="14">
        <v>44.479964180000003</v>
      </c>
      <c r="J47" s="16">
        <v>1.6373825900000001</v>
      </c>
      <c r="K47" s="14" t="s">
        <v>139</v>
      </c>
      <c r="L47" s="16" t="s">
        <v>139</v>
      </c>
      <c r="M47" s="14">
        <v>0</v>
      </c>
      <c r="N47" s="16">
        <v>0</v>
      </c>
      <c r="O47" s="14">
        <v>0</v>
      </c>
      <c r="P47" s="16">
        <v>0</v>
      </c>
      <c r="Q47" s="14">
        <v>0</v>
      </c>
      <c r="R47" s="16">
        <v>0</v>
      </c>
      <c r="S47" s="14">
        <v>0</v>
      </c>
      <c r="T47" s="16">
        <v>0</v>
      </c>
    </row>
    <row r="48" spans="1:20" x14ac:dyDescent="0.25">
      <c r="A48" s="11" t="s">
        <v>181</v>
      </c>
      <c r="B48" s="13">
        <v>9841</v>
      </c>
      <c r="C48" s="14">
        <f>(8170/B48*100)</f>
        <v>83.020018290824112</v>
      </c>
      <c r="D48" s="15">
        <v>1671</v>
      </c>
      <c r="E48" s="14">
        <v>31.854574079999999</v>
      </c>
      <c r="F48" s="16">
        <v>1.80584638</v>
      </c>
      <c r="G48" s="14">
        <v>9.9402200199999999</v>
      </c>
      <c r="H48" s="16">
        <v>1.18904915</v>
      </c>
      <c r="I48" s="14">
        <v>58.205205900000003</v>
      </c>
      <c r="J48" s="16">
        <v>1.77699765</v>
      </c>
      <c r="K48" s="14" t="s">
        <v>139</v>
      </c>
      <c r="L48" s="16" t="s">
        <v>139</v>
      </c>
      <c r="M48" s="14">
        <v>0</v>
      </c>
      <c r="N48" s="16">
        <v>0</v>
      </c>
      <c r="O48" s="14">
        <v>0</v>
      </c>
      <c r="P48" s="16">
        <v>0</v>
      </c>
      <c r="Q48" s="14">
        <v>0</v>
      </c>
      <c r="R48" s="16">
        <v>0</v>
      </c>
      <c r="S48" s="14">
        <v>0</v>
      </c>
      <c r="T48" s="16">
        <v>0</v>
      </c>
    </row>
    <row r="49" spans="1:20" x14ac:dyDescent="0.25">
      <c r="A49" s="11" t="s">
        <v>182</v>
      </c>
      <c r="B49" s="17" t="s">
        <v>154</v>
      </c>
      <c r="C49" s="17" t="s">
        <v>154</v>
      </c>
      <c r="D49" s="18" t="s">
        <v>154</v>
      </c>
      <c r="E49" s="17" t="s">
        <v>154</v>
      </c>
      <c r="F49" s="18" t="s">
        <v>154</v>
      </c>
      <c r="G49" s="17" t="s">
        <v>154</v>
      </c>
      <c r="H49" s="18" t="s">
        <v>154</v>
      </c>
      <c r="I49" s="17" t="s">
        <v>154</v>
      </c>
      <c r="J49" s="18" t="s">
        <v>154</v>
      </c>
      <c r="K49" s="17" t="s">
        <v>154</v>
      </c>
      <c r="L49" s="18" t="s">
        <v>154</v>
      </c>
      <c r="M49" s="17" t="s">
        <v>154</v>
      </c>
      <c r="N49" s="18" t="s">
        <v>154</v>
      </c>
      <c r="O49" s="17" t="s">
        <v>154</v>
      </c>
      <c r="P49" s="18" t="s">
        <v>154</v>
      </c>
      <c r="Q49" s="17" t="s">
        <v>154</v>
      </c>
      <c r="R49" s="18" t="s">
        <v>154</v>
      </c>
      <c r="S49" s="17" t="s">
        <v>154</v>
      </c>
      <c r="T49" s="18" t="s">
        <v>154</v>
      </c>
    </row>
    <row r="50" spans="1:20" x14ac:dyDescent="0.25">
      <c r="A50" s="11" t="s">
        <v>183</v>
      </c>
      <c r="B50" s="13">
        <v>11795</v>
      </c>
      <c r="C50" s="14">
        <f>(9825/B50*100)</f>
        <v>83.298007630351847</v>
      </c>
      <c r="D50" s="15">
        <v>1970</v>
      </c>
      <c r="E50" s="14">
        <v>47.541387880000002</v>
      </c>
      <c r="F50" s="16">
        <v>1.4660202600000001</v>
      </c>
      <c r="G50" s="14">
        <v>16.636869239999999</v>
      </c>
      <c r="H50" s="16">
        <v>1.2006021</v>
      </c>
      <c r="I50" s="14">
        <v>35.821742880000002</v>
      </c>
      <c r="J50" s="16">
        <v>1.36041327</v>
      </c>
      <c r="K50" s="14" t="s">
        <v>139</v>
      </c>
      <c r="L50" s="16" t="s">
        <v>139</v>
      </c>
      <c r="M50" s="14">
        <v>0</v>
      </c>
      <c r="N50" s="16">
        <v>0</v>
      </c>
      <c r="O50" s="14">
        <v>0</v>
      </c>
      <c r="P50" s="16">
        <v>0</v>
      </c>
      <c r="Q50" s="14">
        <v>0</v>
      </c>
      <c r="R50" s="16">
        <v>0</v>
      </c>
      <c r="S50" s="14">
        <v>0</v>
      </c>
      <c r="T50" s="16">
        <v>0</v>
      </c>
    </row>
    <row r="51" spans="1:20" x14ac:dyDescent="0.25">
      <c r="A51" s="11" t="s">
        <v>184</v>
      </c>
      <c r="B51" s="13">
        <v>6866</v>
      </c>
      <c r="C51" s="14">
        <f>(5838/B51*100)</f>
        <v>85.027672589571807</v>
      </c>
      <c r="D51" s="15">
        <v>1028</v>
      </c>
      <c r="E51" s="14">
        <v>38.498939210000003</v>
      </c>
      <c r="F51" s="16">
        <v>1.6253161</v>
      </c>
      <c r="G51" s="14">
        <v>16.276628330000001</v>
      </c>
      <c r="H51" s="16">
        <v>0.96569340999999997</v>
      </c>
      <c r="I51" s="14">
        <v>45.224432460000003</v>
      </c>
      <c r="J51" s="16">
        <v>1.60308366</v>
      </c>
      <c r="K51" s="14" t="s">
        <v>139</v>
      </c>
      <c r="L51" s="16" t="s">
        <v>139</v>
      </c>
      <c r="M51" s="14">
        <v>0</v>
      </c>
      <c r="N51" s="16">
        <v>0</v>
      </c>
      <c r="O51" s="14">
        <v>0</v>
      </c>
      <c r="P51" s="16">
        <v>0</v>
      </c>
      <c r="Q51" s="14">
        <v>0</v>
      </c>
      <c r="R51" s="16">
        <v>0</v>
      </c>
      <c r="S51" s="14">
        <v>0</v>
      </c>
      <c r="T51" s="16">
        <v>0</v>
      </c>
    </row>
    <row r="52" spans="1:20" x14ac:dyDescent="0.25">
      <c r="A52" s="11" t="s">
        <v>185</v>
      </c>
      <c r="B52" s="13">
        <v>5809</v>
      </c>
      <c r="C52" s="14">
        <f>(4835/B52*100)</f>
        <v>83.232914443105528</v>
      </c>
      <c r="D52" s="15">
        <v>974</v>
      </c>
      <c r="E52" s="14">
        <v>39.100953560000001</v>
      </c>
      <c r="F52" s="16">
        <v>1.67168732</v>
      </c>
      <c r="G52" s="14">
        <v>8.0967393800000007</v>
      </c>
      <c r="H52" s="16">
        <v>0.94172182999999998</v>
      </c>
      <c r="I52" s="14">
        <v>52.802307069999998</v>
      </c>
      <c r="J52" s="16">
        <v>1.93000448</v>
      </c>
      <c r="K52" s="14" t="s">
        <v>139</v>
      </c>
      <c r="L52" s="16" t="s">
        <v>139</v>
      </c>
      <c r="M52" s="14">
        <v>0</v>
      </c>
      <c r="N52" s="16">
        <v>0</v>
      </c>
      <c r="O52" s="14">
        <v>0</v>
      </c>
      <c r="P52" s="16">
        <v>0</v>
      </c>
      <c r="Q52" s="14">
        <v>0</v>
      </c>
      <c r="R52" s="16">
        <v>0</v>
      </c>
      <c r="S52" s="14">
        <v>0</v>
      </c>
      <c r="T52" s="16">
        <v>0</v>
      </c>
    </row>
    <row r="53" spans="1:20" x14ac:dyDescent="0.25">
      <c r="A53" s="11" t="s">
        <v>186</v>
      </c>
      <c r="B53" s="13">
        <v>5571</v>
      </c>
      <c r="C53" s="14">
        <f>(4641/B53*100)</f>
        <v>83.306408185245019</v>
      </c>
      <c r="D53" s="15">
        <v>930</v>
      </c>
      <c r="E53" s="14">
        <v>42.32268663</v>
      </c>
      <c r="F53" s="16">
        <v>1.65419202</v>
      </c>
      <c r="G53" s="14">
        <v>11.099254520000001</v>
      </c>
      <c r="H53" s="16">
        <v>1.17459399</v>
      </c>
      <c r="I53" s="14">
        <v>46.578058859999999</v>
      </c>
      <c r="J53" s="16">
        <v>1.7325011100000001</v>
      </c>
      <c r="K53" s="14" t="s">
        <v>139</v>
      </c>
      <c r="L53" s="16" t="s">
        <v>139</v>
      </c>
      <c r="M53" s="14">
        <v>0</v>
      </c>
      <c r="N53" s="16">
        <v>0</v>
      </c>
      <c r="O53" s="14">
        <v>0</v>
      </c>
      <c r="P53" s="16">
        <v>0</v>
      </c>
      <c r="Q53" s="14">
        <v>0</v>
      </c>
      <c r="R53" s="16">
        <v>0</v>
      </c>
      <c r="S53" s="14">
        <v>0</v>
      </c>
      <c r="T53" s="16">
        <v>0</v>
      </c>
    </row>
    <row r="54" spans="1:20" x14ac:dyDescent="0.25">
      <c r="A54" s="11" t="s">
        <v>187</v>
      </c>
      <c r="B54" s="17" t="s">
        <v>154</v>
      </c>
      <c r="C54" s="17" t="s">
        <v>154</v>
      </c>
      <c r="D54" s="18" t="s">
        <v>154</v>
      </c>
      <c r="E54" s="17" t="s">
        <v>154</v>
      </c>
      <c r="F54" s="18" t="s">
        <v>154</v>
      </c>
      <c r="G54" s="17" t="s">
        <v>154</v>
      </c>
      <c r="H54" s="18" t="s">
        <v>154</v>
      </c>
      <c r="I54" s="17" t="s">
        <v>154</v>
      </c>
      <c r="J54" s="18" t="s">
        <v>154</v>
      </c>
      <c r="K54" s="17" t="s">
        <v>154</v>
      </c>
      <c r="L54" s="18" t="s">
        <v>154</v>
      </c>
      <c r="M54" s="17" t="s">
        <v>154</v>
      </c>
      <c r="N54" s="18" t="s">
        <v>154</v>
      </c>
      <c r="O54" s="17" t="s">
        <v>154</v>
      </c>
      <c r="P54" s="18" t="s">
        <v>154</v>
      </c>
      <c r="Q54" s="17" t="s">
        <v>154</v>
      </c>
      <c r="R54" s="18" t="s">
        <v>154</v>
      </c>
      <c r="S54" s="17" t="s">
        <v>154</v>
      </c>
      <c r="T54" s="18" t="s">
        <v>154</v>
      </c>
    </row>
    <row r="55" spans="1:20" x14ac:dyDescent="0.25">
      <c r="A55" s="11" t="s">
        <v>188</v>
      </c>
      <c r="B55" s="17" t="s">
        <v>154</v>
      </c>
      <c r="C55" s="17" t="s">
        <v>154</v>
      </c>
      <c r="D55" s="18" t="s">
        <v>154</v>
      </c>
      <c r="E55" s="17" t="s">
        <v>154</v>
      </c>
      <c r="F55" s="18" t="s">
        <v>154</v>
      </c>
      <c r="G55" s="17" t="s">
        <v>154</v>
      </c>
      <c r="H55" s="18" t="s">
        <v>154</v>
      </c>
      <c r="I55" s="17" t="s">
        <v>154</v>
      </c>
      <c r="J55" s="18" t="s">
        <v>154</v>
      </c>
      <c r="K55" s="17" t="s">
        <v>154</v>
      </c>
      <c r="L55" s="18" t="s">
        <v>154</v>
      </c>
      <c r="M55" s="17" t="s">
        <v>154</v>
      </c>
      <c r="N55" s="18" t="s">
        <v>154</v>
      </c>
      <c r="O55" s="17" t="s">
        <v>154</v>
      </c>
      <c r="P55" s="18" t="s">
        <v>154</v>
      </c>
      <c r="Q55" s="17" t="s">
        <v>154</v>
      </c>
      <c r="R55" s="18" t="s">
        <v>154</v>
      </c>
      <c r="S55" s="17" t="s">
        <v>154</v>
      </c>
      <c r="T55" s="18" t="s">
        <v>154</v>
      </c>
    </row>
    <row r="56" spans="1:20" x14ac:dyDescent="0.25">
      <c r="A56" s="11" t="s">
        <v>189</v>
      </c>
      <c r="B56" s="13">
        <v>5359</v>
      </c>
      <c r="C56" s="14">
        <f>(4447/B56*100)</f>
        <v>82.981899608135848</v>
      </c>
      <c r="D56" s="15">
        <v>912</v>
      </c>
      <c r="E56" s="14">
        <v>33.316456959999996</v>
      </c>
      <c r="F56" s="16">
        <v>1.95779798</v>
      </c>
      <c r="G56" s="14">
        <v>9.3606604200000003</v>
      </c>
      <c r="H56" s="16">
        <v>1.0580807999999999</v>
      </c>
      <c r="I56" s="14">
        <v>57.322882630000002</v>
      </c>
      <c r="J56" s="16">
        <v>1.97807943</v>
      </c>
      <c r="K56" s="14" t="s">
        <v>139</v>
      </c>
      <c r="L56" s="16" t="s">
        <v>139</v>
      </c>
      <c r="M56" s="14">
        <v>0</v>
      </c>
      <c r="N56" s="16">
        <v>0</v>
      </c>
      <c r="O56" s="14">
        <v>0</v>
      </c>
      <c r="P56" s="16">
        <v>0</v>
      </c>
      <c r="Q56" s="14">
        <v>0</v>
      </c>
      <c r="R56" s="16">
        <v>0</v>
      </c>
      <c r="S56" s="14">
        <v>0</v>
      </c>
      <c r="T56" s="16">
        <v>0</v>
      </c>
    </row>
    <row r="57" spans="1:20" x14ac:dyDescent="0.25">
      <c r="A57" s="11" t="s">
        <v>190</v>
      </c>
      <c r="B57" s="17" t="s">
        <v>154</v>
      </c>
      <c r="C57" s="17" t="s">
        <v>154</v>
      </c>
      <c r="D57" s="18" t="s">
        <v>154</v>
      </c>
      <c r="E57" s="17" t="s">
        <v>154</v>
      </c>
      <c r="F57" s="18" t="s">
        <v>154</v>
      </c>
      <c r="G57" s="17" t="s">
        <v>154</v>
      </c>
      <c r="H57" s="18" t="s">
        <v>154</v>
      </c>
      <c r="I57" s="17" t="s">
        <v>154</v>
      </c>
      <c r="J57" s="18" t="s">
        <v>154</v>
      </c>
      <c r="K57" s="17" t="s">
        <v>154</v>
      </c>
      <c r="L57" s="18" t="s">
        <v>154</v>
      </c>
      <c r="M57" s="17" t="s">
        <v>154</v>
      </c>
      <c r="N57" s="18" t="s">
        <v>154</v>
      </c>
      <c r="O57" s="17" t="s">
        <v>154</v>
      </c>
      <c r="P57" s="18" t="s">
        <v>154</v>
      </c>
      <c r="Q57" s="17" t="s">
        <v>154</v>
      </c>
      <c r="R57" s="18" t="s">
        <v>154</v>
      </c>
      <c r="S57" s="17" t="s">
        <v>154</v>
      </c>
      <c r="T57" s="18" t="s">
        <v>154</v>
      </c>
    </row>
    <row r="58" spans="1:20" x14ac:dyDescent="0.25">
      <c r="A58" s="11" t="s">
        <v>191</v>
      </c>
      <c r="B58" s="17" t="s">
        <v>154</v>
      </c>
      <c r="C58" s="17" t="s">
        <v>154</v>
      </c>
      <c r="D58" s="18" t="s">
        <v>154</v>
      </c>
      <c r="E58" s="17" t="s">
        <v>154</v>
      </c>
      <c r="F58" s="18" t="s">
        <v>154</v>
      </c>
      <c r="G58" s="17" t="s">
        <v>154</v>
      </c>
      <c r="H58" s="18" t="s">
        <v>154</v>
      </c>
      <c r="I58" s="17" t="s">
        <v>154</v>
      </c>
      <c r="J58" s="18" t="s">
        <v>154</v>
      </c>
      <c r="K58" s="17" t="s">
        <v>154</v>
      </c>
      <c r="L58" s="18" t="s">
        <v>154</v>
      </c>
      <c r="M58" s="17" t="s">
        <v>154</v>
      </c>
      <c r="N58" s="18" t="s">
        <v>154</v>
      </c>
      <c r="O58" s="17" t="s">
        <v>154</v>
      </c>
      <c r="P58" s="18" t="s">
        <v>154</v>
      </c>
      <c r="Q58" s="17" t="s">
        <v>154</v>
      </c>
      <c r="R58" s="18" t="s">
        <v>154</v>
      </c>
      <c r="S58" s="17" t="s">
        <v>154</v>
      </c>
      <c r="T58" s="18" t="s">
        <v>154</v>
      </c>
    </row>
    <row r="59" spans="1:20" x14ac:dyDescent="0.25">
      <c r="A59" s="11" t="s">
        <v>192</v>
      </c>
      <c r="B59" s="17" t="s">
        <v>154</v>
      </c>
      <c r="C59" s="17" t="s">
        <v>154</v>
      </c>
      <c r="D59" s="18" t="s">
        <v>154</v>
      </c>
      <c r="E59" s="17" t="s">
        <v>154</v>
      </c>
      <c r="F59" s="18" t="s">
        <v>154</v>
      </c>
      <c r="G59" s="17" t="s">
        <v>154</v>
      </c>
      <c r="H59" s="18" t="s">
        <v>154</v>
      </c>
      <c r="I59" s="17" t="s">
        <v>154</v>
      </c>
      <c r="J59" s="18" t="s">
        <v>154</v>
      </c>
      <c r="K59" s="17" t="s">
        <v>154</v>
      </c>
      <c r="L59" s="18" t="s">
        <v>154</v>
      </c>
      <c r="M59" s="17" t="s">
        <v>154</v>
      </c>
      <c r="N59" s="18" t="s">
        <v>154</v>
      </c>
      <c r="O59" s="17" t="s">
        <v>154</v>
      </c>
      <c r="P59" s="18" t="s">
        <v>154</v>
      </c>
      <c r="Q59" s="17" t="s">
        <v>154</v>
      </c>
      <c r="R59" s="18" t="s">
        <v>154</v>
      </c>
      <c r="S59" s="17" t="s">
        <v>154</v>
      </c>
      <c r="T59" s="18" t="s">
        <v>154</v>
      </c>
    </row>
    <row r="60" spans="1:20" x14ac:dyDescent="0.25">
      <c r="A60" s="11" t="s">
        <v>193</v>
      </c>
      <c r="B60" s="17" t="s">
        <v>154</v>
      </c>
      <c r="C60" s="17" t="s">
        <v>154</v>
      </c>
      <c r="D60" s="18" t="s">
        <v>154</v>
      </c>
      <c r="E60" s="17" t="s">
        <v>154</v>
      </c>
      <c r="F60" s="18" t="s">
        <v>154</v>
      </c>
      <c r="G60" s="17" t="s">
        <v>154</v>
      </c>
      <c r="H60" s="18" t="s">
        <v>154</v>
      </c>
      <c r="I60" s="17" t="s">
        <v>154</v>
      </c>
      <c r="J60" s="18" t="s">
        <v>154</v>
      </c>
      <c r="K60" s="17" t="s">
        <v>154</v>
      </c>
      <c r="L60" s="18" t="s">
        <v>154</v>
      </c>
      <c r="M60" s="17" t="s">
        <v>154</v>
      </c>
      <c r="N60" s="18" t="s">
        <v>154</v>
      </c>
      <c r="O60" s="17" t="s">
        <v>154</v>
      </c>
      <c r="P60" s="18" t="s">
        <v>154</v>
      </c>
      <c r="Q60" s="17" t="s">
        <v>154</v>
      </c>
      <c r="R60" s="18" t="s">
        <v>154</v>
      </c>
      <c r="S60" s="17" t="s">
        <v>154</v>
      </c>
      <c r="T60" s="18" t="s">
        <v>154</v>
      </c>
    </row>
    <row r="61" spans="1:20" x14ac:dyDescent="0.25">
      <c r="A61" s="11" t="s">
        <v>194</v>
      </c>
      <c r="B61" s="13">
        <v>6525</v>
      </c>
      <c r="C61" s="14">
        <f>(5425/B61*100)</f>
        <v>83.141762452107287</v>
      </c>
      <c r="D61" s="15">
        <v>1100</v>
      </c>
      <c r="E61" s="14">
        <v>35.794585560000002</v>
      </c>
      <c r="F61" s="16">
        <v>1.7151946899999999</v>
      </c>
      <c r="G61" s="14">
        <v>11.388229669999999</v>
      </c>
      <c r="H61" s="16">
        <v>0.92788165</v>
      </c>
      <c r="I61" s="14">
        <v>52.817184760000004</v>
      </c>
      <c r="J61" s="16">
        <v>1.7787686599999999</v>
      </c>
      <c r="K61" s="14" t="s">
        <v>139</v>
      </c>
      <c r="L61" s="16" t="s">
        <v>139</v>
      </c>
      <c r="M61" s="14">
        <v>0</v>
      </c>
      <c r="N61" s="16">
        <v>0</v>
      </c>
      <c r="O61" s="14">
        <v>0</v>
      </c>
      <c r="P61" s="16">
        <v>0</v>
      </c>
      <c r="Q61" s="14">
        <v>0</v>
      </c>
      <c r="R61" s="16">
        <v>0</v>
      </c>
      <c r="S61" s="14">
        <v>0</v>
      </c>
      <c r="T61" s="16">
        <v>0</v>
      </c>
    </row>
    <row r="62" spans="1:20" x14ac:dyDescent="0.25">
      <c r="A62" s="11" t="s">
        <v>195</v>
      </c>
      <c r="B62" s="13">
        <v>4476</v>
      </c>
      <c r="C62" s="14">
        <f>(3704/B62*100)</f>
        <v>82.752457551385163</v>
      </c>
      <c r="D62" s="15">
        <v>772</v>
      </c>
      <c r="E62" s="14">
        <v>32.422012789999997</v>
      </c>
      <c r="F62" s="16">
        <v>1.72065639</v>
      </c>
      <c r="G62" s="14">
        <v>5.8215447500000002</v>
      </c>
      <c r="H62" s="16">
        <v>0.89892110000000003</v>
      </c>
      <c r="I62" s="14">
        <v>61.756442460000002</v>
      </c>
      <c r="J62" s="16">
        <v>1.69614362</v>
      </c>
      <c r="K62" s="14" t="s">
        <v>139</v>
      </c>
      <c r="L62" s="16" t="s">
        <v>139</v>
      </c>
      <c r="M62" s="14">
        <v>0</v>
      </c>
      <c r="N62" s="16">
        <v>0</v>
      </c>
      <c r="O62" s="14">
        <v>0</v>
      </c>
      <c r="P62" s="16">
        <v>0</v>
      </c>
      <c r="Q62" s="14">
        <v>0</v>
      </c>
      <c r="R62" s="16">
        <v>0</v>
      </c>
      <c r="S62" s="14">
        <v>0</v>
      </c>
      <c r="T62" s="16">
        <v>0</v>
      </c>
    </row>
    <row r="63" spans="1:20" x14ac:dyDescent="0.25">
      <c r="A63" s="11" t="s">
        <v>196</v>
      </c>
      <c r="B63" s="17" t="s">
        <v>154</v>
      </c>
      <c r="C63" s="17" t="s">
        <v>154</v>
      </c>
      <c r="D63" s="18" t="s">
        <v>154</v>
      </c>
      <c r="E63" s="17" t="s">
        <v>154</v>
      </c>
      <c r="F63" s="18" t="s">
        <v>154</v>
      </c>
      <c r="G63" s="17" t="s">
        <v>154</v>
      </c>
      <c r="H63" s="18" t="s">
        <v>154</v>
      </c>
      <c r="I63" s="17" t="s">
        <v>154</v>
      </c>
      <c r="J63" s="18" t="s">
        <v>154</v>
      </c>
      <c r="K63" s="17" t="s">
        <v>154</v>
      </c>
      <c r="L63" s="18" t="s">
        <v>154</v>
      </c>
      <c r="M63" s="17" t="s">
        <v>154</v>
      </c>
      <c r="N63" s="18" t="s">
        <v>154</v>
      </c>
      <c r="O63" s="17" t="s">
        <v>154</v>
      </c>
      <c r="P63" s="18" t="s">
        <v>154</v>
      </c>
      <c r="Q63" s="17" t="s">
        <v>154</v>
      </c>
      <c r="R63" s="18" t="s">
        <v>154</v>
      </c>
      <c r="S63" s="17" t="s">
        <v>154</v>
      </c>
      <c r="T63" s="18" t="s">
        <v>154</v>
      </c>
    </row>
    <row r="64" spans="1:20" x14ac:dyDescent="0.25">
      <c r="A64" s="11" t="s">
        <v>197</v>
      </c>
      <c r="B64" s="17" t="s">
        <v>154</v>
      </c>
      <c r="C64" s="17" t="s">
        <v>154</v>
      </c>
      <c r="D64" s="18" t="s">
        <v>154</v>
      </c>
      <c r="E64" s="17" t="s">
        <v>154</v>
      </c>
      <c r="F64" s="18" t="s">
        <v>154</v>
      </c>
      <c r="G64" s="17" t="s">
        <v>154</v>
      </c>
      <c r="H64" s="18" t="s">
        <v>154</v>
      </c>
      <c r="I64" s="17" t="s">
        <v>154</v>
      </c>
      <c r="J64" s="18" t="s">
        <v>154</v>
      </c>
      <c r="K64" s="17" t="s">
        <v>154</v>
      </c>
      <c r="L64" s="18" t="s">
        <v>154</v>
      </c>
      <c r="M64" s="17" t="s">
        <v>154</v>
      </c>
      <c r="N64" s="18" t="s">
        <v>154</v>
      </c>
      <c r="O64" s="17" t="s">
        <v>154</v>
      </c>
      <c r="P64" s="18" t="s">
        <v>154</v>
      </c>
      <c r="Q64" s="17" t="s">
        <v>154</v>
      </c>
      <c r="R64" s="18" t="s">
        <v>154</v>
      </c>
      <c r="S64" s="17" t="s">
        <v>154</v>
      </c>
      <c r="T64" s="18" t="s">
        <v>154</v>
      </c>
    </row>
    <row r="65" spans="1:20" x14ac:dyDescent="0.25">
      <c r="A65" s="11" t="s">
        <v>198</v>
      </c>
      <c r="B65" s="17" t="s">
        <v>154</v>
      </c>
      <c r="C65" s="17" t="s">
        <v>154</v>
      </c>
      <c r="D65" s="18" t="s">
        <v>154</v>
      </c>
      <c r="E65" s="17" t="s">
        <v>154</v>
      </c>
      <c r="F65" s="18" t="s">
        <v>154</v>
      </c>
      <c r="G65" s="17" t="s">
        <v>154</v>
      </c>
      <c r="H65" s="18" t="s">
        <v>154</v>
      </c>
      <c r="I65" s="17" t="s">
        <v>154</v>
      </c>
      <c r="J65" s="18" t="s">
        <v>154</v>
      </c>
      <c r="K65" s="17" t="s">
        <v>154</v>
      </c>
      <c r="L65" s="18" t="s">
        <v>154</v>
      </c>
      <c r="M65" s="17" t="s">
        <v>154</v>
      </c>
      <c r="N65" s="18" t="s">
        <v>154</v>
      </c>
      <c r="O65" s="17" t="s">
        <v>154</v>
      </c>
      <c r="P65" s="18" t="s">
        <v>154</v>
      </c>
      <c r="Q65" s="17" t="s">
        <v>154</v>
      </c>
      <c r="R65" s="18" t="s">
        <v>154</v>
      </c>
      <c r="S65" s="17" t="s">
        <v>154</v>
      </c>
      <c r="T65" s="18" t="s">
        <v>154</v>
      </c>
    </row>
    <row r="66" spans="1:20" x14ac:dyDescent="0.25">
      <c r="A66" s="11" t="s">
        <v>199</v>
      </c>
      <c r="B66" s="13">
        <v>5665</v>
      </c>
      <c r="C66" s="14">
        <f>(4728/B66*100)</f>
        <v>83.459841129744035</v>
      </c>
      <c r="D66" s="15">
        <v>937</v>
      </c>
      <c r="E66" s="14">
        <v>54.788549609999997</v>
      </c>
      <c r="F66" s="16">
        <v>1.81588996</v>
      </c>
      <c r="G66" s="14">
        <v>12.295914209999999</v>
      </c>
      <c r="H66" s="16">
        <v>1.23183251</v>
      </c>
      <c r="I66" s="14">
        <v>32.915536179999997</v>
      </c>
      <c r="J66" s="16">
        <v>1.5271034699999999</v>
      </c>
      <c r="K66" s="14" t="s">
        <v>139</v>
      </c>
      <c r="L66" s="16" t="s">
        <v>139</v>
      </c>
      <c r="M66" s="14">
        <v>0</v>
      </c>
      <c r="N66" s="16">
        <v>0</v>
      </c>
      <c r="O66" s="14">
        <v>0</v>
      </c>
      <c r="P66" s="16">
        <v>0</v>
      </c>
      <c r="Q66" s="14">
        <v>0</v>
      </c>
      <c r="R66" s="16">
        <v>0</v>
      </c>
      <c r="S66" s="14">
        <v>0</v>
      </c>
      <c r="T66" s="16">
        <v>0</v>
      </c>
    </row>
    <row r="67" spans="1:20" x14ac:dyDescent="0.25">
      <c r="A67" s="11" t="s">
        <v>200</v>
      </c>
      <c r="B67" s="13">
        <v>6971</v>
      </c>
      <c r="C67" s="14">
        <f>(5900/B67*100)</f>
        <v>84.636350595323478</v>
      </c>
      <c r="D67" s="15">
        <v>1071</v>
      </c>
      <c r="E67" s="14">
        <v>46.15724633</v>
      </c>
      <c r="F67" s="16">
        <v>1.8752517099999999</v>
      </c>
      <c r="G67" s="14">
        <v>15.38933076</v>
      </c>
      <c r="H67" s="16">
        <v>1.22878797</v>
      </c>
      <c r="I67" s="14">
        <v>38.45342291</v>
      </c>
      <c r="J67" s="16">
        <v>1.50513377</v>
      </c>
      <c r="K67" s="14" t="s">
        <v>139</v>
      </c>
      <c r="L67" s="16" t="s">
        <v>139</v>
      </c>
      <c r="M67" s="14">
        <v>0</v>
      </c>
      <c r="N67" s="16">
        <v>0</v>
      </c>
      <c r="O67" s="14">
        <v>0</v>
      </c>
      <c r="P67" s="16">
        <v>0</v>
      </c>
      <c r="Q67" s="14">
        <v>0</v>
      </c>
      <c r="R67" s="16">
        <v>0</v>
      </c>
      <c r="S67" s="14">
        <v>0</v>
      </c>
      <c r="T67" s="16">
        <v>0</v>
      </c>
    </row>
    <row r="68" spans="1:20" x14ac:dyDescent="0.25">
      <c r="A68" s="11" t="s">
        <v>201</v>
      </c>
      <c r="B68" s="17" t="s">
        <v>154</v>
      </c>
      <c r="C68" s="17" t="s">
        <v>154</v>
      </c>
      <c r="D68" s="18" t="s">
        <v>154</v>
      </c>
      <c r="E68" s="17" t="s">
        <v>154</v>
      </c>
      <c r="F68" s="18" t="s">
        <v>154</v>
      </c>
      <c r="G68" s="17" t="s">
        <v>154</v>
      </c>
      <c r="H68" s="18" t="s">
        <v>154</v>
      </c>
      <c r="I68" s="17" t="s">
        <v>154</v>
      </c>
      <c r="J68" s="18" t="s">
        <v>154</v>
      </c>
      <c r="K68" s="17" t="s">
        <v>154</v>
      </c>
      <c r="L68" s="18" t="s">
        <v>154</v>
      </c>
      <c r="M68" s="17" t="s">
        <v>154</v>
      </c>
      <c r="N68" s="18" t="s">
        <v>154</v>
      </c>
      <c r="O68" s="17" t="s">
        <v>154</v>
      </c>
      <c r="P68" s="18" t="s">
        <v>154</v>
      </c>
      <c r="Q68" s="17" t="s">
        <v>154</v>
      </c>
      <c r="R68" s="18" t="s">
        <v>154</v>
      </c>
      <c r="S68" s="17" t="s">
        <v>154</v>
      </c>
      <c r="T68" s="18" t="s">
        <v>154</v>
      </c>
    </row>
    <row r="69" spans="1:20" x14ac:dyDescent="0.25">
      <c r="A69" s="11" t="s">
        <v>202</v>
      </c>
      <c r="B69" s="17" t="s">
        <v>154</v>
      </c>
      <c r="C69" s="17" t="s">
        <v>154</v>
      </c>
      <c r="D69" s="18" t="s">
        <v>154</v>
      </c>
      <c r="E69" s="17" t="s">
        <v>154</v>
      </c>
      <c r="F69" s="18" t="s">
        <v>154</v>
      </c>
      <c r="G69" s="17" t="s">
        <v>154</v>
      </c>
      <c r="H69" s="18" t="s">
        <v>154</v>
      </c>
      <c r="I69" s="17" t="s">
        <v>154</v>
      </c>
      <c r="J69" s="18" t="s">
        <v>154</v>
      </c>
      <c r="K69" s="17" t="s">
        <v>154</v>
      </c>
      <c r="L69" s="18" t="s">
        <v>154</v>
      </c>
      <c r="M69" s="17" t="s">
        <v>154</v>
      </c>
      <c r="N69" s="18" t="s">
        <v>154</v>
      </c>
      <c r="O69" s="17" t="s">
        <v>154</v>
      </c>
      <c r="P69" s="18" t="s">
        <v>154</v>
      </c>
      <c r="Q69" s="17" t="s">
        <v>154</v>
      </c>
      <c r="R69" s="18" t="s">
        <v>154</v>
      </c>
      <c r="S69" s="17" t="s">
        <v>154</v>
      </c>
      <c r="T69" s="18" t="s">
        <v>154</v>
      </c>
    </row>
    <row r="70" spans="1:20" x14ac:dyDescent="0.25">
      <c r="A70" s="11" t="s">
        <v>203</v>
      </c>
      <c r="B70" s="13">
        <v>6036</v>
      </c>
      <c r="C70" s="14">
        <f>(5008/B70*100)</f>
        <v>82.96885354539431</v>
      </c>
      <c r="D70" s="15">
        <v>1028</v>
      </c>
      <c r="E70" s="14">
        <v>37.668401150000001</v>
      </c>
      <c r="F70" s="16">
        <v>1.8658664899999999</v>
      </c>
      <c r="G70" s="14">
        <v>17.446746919999999</v>
      </c>
      <c r="H70" s="16">
        <v>1.1502586699999999</v>
      </c>
      <c r="I70" s="14">
        <v>44.884851930000004</v>
      </c>
      <c r="J70" s="16">
        <v>1.82865503</v>
      </c>
      <c r="K70" s="14" t="s">
        <v>139</v>
      </c>
      <c r="L70" s="16" t="s">
        <v>139</v>
      </c>
      <c r="M70" s="14">
        <v>0</v>
      </c>
      <c r="N70" s="16">
        <v>0</v>
      </c>
      <c r="O70" s="14">
        <v>0</v>
      </c>
      <c r="P70" s="16">
        <v>0</v>
      </c>
      <c r="Q70" s="14">
        <v>0</v>
      </c>
      <c r="R70" s="16">
        <v>0</v>
      </c>
      <c r="S70" s="14">
        <v>0</v>
      </c>
      <c r="T70" s="16">
        <v>0</v>
      </c>
    </row>
    <row r="71" spans="1:20" x14ac:dyDescent="0.25">
      <c r="A71" s="11" t="s">
        <v>204</v>
      </c>
      <c r="B71" s="17" t="s">
        <v>154</v>
      </c>
      <c r="C71" s="17" t="s">
        <v>154</v>
      </c>
      <c r="D71" s="18" t="s">
        <v>154</v>
      </c>
      <c r="E71" s="17" t="s">
        <v>154</v>
      </c>
      <c r="F71" s="18" t="s">
        <v>154</v>
      </c>
      <c r="G71" s="17" t="s">
        <v>154</v>
      </c>
      <c r="H71" s="18" t="s">
        <v>154</v>
      </c>
      <c r="I71" s="17" t="s">
        <v>154</v>
      </c>
      <c r="J71" s="18" t="s">
        <v>154</v>
      </c>
      <c r="K71" s="17" t="s">
        <v>154</v>
      </c>
      <c r="L71" s="18" t="s">
        <v>154</v>
      </c>
      <c r="M71" s="17" t="s">
        <v>154</v>
      </c>
      <c r="N71" s="18" t="s">
        <v>154</v>
      </c>
      <c r="O71" s="17" t="s">
        <v>154</v>
      </c>
      <c r="P71" s="18" t="s">
        <v>154</v>
      </c>
      <c r="Q71" s="17" t="s">
        <v>154</v>
      </c>
      <c r="R71" s="18" t="s">
        <v>154</v>
      </c>
      <c r="S71" s="17" t="s">
        <v>154</v>
      </c>
      <c r="T71" s="18" t="s">
        <v>154</v>
      </c>
    </row>
    <row r="72" spans="1:20" x14ac:dyDescent="0.25">
      <c r="A72" s="11" t="s">
        <v>205</v>
      </c>
      <c r="B72" s="13">
        <v>7708</v>
      </c>
      <c r="C72" s="14">
        <f>(6367/B72*100)</f>
        <v>82.6024909185262</v>
      </c>
      <c r="D72" s="15">
        <v>1341</v>
      </c>
      <c r="E72" s="14">
        <v>32.054462149999999</v>
      </c>
      <c r="F72" s="16">
        <v>1.2409774600000001</v>
      </c>
      <c r="G72" s="14">
        <v>7.3261667700000004</v>
      </c>
      <c r="H72" s="16">
        <v>0.71367016000000005</v>
      </c>
      <c r="I72" s="14">
        <v>60.619371080000001</v>
      </c>
      <c r="J72" s="16">
        <v>1.26206927</v>
      </c>
      <c r="K72" s="14" t="s">
        <v>139</v>
      </c>
      <c r="L72" s="16" t="s">
        <v>139</v>
      </c>
      <c r="M72" s="14">
        <v>0</v>
      </c>
      <c r="N72" s="16">
        <v>0</v>
      </c>
      <c r="O72" s="14">
        <v>0</v>
      </c>
      <c r="P72" s="16">
        <v>0</v>
      </c>
      <c r="Q72" s="14">
        <v>0</v>
      </c>
      <c r="R72" s="16">
        <v>0</v>
      </c>
      <c r="S72" s="14">
        <v>0</v>
      </c>
      <c r="T72" s="16">
        <v>0</v>
      </c>
    </row>
    <row r="73" spans="1:20" x14ac:dyDescent="0.25">
      <c r="A73" s="11" t="s">
        <v>206</v>
      </c>
      <c r="B73" s="13">
        <v>8249</v>
      </c>
      <c r="C73" s="14">
        <f>(6890/B73*100)</f>
        <v>83.525275791004972</v>
      </c>
      <c r="D73" s="15">
        <v>1359</v>
      </c>
      <c r="E73" s="14">
        <v>34.765758419999997</v>
      </c>
      <c r="F73" s="16">
        <v>1.6918737399999999</v>
      </c>
      <c r="G73" s="14">
        <v>10.67225784</v>
      </c>
      <c r="H73" s="16">
        <v>1.08638649</v>
      </c>
      <c r="I73" s="14">
        <v>54.561983740000002</v>
      </c>
      <c r="J73" s="16">
        <v>1.8397322199999999</v>
      </c>
      <c r="K73" s="14" t="s">
        <v>139</v>
      </c>
      <c r="L73" s="16" t="s">
        <v>139</v>
      </c>
      <c r="M73" s="14">
        <v>0</v>
      </c>
      <c r="N73" s="16">
        <v>0</v>
      </c>
      <c r="O73" s="14">
        <v>0</v>
      </c>
      <c r="P73" s="16">
        <v>0</v>
      </c>
      <c r="Q73" s="14">
        <v>0</v>
      </c>
      <c r="R73" s="16">
        <v>0</v>
      </c>
      <c r="S73" s="14">
        <v>0</v>
      </c>
      <c r="T73" s="16">
        <v>0</v>
      </c>
    </row>
    <row r="74" spans="1:20" x14ac:dyDescent="0.25">
      <c r="A74" s="11" t="s">
        <v>207</v>
      </c>
      <c r="B74" s="17" t="s">
        <v>154</v>
      </c>
      <c r="C74" s="17" t="s">
        <v>154</v>
      </c>
      <c r="D74" s="18" t="s">
        <v>154</v>
      </c>
      <c r="E74" s="17" t="s">
        <v>154</v>
      </c>
      <c r="F74" s="18" t="s">
        <v>154</v>
      </c>
      <c r="G74" s="17" t="s">
        <v>154</v>
      </c>
      <c r="H74" s="18" t="s">
        <v>154</v>
      </c>
      <c r="I74" s="17" t="s">
        <v>154</v>
      </c>
      <c r="J74" s="18" t="s">
        <v>154</v>
      </c>
      <c r="K74" s="17" t="s">
        <v>154</v>
      </c>
      <c r="L74" s="18" t="s">
        <v>154</v>
      </c>
      <c r="M74" s="17" t="s">
        <v>154</v>
      </c>
      <c r="N74" s="18" t="s">
        <v>154</v>
      </c>
      <c r="O74" s="17" t="s">
        <v>154</v>
      </c>
      <c r="P74" s="18" t="s">
        <v>154</v>
      </c>
      <c r="Q74" s="17" t="s">
        <v>154</v>
      </c>
      <c r="R74" s="18" t="s">
        <v>154</v>
      </c>
      <c r="S74" s="17" t="s">
        <v>154</v>
      </c>
      <c r="T74" s="18" t="s">
        <v>154</v>
      </c>
    </row>
    <row r="75" spans="1:20" x14ac:dyDescent="0.25">
      <c r="A75" s="11" t="s">
        <v>208</v>
      </c>
      <c r="B75" s="13">
        <v>5375</v>
      </c>
      <c r="C75" s="14">
        <f>(4539/B75*100)</f>
        <v>84.446511627906972</v>
      </c>
      <c r="D75" s="15">
        <v>836</v>
      </c>
      <c r="E75" s="14">
        <v>57.733160400000003</v>
      </c>
      <c r="F75" s="16">
        <v>1.51021688</v>
      </c>
      <c r="G75" s="14">
        <v>11.085368649999999</v>
      </c>
      <c r="H75" s="16">
        <v>1.05760645</v>
      </c>
      <c r="I75" s="14">
        <v>31.181470950000001</v>
      </c>
      <c r="J75" s="16">
        <v>1.5275620599999999</v>
      </c>
      <c r="K75" s="14" t="s">
        <v>139</v>
      </c>
      <c r="L75" s="16" t="s">
        <v>139</v>
      </c>
      <c r="M75" s="14">
        <v>0</v>
      </c>
      <c r="N75" s="16">
        <v>0</v>
      </c>
      <c r="O75" s="14">
        <v>0</v>
      </c>
      <c r="P75" s="16">
        <v>0</v>
      </c>
      <c r="Q75" s="14">
        <v>0</v>
      </c>
      <c r="R75" s="16">
        <v>0</v>
      </c>
      <c r="S75" s="14">
        <v>0</v>
      </c>
      <c r="T75" s="16">
        <v>0</v>
      </c>
    </row>
    <row r="76" spans="1:20" x14ac:dyDescent="0.25">
      <c r="A76" s="11" t="s">
        <v>209</v>
      </c>
      <c r="B76" s="13">
        <v>14167</v>
      </c>
      <c r="C76" s="14">
        <f>(11769/B76*100)</f>
        <v>83.073339450836443</v>
      </c>
      <c r="D76" s="15">
        <v>2398</v>
      </c>
      <c r="E76" s="14">
        <v>42.591661070000001</v>
      </c>
      <c r="F76" s="16">
        <v>1.3292356400000001</v>
      </c>
      <c r="G76" s="14">
        <v>12.8649997</v>
      </c>
      <c r="H76" s="16">
        <v>1.04262119</v>
      </c>
      <c r="I76" s="14">
        <v>44.543339240000002</v>
      </c>
      <c r="J76" s="16">
        <v>1.26680744</v>
      </c>
      <c r="K76" s="14" t="s">
        <v>139</v>
      </c>
      <c r="L76" s="16" t="s">
        <v>139</v>
      </c>
      <c r="M76" s="14">
        <v>0</v>
      </c>
      <c r="N76" s="16">
        <v>0</v>
      </c>
      <c r="O76" s="14">
        <v>0</v>
      </c>
      <c r="P76" s="16">
        <v>0</v>
      </c>
      <c r="Q76" s="14">
        <v>0</v>
      </c>
      <c r="R76" s="16">
        <v>0</v>
      </c>
      <c r="S76" s="14">
        <v>0</v>
      </c>
      <c r="T76" s="16">
        <v>0</v>
      </c>
    </row>
    <row r="77" spans="1:20" x14ac:dyDescent="0.25">
      <c r="A77" s="11" t="s">
        <v>210</v>
      </c>
      <c r="B77" s="13">
        <v>6062</v>
      </c>
      <c r="C77" s="14">
        <f>(5076/B77*100)</f>
        <v>83.734741009567799</v>
      </c>
      <c r="D77" s="15">
        <v>986</v>
      </c>
      <c r="E77" s="14">
        <v>47.665401979999999</v>
      </c>
      <c r="F77" s="16">
        <v>1.85063654</v>
      </c>
      <c r="G77" s="14">
        <v>17.355257229999999</v>
      </c>
      <c r="H77" s="16">
        <v>1.2670329499999999</v>
      </c>
      <c r="I77" s="14">
        <v>34.979340780000001</v>
      </c>
      <c r="J77" s="16">
        <v>1.67103132</v>
      </c>
      <c r="K77" s="14" t="s">
        <v>139</v>
      </c>
      <c r="L77" s="16" t="s">
        <v>139</v>
      </c>
      <c r="M77" s="14">
        <v>0</v>
      </c>
      <c r="N77" s="16">
        <v>0</v>
      </c>
      <c r="O77" s="14">
        <v>0</v>
      </c>
      <c r="P77" s="16">
        <v>0</v>
      </c>
      <c r="Q77" s="14">
        <v>0</v>
      </c>
      <c r="R77" s="16">
        <v>0</v>
      </c>
      <c r="S77" s="14">
        <v>0</v>
      </c>
      <c r="T77" s="16">
        <v>0</v>
      </c>
    </row>
    <row r="78" spans="1:20" x14ac:dyDescent="0.25">
      <c r="A78" s="11" t="s">
        <v>211</v>
      </c>
      <c r="B78" s="17" t="s">
        <v>154</v>
      </c>
      <c r="C78" s="17" t="s">
        <v>154</v>
      </c>
      <c r="D78" s="18" t="s">
        <v>154</v>
      </c>
      <c r="E78" s="17" t="s">
        <v>154</v>
      </c>
      <c r="F78" s="18" t="s">
        <v>154</v>
      </c>
      <c r="G78" s="17" t="s">
        <v>154</v>
      </c>
      <c r="H78" s="18" t="s">
        <v>154</v>
      </c>
      <c r="I78" s="17" t="s">
        <v>154</v>
      </c>
      <c r="J78" s="18" t="s">
        <v>154</v>
      </c>
      <c r="K78" s="17" t="s">
        <v>154</v>
      </c>
      <c r="L78" s="18" t="s">
        <v>154</v>
      </c>
      <c r="M78" s="17" t="s">
        <v>154</v>
      </c>
      <c r="N78" s="18" t="s">
        <v>154</v>
      </c>
      <c r="O78" s="17" t="s">
        <v>154</v>
      </c>
      <c r="P78" s="18" t="s">
        <v>154</v>
      </c>
      <c r="Q78" s="17" t="s">
        <v>154</v>
      </c>
      <c r="R78" s="18" t="s">
        <v>154</v>
      </c>
      <c r="S78" s="17" t="s">
        <v>154</v>
      </c>
      <c r="T78" s="18" t="s">
        <v>154</v>
      </c>
    </row>
    <row r="79" spans="1:20" ht="24.95" customHeight="1" x14ac:dyDescent="0.25">
      <c r="A79" s="11" t="s">
        <v>212</v>
      </c>
      <c r="B79" s="17" t="s">
        <v>154</v>
      </c>
      <c r="C79" s="17" t="s">
        <v>154</v>
      </c>
      <c r="D79" s="18" t="s">
        <v>154</v>
      </c>
      <c r="E79" s="17" t="s">
        <v>154</v>
      </c>
      <c r="F79" s="18" t="s">
        <v>154</v>
      </c>
      <c r="G79" s="17" t="s">
        <v>154</v>
      </c>
      <c r="H79" s="18" t="s">
        <v>154</v>
      </c>
      <c r="I79" s="17" t="s">
        <v>154</v>
      </c>
      <c r="J79" s="18" t="s">
        <v>154</v>
      </c>
      <c r="K79" s="17" t="s">
        <v>154</v>
      </c>
      <c r="L79" s="18" t="s">
        <v>154</v>
      </c>
      <c r="M79" s="17" t="s">
        <v>154</v>
      </c>
      <c r="N79" s="18" t="s">
        <v>154</v>
      </c>
      <c r="O79" s="17" t="s">
        <v>154</v>
      </c>
      <c r="P79" s="18" t="s">
        <v>154</v>
      </c>
      <c r="Q79" s="17" t="s">
        <v>154</v>
      </c>
      <c r="R79" s="18" t="s">
        <v>154</v>
      </c>
      <c r="S79" s="17" t="s">
        <v>154</v>
      </c>
      <c r="T79" s="18" t="s">
        <v>154</v>
      </c>
    </row>
    <row r="80" spans="1:20" x14ac:dyDescent="0.25">
      <c r="A80" s="11" t="s">
        <v>213</v>
      </c>
      <c r="B80" s="17" t="s">
        <v>154</v>
      </c>
      <c r="C80" s="17" t="s">
        <v>154</v>
      </c>
      <c r="D80" s="18" t="s">
        <v>154</v>
      </c>
      <c r="E80" s="17" t="s">
        <v>154</v>
      </c>
      <c r="F80" s="18" t="s">
        <v>154</v>
      </c>
      <c r="G80" s="17" t="s">
        <v>154</v>
      </c>
      <c r="H80" s="18" t="s">
        <v>154</v>
      </c>
      <c r="I80" s="17" t="s">
        <v>154</v>
      </c>
      <c r="J80" s="18" t="s">
        <v>154</v>
      </c>
      <c r="K80" s="17" t="s">
        <v>154</v>
      </c>
      <c r="L80" s="18" t="s">
        <v>154</v>
      </c>
      <c r="M80" s="17" t="s">
        <v>154</v>
      </c>
      <c r="N80" s="18" t="s">
        <v>154</v>
      </c>
      <c r="O80" s="17" t="s">
        <v>154</v>
      </c>
      <c r="P80" s="18" t="s">
        <v>154</v>
      </c>
      <c r="Q80" s="17" t="s">
        <v>154</v>
      </c>
      <c r="R80" s="18" t="s">
        <v>154</v>
      </c>
      <c r="S80" s="17" t="s">
        <v>154</v>
      </c>
      <c r="T80" s="18" t="s">
        <v>154</v>
      </c>
    </row>
    <row r="81" spans="1:20" x14ac:dyDescent="0.25">
      <c r="A81" s="19" t="s">
        <v>214</v>
      </c>
      <c r="B81" s="13">
        <v>8861</v>
      </c>
      <c r="C81" s="14">
        <f>(7344/B81*100)</f>
        <v>82.880036113305493</v>
      </c>
      <c r="D81" s="15">
        <v>1517</v>
      </c>
      <c r="E81" s="14">
        <v>41.363934739999998</v>
      </c>
      <c r="F81" s="16">
        <v>1.52992599</v>
      </c>
      <c r="G81" s="14">
        <v>13.36938479</v>
      </c>
      <c r="H81" s="16">
        <v>1.0926359699999999</v>
      </c>
      <c r="I81" s="14">
        <v>45.266680469999997</v>
      </c>
      <c r="J81" s="16">
        <v>1.46438618</v>
      </c>
      <c r="K81" s="14" t="s">
        <v>139</v>
      </c>
      <c r="L81" s="16" t="s">
        <v>139</v>
      </c>
      <c r="M81" s="14">
        <v>0</v>
      </c>
      <c r="N81" s="16">
        <v>0</v>
      </c>
      <c r="O81" s="14">
        <v>0</v>
      </c>
      <c r="P81" s="16">
        <v>0</v>
      </c>
      <c r="Q81" s="14">
        <v>0</v>
      </c>
      <c r="R81" s="16">
        <v>0</v>
      </c>
      <c r="S81" s="14">
        <v>0</v>
      </c>
      <c r="T81" s="16">
        <v>0</v>
      </c>
    </row>
    <row r="82" spans="1:20" x14ac:dyDescent="0.25">
      <c r="A82" s="20"/>
      <c r="B82" s="20" t="s">
        <v>215</v>
      </c>
      <c r="C82" s="20" t="s">
        <v>215</v>
      </c>
      <c r="D82" s="20" t="s">
        <v>215</v>
      </c>
      <c r="E82" s="20" t="s">
        <v>215</v>
      </c>
      <c r="F82" s="20" t="s">
        <v>215</v>
      </c>
      <c r="G82" s="20" t="s">
        <v>215</v>
      </c>
      <c r="H82" s="20" t="s">
        <v>215</v>
      </c>
      <c r="I82" s="20" t="s">
        <v>215</v>
      </c>
      <c r="J82" s="20" t="s">
        <v>215</v>
      </c>
      <c r="K82" s="20" t="s">
        <v>215</v>
      </c>
      <c r="L82" s="20" t="s">
        <v>215</v>
      </c>
      <c r="M82" s="20" t="s">
        <v>215</v>
      </c>
      <c r="N82" s="20" t="s">
        <v>215</v>
      </c>
      <c r="O82" s="20" t="s">
        <v>215</v>
      </c>
      <c r="P82" s="20" t="s">
        <v>215</v>
      </c>
      <c r="Q82" s="20" t="s">
        <v>215</v>
      </c>
      <c r="R82" s="20" t="s">
        <v>215</v>
      </c>
      <c r="S82" s="20" t="s">
        <v>215</v>
      </c>
      <c r="T82" s="20" t="s">
        <v>215</v>
      </c>
    </row>
    <row r="83" spans="1:20" x14ac:dyDescent="0.25">
      <c r="A83" s="3" t="s">
        <v>216</v>
      </c>
    </row>
    <row r="84" spans="1:20" x14ac:dyDescent="0.25">
      <c r="A84" s="22" t="s">
        <v>217</v>
      </c>
      <c r="B84" s="23"/>
      <c r="C84" s="23"/>
      <c r="D84" s="23"/>
      <c r="E84" s="23"/>
      <c r="F84" s="23"/>
      <c r="G84" s="23"/>
      <c r="H84" s="23"/>
      <c r="I84" s="23"/>
      <c r="J84" s="23"/>
      <c r="K84" s="23"/>
      <c r="L84" s="23"/>
      <c r="M84" s="23"/>
      <c r="N84" s="23"/>
      <c r="O84" s="23"/>
      <c r="P84" s="23"/>
      <c r="Q84" s="23"/>
      <c r="R84" s="23"/>
      <c r="S84" s="23"/>
      <c r="T84" s="23"/>
    </row>
    <row r="85" spans="1:20" x14ac:dyDescent="0.25">
      <c r="A85" s="22" t="s">
        <v>218</v>
      </c>
      <c r="B85" s="23"/>
      <c r="C85" s="23"/>
      <c r="D85" s="23"/>
      <c r="E85" s="23"/>
      <c r="F85" s="23"/>
      <c r="G85" s="23"/>
      <c r="H85" s="23"/>
      <c r="I85" s="23"/>
      <c r="J85" s="23"/>
      <c r="K85" s="23"/>
      <c r="L85" s="23"/>
      <c r="M85" s="23"/>
      <c r="N85" s="23"/>
      <c r="O85" s="23"/>
      <c r="P85" s="23"/>
      <c r="Q85" s="23"/>
      <c r="R85" s="23"/>
      <c r="S85" s="23"/>
      <c r="T85" s="23"/>
    </row>
    <row r="86" spans="1:20" ht="30" customHeight="1" x14ac:dyDescent="0.25">
      <c r="A86" s="22" t="s">
        <v>219</v>
      </c>
      <c r="B86" s="23"/>
      <c r="C86" s="23"/>
      <c r="D86" s="23"/>
      <c r="E86" s="23"/>
      <c r="F86" s="23"/>
      <c r="G86" s="23"/>
      <c r="H86" s="23"/>
      <c r="I86" s="23"/>
      <c r="J86" s="23"/>
      <c r="K86" s="23"/>
      <c r="L86" s="23"/>
      <c r="M86" s="23"/>
      <c r="N86" s="23"/>
      <c r="O86" s="23"/>
      <c r="P86" s="23"/>
      <c r="Q86" s="23"/>
      <c r="R86" s="23"/>
      <c r="S86" s="23"/>
      <c r="T86" s="23"/>
    </row>
    <row r="87" spans="1:20" ht="30" customHeight="1" x14ac:dyDescent="0.25">
      <c r="A87" s="22" t="s">
        <v>215</v>
      </c>
      <c r="B87" s="23"/>
      <c r="C87" s="23"/>
      <c r="D87" s="23"/>
      <c r="E87" s="23"/>
      <c r="F87" s="23"/>
      <c r="G87" s="23"/>
      <c r="H87" s="23"/>
      <c r="I87" s="23"/>
      <c r="J87" s="23"/>
      <c r="K87" s="23"/>
      <c r="L87" s="23"/>
      <c r="M87" s="23"/>
      <c r="N87" s="23"/>
      <c r="O87" s="23"/>
      <c r="P87" s="23"/>
      <c r="Q87" s="23"/>
      <c r="R87" s="23"/>
      <c r="S87" s="23"/>
      <c r="T87" s="23"/>
    </row>
    <row r="88" spans="1:20" ht="30" customHeight="1" x14ac:dyDescent="0.25">
      <c r="A88" s="22" t="s">
        <v>220</v>
      </c>
      <c r="B88" s="23"/>
      <c r="C88" s="23"/>
      <c r="D88" s="23"/>
      <c r="E88" s="23"/>
      <c r="F88" s="23"/>
      <c r="G88" s="23"/>
      <c r="H88" s="23"/>
      <c r="I88" s="23"/>
      <c r="J88" s="23"/>
      <c r="K88" s="23"/>
      <c r="L88" s="23"/>
      <c r="M88" s="23"/>
      <c r="N88" s="23"/>
      <c r="O88" s="23"/>
      <c r="P88" s="23"/>
      <c r="Q88" s="23"/>
      <c r="R88" s="23"/>
      <c r="S88" s="23"/>
      <c r="T88" s="23"/>
    </row>
    <row r="89" spans="1:20" ht="30" customHeight="1" x14ac:dyDescent="0.25">
      <c r="A89" s="22" t="s">
        <v>221</v>
      </c>
      <c r="B89" s="23"/>
      <c r="C89" s="23"/>
      <c r="D89" s="23"/>
      <c r="E89" s="23"/>
      <c r="F89" s="23"/>
      <c r="G89" s="23"/>
      <c r="H89" s="23"/>
      <c r="I89" s="23"/>
      <c r="J89" s="23"/>
      <c r="K89" s="23"/>
      <c r="L89" s="23"/>
      <c r="M89" s="23"/>
      <c r="N89" s="23"/>
      <c r="O89" s="23"/>
      <c r="P89" s="23"/>
      <c r="Q89" s="23"/>
      <c r="R89" s="23"/>
      <c r="S89" s="23"/>
      <c r="T89" s="23"/>
    </row>
    <row r="90" spans="1:20" ht="30" customHeight="1" x14ac:dyDescent="0.25">
      <c r="A90" s="22" t="s">
        <v>222</v>
      </c>
      <c r="B90" s="23"/>
      <c r="C90" s="23"/>
      <c r="D90" s="23"/>
      <c r="E90" s="23"/>
      <c r="F90" s="23"/>
      <c r="G90" s="23"/>
      <c r="H90" s="23"/>
      <c r="I90" s="23"/>
      <c r="J90" s="23"/>
      <c r="K90" s="23"/>
      <c r="L90" s="23"/>
      <c r="M90" s="23"/>
      <c r="N90" s="23"/>
      <c r="O90" s="23"/>
      <c r="P90" s="23"/>
      <c r="Q90" s="23"/>
      <c r="R90" s="23"/>
      <c r="S90" s="23"/>
      <c r="T90" s="23"/>
    </row>
    <row r="91" spans="1:20" ht="30" customHeight="1" x14ac:dyDescent="0.25">
      <c r="A91" s="22" t="s">
        <v>223</v>
      </c>
      <c r="B91" s="23"/>
      <c r="C91" s="23"/>
      <c r="D91" s="23"/>
      <c r="E91" s="23"/>
      <c r="F91" s="23"/>
      <c r="G91" s="23"/>
      <c r="H91" s="23"/>
      <c r="I91" s="23"/>
      <c r="J91" s="23"/>
      <c r="K91" s="23"/>
      <c r="L91" s="23"/>
      <c r="M91" s="23"/>
      <c r="N91" s="23"/>
      <c r="O91" s="23"/>
      <c r="P91" s="23"/>
      <c r="Q91" s="23"/>
      <c r="R91" s="23"/>
      <c r="S91" s="23"/>
      <c r="T91" s="23"/>
    </row>
    <row r="92" spans="1:20" ht="30" customHeight="1" x14ac:dyDescent="0.25">
      <c r="A92" s="22" t="s">
        <v>224</v>
      </c>
      <c r="B92" s="23"/>
      <c r="C92" s="23"/>
      <c r="D92" s="23"/>
      <c r="E92" s="23"/>
      <c r="F92" s="23"/>
      <c r="G92" s="23"/>
      <c r="H92" s="23"/>
      <c r="I92" s="23"/>
      <c r="J92" s="23"/>
      <c r="K92" s="23"/>
      <c r="L92" s="23"/>
      <c r="M92" s="23"/>
      <c r="N92" s="23"/>
      <c r="O92" s="23"/>
      <c r="P92" s="23"/>
      <c r="Q92" s="23"/>
      <c r="R92" s="23"/>
      <c r="S92" s="23"/>
      <c r="T92" s="23"/>
    </row>
    <row r="93" spans="1:20" ht="30" customHeight="1" x14ac:dyDescent="0.25">
      <c r="A93" s="22" t="s">
        <v>225</v>
      </c>
      <c r="B93" s="23"/>
      <c r="C93" s="23"/>
      <c r="D93" s="23"/>
      <c r="E93" s="23"/>
      <c r="F93" s="23"/>
      <c r="G93" s="23"/>
      <c r="H93" s="23"/>
      <c r="I93" s="23"/>
      <c r="J93" s="23"/>
      <c r="K93" s="23"/>
      <c r="L93" s="23"/>
      <c r="M93" s="23"/>
      <c r="N93" s="23"/>
      <c r="O93" s="23"/>
      <c r="P93" s="23"/>
      <c r="Q93" s="23"/>
      <c r="R93" s="23"/>
      <c r="S93" s="23"/>
      <c r="T93" s="23"/>
    </row>
    <row r="94" spans="1:20" ht="30" customHeight="1" x14ac:dyDescent="0.25">
      <c r="A94" s="22" t="s">
        <v>226</v>
      </c>
      <c r="B94" s="23"/>
      <c r="C94" s="23"/>
      <c r="D94" s="23"/>
      <c r="E94" s="23"/>
      <c r="F94" s="23"/>
      <c r="G94" s="23"/>
      <c r="H94" s="23"/>
      <c r="I94" s="23"/>
      <c r="J94" s="23"/>
      <c r="K94" s="23"/>
      <c r="L94" s="23"/>
      <c r="M94" s="23"/>
      <c r="N94" s="23"/>
      <c r="O94" s="23"/>
      <c r="P94" s="23"/>
      <c r="Q94" s="23"/>
      <c r="R94" s="23"/>
      <c r="S94" s="23"/>
      <c r="T94" s="23"/>
    </row>
    <row r="95" spans="1:20" ht="30" customHeight="1" x14ac:dyDescent="0.25">
      <c r="A95" s="22" t="s">
        <v>227</v>
      </c>
      <c r="B95" s="23"/>
      <c r="C95" s="23"/>
      <c r="D95" s="23"/>
      <c r="E95" s="23"/>
      <c r="F95" s="23"/>
      <c r="G95" s="23"/>
      <c r="H95" s="23"/>
      <c r="I95" s="23"/>
      <c r="J95" s="23"/>
      <c r="K95" s="23"/>
      <c r="L95" s="23"/>
      <c r="M95" s="23"/>
      <c r="N95" s="23"/>
      <c r="O95" s="23"/>
      <c r="P95" s="23"/>
      <c r="Q95" s="23"/>
      <c r="R95" s="23"/>
      <c r="S95" s="23"/>
      <c r="T95" s="23"/>
    </row>
    <row r="96" spans="1:20" ht="30" customHeight="1" x14ac:dyDescent="0.25">
      <c r="A96" s="22" t="s">
        <v>228</v>
      </c>
      <c r="B96" s="23"/>
      <c r="C96" s="23"/>
      <c r="D96" s="23"/>
      <c r="E96" s="23"/>
      <c r="F96" s="23"/>
      <c r="G96" s="23"/>
      <c r="H96" s="23"/>
      <c r="I96" s="23"/>
      <c r="J96" s="23"/>
      <c r="K96" s="23"/>
      <c r="L96" s="23"/>
      <c r="M96" s="23"/>
      <c r="N96" s="23"/>
      <c r="O96" s="23"/>
      <c r="P96" s="23"/>
      <c r="Q96" s="23"/>
      <c r="R96" s="23"/>
      <c r="S96" s="23"/>
      <c r="T96" s="23"/>
    </row>
  </sheetData>
  <mergeCells count="23">
    <mergeCell ref="O4:P4"/>
    <mergeCell ref="Q4:R4"/>
    <mergeCell ref="S4:T4"/>
    <mergeCell ref="A1:T1"/>
    <mergeCell ref="A2:T2"/>
    <mergeCell ref="E4:F4"/>
    <mergeCell ref="G4:H4"/>
    <mergeCell ref="I4:J4"/>
    <mergeCell ref="K4:L4"/>
    <mergeCell ref="M4:N4"/>
    <mergeCell ref="A84:T84"/>
    <mergeCell ref="A85:T85"/>
    <mergeCell ref="A86:T86"/>
    <mergeCell ref="A87:T87"/>
    <mergeCell ref="A88:T88"/>
    <mergeCell ref="A94:T94"/>
    <mergeCell ref="A95:T95"/>
    <mergeCell ref="A96:T96"/>
    <mergeCell ref="A89:T89"/>
    <mergeCell ref="A90:T90"/>
    <mergeCell ref="A91:T91"/>
    <mergeCell ref="A92:T92"/>
    <mergeCell ref="A93:T93"/>
  </mergeCells>
  <pageMargins left="0.75" right="0.75" top="1" bottom="1" header="0.5" footer="0.5"/>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5"/>
  <dimension ref="A1:R96"/>
  <sheetViews>
    <sheetView zoomScale="80" workbookViewId="0">
      <pane xSplit="4" topLeftCell="E1" activePane="topRight" state="frozen"/>
      <selection sqref="A1:R1"/>
      <selection pane="topRight" sqref="A1:R1"/>
    </sheetView>
  </sheetViews>
  <sheetFormatPr defaultColWidth="11.42578125" defaultRowHeight="15" x14ac:dyDescent="0.25"/>
  <cols>
    <col min="1" max="1" width="50" customWidth="1"/>
  </cols>
  <sheetData>
    <row r="1" spans="1:18" x14ac:dyDescent="0.25">
      <c r="A1" s="26" t="s">
        <v>122</v>
      </c>
      <c r="B1" s="23"/>
      <c r="C1" s="23"/>
      <c r="D1" s="23"/>
      <c r="E1" s="23"/>
      <c r="F1" s="23"/>
      <c r="G1" s="23"/>
      <c r="H1" s="23"/>
      <c r="I1" s="23"/>
      <c r="J1" s="23"/>
      <c r="K1" s="23"/>
      <c r="L1" s="23"/>
      <c r="M1" s="23"/>
      <c r="N1" s="23"/>
      <c r="O1" s="23"/>
      <c r="P1" s="23"/>
      <c r="Q1" s="23"/>
      <c r="R1" s="23"/>
    </row>
    <row r="2" spans="1:18" x14ac:dyDescent="0.25">
      <c r="A2" s="27" t="s">
        <v>331</v>
      </c>
      <c r="B2" s="23"/>
      <c r="C2" s="23"/>
      <c r="D2" s="23"/>
      <c r="E2" s="23"/>
      <c r="F2" s="23"/>
      <c r="G2" s="23"/>
      <c r="H2" s="23"/>
      <c r="I2" s="23"/>
      <c r="J2" s="23"/>
      <c r="K2" s="23"/>
      <c r="L2" s="23"/>
      <c r="M2" s="23"/>
      <c r="N2" s="23"/>
      <c r="O2" s="23"/>
      <c r="P2" s="23"/>
      <c r="Q2" s="23"/>
      <c r="R2" s="23"/>
    </row>
    <row r="4" spans="1:18" ht="30" customHeight="1" x14ac:dyDescent="0.25">
      <c r="A4" s="4"/>
      <c r="B4" s="5" t="s">
        <v>123</v>
      </c>
      <c r="C4" s="5" t="s">
        <v>124</v>
      </c>
      <c r="D4" s="6" t="s">
        <v>123</v>
      </c>
      <c r="E4" s="24" t="s">
        <v>125</v>
      </c>
      <c r="F4" s="25"/>
      <c r="G4" s="24" t="s">
        <v>126</v>
      </c>
      <c r="H4" s="25"/>
      <c r="I4" s="24" t="s">
        <v>127</v>
      </c>
      <c r="J4" s="25"/>
      <c r="K4" s="24" t="s">
        <v>128</v>
      </c>
      <c r="L4" s="25"/>
      <c r="M4" s="24" t="s">
        <v>129</v>
      </c>
      <c r="N4" s="25"/>
      <c r="O4" s="24" t="s">
        <v>130</v>
      </c>
      <c r="P4" s="25"/>
      <c r="Q4" s="24" t="s">
        <v>131</v>
      </c>
      <c r="R4" s="25"/>
    </row>
    <row r="5" spans="1:18" x14ac:dyDescent="0.25">
      <c r="A5" s="7"/>
      <c r="B5" s="8" t="s">
        <v>132</v>
      </c>
      <c r="C5" s="8" t="s">
        <v>133</v>
      </c>
      <c r="D5" s="7" t="s">
        <v>134</v>
      </c>
      <c r="E5" s="8" t="s">
        <v>135</v>
      </c>
      <c r="F5" s="7" t="s">
        <v>136</v>
      </c>
      <c r="G5" s="8" t="s">
        <v>135</v>
      </c>
      <c r="H5" s="7" t="s">
        <v>136</v>
      </c>
      <c r="I5" s="8" t="s">
        <v>135</v>
      </c>
      <c r="J5" s="7" t="s">
        <v>136</v>
      </c>
      <c r="K5" s="8" t="s">
        <v>135</v>
      </c>
      <c r="L5" s="7" t="s">
        <v>136</v>
      </c>
      <c r="M5" s="8" t="s">
        <v>135</v>
      </c>
      <c r="N5" s="7" t="s">
        <v>136</v>
      </c>
      <c r="O5" s="8" t="s">
        <v>135</v>
      </c>
      <c r="P5" s="7" t="s">
        <v>136</v>
      </c>
      <c r="Q5" s="8" t="s">
        <v>135</v>
      </c>
      <c r="R5" s="7" t="s">
        <v>136</v>
      </c>
    </row>
    <row r="6" spans="1:18" x14ac:dyDescent="0.25">
      <c r="A6" s="9" t="s">
        <v>137</v>
      </c>
      <c r="B6" s="10"/>
      <c r="C6" s="10"/>
      <c r="D6" s="11"/>
      <c r="E6" s="10"/>
      <c r="F6" s="11"/>
      <c r="G6" s="10"/>
      <c r="H6" s="11"/>
      <c r="I6" s="10"/>
      <c r="J6" s="11"/>
      <c r="K6" s="10"/>
      <c r="L6" s="11"/>
      <c r="M6" s="10"/>
      <c r="N6" s="11"/>
      <c r="O6" s="10"/>
      <c r="P6" s="11"/>
      <c r="Q6" s="10"/>
      <c r="R6" s="12"/>
    </row>
    <row r="7" spans="1:18" x14ac:dyDescent="0.25">
      <c r="A7" s="11" t="s">
        <v>138</v>
      </c>
      <c r="B7" s="13">
        <v>14530</v>
      </c>
      <c r="C7" s="14">
        <f>(12071/B7*100)</f>
        <v>83.076393668272544</v>
      </c>
      <c r="D7" s="15">
        <v>2459</v>
      </c>
      <c r="E7" s="14">
        <v>47.70224365</v>
      </c>
      <c r="F7" s="16">
        <v>1.13014367</v>
      </c>
      <c r="G7" s="14">
        <v>52.29775635</v>
      </c>
      <c r="H7" s="16">
        <v>1.13014367</v>
      </c>
      <c r="I7" s="14" t="s">
        <v>139</v>
      </c>
      <c r="J7" s="16" t="s">
        <v>139</v>
      </c>
      <c r="K7" s="14">
        <v>0</v>
      </c>
      <c r="L7" s="16">
        <v>0</v>
      </c>
      <c r="M7" s="14">
        <v>0</v>
      </c>
      <c r="N7" s="16">
        <v>0</v>
      </c>
      <c r="O7" s="14">
        <v>0</v>
      </c>
      <c r="P7" s="16">
        <v>0</v>
      </c>
      <c r="Q7" s="14">
        <v>0</v>
      </c>
      <c r="R7" s="16">
        <v>0</v>
      </c>
    </row>
    <row r="8" spans="1:18" x14ac:dyDescent="0.25">
      <c r="A8" s="11" t="s">
        <v>140</v>
      </c>
      <c r="B8" s="13">
        <v>7007</v>
      </c>
      <c r="C8" s="14">
        <f>(5776/B8*100)</f>
        <v>82.431853860425292</v>
      </c>
      <c r="D8" s="15">
        <v>1231</v>
      </c>
      <c r="E8" s="14">
        <v>39.157475869999999</v>
      </c>
      <c r="F8" s="16">
        <v>1.5722768</v>
      </c>
      <c r="G8" s="14">
        <v>60.842524130000001</v>
      </c>
      <c r="H8" s="16">
        <v>1.5722768</v>
      </c>
      <c r="I8" s="14" t="s">
        <v>139</v>
      </c>
      <c r="J8" s="16" t="s">
        <v>139</v>
      </c>
      <c r="K8" s="14">
        <v>0</v>
      </c>
      <c r="L8" s="16">
        <v>0</v>
      </c>
      <c r="M8" s="14">
        <v>0</v>
      </c>
      <c r="N8" s="16">
        <v>0</v>
      </c>
      <c r="O8" s="14">
        <v>0</v>
      </c>
      <c r="P8" s="16">
        <v>0</v>
      </c>
      <c r="Q8" s="14">
        <v>0</v>
      </c>
      <c r="R8" s="16">
        <v>0</v>
      </c>
    </row>
    <row r="9" spans="1:18" x14ac:dyDescent="0.25">
      <c r="A9" s="11" t="s">
        <v>141</v>
      </c>
      <c r="B9" s="13">
        <v>9651</v>
      </c>
      <c r="C9" s="14">
        <f>(8052/B9*100)</f>
        <v>83.431768728629152</v>
      </c>
      <c r="D9" s="15">
        <v>1599</v>
      </c>
      <c r="E9" s="14">
        <v>35.525947330000001</v>
      </c>
      <c r="F9" s="16">
        <v>1.30033372</v>
      </c>
      <c r="G9" s="14">
        <v>64.474052670000006</v>
      </c>
      <c r="H9" s="16">
        <v>1.30033372</v>
      </c>
      <c r="I9" s="14" t="s">
        <v>139</v>
      </c>
      <c r="J9" s="16" t="s">
        <v>139</v>
      </c>
      <c r="K9" s="14">
        <v>0</v>
      </c>
      <c r="L9" s="16">
        <v>0</v>
      </c>
      <c r="M9" s="14">
        <v>0</v>
      </c>
      <c r="N9" s="16">
        <v>0</v>
      </c>
      <c r="O9" s="14">
        <v>0</v>
      </c>
      <c r="P9" s="16">
        <v>0</v>
      </c>
      <c r="Q9" s="14">
        <v>0</v>
      </c>
      <c r="R9" s="16">
        <v>0</v>
      </c>
    </row>
    <row r="10" spans="1:18" x14ac:dyDescent="0.25">
      <c r="A10" s="11" t="s">
        <v>142</v>
      </c>
      <c r="B10" s="13">
        <v>20058</v>
      </c>
      <c r="C10" s="14">
        <f>(16662/B10*100)</f>
        <v>83.069099611127726</v>
      </c>
      <c r="D10" s="15">
        <v>3396</v>
      </c>
      <c r="E10" s="14">
        <v>44.773915090000003</v>
      </c>
      <c r="F10" s="16">
        <v>1.2651904</v>
      </c>
      <c r="G10" s="14">
        <v>55.226084909999997</v>
      </c>
      <c r="H10" s="16">
        <v>1.2651904</v>
      </c>
      <c r="I10" s="14" t="s">
        <v>139</v>
      </c>
      <c r="J10" s="16" t="s">
        <v>139</v>
      </c>
      <c r="K10" s="14">
        <v>0</v>
      </c>
      <c r="L10" s="16">
        <v>0</v>
      </c>
      <c r="M10" s="14">
        <v>0</v>
      </c>
      <c r="N10" s="16">
        <v>0</v>
      </c>
      <c r="O10" s="14">
        <v>0</v>
      </c>
      <c r="P10" s="16">
        <v>0</v>
      </c>
      <c r="Q10" s="14">
        <v>0</v>
      </c>
      <c r="R10" s="16">
        <v>0</v>
      </c>
    </row>
    <row r="11" spans="1:18" x14ac:dyDescent="0.25">
      <c r="A11" s="11" t="s">
        <v>143</v>
      </c>
      <c r="B11" s="13">
        <v>7053</v>
      </c>
      <c r="C11" s="14">
        <f>(5845/B11*100)</f>
        <v>82.872536509286832</v>
      </c>
      <c r="D11" s="15">
        <v>1208</v>
      </c>
      <c r="E11" s="14">
        <v>45.538334650000003</v>
      </c>
      <c r="F11" s="16">
        <v>1.7343526499999999</v>
      </c>
      <c r="G11" s="14">
        <v>54.461665349999997</v>
      </c>
      <c r="H11" s="16">
        <v>1.7343526499999999</v>
      </c>
      <c r="I11" s="14" t="s">
        <v>139</v>
      </c>
      <c r="J11" s="16" t="s">
        <v>139</v>
      </c>
      <c r="K11" s="14">
        <v>0</v>
      </c>
      <c r="L11" s="16">
        <v>0</v>
      </c>
      <c r="M11" s="14">
        <v>0</v>
      </c>
      <c r="N11" s="16">
        <v>0</v>
      </c>
      <c r="O11" s="14">
        <v>0</v>
      </c>
      <c r="P11" s="16">
        <v>0</v>
      </c>
      <c r="Q11" s="14">
        <v>0</v>
      </c>
      <c r="R11" s="16">
        <v>0</v>
      </c>
    </row>
    <row r="12" spans="1:18" x14ac:dyDescent="0.25">
      <c r="A12" s="11" t="s">
        <v>144</v>
      </c>
      <c r="B12" s="13">
        <v>6894</v>
      </c>
      <c r="C12" s="14">
        <f>(5730/B12*100)</f>
        <v>83.115752828546562</v>
      </c>
      <c r="D12" s="15">
        <v>1164</v>
      </c>
      <c r="E12" s="14">
        <v>42.660353960000002</v>
      </c>
      <c r="F12" s="16">
        <v>1.5229785899999999</v>
      </c>
      <c r="G12" s="14">
        <v>57.339646039999998</v>
      </c>
      <c r="H12" s="16">
        <v>1.5229785899999999</v>
      </c>
      <c r="I12" s="14" t="s">
        <v>139</v>
      </c>
      <c r="J12" s="16" t="s">
        <v>139</v>
      </c>
      <c r="K12" s="14">
        <v>0</v>
      </c>
      <c r="L12" s="16">
        <v>0</v>
      </c>
      <c r="M12" s="14">
        <v>0</v>
      </c>
      <c r="N12" s="16">
        <v>0</v>
      </c>
      <c r="O12" s="14">
        <v>0</v>
      </c>
      <c r="P12" s="16">
        <v>0</v>
      </c>
      <c r="Q12" s="14">
        <v>0</v>
      </c>
      <c r="R12" s="16">
        <v>0</v>
      </c>
    </row>
    <row r="13" spans="1:18" x14ac:dyDescent="0.25">
      <c r="A13" s="11" t="s">
        <v>145</v>
      </c>
      <c r="B13" s="13">
        <v>7161</v>
      </c>
      <c r="C13" s="14">
        <f>(5999/B13*100)</f>
        <v>83.773216031280555</v>
      </c>
      <c r="D13" s="15">
        <v>1162</v>
      </c>
      <c r="E13" s="14">
        <v>46.304430160000003</v>
      </c>
      <c r="F13" s="16">
        <v>1.77471274</v>
      </c>
      <c r="G13" s="14">
        <v>53.695569839999997</v>
      </c>
      <c r="H13" s="16">
        <v>1.77471274</v>
      </c>
      <c r="I13" s="14" t="s">
        <v>139</v>
      </c>
      <c r="J13" s="16" t="s">
        <v>139</v>
      </c>
      <c r="K13" s="14">
        <v>0</v>
      </c>
      <c r="L13" s="16">
        <v>0</v>
      </c>
      <c r="M13" s="14">
        <v>0</v>
      </c>
      <c r="N13" s="16">
        <v>0</v>
      </c>
      <c r="O13" s="14">
        <v>0</v>
      </c>
      <c r="P13" s="16">
        <v>0</v>
      </c>
      <c r="Q13" s="14">
        <v>0</v>
      </c>
      <c r="R13" s="16">
        <v>0</v>
      </c>
    </row>
    <row r="14" spans="1:18" x14ac:dyDescent="0.25">
      <c r="A14" s="11" t="s">
        <v>146</v>
      </c>
      <c r="B14" s="13">
        <v>5587</v>
      </c>
      <c r="C14" s="14">
        <f>(4624/B14*100)</f>
        <v>82.763558260247009</v>
      </c>
      <c r="D14" s="15">
        <v>963</v>
      </c>
      <c r="E14" s="14">
        <v>39.776686439999999</v>
      </c>
      <c r="F14" s="16">
        <v>1.69754977</v>
      </c>
      <c r="G14" s="14">
        <v>60.223313560000001</v>
      </c>
      <c r="H14" s="16">
        <v>1.69754977</v>
      </c>
      <c r="I14" s="14" t="s">
        <v>139</v>
      </c>
      <c r="J14" s="16" t="s">
        <v>139</v>
      </c>
      <c r="K14" s="14">
        <v>0</v>
      </c>
      <c r="L14" s="16">
        <v>0</v>
      </c>
      <c r="M14" s="14">
        <v>0</v>
      </c>
      <c r="N14" s="16">
        <v>0</v>
      </c>
      <c r="O14" s="14">
        <v>0</v>
      </c>
      <c r="P14" s="16">
        <v>0</v>
      </c>
      <c r="Q14" s="14">
        <v>0</v>
      </c>
      <c r="R14" s="16">
        <v>0</v>
      </c>
    </row>
    <row r="15" spans="1:18" x14ac:dyDescent="0.25">
      <c r="A15" s="11" t="s">
        <v>147</v>
      </c>
      <c r="B15" s="13">
        <v>5882</v>
      </c>
      <c r="C15" s="14">
        <f>(4872/B15*100)</f>
        <v>82.828969738184284</v>
      </c>
      <c r="D15" s="15">
        <v>1010</v>
      </c>
      <c r="E15" s="14">
        <v>32.33978449</v>
      </c>
      <c r="F15" s="16">
        <v>1.61884217</v>
      </c>
      <c r="G15" s="14">
        <v>67.66021551</v>
      </c>
      <c r="H15" s="16">
        <v>1.61884217</v>
      </c>
      <c r="I15" s="14" t="s">
        <v>139</v>
      </c>
      <c r="J15" s="16" t="s">
        <v>139</v>
      </c>
      <c r="K15" s="14">
        <v>0</v>
      </c>
      <c r="L15" s="16">
        <v>0</v>
      </c>
      <c r="M15" s="14">
        <v>0</v>
      </c>
      <c r="N15" s="16">
        <v>0</v>
      </c>
      <c r="O15" s="14">
        <v>0</v>
      </c>
      <c r="P15" s="16">
        <v>0</v>
      </c>
      <c r="Q15" s="14">
        <v>0</v>
      </c>
      <c r="R15" s="16">
        <v>0</v>
      </c>
    </row>
    <row r="16" spans="1:18" x14ac:dyDescent="0.25">
      <c r="A16" s="11" t="s">
        <v>148</v>
      </c>
      <c r="B16" s="13">
        <v>6108</v>
      </c>
      <c r="C16" s="14">
        <f>(5082/B16*100)</f>
        <v>83.202357563850697</v>
      </c>
      <c r="D16" s="15">
        <v>1026</v>
      </c>
      <c r="E16" s="14">
        <v>39.412378940000004</v>
      </c>
      <c r="F16" s="16">
        <v>1.6549931600000001</v>
      </c>
      <c r="G16" s="14">
        <v>60.587621059999996</v>
      </c>
      <c r="H16" s="16">
        <v>1.6549931600000001</v>
      </c>
      <c r="I16" s="14" t="s">
        <v>139</v>
      </c>
      <c r="J16" s="16" t="s">
        <v>139</v>
      </c>
      <c r="K16" s="14">
        <v>0</v>
      </c>
      <c r="L16" s="16">
        <v>0</v>
      </c>
      <c r="M16" s="14">
        <v>0</v>
      </c>
      <c r="N16" s="16">
        <v>0</v>
      </c>
      <c r="O16" s="14">
        <v>0</v>
      </c>
      <c r="P16" s="16">
        <v>0</v>
      </c>
      <c r="Q16" s="14">
        <v>0</v>
      </c>
      <c r="R16" s="16">
        <v>0</v>
      </c>
    </row>
    <row r="17" spans="1:18" x14ac:dyDescent="0.25">
      <c r="A17" s="11" t="s">
        <v>149</v>
      </c>
      <c r="B17" s="13">
        <v>6504</v>
      </c>
      <c r="C17" s="14">
        <f>(5413/B17*100)</f>
        <v>83.225707257072571</v>
      </c>
      <c r="D17" s="15">
        <v>1091</v>
      </c>
      <c r="E17" s="14">
        <v>35.967426639999999</v>
      </c>
      <c r="F17" s="16">
        <v>1.4703426799999999</v>
      </c>
      <c r="G17" s="14">
        <v>64.032573360000001</v>
      </c>
      <c r="H17" s="16">
        <v>1.4703426799999999</v>
      </c>
      <c r="I17" s="14" t="s">
        <v>139</v>
      </c>
      <c r="J17" s="16" t="s">
        <v>139</v>
      </c>
      <c r="K17" s="14">
        <v>0</v>
      </c>
      <c r="L17" s="16">
        <v>0</v>
      </c>
      <c r="M17" s="14">
        <v>0</v>
      </c>
      <c r="N17" s="16">
        <v>0</v>
      </c>
      <c r="O17" s="14">
        <v>0</v>
      </c>
      <c r="P17" s="16">
        <v>0</v>
      </c>
      <c r="Q17" s="14">
        <v>0</v>
      </c>
      <c r="R17" s="16">
        <v>0</v>
      </c>
    </row>
    <row r="18" spans="1:18" x14ac:dyDescent="0.25">
      <c r="A18" s="11" t="s">
        <v>150</v>
      </c>
      <c r="B18" s="13">
        <v>5532</v>
      </c>
      <c r="C18" s="14">
        <f>(4580/B18*100)</f>
        <v>82.79103398409255</v>
      </c>
      <c r="D18" s="15">
        <v>952</v>
      </c>
      <c r="E18" s="14">
        <v>41.112423190000001</v>
      </c>
      <c r="F18" s="16">
        <v>1.7305648899999999</v>
      </c>
      <c r="G18" s="14">
        <v>58.887576809999999</v>
      </c>
      <c r="H18" s="16">
        <v>1.7305648899999999</v>
      </c>
      <c r="I18" s="14" t="s">
        <v>139</v>
      </c>
      <c r="J18" s="16" t="s">
        <v>139</v>
      </c>
      <c r="K18" s="14">
        <v>0</v>
      </c>
      <c r="L18" s="16">
        <v>0</v>
      </c>
      <c r="M18" s="14">
        <v>0</v>
      </c>
      <c r="N18" s="16">
        <v>0</v>
      </c>
      <c r="O18" s="14">
        <v>0</v>
      </c>
      <c r="P18" s="16">
        <v>0</v>
      </c>
      <c r="Q18" s="14">
        <v>0</v>
      </c>
      <c r="R18" s="16">
        <v>0</v>
      </c>
    </row>
    <row r="19" spans="1:18" x14ac:dyDescent="0.25">
      <c r="A19" s="11" t="s">
        <v>151</v>
      </c>
      <c r="B19" s="13">
        <v>5658</v>
      </c>
      <c r="C19" s="14">
        <f>(4698/B19*100)</f>
        <v>83.032873806998936</v>
      </c>
      <c r="D19" s="15">
        <v>960</v>
      </c>
      <c r="E19" s="14">
        <v>33.418778529999997</v>
      </c>
      <c r="F19" s="16">
        <v>1.5946183300000001</v>
      </c>
      <c r="G19" s="14">
        <v>66.581221470000003</v>
      </c>
      <c r="H19" s="16">
        <v>1.5946183300000001</v>
      </c>
      <c r="I19" s="14" t="s">
        <v>139</v>
      </c>
      <c r="J19" s="16" t="s">
        <v>139</v>
      </c>
      <c r="K19" s="14">
        <v>0</v>
      </c>
      <c r="L19" s="16">
        <v>0</v>
      </c>
      <c r="M19" s="14">
        <v>0</v>
      </c>
      <c r="N19" s="16">
        <v>0</v>
      </c>
      <c r="O19" s="14">
        <v>0</v>
      </c>
      <c r="P19" s="16">
        <v>0</v>
      </c>
      <c r="Q19" s="14">
        <v>0</v>
      </c>
      <c r="R19" s="16">
        <v>0</v>
      </c>
    </row>
    <row r="20" spans="1:18" x14ac:dyDescent="0.25">
      <c r="A20" s="11" t="s">
        <v>152</v>
      </c>
      <c r="B20" s="13">
        <v>3371</v>
      </c>
      <c r="C20" s="14">
        <f>(2801/B20*100)</f>
        <v>83.091070898843071</v>
      </c>
      <c r="D20" s="15">
        <v>570</v>
      </c>
      <c r="E20" s="14">
        <v>40.13954931</v>
      </c>
      <c r="F20" s="16">
        <v>1.94170676</v>
      </c>
      <c r="G20" s="14">
        <v>59.86045069</v>
      </c>
      <c r="H20" s="16">
        <v>1.94170676</v>
      </c>
      <c r="I20" s="14" t="s">
        <v>139</v>
      </c>
      <c r="J20" s="16" t="s">
        <v>139</v>
      </c>
      <c r="K20" s="14">
        <v>0</v>
      </c>
      <c r="L20" s="16">
        <v>0</v>
      </c>
      <c r="M20" s="14">
        <v>0</v>
      </c>
      <c r="N20" s="16">
        <v>0</v>
      </c>
      <c r="O20" s="14">
        <v>0</v>
      </c>
      <c r="P20" s="16">
        <v>0</v>
      </c>
      <c r="Q20" s="14">
        <v>0</v>
      </c>
      <c r="R20" s="16">
        <v>0</v>
      </c>
    </row>
    <row r="21" spans="1:18" x14ac:dyDescent="0.25">
      <c r="A21" s="11" t="s">
        <v>153</v>
      </c>
      <c r="B21" s="17" t="s">
        <v>154</v>
      </c>
      <c r="C21" s="17" t="s">
        <v>154</v>
      </c>
      <c r="D21" s="18" t="s">
        <v>154</v>
      </c>
      <c r="E21" s="17" t="s">
        <v>154</v>
      </c>
      <c r="F21" s="18" t="s">
        <v>154</v>
      </c>
      <c r="G21" s="17" t="s">
        <v>154</v>
      </c>
      <c r="H21" s="18" t="s">
        <v>154</v>
      </c>
      <c r="I21" s="17" t="s">
        <v>154</v>
      </c>
      <c r="J21" s="18" t="s">
        <v>154</v>
      </c>
      <c r="K21" s="17" t="s">
        <v>154</v>
      </c>
      <c r="L21" s="18" t="s">
        <v>154</v>
      </c>
      <c r="M21" s="17" t="s">
        <v>154</v>
      </c>
      <c r="N21" s="18" t="s">
        <v>154</v>
      </c>
      <c r="O21" s="17" t="s">
        <v>154</v>
      </c>
      <c r="P21" s="18" t="s">
        <v>154</v>
      </c>
      <c r="Q21" s="17" t="s">
        <v>154</v>
      </c>
      <c r="R21" s="18" t="s">
        <v>154</v>
      </c>
    </row>
    <row r="22" spans="1:18" x14ac:dyDescent="0.25">
      <c r="A22" s="11" t="s">
        <v>155</v>
      </c>
      <c r="B22" s="13">
        <v>6598</v>
      </c>
      <c r="C22" s="14">
        <f>(5578/B22*100)</f>
        <v>84.540769930281897</v>
      </c>
      <c r="D22" s="15">
        <v>1020</v>
      </c>
      <c r="E22" s="14">
        <v>47.810411049999999</v>
      </c>
      <c r="F22" s="16">
        <v>1.60999936</v>
      </c>
      <c r="G22" s="14">
        <v>52.189588950000001</v>
      </c>
      <c r="H22" s="16">
        <v>1.60999936</v>
      </c>
      <c r="I22" s="14" t="s">
        <v>139</v>
      </c>
      <c r="J22" s="16" t="s">
        <v>139</v>
      </c>
      <c r="K22" s="14">
        <v>0</v>
      </c>
      <c r="L22" s="16">
        <v>0</v>
      </c>
      <c r="M22" s="14">
        <v>0</v>
      </c>
      <c r="N22" s="16">
        <v>0</v>
      </c>
      <c r="O22" s="14">
        <v>0</v>
      </c>
      <c r="P22" s="16">
        <v>0</v>
      </c>
      <c r="Q22" s="14">
        <v>0</v>
      </c>
      <c r="R22" s="16">
        <v>0</v>
      </c>
    </row>
    <row r="23" spans="1:18" x14ac:dyDescent="0.25">
      <c r="A23" s="11" t="s">
        <v>156</v>
      </c>
      <c r="B23" s="13">
        <v>11583</v>
      </c>
      <c r="C23" s="14">
        <f>(9588/B23*100)</f>
        <v>82.77648277648278</v>
      </c>
      <c r="D23" s="15">
        <v>1995</v>
      </c>
      <c r="E23" s="14">
        <v>50.866344329999997</v>
      </c>
      <c r="F23" s="16">
        <v>1.86837031</v>
      </c>
      <c r="G23" s="14">
        <v>49.133655670000003</v>
      </c>
      <c r="H23" s="16">
        <v>1.86837031</v>
      </c>
      <c r="I23" s="14" t="s">
        <v>139</v>
      </c>
      <c r="J23" s="16" t="s">
        <v>139</v>
      </c>
      <c r="K23" s="14">
        <v>0</v>
      </c>
      <c r="L23" s="16">
        <v>0</v>
      </c>
      <c r="M23" s="14">
        <v>0</v>
      </c>
      <c r="N23" s="16">
        <v>0</v>
      </c>
      <c r="O23" s="14">
        <v>0</v>
      </c>
      <c r="P23" s="16">
        <v>0</v>
      </c>
      <c r="Q23" s="14">
        <v>0</v>
      </c>
      <c r="R23" s="16">
        <v>0</v>
      </c>
    </row>
    <row r="24" spans="1:18" x14ac:dyDescent="0.25">
      <c r="A24" s="11" t="s">
        <v>157</v>
      </c>
      <c r="B24" s="13">
        <v>6647</v>
      </c>
      <c r="C24" s="14">
        <f>(5492/B24*100)</f>
        <v>82.623740033097633</v>
      </c>
      <c r="D24" s="15">
        <v>1155</v>
      </c>
      <c r="E24" s="14">
        <v>27.631218489999998</v>
      </c>
      <c r="F24" s="16">
        <v>1.2754170199999999</v>
      </c>
      <c r="G24" s="14">
        <v>72.368781510000005</v>
      </c>
      <c r="H24" s="16">
        <v>1.2754170199999999</v>
      </c>
      <c r="I24" s="14" t="s">
        <v>139</v>
      </c>
      <c r="J24" s="16" t="s">
        <v>139</v>
      </c>
      <c r="K24" s="14">
        <v>0</v>
      </c>
      <c r="L24" s="16">
        <v>0</v>
      </c>
      <c r="M24" s="14">
        <v>0</v>
      </c>
      <c r="N24" s="16">
        <v>0</v>
      </c>
      <c r="O24" s="14">
        <v>0</v>
      </c>
      <c r="P24" s="16">
        <v>0</v>
      </c>
      <c r="Q24" s="14">
        <v>0</v>
      </c>
      <c r="R24" s="16">
        <v>0</v>
      </c>
    </row>
    <row r="25" spans="1:18" x14ac:dyDescent="0.25">
      <c r="A25" s="11" t="s">
        <v>158</v>
      </c>
      <c r="B25" s="13">
        <v>5581</v>
      </c>
      <c r="C25" s="14">
        <f>(4615/B25*100)</f>
        <v>82.691273965239205</v>
      </c>
      <c r="D25" s="15">
        <v>966</v>
      </c>
      <c r="E25" s="14">
        <v>34.800617889999998</v>
      </c>
      <c r="F25" s="16">
        <v>1.59697673</v>
      </c>
      <c r="G25" s="14">
        <v>65.199382110000002</v>
      </c>
      <c r="H25" s="16">
        <v>1.59697673</v>
      </c>
      <c r="I25" s="14" t="s">
        <v>139</v>
      </c>
      <c r="J25" s="16" t="s">
        <v>139</v>
      </c>
      <c r="K25" s="14">
        <v>0</v>
      </c>
      <c r="L25" s="16">
        <v>0</v>
      </c>
      <c r="M25" s="14">
        <v>0</v>
      </c>
      <c r="N25" s="16">
        <v>0</v>
      </c>
      <c r="O25" s="14">
        <v>0</v>
      </c>
      <c r="P25" s="16">
        <v>0</v>
      </c>
      <c r="Q25" s="14">
        <v>0</v>
      </c>
      <c r="R25" s="16">
        <v>0</v>
      </c>
    </row>
    <row r="26" spans="1:18" x14ac:dyDescent="0.25">
      <c r="A26" s="11" t="s">
        <v>159</v>
      </c>
      <c r="B26" s="13">
        <v>4869</v>
      </c>
      <c r="C26" s="14">
        <f>(4034/B26*100)</f>
        <v>82.850688026288765</v>
      </c>
      <c r="D26" s="15">
        <v>835</v>
      </c>
      <c r="E26" s="14">
        <v>30.039655369999998</v>
      </c>
      <c r="F26" s="16">
        <v>1.7144764299999999</v>
      </c>
      <c r="G26" s="14">
        <v>69.960344629999994</v>
      </c>
      <c r="H26" s="16">
        <v>1.7144764299999999</v>
      </c>
      <c r="I26" s="14" t="s">
        <v>139</v>
      </c>
      <c r="J26" s="16" t="s">
        <v>139</v>
      </c>
      <c r="K26" s="14">
        <v>0</v>
      </c>
      <c r="L26" s="16">
        <v>0</v>
      </c>
      <c r="M26" s="14">
        <v>0</v>
      </c>
      <c r="N26" s="16">
        <v>0</v>
      </c>
      <c r="O26" s="14">
        <v>0</v>
      </c>
      <c r="P26" s="16">
        <v>0</v>
      </c>
      <c r="Q26" s="14">
        <v>0</v>
      </c>
      <c r="R26" s="16">
        <v>0</v>
      </c>
    </row>
    <row r="27" spans="1:18" x14ac:dyDescent="0.25">
      <c r="A27" s="11" t="s">
        <v>160</v>
      </c>
      <c r="B27" s="13">
        <v>5299</v>
      </c>
      <c r="C27" s="14">
        <f>(4392/B27*100)</f>
        <v>82.883562936403095</v>
      </c>
      <c r="D27" s="15">
        <v>907</v>
      </c>
      <c r="E27" s="14">
        <v>40.481210619999999</v>
      </c>
      <c r="F27" s="16">
        <v>1.71631292</v>
      </c>
      <c r="G27" s="14">
        <v>59.518789380000001</v>
      </c>
      <c r="H27" s="16">
        <v>1.71631292</v>
      </c>
      <c r="I27" s="14" t="s">
        <v>139</v>
      </c>
      <c r="J27" s="16" t="s">
        <v>139</v>
      </c>
      <c r="K27" s="14">
        <v>0</v>
      </c>
      <c r="L27" s="16">
        <v>0</v>
      </c>
      <c r="M27" s="14">
        <v>0</v>
      </c>
      <c r="N27" s="16">
        <v>0</v>
      </c>
      <c r="O27" s="14">
        <v>0</v>
      </c>
      <c r="P27" s="16">
        <v>0</v>
      </c>
      <c r="Q27" s="14">
        <v>0</v>
      </c>
      <c r="R27" s="16">
        <v>0</v>
      </c>
    </row>
    <row r="28" spans="1:18" x14ac:dyDescent="0.25">
      <c r="A28" s="11" t="s">
        <v>161</v>
      </c>
      <c r="B28" s="13">
        <v>7568</v>
      </c>
      <c r="C28" s="14">
        <f>(6329/B28*100)</f>
        <v>83.628435517970402</v>
      </c>
      <c r="D28" s="15">
        <v>1239</v>
      </c>
      <c r="E28" s="14">
        <v>47.364379309999997</v>
      </c>
      <c r="F28" s="16">
        <v>1.4925434799999999</v>
      </c>
      <c r="G28" s="14">
        <v>52.635620690000003</v>
      </c>
      <c r="H28" s="16">
        <v>1.4925434799999999</v>
      </c>
      <c r="I28" s="14" t="s">
        <v>139</v>
      </c>
      <c r="J28" s="16" t="s">
        <v>139</v>
      </c>
      <c r="K28" s="14">
        <v>0</v>
      </c>
      <c r="L28" s="16">
        <v>0</v>
      </c>
      <c r="M28" s="14">
        <v>0</v>
      </c>
      <c r="N28" s="16">
        <v>0</v>
      </c>
      <c r="O28" s="14">
        <v>0</v>
      </c>
      <c r="P28" s="16">
        <v>0</v>
      </c>
      <c r="Q28" s="14">
        <v>0</v>
      </c>
      <c r="R28" s="16">
        <v>0</v>
      </c>
    </row>
    <row r="29" spans="1:18" x14ac:dyDescent="0.25">
      <c r="A29" s="11" t="s">
        <v>162</v>
      </c>
      <c r="B29" s="13">
        <v>5385</v>
      </c>
      <c r="C29" s="14">
        <f>(4499/B29*100)</f>
        <v>83.546889507892303</v>
      </c>
      <c r="D29" s="15">
        <v>886</v>
      </c>
      <c r="E29" s="14">
        <v>33.706627529999999</v>
      </c>
      <c r="F29" s="16">
        <v>1.3665190700000001</v>
      </c>
      <c r="G29" s="14">
        <v>66.293372469999994</v>
      </c>
      <c r="H29" s="16">
        <v>1.3665190700000001</v>
      </c>
      <c r="I29" s="14" t="s">
        <v>139</v>
      </c>
      <c r="J29" s="16" t="s">
        <v>139</v>
      </c>
      <c r="K29" s="14">
        <v>0</v>
      </c>
      <c r="L29" s="16">
        <v>0</v>
      </c>
      <c r="M29" s="14">
        <v>0</v>
      </c>
      <c r="N29" s="16">
        <v>0</v>
      </c>
      <c r="O29" s="14">
        <v>0</v>
      </c>
      <c r="P29" s="16">
        <v>0</v>
      </c>
      <c r="Q29" s="14">
        <v>0</v>
      </c>
      <c r="R29" s="16">
        <v>0</v>
      </c>
    </row>
    <row r="30" spans="1:18" x14ac:dyDescent="0.25">
      <c r="A30" s="11" t="s">
        <v>163</v>
      </c>
      <c r="B30" s="13">
        <v>4520</v>
      </c>
      <c r="C30" s="14">
        <f>(3785/B30*100)</f>
        <v>83.738938053097343</v>
      </c>
      <c r="D30" s="15">
        <v>735</v>
      </c>
      <c r="E30" s="14">
        <v>47.198745520000003</v>
      </c>
      <c r="F30" s="16">
        <v>2.2430880000000002</v>
      </c>
      <c r="G30" s="14">
        <v>52.801254479999997</v>
      </c>
      <c r="H30" s="16">
        <v>2.2430880000000002</v>
      </c>
      <c r="I30" s="14" t="s">
        <v>139</v>
      </c>
      <c r="J30" s="16" t="s">
        <v>139</v>
      </c>
      <c r="K30" s="14">
        <v>0</v>
      </c>
      <c r="L30" s="16">
        <v>0</v>
      </c>
      <c r="M30" s="14">
        <v>0</v>
      </c>
      <c r="N30" s="16">
        <v>0</v>
      </c>
      <c r="O30" s="14">
        <v>0</v>
      </c>
      <c r="P30" s="16">
        <v>0</v>
      </c>
      <c r="Q30" s="14">
        <v>0</v>
      </c>
      <c r="R30" s="16">
        <v>0</v>
      </c>
    </row>
    <row r="31" spans="1:18" x14ac:dyDescent="0.25">
      <c r="A31" s="11" t="s">
        <v>164</v>
      </c>
      <c r="B31" s="13">
        <v>5456</v>
      </c>
      <c r="C31" s="14">
        <f>(4540/B31*100)</f>
        <v>83.21114369501467</v>
      </c>
      <c r="D31" s="15">
        <v>916</v>
      </c>
      <c r="E31" s="14">
        <v>44.935604089999998</v>
      </c>
      <c r="F31" s="16">
        <v>1.5130279900000001</v>
      </c>
      <c r="G31" s="14">
        <v>55.064395910000002</v>
      </c>
      <c r="H31" s="16">
        <v>1.5130279900000001</v>
      </c>
      <c r="I31" s="14" t="s">
        <v>139</v>
      </c>
      <c r="J31" s="16" t="s">
        <v>139</v>
      </c>
      <c r="K31" s="14">
        <v>0</v>
      </c>
      <c r="L31" s="16">
        <v>0</v>
      </c>
      <c r="M31" s="14">
        <v>0</v>
      </c>
      <c r="N31" s="16">
        <v>0</v>
      </c>
      <c r="O31" s="14">
        <v>0</v>
      </c>
      <c r="P31" s="16">
        <v>0</v>
      </c>
      <c r="Q31" s="14">
        <v>0</v>
      </c>
      <c r="R31" s="16">
        <v>0</v>
      </c>
    </row>
    <row r="32" spans="1:18" x14ac:dyDescent="0.25">
      <c r="A32" s="11" t="s">
        <v>165</v>
      </c>
      <c r="B32" s="17" t="s">
        <v>154</v>
      </c>
      <c r="C32" s="17" t="s">
        <v>154</v>
      </c>
      <c r="D32" s="18" t="s">
        <v>154</v>
      </c>
      <c r="E32" s="17" t="s">
        <v>154</v>
      </c>
      <c r="F32" s="18" t="s">
        <v>154</v>
      </c>
      <c r="G32" s="17" t="s">
        <v>154</v>
      </c>
      <c r="H32" s="18" t="s">
        <v>154</v>
      </c>
      <c r="I32" s="17" t="s">
        <v>154</v>
      </c>
      <c r="J32" s="18" t="s">
        <v>154</v>
      </c>
      <c r="K32" s="17" t="s">
        <v>154</v>
      </c>
      <c r="L32" s="18" t="s">
        <v>154</v>
      </c>
      <c r="M32" s="17" t="s">
        <v>154</v>
      </c>
      <c r="N32" s="18" t="s">
        <v>154</v>
      </c>
      <c r="O32" s="17" t="s">
        <v>154</v>
      </c>
      <c r="P32" s="18" t="s">
        <v>154</v>
      </c>
      <c r="Q32" s="17" t="s">
        <v>154</v>
      </c>
      <c r="R32" s="18" t="s">
        <v>154</v>
      </c>
    </row>
    <row r="33" spans="1:18" x14ac:dyDescent="0.25">
      <c r="A33" s="11" t="s">
        <v>166</v>
      </c>
      <c r="B33" s="13">
        <v>7325</v>
      </c>
      <c r="C33" s="14">
        <f>(6097/B33*100)</f>
        <v>83.235494880546085</v>
      </c>
      <c r="D33" s="15">
        <v>1228</v>
      </c>
      <c r="E33" s="14">
        <v>39.095665519999997</v>
      </c>
      <c r="F33" s="16">
        <v>1.4852588200000001</v>
      </c>
      <c r="G33" s="14">
        <v>60.904334480000003</v>
      </c>
      <c r="H33" s="16">
        <v>1.4852588200000001</v>
      </c>
      <c r="I33" s="14" t="s">
        <v>139</v>
      </c>
      <c r="J33" s="16" t="s">
        <v>139</v>
      </c>
      <c r="K33" s="14">
        <v>0</v>
      </c>
      <c r="L33" s="16">
        <v>0</v>
      </c>
      <c r="M33" s="14">
        <v>0</v>
      </c>
      <c r="N33" s="16">
        <v>0</v>
      </c>
      <c r="O33" s="14">
        <v>0</v>
      </c>
      <c r="P33" s="16">
        <v>0</v>
      </c>
      <c r="Q33" s="14">
        <v>0</v>
      </c>
      <c r="R33" s="16">
        <v>0</v>
      </c>
    </row>
    <row r="34" spans="1:18" x14ac:dyDescent="0.25">
      <c r="A34" s="11" t="s">
        <v>167</v>
      </c>
      <c r="B34" s="13">
        <v>6350</v>
      </c>
      <c r="C34" s="14">
        <f>(5305/B34*100)</f>
        <v>83.543307086614178</v>
      </c>
      <c r="D34" s="15">
        <v>1045</v>
      </c>
      <c r="E34" s="14">
        <v>42.041769559999999</v>
      </c>
      <c r="F34" s="16">
        <v>1.6556172300000001</v>
      </c>
      <c r="G34" s="14">
        <v>57.958230440000001</v>
      </c>
      <c r="H34" s="16">
        <v>1.6556172300000001</v>
      </c>
      <c r="I34" s="14" t="s">
        <v>139</v>
      </c>
      <c r="J34" s="16" t="s">
        <v>139</v>
      </c>
      <c r="K34" s="14">
        <v>0</v>
      </c>
      <c r="L34" s="16">
        <v>0</v>
      </c>
      <c r="M34" s="14">
        <v>0</v>
      </c>
      <c r="N34" s="16">
        <v>0</v>
      </c>
      <c r="O34" s="14">
        <v>0</v>
      </c>
      <c r="P34" s="16">
        <v>0</v>
      </c>
      <c r="Q34" s="14">
        <v>0</v>
      </c>
      <c r="R34" s="16">
        <v>0</v>
      </c>
    </row>
    <row r="35" spans="1:18" x14ac:dyDescent="0.25">
      <c r="A35" s="11" t="s">
        <v>168</v>
      </c>
      <c r="B35" s="13">
        <v>6406</v>
      </c>
      <c r="C35" s="14">
        <f>(5349/B35*100)</f>
        <v>83.499843896347173</v>
      </c>
      <c r="D35" s="15">
        <v>1057</v>
      </c>
      <c r="E35" s="14">
        <v>40.415370629999998</v>
      </c>
      <c r="F35" s="16">
        <v>1.75449481</v>
      </c>
      <c r="G35" s="14">
        <v>59.584629370000002</v>
      </c>
      <c r="H35" s="16">
        <v>1.75449481</v>
      </c>
      <c r="I35" s="14" t="s">
        <v>139</v>
      </c>
      <c r="J35" s="16" t="s">
        <v>139</v>
      </c>
      <c r="K35" s="14">
        <v>0</v>
      </c>
      <c r="L35" s="16">
        <v>0</v>
      </c>
      <c r="M35" s="14">
        <v>0</v>
      </c>
      <c r="N35" s="16">
        <v>0</v>
      </c>
      <c r="O35" s="14">
        <v>0</v>
      </c>
      <c r="P35" s="16">
        <v>0</v>
      </c>
      <c r="Q35" s="14">
        <v>0</v>
      </c>
      <c r="R35" s="16">
        <v>0</v>
      </c>
    </row>
    <row r="36" spans="1:18" x14ac:dyDescent="0.25">
      <c r="A36" s="11" t="s">
        <v>169</v>
      </c>
      <c r="B36" s="13">
        <v>6736</v>
      </c>
      <c r="C36" s="14">
        <f>(5587/B36*100)</f>
        <v>82.942399049881232</v>
      </c>
      <c r="D36" s="15">
        <v>1149</v>
      </c>
      <c r="E36" s="14">
        <v>39.215331499999998</v>
      </c>
      <c r="F36" s="16">
        <v>1.4960767100000001</v>
      </c>
      <c r="G36" s="14">
        <v>60.784668500000002</v>
      </c>
      <c r="H36" s="16">
        <v>1.4960767100000001</v>
      </c>
      <c r="I36" s="14" t="s">
        <v>139</v>
      </c>
      <c r="J36" s="16" t="s">
        <v>139</v>
      </c>
      <c r="K36" s="14">
        <v>0</v>
      </c>
      <c r="L36" s="16">
        <v>0</v>
      </c>
      <c r="M36" s="14">
        <v>0</v>
      </c>
      <c r="N36" s="16">
        <v>0</v>
      </c>
      <c r="O36" s="14">
        <v>0</v>
      </c>
      <c r="P36" s="16">
        <v>0</v>
      </c>
      <c r="Q36" s="14">
        <v>0</v>
      </c>
      <c r="R36" s="16">
        <v>0</v>
      </c>
    </row>
    <row r="37" spans="1:18" x14ac:dyDescent="0.25">
      <c r="A37" s="11" t="s">
        <v>170</v>
      </c>
      <c r="B37" s="13">
        <v>5458</v>
      </c>
      <c r="C37" s="14">
        <f>(4553/B37*100)</f>
        <v>83.418834737999276</v>
      </c>
      <c r="D37" s="15">
        <v>905</v>
      </c>
      <c r="E37" s="14">
        <v>42.860763769999998</v>
      </c>
      <c r="F37" s="16">
        <v>1.7342185400000001</v>
      </c>
      <c r="G37" s="14">
        <v>57.139236230000002</v>
      </c>
      <c r="H37" s="16">
        <v>1.7342185400000001</v>
      </c>
      <c r="I37" s="14" t="s">
        <v>139</v>
      </c>
      <c r="J37" s="16" t="s">
        <v>139</v>
      </c>
      <c r="K37" s="14">
        <v>0</v>
      </c>
      <c r="L37" s="16">
        <v>0</v>
      </c>
      <c r="M37" s="14">
        <v>0</v>
      </c>
      <c r="N37" s="16">
        <v>0</v>
      </c>
      <c r="O37" s="14">
        <v>0</v>
      </c>
      <c r="P37" s="16">
        <v>0</v>
      </c>
      <c r="Q37" s="14">
        <v>0</v>
      </c>
      <c r="R37" s="16">
        <v>0</v>
      </c>
    </row>
    <row r="38" spans="1:18" x14ac:dyDescent="0.25">
      <c r="A38" s="11" t="s">
        <v>171</v>
      </c>
      <c r="B38" s="17" t="s">
        <v>154</v>
      </c>
      <c r="C38" s="17" t="s">
        <v>154</v>
      </c>
      <c r="D38" s="18" t="s">
        <v>154</v>
      </c>
      <c r="E38" s="17" t="s">
        <v>154</v>
      </c>
      <c r="F38" s="18" t="s">
        <v>154</v>
      </c>
      <c r="G38" s="17" t="s">
        <v>154</v>
      </c>
      <c r="H38" s="18" t="s">
        <v>154</v>
      </c>
      <c r="I38" s="17" t="s">
        <v>154</v>
      </c>
      <c r="J38" s="18" t="s">
        <v>154</v>
      </c>
      <c r="K38" s="17" t="s">
        <v>154</v>
      </c>
      <c r="L38" s="18" t="s">
        <v>154</v>
      </c>
      <c r="M38" s="17" t="s">
        <v>154</v>
      </c>
      <c r="N38" s="18" t="s">
        <v>154</v>
      </c>
      <c r="O38" s="17" t="s">
        <v>154</v>
      </c>
      <c r="P38" s="18" t="s">
        <v>154</v>
      </c>
      <c r="Q38" s="17" t="s">
        <v>154</v>
      </c>
      <c r="R38" s="18" t="s">
        <v>154</v>
      </c>
    </row>
    <row r="39" spans="1:18" x14ac:dyDescent="0.25">
      <c r="A39" s="11" t="s">
        <v>172</v>
      </c>
      <c r="B39" s="13">
        <v>5895</v>
      </c>
      <c r="C39" s="14">
        <f>(4863/B39*100)</f>
        <v>82.493638676844782</v>
      </c>
      <c r="D39" s="15">
        <v>1032</v>
      </c>
      <c r="E39" s="14">
        <v>36.528211949999999</v>
      </c>
      <c r="F39" s="16">
        <v>1.6650878099999999</v>
      </c>
      <c r="G39" s="14">
        <v>63.471788050000001</v>
      </c>
      <c r="H39" s="16">
        <v>1.6650878099999999</v>
      </c>
      <c r="I39" s="14" t="s">
        <v>139</v>
      </c>
      <c r="J39" s="16" t="s">
        <v>139</v>
      </c>
      <c r="K39" s="14">
        <v>0</v>
      </c>
      <c r="L39" s="16">
        <v>0</v>
      </c>
      <c r="M39" s="14">
        <v>0</v>
      </c>
      <c r="N39" s="16">
        <v>0</v>
      </c>
      <c r="O39" s="14">
        <v>0</v>
      </c>
      <c r="P39" s="16">
        <v>0</v>
      </c>
      <c r="Q39" s="14">
        <v>0</v>
      </c>
      <c r="R39" s="16">
        <v>0</v>
      </c>
    </row>
    <row r="40" spans="1:18" x14ac:dyDescent="0.25">
      <c r="A40" s="11" t="s">
        <v>173</v>
      </c>
      <c r="B40" s="13">
        <v>14157</v>
      </c>
      <c r="C40" s="14">
        <f>(11741/B40*100)</f>
        <v>82.93423747969203</v>
      </c>
      <c r="D40" s="15">
        <v>2416</v>
      </c>
      <c r="E40" s="14">
        <v>46.753415879999999</v>
      </c>
      <c r="F40" s="16">
        <v>1.3924137000000001</v>
      </c>
      <c r="G40" s="14">
        <v>53.246584120000001</v>
      </c>
      <c r="H40" s="16">
        <v>1.3924137000000001</v>
      </c>
      <c r="I40" s="14" t="s">
        <v>139</v>
      </c>
      <c r="J40" s="16" t="s">
        <v>139</v>
      </c>
      <c r="K40" s="14">
        <v>0</v>
      </c>
      <c r="L40" s="16">
        <v>0</v>
      </c>
      <c r="M40" s="14">
        <v>0</v>
      </c>
      <c r="N40" s="16">
        <v>0</v>
      </c>
      <c r="O40" s="14">
        <v>0</v>
      </c>
      <c r="P40" s="16">
        <v>0</v>
      </c>
      <c r="Q40" s="14">
        <v>0</v>
      </c>
      <c r="R40" s="16">
        <v>0</v>
      </c>
    </row>
    <row r="41" spans="1:18" x14ac:dyDescent="0.25">
      <c r="A41" s="11" t="s">
        <v>174</v>
      </c>
      <c r="B41" s="13">
        <v>5712</v>
      </c>
      <c r="C41" s="14">
        <f>(4732/B41*100)</f>
        <v>82.843137254901961</v>
      </c>
      <c r="D41" s="15">
        <v>980</v>
      </c>
      <c r="E41" s="14">
        <v>52.961516899999999</v>
      </c>
      <c r="F41" s="16">
        <v>1.463894</v>
      </c>
      <c r="G41" s="14">
        <v>47.038483100000001</v>
      </c>
      <c r="H41" s="16">
        <v>1.463894</v>
      </c>
      <c r="I41" s="14" t="s">
        <v>139</v>
      </c>
      <c r="J41" s="16" t="s">
        <v>139</v>
      </c>
      <c r="K41" s="14">
        <v>0</v>
      </c>
      <c r="L41" s="16">
        <v>0</v>
      </c>
      <c r="M41" s="14">
        <v>0</v>
      </c>
      <c r="N41" s="16">
        <v>0</v>
      </c>
      <c r="O41" s="14">
        <v>0</v>
      </c>
      <c r="P41" s="16">
        <v>0</v>
      </c>
      <c r="Q41" s="14">
        <v>0</v>
      </c>
      <c r="R41" s="16">
        <v>0</v>
      </c>
    </row>
    <row r="42" spans="1:18" x14ac:dyDescent="0.25">
      <c r="A42" s="11" t="s">
        <v>175</v>
      </c>
      <c r="B42" s="13">
        <f>IF(COUNT(B7:B41) &gt; 0, AVERAGE(B7:B41), "\u2014")</f>
        <v>7266.90625</v>
      </c>
      <c r="C42" s="14">
        <f>IF(COUNT(C7:C41) &gt; 0, AVERAGE(C7:C41), "—")</f>
        <v>83.128406570357896</v>
      </c>
      <c r="D42" s="15">
        <f>IF(COUNT(D7:D41) &gt; 0, AVERAGE(D7:D41), "—")</f>
        <v>1226.78125</v>
      </c>
      <c r="E42" s="14">
        <f>IF(COUNT(E7:E41) &gt; 0, AVERAGE(E7:E41), "—")</f>
        <v>40.891768380000002</v>
      </c>
      <c r="F42" s="16">
        <f>IF(COUNT(F7:F41) &gt; 0, SQRT(SUMSQ(F7:F41)/(COUNT(F7:F41)*COUNT(F7:F41)) ), "—")</f>
        <v>0.28455568323560876</v>
      </c>
      <c r="G42" s="14">
        <f>IF(COUNT(G7:G41) &gt; 0, AVERAGE(G7:G41), "—")</f>
        <v>59.108231619999998</v>
      </c>
      <c r="H42" s="16">
        <f>IF(COUNT(H7:H41) &gt; 0, SQRT(SUMSQ(H7:H41)/(COUNT(H7:H41)*COUNT(H7:H41)) ), "—")</f>
        <v>0.28455568323560876</v>
      </c>
      <c r="I42" s="14" t="str">
        <f>IF(COUNT(I7:I41) &gt; 0, AVERAGE(I7:I41), "—")</f>
        <v>—</v>
      </c>
      <c r="J42" s="16" t="str">
        <f>IF(COUNT(J7:J41) &gt; 0, SQRT(SUMSQ(J7:J41)/(COUNT(J7:J41)*COUNT(J7:J41)) ), "—")</f>
        <v>—</v>
      </c>
      <c r="K42" s="14">
        <f>IF(COUNT(K7:K41) &gt; 0, AVERAGE(K7:K41), "—")</f>
        <v>0</v>
      </c>
      <c r="L42" s="16">
        <f>IF(COUNT(L7:L41) &gt; 0, SQRT(SUMSQ(L7:L41)/(COUNT(L7:L41)*COUNT(L7:L41)) ), "—")</f>
        <v>0</v>
      </c>
      <c r="M42" s="14">
        <f>IF(COUNT(M7:M41) &gt; 0, AVERAGE(M7:M41), "—")</f>
        <v>0</v>
      </c>
      <c r="N42" s="16">
        <f>IF(COUNT(N7:N41) &gt; 0, SQRT(SUMSQ(N7:N41)/(COUNT(N7:N41)*COUNT(N7:N41)) ), "—")</f>
        <v>0</v>
      </c>
      <c r="O42" s="14">
        <f>IF(COUNT(O7:O41) &gt; 0, AVERAGE(O7:O41), "—")</f>
        <v>0</v>
      </c>
      <c r="P42" s="16">
        <f>IF(COUNT(P7:P41) &gt; 0, SQRT(SUMSQ(P7:P41)/(COUNT(P7:P41)*COUNT(P7:P41)) ), "—")</f>
        <v>0</v>
      </c>
      <c r="Q42" s="14">
        <f>IF(COUNT(Q7:Q41) &gt; 0, AVERAGE(Q7:Q41), "—")</f>
        <v>0</v>
      </c>
      <c r="R42" s="16">
        <f>IF(COUNT(R7:R41) &gt; 0, SQRT(SUMSQ(R7:R41)/(COUNT(R7:R41)*COUNT(R7:R41)) ), "—")</f>
        <v>0</v>
      </c>
    </row>
    <row r="43" spans="1:18" x14ac:dyDescent="0.25">
      <c r="A43" s="9" t="s">
        <v>176</v>
      </c>
      <c r="B43" s="10"/>
      <c r="C43" s="10"/>
      <c r="D43" s="11"/>
      <c r="E43" s="10"/>
      <c r="F43" s="11"/>
      <c r="G43" s="10"/>
      <c r="H43" s="11"/>
      <c r="I43" s="10"/>
      <c r="J43" s="11"/>
      <c r="K43" s="10"/>
      <c r="L43" s="11"/>
      <c r="M43" s="10"/>
      <c r="N43" s="11"/>
      <c r="O43" s="10"/>
      <c r="P43" s="11"/>
      <c r="Q43" s="10"/>
      <c r="R43" s="12"/>
    </row>
    <row r="44" spans="1:18" x14ac:dyDescent="0.25">
      <c r="A44" s="11" t="s">
        <v>177</v>
      </c>
      <c r="B44" s="17" t="s">
        <v>154</v>
      </c>
      <c r="C44" s="17" t="s">
        <v>154</v>
      </c>
      <c r="D44" s="18" t="s">
        <v>154</v>
      </c>
      <c r="E44" s="17" t="s">
        <v>154</v>
      </c>
      <c r="F44" s="18" t="s">
        <v>154</v>
      </c>
      <c r="G44" s="17" t="s">
        <v>154</v>
      </c>
      <c r="H44" s="18" t="s">
        <v>154</v>
      </c>
      <c r="I44" s="17" t="s">
        <v>154</v>
      </c>
      <c r="J44" s="18" t="s">
        <v>154</v>
      </c>
      <c r="K44" s="17" t="s">
        <v>154</v>
      </c>
      <c r="L44" s="18" t="s">
        <v>154</v>
      </c>
      <c r="M44" s="17" t="s">
        <v>154</v>
      </c>
      <c r="N44" s="18" t="s">
        <v>154</v>
      </c>
      <c r="O44" s="17" t="s">
        <v>154</v>
      </c>
      <c r="P44" s="18" t="s">
        <v>154</v>
      </c>
      <c r="Q44" s="17" t="s">
        <v>154</v>
      </c>
      <c r="R44" s="18" t="s">
        <v>154</v>
      </c>
    </row>
    <row r="45" spans="1:18" x14ac:dyDescent="0.25">
      <c r="A45" s="11" t="s">
        <v>178</v>
      </c>
      <c r="B45" s="17" t="s">
        <v>154</v>
      </c>
      <c r="C45" s="17" t="s">
        <v>154</v>
      </c>
      <c r="D45" s="18" t="s">
        <v>154</v>
      </c>
      <c r="E45" s="17" t="s">
        <v>154</v>
      </c>
      <c r="F45" s="18" t="s">
        <v>154</v>
      </c>
      <c r="G45" s="17" t="s">
        <v>154</v>
      </c>
      <c r="H45" s="18" t="s">
        <v>154</v>
      </c>
      <c r="I45" s="17" t="s">
        <v>154</v>
      </c>
      <c r="J45" s="18" t="s">
        <v>154</v>
      </c>
      <c r="K45" s="17" t="s">
        <v>154</v>
      </c>
      <c r="L45" s="18" t="s">
        <v>154</v>
      </c>
      <c r="M45" s="17" t="s">
        <v>154</v>
      </c>
      <c r="N45" s="18" t="s">
        <v>154</v>
      </c>
      <c r="O45" s="17" t="s">
        <v>154</v>
      </c>
      <c r="P45" s="18" t="s">
        <v>154</v>
      </c>
      <c r="Q45" s="17" t="s">
        <v>154</v>
      </c>
      <c r="R45" s="18" t="s">
        <v>154</v>
      </c>
    </row>
    <row r="46" spans="1:18" x14ac:dyDescent="0.25">
      <c r="A46" s="11" t="s">
        <v>179</v>
      </c>
      <c r="B46" s="13">
        <v>23141</v>
      </c>
      <c r="C46" s="14">
        <f>(19861/B46*100)</f>
        <v>85.826023075925846</v>
      </c>
      <c r="D46" s="15">
        <v>3280</v>
      </c>
      <c r="E46" s="14">
        <v>52.017271579999999</v>
      </c>
      <c r="F46" s="16">
        <v>1.05114526</v>
      </c>
      <c r="G46" s="14">
        <v>47.982728420000001</v>
      </c>
      <c r="H46" s="16">
        <v>1.05114526</v>
      </c>
      <c r="I46" s="14" t="s">
        <v>139</v>
      </c>
      <c r="J46" s="16" t="s">
        <v>139</v>
      </c>
      <c r="K46" s="14">
        <v>0</v>
      </c>
      <c r="L46" s="16">
        <v>0</v>
      </c>
      <c r="M46" s="14">
        <v>0</v>
      </c>
      <c r="N46" s="16">
        <v>0</v>
      </c>
      <c r="O46" s="14">
        <v>0</v>
      </c>
      <c r="P46" s="16">
        <v>0</v>
      </c>
      <c r="Q46" s="14">
        <v>0</v>
      </c>
      <c r="R46" s="16">
        <v>0</v>
      </c>
    </row>
    <row r="47" spans="1:18" x14ac:dyDescent="0.25">
      <c r="A47" s="11" t="s">
        <v>180</v>
      </c>
      <c r="B47" s="13">
        <v>5928</v>
      </c>
      <c r="C47" s="14">
        <f>(4932/B47*100)</f>
        <v>83.198380566801617</v>
      </c>
      <c r="D47" s="15">
        <v>996</v>
      </c>
      <c r="E47" s="14">
        <v>38.8592376</v>
      </c>
      <c r="F47" s="16">
        <v>1.5513605699999999</v>
      </c>
      <c r="G47" s="14">
        <v>61.1407624</v>
      </c>
      <c r="H47" s="16">
        <v>1.5513605699999999</v>
      </c>
      <c r="I47" s="14" t="s">
        <v>139</v>
      </c>
      <c r="J47" s="16" t="s">
        <v>139</v>
      </c>
      <c r="K47" s="14">
        <v>0</v>
      </c>
      <c r="L47" s="16">
        <v>0</v>
      </c>
      <c r="M47" s="14">
        <v>0</v>
      </c>
      <c r="N47" s="16">
        <v>0</v>
      </c>
      <c r="O47" s="14">
        <v>0</v>
      </c>
      <c r="P47" s="16">
        <v>0</v>
      </c>
      <c r="Q47" s="14">
        <v>0</v>
      </c>
      <c r="R47" s="16">
        <v>0</v>
      </c>
    </row>
    <row r="48" spans="1:18" x14ac:dyDescent="0.25">
      <c r="A48" s="11" t="s">
        <v>181</v>
      </c>
      <c r="B48" s="13">
        <v>9841</v>
      </c>
      <c r="C48" s="14">
        <f>(8170/B48*100)</f>
        <v>83.020018290824112</v>
      </c>
      <c r="D48" s="15">
        <v>1671</v>
      </c>
      <c r="E48" s="14">
        <v>39.74406115</v>
      </c>
      <c r="F48" s="16">
        <v>1.6769022899999999</v>
      </c>
      <c r="G48" s="14">
        <v>60.25593885</v>
      </c>
      <c r="H48" s="16">
        <v>1.6769022899999999</v>
      </c>
      <c r="I48" s="14" t="s">
        <v>139</v>
      </c>
      <c r="J48" s="16" t="s">
        <v>139</v>
      </c>
      <c r="K48" s="14">
        <v>0</v>
      </c>
      <c r="L48" s="16">
        <v>0</v>
      </c>
      <c r="M48" s="14">
        <v>0</v>
      </c>
      <c r="N48" s="16">
        <v>0</v>
      </c>
      <c r="O48" s="14">
        <v>0</v>
      </c>
      <c r="P48" s="16">
        <v>0</v>
      </c>
      <c r="Q48" s="14">
        <v>0</v>
      </c>
      <c r="R48" s="16">
        <v>0</v>
      </c>
    </row>
    <row r="49" spans="1:18" x14ac:dyDescent="0.25">
      <c r="A49" s="11" t="s">
        <v>182</v>
      </c>
      <c r="B49" s="17" t="s">
        <v>154</v>
      </c>
      <c r="C49" s="17" t="s">
        <v>154</v>
      </c>
      <c r="D49" s="18" t="s">
        <v>154</v>
      </c>
      <c r="E49" s="17" t="s">
        <v>154</v>
      </c>
      <c r="F49" s="18" t="s">
        <v>154</v>
      </c>
      <c r="G49" s="17" t="s">
        <v>154</v>
      </c>
      <c r="H49" s="18" t="s">
        <v>154</v>
      </c>
      <c r="I49" s="17" t="s">
        <v>154</v>
      </c>
      <c r="J49" s="18" t="s">
        <v>154</v>
      </c>
      <c r="K49" s="17" t="s">
        <v>154</v>
      </c>
      <c r="L49" s="18" t="s">
        <v>154</v>
      </c>
      <c r="M49" s="17" t="s">
        <v>154</v>
      </c>
      <c r="N49" s="18" t="s">
        <v>154</v>
      </c>
      <c r="O49" s="17" t="s">
        <v>154</v>
      </c>
      <c r="P49" s="18" t="s">
        <v>154</v>
      </c>
      <c r="Q49" s="17" t="s">
        <v>154</v>
      </c>
      <c r="R49" s="18" t="s">
        <v>154</v>
      </c>
    </row>
    <row r="50" spans="1:18" x14ac:dyDescent="0.25">
      <c r="A50" s="11" t="s">
        <v>183</v>
      </c>
      <c r="B50" s="13">
        <v>11795</v>
      </c>
      <c r="C50" s="14">
        <f>(9825/B50*100)</f>
        <v>83.298007630351847</v>
      </c>
      <c r="D50" s="15">
        <v>1970</v>
      </c>
      <c r="E50" s="14">
        <v>55.428481959999999</v>
      </c>
      <c r="F50" s="16">
        <v>1.4426045000000001</v>
      </c>
      <c r="G50" s="14">
        <v>44.571518040000001</v>
      </c>
      <c r="H50" s="16">
        <v>1.4426045000000001</v>
      </c>
      <c r="I50" s="14" t="s">
        <v>139</v>
      </c>
      <c r="J50" s="16" t="s">
        <v>139</v>
      </c>
      <c r="K50" s="14">
        <v>0</v>
      </c>
      <c r="L50" s="16">
        <v>0</v>
      </c>
      <c r="M50" s="14">
        <v>0</v>
      </c>
      <c r="N50" s="16">
        <v>0</v>
      </c>
      <c r="O50" s="14">
        <v>0</v>
      </c>
      <c r="P50" s="16">
        <v>0</v>
      </c>
      <c r="Q50" s="14">
        <v>0</v>
      </c>
      <c r="R50" s="16">
        <v>0</v>
      </c>
    </row>
    <row r="51" spans="1:18" x14ac:dyDescent="0.25">
      <c r="A51" s="11" t="s">
        <v>184</v>
      </c>
      <c r="B51" s="13">
        <v>6866</v>
      </c>
      <c r="C51" s="14">
        <f>(5838/B51*100)</f>
        <v>85.027672589571807</v>
      </c>
      <c r="D51" s="15">
        <v>1028</v>
      </c>
      <c r="E51" s="14">
        <v>49.230663730000003</v>
      </c>
      <c r="F51" s="16">
        <v>1.85066171</v>
      </c>
      <c r="G51" s="14">
        <v>50.769336269999997</v>
      </c>
      <c r="H51" s="16">
        <v>1.85066171</v>
      </c>
      <c r="I51" s="14" t="s">
        <v>139</v>
      </c>
      <c r="J51" s="16" t="s">
        <v>139</v>
      </c>
      <c r="K51" s="14">
        <v>0</v>
      </c>
      <c r="L51" s="16">
        <v>0</v>
      </c>
      <c r="M51" s="14">
        <v>0</v>
      </c>
      <c r="N51" s="16">
        <v>0</v>
      </c>
      <c r="O51" s="14">
        <v>0</v>
      </c>
      <c r="P51" s="16">
        <v>0</v>
      </c>
      <c r="Q51" s="14">
        <v>0</v>
      </c>
      <c r="R51" s="16">
        <v>0</v>
      </c>
    </row>
    <row r="52" spans="1:18" x14ac:dyDescent="0.25">
      <c r="A52" s="11" t="s">
        <v>185</v>
      </c>
      <c r="B52" s="13">
        <v>5809</v>
      </c>
      <c r="C52" s="14">
        <f>(4835/B52*100)</f>
        <v>83.232914443105528</v>
      </c>
      <c r="D52" s="15">
        <v>974</v>
      </c>
      <c r="E52" s="14">
        <v>35.202731790000001</v>
      </c>
      <c r="F52" s="16">
        <v>1.74835852</v>
      </c>
      <c r="G52" s="14">
        <v>64.797268209999999</v>
      </c>
      <c r="H52" s="16">
        <v>1.74835852</v>
      </c>
      <c r="I52" s="14" t="s">
        <v>139</v>
      </c>
      <c r="J52" s="16" t="s">
        <v>139</v>
      </c>
      <c r="K52" s="14">
        <v>0</v>
      </c>
      <c r="L52" s="16">
        <v>0</v>
      </c>
      <c r="M52" s="14">
        <v>0</v>
      </c>
      <c r="N52" s="16">
        <v>0</v>
      </c>
      <c r="O52" s="14">
        <v>0</v>
      </c>
      <c r="P52" s="16">
        <v>0</v>
      </c>
      <c r="Q52" s="14">
        <v>0</v>
      </c>
      <c r="R52" s="16">
        <v>0</v>
      </c>
    </row>
    <row r="53" spans="1:18" x14ac:dyDescent="0.25">
      <c r="A53" s="11" t="s">
        <v>186</v>
      </c>
      <c r="B53" s="13">
        <v>5571</v>
      </c>
      <c r="C53" s="14">
        <f>(4641/B53*100)</f>
        <v>83.306408185245019</v>
      </c>
      <c r="D53" s="15">
        <v>930</v>
      </c>
      <c r="E53" s="14">
        <v>54.252694640000001</v>
      </c>
      <c r="F53" s="16">
        <v>1.5584505399999999</v>
      </c>
      <c r="G53" s="14">
        <v>45.747305359999999</v>
      </c>
      <c r="H53" s="16">
        <v>1.5584505399999999</v>
      </c>
      <c r="I53" s="14" t="s">
        <v>139</v>
      </c>
      <c r="J53" s="16" t="s">
        <v>139</v>
      </c>
      <c r="K53" s="14">
        <v>0</v>
      </c>
      <c r="L53" s="16">
        <v>0</v>
      </c>
      <c r="M53" s="14">
        <v>0</v>
      </c>
      <c r="N53" s="16">
        <v>0</v>
      </c>
      <c r="O53" s="14">
        <v>0</v>
      </c>
      <c r="P53" s="16">
        <v>0</v>
      </c>
      <c r="Q53" s="14">
        <v>0</v>
      </c>
      <c r="R53" s="16">
        <v>0</v>
      </c>
    </row>
    <row r="54" spans="1:18" x14ac:dyDescent="0.25">
      <c r="A54" s="11" t="s">
        <v>187</v>
      </c>
      <c r="B54" s="17" t="s">
        <v>154</v>
      </c>
      <c r="C54" s="17" t="s">
        <v>154</v>
      </c>
      <c r="D54" s="18" t="s">
        <v>154</v>
      </c>
      <c r="E54" s="17" t="s">
        <v>154</v>
      </c>
      <c r="F54" s="18" t="s">
        <v>154</v>
      </c>
      <c r="G54" s="17" t="s">
        <v>154</v>
      </c>
      <c r="H54" s="18" t="s">
        <v>154</v>
      </c>
      <c r="I54" s="17" t="s">
        <v>154</v>
      </c>
      <c r="J54" s="18" t="s">
        <v>154</v>
      </c>
      <c r="K54" s="17" t="s">
        <v>154</v>
      </c>
      <c r="L54" s="18" t="s">
        <v>154</v>
      </c>
      <c r="M54" s="17" t="s">
        <v>154</v>
      </c>
      <c r="N54" s="18" t="s">
        <v>154</v>
      </c>
      <c r="O54" s="17" t="s">
        <v>154</v>
      </c>
      <c r="P54" s="18" t="s">
        <v>154</v>
      </c>
      <c r="Q54" s="17" t="s">
        <v>154</v>
      </c>
      <c r="R54" s="18" t="s">
        <v>154</v>
      </c>
    </row>
    <row r="55" spans="1:18" x14ac:dyDescent="0.25">
      <c r="A55" s="11" t="s">
        <v>188</v>
      </c>
      <c r="B55" s="17" t="s">
        <v>154</v>
      </c>
      <c r="C55" s="17" t="s">
        <v>154</v>
      </c>
      <c r="D55" s="18" t="s">
        <v>154</v>
      </c>
      <c r="E55" s="17" t="s">
        <v>154</v>
      </c>
      <c r="F55" s="18" t="s">
        <v>154</v>
      </c>
      <c r="G55" s="17" t="s">
        <v>154</v>
      </c>
      <c r="H55" s="18" t="s">
        <v>154</v>
      </c>
      <c r="I55" s="17" t="s">
        <v>154</v>
      </c>
      <c r="J55" s="18" t="s">
        <v>154</v>
      </c>
      <c r="K55" s="17" t="s">
        <v>154</v>
      </c>
      <c r="L55" s="18" t="s">
        <v>154</v>
      </c>
      <c r="M55" s="17" t="s">
        <v>154</v>
      </c>
      <c r="N55" s="18" t="s">
        <v>154</v>
      </c>
      <c r="O55" s="17" t="s">
        <v>154</v>
      </c>
      <c r="P55" s="18" t="s">
        <v>154</v>
      </c>
      <c r="Q55" s="17" t="s">
        <v>154</v>
      </c>
      <c r="R55" s="18" t="s">
        <v>154</v>
      </c>
    </row>
    <row r="56" spans="1:18" x14ac:dyDescent="0.25">
      <c r="A56" s="11" t="s">
        <v>189</v>
      </c>
      <c r="B56" s="13">
        <v>5359</v>
      </c>
      <c r="C56" s="14">
        <f>(4447/B56*100)</f>
        <v>82.981899608135848</v>
      </c>
      <c r="D56" s="15">
        <v>912</v>
      </c>
      <c r="E56" s="14">
        <v>39.948211579999999</v>
      </c>
      <c r="F56" s="16">
        <v>1.9098308900000001</v>
      </c>
      <c r="G56" s="14">
        <v>60.051788420000001</v>
      </c>
      <c r="H56" s="16">
        <v>1.9098308900000001</v>
      </c>
      <c r="I56" s="14" t="s">
        <v>139</v>
      </c>
      <c r="J56" s="16" t="s">
        <v>139</v>
      </c>
      <c r="K56" s="14">
        <v>0</v>
      </c>
      <c r="L56" s="16">
        <v>0</v>
      </c>
      <c r="M56" s="14">
        <v>0</v>
      </c>
      <c r="N56" s="16">
        <v>0</v>
      </c>
      <c r="O56" s="14">
        <v>0</v>
      </c>
      <c r="P56" s="16">
        <v>0</v>
      </c>
      <c r="Q56" s="14">
        <v>0</v>
      </c>
      <c r="R56" s="16">
        <v>0</v>
      </c>
    </row>
    <row r="57" spans="1:18" x14ac:dyDescent="0.25">
      <c r="A57" s="11" t="s">
        <v>190</v>
      </c>
      <c r="B57" s="17" t="s">
        <v>154</v>
      </c>
      <c r="C57" s="17" t="s">
        <v>154</v>
      </c>
      <c r="D57" s="18" t="s">
        <v>154</v>
      </c>
      <c r="E57" s="17" t="s">
        <v>154</v>
      </c>
      <c r="F57" s="18" t="s">
        <v>154</v>
      </c>
      <c r="G57" s="17" t="s">
        <v>154</v>
      </c>
      <c r="H57" s="18" t="s">
        <v>154</v>
      </c>
      <c r="I57" s="17" t="s">
        <v>154</v>
      </c>
      <c r="J57" s="18" t="s">
        <v>154</v>
      </c>
      <c r="K57" s="17" t="s">
        <v>154</v>
      </c>
      <c r="L57" s="18" t="s">
        <v>154</v>
      </c>
      <c r="M57" s="17" t="s">
        <v>154</v>
      </c>
      <c r="N57" s="18" t="s">
        <v>154</v>
      </c>
      <c r="O57" s="17" t="s">
        <v>154</v>
      </c>
      <c r="P57" s="18" t="s">
        <v>154</v>
      </c>
      <c r="Q57" s="17" t="s">
        <v>154</v>
      </c>
      <c r="R57" s="18" t="s">
        <v>154</v>
      </c>
    </row>
    <row r="58" spans="1:18" x14ac:dyDescent="0.25">
      <c r="A58" s="11" t="s">
        <v>191</v>
      </c>
      <c r="B58" s="17" t="s">
        <v>154</v>
      </c>
      <c r="C58" s="17" t="s">
        <v>154</v>
      </c>
      <c r="D58" s="18" t="s">
        <v>154</v>
      </c>
      <c r="E58" s="17" t="s">
        <v>154</v>
      </c>
      <c r="F58" s="18" t="s">
        <v>154</v>
      </c>
      <c r="G58" s="17" t="s">
        <v>154</v>
      </c>
      <c r="H58" s="18" t="s">
        <v>154</v>
      </c>
      <c r="I58" s="17" t="s">
        <v>154</v>
      </c>
      <c r="J58" s="18" t="s">
        <v>154</v>
      </c>
      <c r="K58" s="17" t="s">
        <v>154</v>
      </c>
      <c r="L58" s="18" t="s">
        <v>154</v>
      </c>
      <c r="M58" s="17" t="s">
        <v>154</v>
      </c>
      <c r="N58" s="18" t="s">
        <v>154</v>
      </c>
      <c r="O58" s="17" t="s">
        <v>154</v>
      </c>
      <c r="P58" s="18" t="s">
        <v>154</v>
      </c>
      <c r="Q58" s="17" t="s">
        <v>154</v>
      </c>
      <c r="R58" s="18" t="s">
        <v>154</v>
      </c>
    </row>
    <row r="59" spans="1:18" x14ac:dyDescent="0.25">
      <c r="A59" s="11" t="s">
        <v>192</v>
      </c>
      <c r="B59" s="17" t="s">
        <v>154</v>
      </c>
      <c r="C59" s="17" t="s">
        <v>154</v>
      </c>
      <c r="D59" s="18" t="s">
        <v>154</v>
      </c>
      <c r="E59" s="17" t="s">
        <v>154</v>
      </c>
      <c r="F59" s="18" t="s">
        <v>154</v>
      </c>
      <c r="G59" s="17" t="s">
        <v>154</v>
      </c>
      <c r="H59" s="18" t="s">
        <v>154</v>
      </c>
      <c r="I59" s="17" t="s">
        <v>154</v>
      </c>
      <c r="J59" s="18" t="s">
        <v>154</v>
      </c>
      <c r="K59" s="17" t="s">
        <v>154</v>
      </c>
      <c r="L59" s="18" t="s">
        <v>154</v>
      </c>
      <c r="M59" s="17" t="s">
        <v>154</v>
      </c>
      <c r="N59" s="18" t="s">
        <v>154</v>
      </c>
      <c r="O59" s="17" t="s">
        <v>154</v>
      </c>
      <c r="P59" s="18" t="s">
        <v>154</v>
      </c>
      <c r="Q59" s="17" t="s">
        <v>154</v>
      </c>
      <c r="R59" s="18" t="s">
        <v>154</v>
      </c>
    </row>
    <row r="60" spans="1:18" x14ac:dyDescent="0.25">
      <c r="A60" s="11" t="s">
        <v>193</v>
      </c>
      <c r="B60" s="17" t="s">
        <v>154</v>
      </c>
      <c r="C60" s="17" t="s">
        <v>154</v>
      </c>
      <c r="D60" s="18" t="s">
        <v>154</v>
      </c>
      <c r="E60" s="17" t="s">
        <v>154</v>
      </c>
      <c r="F60" s="18" t="s">
        <v>154</v>
      </c>
      <c r="G60" s="17" t="s">
        <v>154</v>
      </c>
      <c r="H60" s="18" t="s">
        <v>154</v>
      </c>
      <c r="I60" s="17" t="s">
        <v>154</v>
      </c>
      <c r="J60" s="18" t="s">
        <v>154</v>
      </c>
      <c r="K60" s="17" t="s">
        <v>154</v>
      </c>
      <c r="L60" s="18" t="s">
        <v>154</v>
      </c>
      <c r="M60" s="17" t="s">
        <v>154</v>
      </c>
      <c r="N60" s="18" t="s">
        <v>154</v>
      </c>
      <c r="O60" s="17" t="s">
        <v>154</v>
      </c>
      <c r="P60" s="18" t="s">
        <v>154</v>
      </c>
      <c r="Q60" s="17" t="s">
        <v>154</v>
      </c>
      <c r="R60" s="18" t="s">
        <v>154</v>
      </c>
    </row>
    <row r="61" spans="1:18" x14ac:dyDescent="0.25">
      <c r="A61" s="11" t="s">
        <v>194</v>
      </c>
      <c r="B61" s="13">
        <v>6525</v>
      </c>
      <c r="C61" s="14">
        <f>(5425/B61*100)</f>
        <v>83.141762452107287</v>
      </c>
      <c r="D61" s="15">
        <v>1100</v>
      </c>
      <c r="E61" s="14">
        <v>39.761504879999997</v>
      </c>
      <c r="F61" s="16">
        <v>1.62591131</v>
      </c>
      <c r="G61" s="14">
        <v>60.238495120000003</v>
      </c>
      <c r="H61" s="16">
        <v>1.62591131</v>
      </c>
      <c r="I61" s="14" t="s">
        <v>139</v>
      </c>
      <c r="J61" s="16" t="s">
        <v>139</v>
      </c>
      <c r="K61" s="14">
        <v>0</v>
      </c>
      <c r="L61" s="16">
        <v>0</v>
      </c>
      <c r="M61" s="14">
        <v>0</v>
      </c>
      <c r="N61" s="16">
        <v>0</v>
      </c>
      <c r="O61" s="14">
        <v>0</v>
      </c>
      <c r="P61" s="16">
        <v>0</v>
      </c>
      <c r="Q61" s="14">
        <v>0</v>
      </c>
      <c r="R61" s="16">
        <v>0</v>
      </c>
    </row>
    <row r="62" spans="1:18" x14ac:dyDescent="0.25">
      <c r="A62" s="11" t="s">
        <v>195</v>
      </c>
      <c r="B62" s="13">
        <v>4476</v>
      </c>
      <c r="C62" s="14">
        <f>(3704/B62*100)</f>
        <v>82.752457551385163</v>
      </c>
      <c r="D62" s="15">
        <v>772</v>
      </c>
      <c r="E62" s="14">
        <v>44.529809659999998</v>
      </c>
      <c r="F62" s="16">
        <v>1.74850097</v>
      </c>
      <c r="G62" s="14">
        <v>55.470190340000002</v>
      </c>
      <c r="H62" s="16">
        <v>1.74850097</v>
      </c>
      <c r="I62" s="14" t="s">
        <v>139</v>
      </c>
      <c r="J62" s="16" t="s">
        <v>139</v>
      </c>
      <c r="K62" s="14">
        <v>0</v>
      </c>
      <c r="L62" s="16">
        <v>0</v>
      </c>
      <c r="M62" s="14">
        <v>0</v>
      </c>
      <c r="N62" s="16">
        <v>0</v>
      </c>
      <c r="O62" s="14">
        <v>0</v>
      </c>
      <c r="P62" s="16">
        <v>0</v>
      </c>
      <c r="Q62" s="14">
        <v>0</v>
      </c>
      <c r="R62" s="16">
        <v>0</v>
      </c>
    </row>
    <row r="63" spans="1:18" x14ac:dyDescent="0.25">
      <c r="A63" s="11" t="s">
        <v>196</v>
      </c>
      <c r="B63" s="17" t="s">
        <v>154</v>
      </c>
      <c r="C63" s="17" t="s">
        <v>154</v>
      </c>
      <c r="D63" s="18" t="s">
        <v>154</v>
      </c>
      <c r="E63" s="17" t="s">
        <v>154</v>
      </c>
      <c r="F63" s="18" t="s">
        <v>154</v>
      </c>
      <c r="G63" s="17" t="s">
        <v>154</v>
      </c>
      <c r="H63" s="18" t="s">
        <v>154</v>
      </c>
      <c r="I63" s="17" t="s">
        <v>154</v>
      </c>
      <c r="J63" s="18" t="s">
        <v>154</v>
      </c>
      <c r="K63" s="17" t="s">
        <v>154</v>
      </c>
      <c r="L63" s="18" t="s">
        <v>154</v>
      </c>
      <c r="M63" s="17" t="s">
        <v>154</v>
      </c>
      <c r="N63" s="18" t="s">
        <v>154</v>
      </c>
      <c r="O63" s="17" t="s">
        <v>154</v>
      </c>
      <c r="P63" s="18" t="s">
        <v>154</v>
      </c>
      <c r="Q63" s="17" t="s">
        <v>154</v>
      </c>
      <c r="R63" s="18" t="s">
        <v>154</v>
      </c>
    </row>
    <row r="64" spans="1:18" x14ac:dyDescent="0.25">
      <c r="A64" s="11" t="s">
        <v>197</v>
      </c>
      <c r="B64" s="17" t="s">
        <v>154</v>
      </c>
      <c r="C64" s="17" t="s">
        <v>154</v>
      </c>
      <c r="D64" s="18" t="s">
        <v>154</v>
      </c>
      <c r="E64" s="17" t="s">
        <v>154</v>
      </c>
      <c r="F64" s="18" t="s">
        <v>154</v>
      </c>
      <c r="G64" s="17" t="s">
        <v>154</v>
      </c>
      <c r="H64" s="18" t="s">
        <v>154</v>
      </c>
      <c r="I64" s="17" t="s">
        <v>154</v>
      </c>
      <c r="J64" s="18" t="s">
        <v>154</v>
      </c>
      <c r="K64" s="17" t="s">
        <v>154</v>
      </c>
      <c r="L64" s="18" t="s">
        <v>154</v>
      </c>
      <c r="M64" s="17" t="s">
        <v>154</v>
      </c>
      <c r="N64" s="18" t="s">
        <v>154</v>
      </c>
      <c r="O64" s="17" t="s">
        <v>154</v>
      </c>
      <c r="P64" s="18" t="s">
        <v>154</v>
      </c>
      <c r="Q64" s="17" t="s">
        <v>154</v>
      </c>
      <c r="R64" s="18" t="s">
        <v>154</v>
      </c>
    </row>
    <row r="65" spans="1:18" x14ac:dyDescent="0.25">
      <c r="A65" s="11" t="s">
        <v>198</v>
      </c>
      <c r="B65" s="17" t="s">
        <v>154</v>
      </c>
      <c r="C65" s="17" t="s">
        <v>154</v>
      </c>
      <c r="D65" s="18" t="s">
        <v>154</v>
      </c>
      <c r="E65" s="17" t="s">
        <v>154</v>
      </c>
      <c r="F65" s="18" t="s">
        <v>154</v>
      </c>
      <c r="G65" s="17" t="s">
        <v>154</v>
      </c>
      <c r="H65" s="18" t="s">
        <v>154</v>
      </c>
      <c r="I65" s="17" t="s">
        <v>154</v>
      </c>
      <c r="J65" s="18" t="s">
        <v>154</v>
      </c>
      <c r="K65" s="17" t="s">
        <v>154</v>
      </c>
      <c r="L65" s="18" t="s">
        <v>154</v>
      </c>
      <c r="M65" s="17" t="s">
        <v>154</v>
      </c>
      <c r="N65" s="18" t="s">
        <v>154</v>
      </c>
      <c r="O65" s="17" t="s">
        <v>154</v>
      </c>
      <c r="P65" s="18" t="s">
        <v>154</v>
      </c>
      <c r="Q65" s="17" t="s">
        <v>154</v>
      </c>
      <c r="R65" s="18" t="s">
        <v>154</v>
      </c>
    </row>
    <row r="66" spans="1:18" x14ac:dyDescent="0.25">
      <c r="A66" s="11" t="s">
        <v>199</v>
      </c>
      <c r="B66" s="13">
        <v>5665</v>
      </c>
      <c r="C66" s="14">
        <f>(4728/B66*100)</f>
        <v>83.459841129744035</v>
      </c>
      <c r="D66" s="15">
        <v>937</v>
      </c>
      <c r="E66" s="14">
        <v>40.265260509999997</v>
      </c>
      <c r="F66" s="16">
        <v>1.6070950399999999</v>
      </c>
      <c r="G66" s="14">
        <v>59.734739490000003</v>
      </c>
      <c r="H66" s="16">
        <v>1.6070950399999999</v>
      </c>
      <c r="I66" s="14" t="s">
        <v>139</v>
      </c>
      <c r="J66" s="16" t="s">
        <v>139</v>
      </c>
      <c r="K66" s="14">
        <v>0</v>
      </c>
      <c r="L66" s="16">
        <v>0</v>
      </c>
      <c r="M66" s="14">
        <v>0</v>
      </c>
      <c r="N66" s="16">
        <v>0</v>
      </c>
      <c r="O66" s="14">
        <v>0</v>
      </c>
      <c r="P66" s="16">
        <v>0</v>
      </c>
      <c r="Q66" s="14">
        <v>0</v>
      </c>
      <c r="R66" s="16">
        <v>0</v>
      </c>
    </row>
    <row r="67" spans="1:18" x14ac:dyDescent="0.25">
      <c r="A67" s="11" t="s">
        <v>200</v>
      </c>
      <c r="B67" s="13">
        <v>6971</v>
      </c>
      <c r="C67" s="14">
        <f>(5900/B67*100)</f>
        <v>84.636350595323478</v>
      </c>
      <c r="D67" s="15">
        <v>1071</v>
      </c>
      <c r="E67" s="14">
        <v>50.961519629999998</v>
      </c>
      <c r="F67" s="16">
        <v>1.7922444200000001</v>
      </c>
      <c r="G67" s="14">
        <v>49.038480370000002</v>
      </c>
      <c r="H67" s="16">
        <v>1.7922444200000001</v>
      </c>
      <c r="I67" s="14" t="s">
        <v>139</v>
      </c>
      <c r="J67" s="16" t="s">
        <v>139</v>
      </c>
      <c r="K67" s="14">
        <v>0</v>
      </c>
      <c r="L67" s="16">
        <v>0</v>
      </c>
      <c r="M67" s="14">
        <v>0</v>
      </c>
      <c r="N67" s="16">
        <v>0</v>
      </c>
      <c r="O67" s="14">
        <v>0</v>
      </c>
      <c r="P67" s="16">
        <v>0</v>
      </c>
      <c r="Q67" s="14">
        <v>0</v>
      </c>
      <c r="R67" s="16">
        <v>0</v>
      </c>
    </row>
    <row r="68" spans="1:18" x14ac:dyDescent="0.25">
      <c r="A68" s="11" t="s">
        <v>201</v>
      </c>
      <c r="B68" s="17" t="s">
        <v>154</v>
      </c>
      <c r="C68" s="17" t="s">
        <v>154</v>
      </c>
      <c r="D68" s="18" t="s">
        <v>154</v>
      </c>
      <c r="E68" s="17" t="s">
        <v>154</v>
      </c>
      <c r="F68" s="18" t="s">
        <v>154</v>
      </c>
      <c r="G68" s="17" t="s">
        <v>154</v>
      </c>
      <c r="H68" s="18" t="s">
        <v>154</v>
      </c>
      <c r="I68" s="17" t="s">
        <v>154</v>
      </c>
      <c r="J68" s="18" t="s">
        <v>154</v>
      </c>
      <c r="K68" s="17" t="s">
        <v>154</v>
      </c>
      <c r="L68" s="18" t="s">
        <v>154</v>
      </c>
      <c r="M68" s="17" t="s">
        <v>154</v>
      </c>
      <c r="N68" s="18" t="s">
        <v>154</v>
      </c>
      <c r="O68" s="17" t="s">
        <v>154</v>
      </c>
      <c r="P68" s="18" t="s">
        <v>154</v>
      </c>
      <c r="Q68" s="17" t="s">
        <v>154</v>
      </c>
      <c r="R68" s="18" t="s">
        <v>154</v>
      </c>
    </row>
    <row r="69" spans="1:18" x14ac:dyDescent="0.25">
      <c r="A69" s="11" t="s">
        <v>202</v>
      </c>
      <c r="B69" s="17" t="s">
        <v>154</v>
      </c>
      <c r="C69" s="17" t="s">
        <v>154</v>
      </c>
      <c r="D69" s="18" t="s">
        <v>154</v>
      </c>
      <c r="E69" s="17" t="s">
        <v>154</v>
      </c>
      <c r="F69" s="18" t="s">
        <v>154</v>
      </c>
      <c r="G69" s="17" t="s">
        <v>154</v>
      </c>
      <c r="H69" s="18" t="s">
        <v>154</v>
      </c>
      <c r="I69" s="17" t="s">
        <v>154</v>
      </c>
      <c r="J69" s="18" t="s">
        <v>154</v>
      </c>
      <c r="K69" s="17" t="s">
        <v>154</v>
      </c>
      <c r="L69" s="18" t="s">
        <v>154</v>
      </c>
      <c r="M69" s="17" t="s">
        <v>154</v>
      </c>
      <c r="N69" s="18" t="s">
        <v>154</v>
      </c>
      <c r="O69" s="17" t="s">
        <v>154</v>
      </c>
      <c r="P69" s="18" t="s">
        <v>154</v>
      </c>
      <c r="Q69" s="17" t="s">
        <v>154</v>
      </c>
      <c r="R69" s="18" t="s">
        <v>154</v>
      </c>
    </row>
    <row r="70" spans="1:18" x14ac:dyDescent="0.25">
      <c r="A70" s="11" t="s">
        <v>203</v>
      </c>
      <c r="B70" s="13">
        <v>6036</v>
      </c>
      <c r="C70" s="14">
        <f>(5008/B70*100)</f>
        <v>82.96885354539431</v>
      </c>
      <c r="D70" s="15">
        <v>1028</v>
      </c>
      <c r="E70" s="14">
        <v>39.197388969999999</v>
      </c>
      <c r="F70" s="16">
        <v>1.66256969</v>
      </c>
      <c r="G70" s="14">
        <v>60.802611030000001</v>
      </c>
      <c r="H70" s="16">
        <v>1.66256969</v>
      </c>
      <c r="I70" s="14" t="s">
        <v>139</v>
      </c>
      <c r="J70" s="16" t="s">
        <v>139</v>
      </c>
      <c r="K70" s="14">
        <v>0</v>
      </c>
      <c r="L70" s="16">
        <v>0</v>
      </c>
      <c r="M70" s="14">
        <v>0</v>
      </c>
      <c r="N70" s="16">
        <v>0</v>
      </c>
      <c r="O70" s="14">
        <v>0</v>
      </c>
      <c r="P70" s="16">
        <v>0</v>
      </c>
      <c r="Q70" s="14">
        <v>0</v>
      </c>
      <c r="R70" s="16">
        <v>0</v>
      </c>
    </row>
    <row r="71" spans="1:18" x14ac:dyDescent="0.25">
      <c r="A71" s="11" t="s">
        <v>204</v>
      </c>
      <c r="B71" s="17" t="s">
        <v>154</v>
      </c>
      <c r="C71" s="17" t="s">
        <v>154</v>
      </c>
      <c r="D71" s="18" t="s">
        <v>154</v>
      </c>
      <c r="E71" s="17" t="s">
        <v>154</v>
      </c>
      <c r="F71" s="18" t="s">
        <v>154</v>
      </c>
      <c r="G71" s="17" t="s">
        <v>154</v>
      </c>
      <c r="H71" s="18" t="s">
        <v>154</v>
      </c>
      <c r="I71" s="17" t="s">
        <v>154</v>
      </c>
      <c r="J71" s="18" t="s">
        <v>154</v>
      </c>
      <c r="K71" s="17" t="s">
        <v>154</v>
      </c>
      <c r="L71" s="18" t="s">
        <v>154</v>
      </c>
      <c r="M71" s="17" t="s">
        <v>154</v>
      </c>
      <c r="N71" s="18" t="s">
        <v>154</v>
      </c>
      <c r="O71" s="17" t="s">
        <v>154</v>
      </c>
      <c r="P71" s="18" t="s">
        <v>154</v>
      </c>
      <c r="Q71" s="17" t="s">
        <v>154</v>
      </c>
      <c r="R71" s="18" t="s">
        <v>154</v>
      </c>
    </row>
    <row r="72" spans="1:18" x14ac:dyDescent="0.25">
      <c r="A72" s="11" t="s">
        <v>205</v>
      </c>
      <c r="B72" s="13">
        <v>7708</v>
      </c>
      <c r="C72" s="14">
        <f>(6367/B72*100)</f>
        <v>82.6024909185262</v>
      </c>
      <c r="D72" s="15">
        <v>1341</v>
      </c>
      <c r="E72" s="14">
        <v>42.03184237</v>
      </c>
      <c r="F72" s="16">
        <v>1.48449148</v>
      </c>
      <c r="G72" s="14">
        <v>57.96815763</v>
      </c>
      <c r="H72" s="16">
        <v>1.48449148</v>
      </c>
      <c r="I72" s="14" t="s">
        <v>139</v>
      </c>
      <c r="J72" s="16" t="s">
        <v>139</v>
      </c>
      <c r="K72" s="14">
        <v>0</v>
      </c>
      <c r="L72" s="16">
        <v>0</v>
      </c>
      <c r="M72" s="14">
        <v>0</v>
      </c>
      <c r="N72" s="16">
        <v>0</v>
      </c>
      <c r="O72" s="14">
        <v>0</v>
      </c>
      <c r="P72" s="16">
        <v>0</v>
      </c>
      <c r="Q72" s="14">
        <v>0</v>
      </c>
      <c r="R72" s="16">
        <v>0</v>
      </c>
    </row>
    <row r="73" spans="1:18" x14ac:dyDescent="0.25">
      <c r="A73" s="11" t="s">
        <v>206</v>
      </c>
      <c r="B73" s="13">
        <v>8249</v>
      </c>
      <c r="C73" s="14">
        <f>(6890/B73*100)</f>
        <v>83.525275791004972</v>
      </c>
      <c r="D73" s="15">
        <v>1359</v>
      </c>
      <c r="E73" s="14">
        <v>40.46888482</v>
      </c>
      <c r="F73" s="16">
        <v>1.68870827</v>
      </c>
      <c r="G73" s="14">
        <v>59.53111518</v>
      </c>
      <c r="H73" s="16">
        <v>1.68870827</v>
      </c>
      <c r="I73" s="14" t="s">
        <v>139</v>
      </c>
      <c r="J73" s="16" t="s">
        <v>139</v>
      </c>
      <c r="K73" s="14">
        <v>0</v>
      </c>
      <c r="L73" s="16">
        <v>0</v>
      </c>
      <c r="M73" s="14">
        <v>0</v>
      </c>
      <c r="N73" s="16">
        <v>0</v>
      </c>
      <c r="O73" s="14">
        <v>0</v>
      </c>
      <c r="P73" s="16">
        <v>0</v>
      </c>
      <c r="Q73" s="14">
        <v>0</v>
      </c>
      <c r="R73" s="16">
        <v>0</v>
      </c>
    </row>
    <row r="74" spans="1:18" x14ac:dyDescent="0.25">
      <c r="A74" s="11" t="s">
        <v>207</v>
      </c>
      <c r="B74" s="17" t="s">
        <v>154</v>
      </c>
      <c r="C74" s="17" t="s">
        <v>154</v>
      </c>
      <c r="D74" s="18" t="s">
        <v>154</v>
      </c>
      <c r="E74" s="17" t="s">
        <v>154</v>
      </c>
      <c r="F74" s="18" t="s">
        <v>154</v>
      </c>
      <c r="G74" s="17" t="s">
        <v>154</v>
      </c>
      <c r="H74" s="18" t="s">
        <v>154</v>
      </c>
      <c r="I74" s="17" t="s">
        <v>154</v>
      </c>
      <c r="J74" s="18" t="s">
        <v>154</v>
      </c>
      <c r="K74" s="17" t="s">
        <v>154</v>
      </c>
      <c r="L74" s="18" t="s">
        <v>154</v>
      </c>
      <c r="M74" s="17" t="s">
        <v>154</v>
      </c>
      <c r="N74" s="18" t="s">
        <v>154</v>
      </c>
      <c r="O74" s="17" t="s">
        <v>154</v>
      </c>
      <c r="P74" s="18" t="s">
        <v>154</v>
      </c>
      <c r="Q74" s="17" t="s">
        <v>154</v>
      </c>
      <c r="R74" s="18" t="s">
        <v>154</v>
      </c>
    </row>
    <row r="75" spans="1:18" x14ac:dyDescent="0.25">
      <c r="A75" s="11" t="s">
        <v>208</v>
      </c>
      <c r="B75" s="13">
        <v>5375</v>
      </c>
      <c r="C75" s="14">
        <f>(4539/B75*100)</f>
        <v>84.446511627906972</v>
      </c>
      <c r="D75" s="15">
        <v>836</v>
      </c>
      <c r="E75" s="14">
        <v>65.339169839999997</v>
      </c>
      <c r="F75" s="16">
        <v>1.6148212</v>
      </c>
      <c r="G75" s="14">
        <v>34.660830160000003</v>
      </c>
      <c r="H75" s="16">
        <v>1.6148212</v>
      </c>
      <c r="I75" s="14" t="s">
        <v>139</v>
      </c>
      <c r="J75" s="16" t="s">
        <v>139</v>
      </c>
      <c r="K75" s="14">
        <v>0</v>
      </c>
      <c r="L75" s="16">
        <v>0</v>
      </c>
      <c r="M75" s="14">
        <v>0</v>
      </c>
      <c r="N75" s="16">
        <v>0</v>
      </c>
      <c r="O75" s="14">
        <v>0</v>
      </c>
      <c r="P75" s="16">
        <v>0</v>
      </c>
      <c r="Q75" s="14">
        <v>0</v>
      </c>
      <c r="R75" s="16">
        <v>0</v>
      </c>
    </row>
    <row r="76" spans="1:18" x14ac:dyDescent="0.25">
      <c r="A76" s="11" t="s">
        <v>209</v>
      </c>
      <c r="B76" s="13">
        <v>14167</v>
      </c>
      <c r="C76" s="14">
        <f>(11769/B76*100)</f>
        <v>83.073339450836443</v>
      </c>
      <c r="D76" s="15">
        <v>2398</v>
      </c>
      <c r="E76" s="14">
        <v>48.86717033</v>
      </c>
      <c r="F76" s="16">
        <v>1.2923819400000001</v>
      </c>
      <c r="G76" s="14">
        <v>51.13282967</v>
      </c>
      <c r="H76" s="16">
        <v>1.2923819400000001</v>
      </c>
      <c r="I76" s="14" t="s">
        <v>139</v>
      </c>
      <c r="J76" s="16" t="s">
        <v>139</v>
      </c>
      <c r="K76" s="14">
        <v>0</v>
      </c>
      <c r="L76" s="16">
        <v>0</v>
      </c>
      <c r="M76" s="14">
        <v>0</v>
      </c>
      <c r="N76" s="16">
        <v>0</v>
      </c>
      <c r="O76" s="14">
        <v>0</v>
      </c>
      <c r="P76" s="16">
        <v>0</v>
      </c>
      <c r="Q76" s="14">
        <v>0</v>
      </c>
      <c r="R76" s="16">
        <v>0</v>
      </c>
    </row>
    <row r="77" spans="1:18" x14ac:dyDescent="0.25">
      <c r="A77" s="11" t="s">
        <v>210</v>
      </c>
      <c r="B77" s="13">
        <v>6062</v>
      </c>
      <c r="C77" s="14">
        <f>(5076/B77*100)</f>
        <v>83.734741009567799</v>
      </c>
      <c r="D77" s="15">
        <v>986</v>
      </c>
      <c r="E77" s="14">
        <v>45.475581429999998</v>
      </c>
      <c r="F77" s="16">
        <v>1.66916267</v>
      </c>
      <c r="G77" s="14">
        <v>54.524418570000002</v>
      </c>
      <c r="H77" s="16">
        <v>1.66916267</v>
      </c>
      <c r="I77" s="14" t="s">
        <v>139</v>
      </c>
      <c r="J77" s="16" t="s">
        <v>139</v>
      </c>
      <c r="K77" s="14">
        <v>0</v>
      </c>
      <c r="L77" s="16">
        <v>0</v>
      </c>
      <c r="M77" s="14">
        <v>0</v>
      </c>
      <c r="N77" s="16">
        <v>0</v>
      </c>
      <c r="O77" s="14">
        <v>0</v>
      </c>
      <c r="P77" s="16">
        <v>0</v>
      </c>
      <c r="Q77" s="14">
        <v>0</v>
      </c>
      <c r="R77" s="16">
        <v>0</v>
      </c>
    </row>
    <row r="78" spans="1:18" x14ac:dyDescent="0.25">
      <c r="A78" s="11" t="s">
        <v>211</v>
      </c>
      <c r="B78" s="17" t="s">
        <v>154</v>
      </c>
      <c r="C78" s="17" t="s">
        <v>154</v>
      </c>
      <c r="D78" s="18" t="s">
        <v>154</v>
      </c>
      <c r="E78" s="17" t="s">
        <v>154</v>
      </c>
      <c r="F78" s="18" t="s">
        <v>154</v>
      </c>
      <c r="G78" s="17" t="s">
        <v>154</v>
      </c>
      <c r="H78" s="18" t="s">
        <v>154</v>
      </c>
      <c r="I78" s="17" t="s">
        <v>154</v>
      </c>
      <c r="J78" s="18" t="s">
        <v>154</v>
      </c>
      <c r="K78" s="17" t="s">
        <v>154</v>
      </c>
      <c r="L78" s="18" t="s">
        <v>154</v>
      </c>
      <c r="M78" s="17" t="s">
        <v>154</v>
      </c>
      <c r="N78" s="18" t="s">
        <v>154</v>
      </c>
      <c r="O78" s="17" t="s">
        <v>154</v>
      </c>
      <c r="P78" s="18" t="s">
        <v>154</v>
      </c>
      <c r="Q78" s="17" t="s">
        <v>154</v>
      </c>
      <c r="R78" s="18" t="s">
        <v>154</v>
      </c>
    </row>
    <row r="79" spans="1:18" ht="24.95" customHeight="1" x14ac:dyDescent="0.25">
      <c r="A79" s="11" t="s">
        <v>212</v>
      </c>
      <c r="B79" s="17" t="s">
        <v>154</v>
      </c>
      <c r="C79" s="17" t="s">
        <v>154</v>
      </c>
      <c r="D79" s="18" t="s">
        <v>154</v>
      </c>
      <c r="E79" s="17" t="s">
        <v>154</v>
      </c>
      <c r="F79" s="18" t="s">
        <v>154</v>
      </c>
      <c r="G79" s="17" t="s">
        <v>154</v>
      </c>
      <c r="H79" s="18" t="s">
        <v>154</v>
      </c>
      <c r="I79" s="17" t="s">
        <v>154</v>
      </c>
      <c r="J79" s="18" t="s">
        <v>154</v>
      </c>
      <c r="K79" s="17" t="s">
        <v>154</v>
      </c>
      <c r="L79" s="18" t="s">
        <v>154</v>
      </c>
      <c r="M79" s="17" t="s">
        <v>154</v>
      </c>
      <c r="N79" s="18" t="s">
        <v>154</v>
      </c>
      <c r="O79" s="17" t="s">
        <v>154</v>
      </c>
      <c r="P79" s="18" t="s">
        <v>154</v>
      </c>
      <c r="Q79" s="17" t="s">
        <v>154</v>
      </c>
      <c r="R79" s="18" t="s">
        <v>154</v>
      </c>
    </row>
    <row r="80" spans="1:18" x14ac:dyDescent="0.25">
      <c r="A80" s="11" t="s">
        <v>213</v>
      </c>
      <c r="B80" s="17" t="s">
        <v>154</v>
      </c>
      <c r="C80" s="17" t="s">
        <v>154</v>
      </c>
      <c r="D80" s="18" t="s">
        <v>154</v>
      </c>
      <c r="E80" s="17" t="s">
        <v>154</v>
      </c>
      <c r="F80" s="18" t="s">
        <v>154</v>
      </c>
      <c r="G80" s="17" t="s">
        <v>154</v>
      </c>
      <c r="H80" s="18" t="s">
        <v>154</v>
      </c>
      <c r="I80" s="17" t="s">
        <v>154</v>
      </c>
      <c r="J80" s="18" t="s">
        <v>154</v>
      </c>
      <c r="K80" s="17" t="s">
        <v>154</v>
      </c>
      <c r="L80" s="18" t="s">
        <v>154</v>
      </c>
      <c r="M80" s="17" t="s">
        <v>154</v>
      </c>
      <c r="N80" s="18" t="s">
        <v>154</v>
      </c>
      <c r="O80" s="17" t="s">
        <v>154</v>
      </c>
      <c r="P80" s="18" t="s">
        <v>154</v>
      </c>
      <c r="Q80" s="17" t="s">
        <v>154</v>
      </c>
      <c r="R80" s="18" t="s">
        <v>154</v>
      </c>
    </row>
    <row r="81" spans="1:18" x14ac:dyDescent="0.25">
      <c r="A81" s="19" t="s">
        <v>214</v>
      </c>
      <c r="B81" s="13">
        <v>8861</v>
      </c>
      <c r="C81" s="14">
        <f>(7344/B81*100)</f>
        <v>82.880036113305493</v>
      </c>
      <c r="D81" s="15">
        <v>1517</v>
      </c>
      <c r="E81" s="14">
        <v>14.34615095</v>
      </c>
      <c r="F81" s="16">
        <v>1.93393551</v>
      </c>
      <c r="G81" s="14">
        <v>5.1427025500000001</v>
      </c>
      <c r="H81" s="16">
        <v>0.94607412999999996</v>
      </c>
      <c r="I81" s="14" t="s">
        <v>139</v>
      </c>
      <c r="J81" s="16" t="s">
        <v>139</v>
      </c>
      <c r="K81" s="14">
        <v>0</v>
      </c>
      <c r="L81" s="16">
        <v>0</v>
      </c>
      <c r="M81" s="14">
        <v>80.511146499999995</v>
      </c>
      <c r="N81" s="16">
        <v>2.4004606100000001</v>
      </c>
      <c r="O81" s="14">
        <v>0</v>
      </c>
      <c r="P81" s="16">
        <v>0</v>
      </c>
      <c r="Q81" s="14">
        <v>0</v>
      </c>
      <c r="R81" s="16">
        <v>0</v>
      </c>
    </row>
    <row r="82" spans="1:18" x14ac:dyDescent="0.25">
      <c r="A82" s="20"/>
      <c r="B82" s="20" t="s">
        <v>215</v>
      </c>
      <c r="C82" s="20" t="s">
        <v>215</v>
      </c>
      <c r="D82" s="20" t="s">
        <v>215</v>
      </c>
      <c r="E82" s="20" t="s">
        <v>215</v>
      </c>
      <c r="F82" s="20" t="s">
        <v>215</v>
      </c>
      <c r="G82" s="20" t="s">
        <v>215</v>
      </c>
      <c r="H82" s="20" t="s">
        <v>215</v>
      </c>
      <c r="I82" s="20" t="s">
        <v>215</v>
      </c>
      <c r="J82" s="20" t="s">
        <v>215</v>
      </c>
      <c r="K82" s="20" t="s">
        <v>215</v>
      </c>
      <c r="L82" s="20" t="s">
        <v>215</v>
      </c>
      <c r="M82" s="20" t="s">
        <v>215</v>
      </c>
      <c r="N82" s="20" t="s">
        <v>215</v>
      </c>
      <c r="O82" s="20" t="s">
        <v>215</v>
      </c>
      <c r="P82" s="20" t="s">
        <v>215</v>
      </c>
      <c r="Q82" s="20" t="s">
        <v>215</v>
      </c>
      <c r="R82" s="20" t="s">
        <v>215</v>
      </c>
    </row>
    <row r="83" spans="1:18" x14ac:dyDescent="0.25">
      <c r="A83" s="3" t="s">
        <v>216</v>
      </c>
    </row>
    <row r="84" spans="1:18" x14ac:dyDescent="0.25">
      <c r="A84" s="22" t="s">
        <v>217</v>
      </c>
      <c r="B84" s="23"/>
      <c r="C84" s="23"/>
      <c r="D84" s="23"/>
      <c r="E84" s="23"/>
      <c r="F84" s="23"/>
      <c r="G84" s="23"/>
      <c r="H84" s="23"/>
      <c r="I84" s="23"/>
      <c r="J84" s="23"/>
      <c r="K84" s="23"/>
      <c r="L84" s="23"/>
      <c r="M84" s="23"/>
      <c r="N84" s="23"/>
      <c r="O84" s="23"/>
      <c r="P84" s="23"/>
      <c r="Q84" s="23"/>
      <c r="R84" s="23"/>
    </row>
    <row r="85" spans="1:18" x14ac:dyDescent="0.25">
      <c r="A85" s="22" t="s">
        <v>218</v>
      </c>
      <c r="B85" s="23"/>
      <c r="C85" s="23"/>
      <c r="D85" s="23"/>
      <c r="E85" s="23"/>
      <c r="F85" s="23"/>
      <c r="G85" s="23"/>
      <c r="H85" s="23"/>
      <c r="I85" s="23"/>
      <c r="J85" s="23"/>
      <c r="K85" s="23"/>
      <c r="L85" s="23"/>
      <c r="M85" s="23"/>
      <c r="N85" s="23"/>
      <c r="O85" s="23"/>
      <c r="P85" s="23"/>
      <c r="Q85" s="23"/>
      <c r="R85" s="23"/>
    </row>
    <row r="86" spans="1:18" ht="30" customHeight="1" x14ac:dyDescent="0.25">
      <c r="A86" s="22" t="s">
        <v>219</v>
      </c>
      <c r="B86" s="23"/>
      <c r="C86" s="23"/>
      <c r="D86" s="23"/>
      <c r="E86" s="23"/>
      <c r="F86" s="23"/>
      <c r="G86" s="23"/>
      <c r="H86" s="23"/>
      <c r="I86" s="23"/>
      <c r="J86" s="23"/>
      <c r="K86" s="23"/>
      <c r="L86" s="23"/>
      <c r="M86" s="23"/>
      <c r="N86" s="23"/>
      <c r="O86" s="23"/>
      <c r="P86" s="23"/>
      <c r="Q86" s="23"/>
      <c r="R86" s="23"/>
    </row>
    <row r="87" spans="1:18" ht="30" customHeight="1" x14ac:dyDescent="0.25">
      <c r="A87" s="22" t="s">
        <v>215</v>
      </c>
      <c r="B87" s="23"/>
      <c r="C87" s="23"/>
      <c r="D87" s="23"/>
      <c r="E87" s="23"/>
      <c r="F87" s="23"/>
      <c r="G87" s="23"/>
      <c r="H87" s="23"/>
      <c r="I87" s="23"/>
      <c r="J87" s="23"/>
      <c r="K87" s="23"/>
      <c r="L87" s="23"/>
      <c r="M87" s="23"/>
      <c r="N87" s="23"/>
      <c r="O87" s="23"/>
      <c r="P87" s="23"/>
      <c r="Q87" s="23"/>
      <c r="R87" s="23"/>
    </row>
    <row r="88" spans="1:18" ht="30" customHeight="1" x14ac:dyDescent="0.25">
      <c r="A88" s="22" t="s">
        <v>220</v>
      </c>
      <c r="B88" s="23"/>
      <c r="C88" s="23"/>
      <c r="D88" s="23"/>
      <c r="E88" s="23"/>
      <c r="F88" s="23"/>
      <c r="G88" s="23"/>
      <c r="H88" s="23"/>
      <c r="I88" s="23"/>
      <c r="J88" s="23"/>
      <c r="K88" s="23"/>
      <c r="L88" s="23"/>
      <c r="M88" s="23"/>
      <c r="N88" s="23"/>
      <c r="O88" s="23"/>
      <c r="P88" s="23"/>
      <c r="Q88" s="23"/>
      <c r="R88" s="23"/>
    </row>
    <row r="89" spans="1:18" ht="30" customHeight="1" x14ac:dyDescent="0.25">
      <c r="A89" s="22" t="s">
        <v>221</v>
      </c>
      <c r="B89" s="23"/>
      <c r="C89" s="23"/>
      <c r="D89" s="23"/>
      <c r="E89" s="23"/>
      <c r="F89" s="23"/>
      <c r="G89" s="23"/>
      <c r="H89" s="23"/>
      <c r="I89" s="23"/>
      <c r="J89" s="23"/>
      <c r="K89" s="23"/>
      <c r="L89" s="23"/>
      <c r="M89" s="23"/>
      <c r="N89" s="23"/>
      <c r="O89" s="23"/>
      <c r="P89" s="23"/>
      <c r="Q89" s="23"/>
      <c r="R89" s="23"/>
    </row>
    <row r="90" spans="1:18" ht="30" customHeight="1" x14ac:dyDescent="0.25">
      <c r="A90" s="22" t="s">
        <v>222</v>
      </c>
      <c r="B90" s="23"/>
      <c r="C90" s="23"/>
      <c r="D90" s="23"/>
      <c r="E90" s="23"/>
      <c r="F90" s="23"/>
      <c r="G90" s="23"/>
      <c r="H90" s="23"/>
      <c r="I90" s="23"/>
      <c r="J90" s="23"/>
      <c r="K90" s="23"/>
      <c r="L90" s="23"/>
      <c r="M90" s="23"/>
      <c r="N90" s="23"/>
      <c r="O90" s="23"/>
      <c r="P90" s="23"/>
      <c r="Q90" s="23"/>
      <c r="R90" s="23"/>
    </row>
    <row r="91" spans="1:18" ht="30" customHeight="1" x14ac:dyDescent="0.25">
      <c r="A91" s="22" t="s">
        <v>223</v>
      </c>
      <c r="B91" s="23"/>
      <c r="C91" s="23"/>
      <c r="D91" s="23"/>
      <c r="E91" s="23"/>
      <c r="F91" s="23"/>
      <c r="G91" s="23"/>
      <c r="H91" s="23"/>
      <c r="I91" s="23"/>
      <c r="J91" s="23"/>
      <c r="K91" s="23"/>
      <c r="L91" s="23"/>
      <c r="M91" s="23"/>
      <c r="N91" s="23"/>
      <c r="O91" s="23"/>
      <c r="P91" s="23"/>
      <c r="Q91" s="23"/>
      <c r="R91" s="23"/>
    </row>
    <row r="92" spans="1:18" ht="30" customHeight="1" x14ac:dyDescent="0.25">
      <c r="A92" s="22" t="s">
        <v>224</v>
      </c>
      <c r="B92" s="23"/>
      <c r="C92" s="23"/>
      <c r="D92" s="23"/>
      <c r="E92" s="23"/>
      <c r="F92" s="23"/>
      <c r="G92" s="23"/>
      <c r="H92" s="23"/>
      <c r="I92" s="23"/>
      <c r="J92" s="23"/>
      <c r="K92" s="23"/>
      <c r="L92" s="23"/>
      <c r="M92" s="23"/>
      <c r="N92" s="23"/>
      <c r="O92" s="23"/>
      <c r="P92" s="23"/>
      <c r="Q92" s="23"/>
      <c r="R92" s="23"/>
    </row>
    <row r="93" spans="1:18" ht="30" customHeight="1" x14ac:dyDescent="0.25">
      <c r="A93" s="22" t="s">
        <v>225</v>
      </c>
      <c r="B93" s="23"/>
      <c r="C93" s="23"/>
      <c r="D93" s="23"/>
      <c r="E93" s="23"/>
      <c r="F93" s="23"/>
      <c r="G93" s="23"/>
      <c r="H93" s="23"/>
      <c r="I93" s="23"/>
      <c r="J93" s="23"/>
      <c r="K93" s="23"/>
      <c r="L93" s="23"/>
      <c r="M93" s="23"/>
      <c r="N93" s="23"/>
      <c r="O93" s="23"/>
      <c r="P93" s="23"/>
      <c r="Q93" s="23"/>
      <c r="R93" s="23"/>
    </row>
    <row r="94" spans="1:18" ht="30" customHeight="1" x14ac:dyDescent="0.25">
      <c r="A94" s="22" t="s">
        <v>226</v>
      </c>
      <c r="B94" s="23"/>
      <c r="C94" s="23"/>
      <c r="D94" s="23"/>
      <c r="E94" s="23"/>
      <c r="F94" s="23"/>
      <c r="G94" s="23"/>
      <c r="H94" s="23"/>
      <c r="I94" s="23"/>
      <c r="J94" s="23"/>
      <c r="K94" s="23"/>
      <c r="L94" s="23"/>
      <c r="M94" s="23"/>
      <c r="N94" s="23"/>
      <c r="O94" s="23"/>
      <c r="P94" s="23"/>
      <c r="Q94" s="23"/>
      <c r="R94" s="23"/>
    </row>
    <row r="95" spans="1:18" ht="30" customHeight="1" x14ac:dyDescent="0.25">
      <c r="A95" s="22" t="s">
        <v>227</v>
      </c>
      <c r="B95" s="23"/>
      <c r="C95" s="23"/>
      <c r="D95" s="23"/>
      <c r="E95" s="23"/>
      <c r="F95" s="23"/>
      <c r="G95" s="23"/>
      <c r="H95" s="23"/>
      <c r="I95" s="23"/>
      <c r="J95" s="23"/>
      <c r="K95" s="23"/>
      <c r="L95" s="23"/>
      <c r="M95" s="23"/>
      <c r="N95" s="23"/>
      <c r="O95" s="23"/>
      <c r="P95" s="23"/>
      <c r="Q95" s="23"/>
      <c r="R95" s="23"/>
    </row>
    <row r="96" spans="1:18" ht="30" customHeight="1" x14ac:dyDescent="0.25">
      <c r="A96" s="22" t="s">
        <v>228</v>
      </c>
      <c r="B96" s="23"/>
      <c r="C96" s="23"/>
      <c r="D96" s="23"/>
      <c r="E96" s="23"/>
      <c r="F96" s="23"/>
      <c r="G96" s="23"/>
      <c r="H96" s="23"/>
      <c r="I96" s="23"/>
      <c r="J96" s="23"/>
      <c r="K96" s="23"/>
      <c r="L96" s="23"/>
      <c r="M96" s="23"/>
      <c r="N96" s="23"/>
      <c r="O96" s="23"/>
      <c r="P96" s="23"/>
      <c r="Q96" s="23"/>
      <c r="R96" s="23"/>
    </row>
  </sheetData>
  <mergeCells count="22">
    <mergeCell ref="O4:P4"/>
    <mergeCell ref="Q4:R4"/>
    <mergeCell ref="A1:R1"/>
    <mergeCell ref="A2:R2"/>
    <mergeCell ref="A84:R84"/>
    <mergeCell ref="E4:F4"/>
    <mergeCell ref="G4:H4"/>
    <mergeCell ref="I4:J4"/>
    <mergeCell ref="K4:L4"/>
    <mergeCell ref="M4:N4"/>
    <mergeCell ref="A85:R85"/>
    <mergeCell ref="A86:R86"/>
    <mergeCell ref="A87:R87"/>
    <mergeCell ref="A88:R88"/>
    <mergeCell ref="A89:R89"/>
    <mergeCell ref="A95:R95"/>
    <mergeCell ref="A96:R96"/>
    <mergeCell ref="A90:R90"/>
    <mergeCell ref="A91:R91"/>
    <mergeCell ref="A92:R92"/>
    <mergeCell ref="A93:R93"/>
    <mergeCell ref="A94:R94"/>
  </mergeCells>
  <pageMargins left="0.75" right="0.75" top="1" bottom="1" header="0.5" footer="0.5"/>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6"/>
  <dimension ref="A1:T96"/>
  <sheetViews>
    <sheetView zoomScale="80" workbookViewId="0">
      <pane xSplit="4" topLeftCell="E1" activePane="topRight" state="frozen"/>
      <selection sqref="A1:R1"/>
      <selection pane="topRight" sqref="A1:T1"/>
    </sheetView>
  </sheetViews>
  <sheetFormatPr defaultColWidth="11.42578125" defaultRowHeight="15" x14ac:dyDescent="0.25"/>
  <cols>
    <col min="1" max="1" width="50" customWidth="1"/>
  </cols>
  <sheetData>
    <row r="1" spans="1:20" x14ac:dyDescent="0.25">
      <c r="A1" s="26" t="s">
        <v>122</v>
      </c>
      <c r="B1" s="23"/>
      <c r="C1" s="23"/>
      <c r="D1" s="23"/>
      <c r="E1" s="23"/>
      <c r="F1" s="23"/>
      <c r="G1" s="23"/>
      <c r="H1" s="23"/>
      <c r="I1" s="23"/>
      <c r="J1" s="23"/>
      <c r="K1" s="23"/>
      <c r="L1" s="23"/>
      <c r="M1" s="23"/>
      <c r="N1" s="23"/>
      <c r="O1" s="23"/>
      <c r="P1" s="23"/>
      <c r="Q1" s="23"/>
      <c r="R1" s="23"/>
      <c r="S1" s="23"/>
      <c r="T1" s="23"/>
    </row>
    <row r="2" spans="1:20" x14ac:dyDescent="0.25">
      <c r="A2" s="27" t="s">
        <v>332</v>
      </c>
      <c r="B2" s="23"/>
      <c r="C2" s="23"/>
      <c r="D2" s="23"/>
      <c r="E2" s="23"/>
      <c r="F2" s="23"/>
      <c r="G2" s="23"/>
      <c r="H2" s="23"/>
      <c r="I2" s="23"/>
      <c r="J2" s="23"/>
      <c r="K2" s="23"/>
      <c r="L2" s="23"/>
      <c r="M2" s="23"/>
      <c r="N2" s="23"/>
      <c r="O2" s="23"/>
      <c r="P2" s="23"/>
      <c r="Q2" s="23"/>
      <c r="R2" s="23"/>
      <c r="S2" s="23"/>
      <c r="T2" s="23"/>
    </row>
    <row r="4" spans="1:20" ht="30" customHeight="1" x14ac:dyDescent="0.25">
      <c r="A4" s="4"/>
      <c r="B4" s="5" t="s">
        <v>123</v>
      </c>
      <c r="C4" s="5" t="s">
        <v>124</v>
      </c>
      <c r="D4" s="6" t="s">
        <v>123</v>
      </c>
      <c r="E4" s="24" t="s">
        <v>125</v>
      </c>
      <c r="F4" s="25"/>
      <c r="G4" s="24" t="s">
        <v>233</v>
      </c>
      <c r="H4" s="25"/>
      <c r="I4" s="24" t="s">
        <v>234</v>
      </c>
      <c r="J4" s="25"/>
      <c r="K4" s="24" t="s">
        <v>127</v>
      </c>
      <c r="L4" s="25"/>
      <c r="M4" s="24" t="s">
        <v>128</v>
      </c>
      <c r="N4" s="25"/>
      <c r="O4" s="24" t="s">
        <v>129</v>
      </c>
      <c r="P4" s="25"/>
      <c r="Q4" s="24" t="s">
        <v>130</v>
      </c>
      <c r="R4" s="25"/>
      <c r="S4" s="24" t="s">
        <v>131</v>
      </c>
      <c r="T4" s="25"/>
    </row>
    <row r="5" spans="1:20" x14ac:dyDescent="0.25">
      <c r="A5" s="7"/>
      <c r="B5" s="8" t="s">
        <v>132</v>
      </c>
      <c r="C5" s="8" t="s">
        <v>133</v>
      </c>
      <c r="D5" s="7" t="s">
        <v>134</v>
      </c>
      <c r="E5" s="8" t="s">
        <v>135</v>
      </c>
      <c r="F5" s="7" t="s">
        <v>136</v>
      </c>
      <c r="G5" s="8" t="s">
        <v>135</v>
      </c>
      <c r="H5" s="7" t="s">
        <v>136</v>
      </c>
      <c r="I5" s="8" t="s">
        <v>135</v>
      </c>
      <c r="J5" s="7" t="s">
        <v>136</v>
      </c>
      <c r="K5" s="8" t="s">
        <v>135</v>
      </c>
      <c r="L5" s="7" t="s">
        <v>136</v>
      </c>
      <c r="M5" s="8" t="s">
        <v>135</v>
      </c>
      <c r="N5" s="7" t="s">
        <v>136</v>
      </c>
      <c r="O5" s="8" t="s">
        <v>135</v>
      </c>
      <c r="P5" s="7" t="s">
        <v>136</v>
      </c>
      <c r="Q5" s="8" t="s">
        <v>135</v>
      </c>
      <c r="R5" s="7" t="s">
        <v>136</v>
      </c>
      <c r="S5" s="8" t="s">
        <v>135</v>
      </c>
      <c r="T5" s="7" t="s">
        <v>136</v>
      </c>
    </row>
    <row r="6" spans="1:20" x14ac:dyDescent="0.25">
      <c r="A6" s="9" t="s">
        <v>137</v>
      </c>
      <c r="B6" s="10"/>
      <c r="C6" s="10"/>
      <c r="D6" s="11"/>
      <c r="E6" s="10"/>
      <c r="F6" s="11"/>
      <c r="G6" s="10"/>
      <c r="H6" s="11"/>
      <c r="I6" s="10"/>
      <c r="J6" s="11"/>
      <c r="K6" s="10"/>
      <c r="L6" s="11"/>
      <c r="M6" s="10"/>
      <c r="N6" s="11"/>
      <c r="O6" s="10"/>
      <c r="P6" s="11"/>
      <c r="Q6" s="10"/>
      <c r="R6" s="11"/>
      <c r="S6" s="10"/>
      <c r="T6" s="12"/>
    </row>
    <row r="7" spans="1:20" x14ac:dyDescent="0.25">
      <c r="A7" s="11" t="s">
        <v>138</v>
      </c>
      <c r="B7" s="13">
        <v>14530</v>
      </c>
      <c r="C7" s="14">
        <f>(12071/B7*100)</f>
        <v>83.076393668272544</v>
      </c>
      <c r="D7" s="15">
        <v>2459</v>
      </c>
      <c r="E7" s="14">
        <v>25.200958450000002</v>
      </c>
      <c r="F7" s="16">
        <v>0.99136840999999998</v>
      </c>
      <c r="G7" s="14">
        <v>14.812701280000001</v>
      </c>
      <c r="H7" s="16">
        <v>0.92916686000000004</v>
      </c>
      <c r="I7" s="14">
        <v>59.986340269999999</v>
      </c>
      <c r="J7" s="16">
        <v>1.12813232</v>
      </c>
      <c r="K7" s="14" t="s">
        <v>139</v>
      </c>
      <c r="L7" s="16" t="s">
        <v>139</v>
      </c>
      <c r="M7" s="14">
        <v>0</v>
      </c>
      <c r="N7" s="16">
        <v>0</v>
      </c>
      <c r="O7" s="14">
        <v>0</v>
      </c>
      <c r="P7" s="16">
        <v>0</v>
      </c>
      <c r="Q7" s="14">
        <v>0</v>
      </c>
      <c r="R7" s="16">
        <v>0</v>
      </c>
      <c r="S7" s="14">
        <v>0</v>
      </c>
      <c r="T7" s="16">
        <v>0</v>
      </c>
    </row>
    <row r="8" spans="1:20" x14ac:dyDescent="0.25">
      <c r="A8" s="11" t="s">
        <v>140</v>
      </c>
      <c r="B8" s="13">
        <v>7007</v>
      </c>
      <c r="C8" s="14">
        <f>(5776/B8*100)</f>
        <v>82.431853860425292</v>
      </c>
      <c r="D8" s="15">
        <v>1231</v>
      </c>
      <c r="E8" s="14">
        <v>27.744394629999999</v>
      </c>
      <c r="F8" s="16">
        <v>1.3706458800000001</v>
      </c>
      <c r="G8" s="14">
        <v>22.34498773</v>
      </c>
      <c r="H8" s="16">
        <v>1.2558545999999999</v>
      </c>
      <c r="I8" s="14">
        <v>49.910617639999998</v>
      </c>
      <c r="J8" s="16">
        <v>1.5652365800000001</v>
      </c>
      <c r="K8" s="14" t="s">
        <v>139</v>
      </c>
      <c r="L8" s="16" t="s">
        <v>139</v>
      </c>
      <c r="M8" s="14">
        <v>0</v>
      </c>
      <c r="N8" s="16">
        <v>0</v>
      </c>
      <c r="O8" s="14">
        <v>0</v>
      </c>
      <c r="P8" s="16">
        <v>0</v>
      </c>
      <c r="Q8" s="14">
        <v>0</v>
      </c>
      <c r="R8" s="16">
        <v>0</v>
      </c>
      <c r="S8" s="14">
        <v>0</v>
      </c>
      <c r="T8" s="16">
        <v>0</v>
      </c>
    </row>
    <row r="9" spans="1:20" x14ac:dyDescent="0.25">
      <c r="A9" s="11" t="s">
        <v>141</v>
      </c>
      <c r="B9" s="13">
        <v>9651</v>
      </c>
      <c r="C9" s="14">
        <f>(8052/B9*100)</f>
        <v>83.431768728629152</v>
      </c>
      <c r="D9" s="15">
        <v>1599</v>
      </c>
      <c r="E9" s="14">
        <v>26.047822709999998</v>
      </c>
      <c r="F9" s="16">
        <v>1.18603247</v>
      </c>
      <c r="G9" s="14">
        <v>20.098176649999999</v>
      </c>
      <c r="H9" s="16">
        <v>0.89957158999999998</v>
      </c>
      <c r="I9" s="14">
        <v>53.854000640000002</v>
      </c>
      <c r="J9" s="16">
        <v>1.13574405</v>
      </c>
      <c r="K9" s="14" t="s">
        <v>139</v>
      </c>
      <c r="L9" s="16" t="s">
        <v>139</v>
      </c>
      <c r="M9" s="14">
        <v>0</v>
      </c>
      <c r="N9" s="16">
        <v>0</v>
      </c>
      <c r="O9" s="14">
        <v>0</v>
      </c>
      <c r="P9" s="16">
        <v>0</v>
      </c>
      <c r="Q9" s="14">
        <v>0</v>
      </c>
      <c r="R9" s="16">
        <v>0</v>
      </c>
      <c r="S9" s="14">
        <v>0</v>
      </c>
      <c r="T9" s="16">
        <v>0</v>
      </c>
    </row>
    <row r="10" spans="1:20" x14ac:dyDescent="0.25">
      <c r="A10" s="11" t="s">
        <v>142</v>
      </c>
      <c r="B10" s="13">
        <v>20058</v>
      </c>
      <c r="C10" s="14">
        <f>(16662/B10*100)</f>
        <v>83.069099611127726</v>
      </c>
      <c r="D10" s="15">
        <v>3396</v>
      </c>
      <c r="E10" s="14">
        <v>24.359086949999998</v>
      </c>
      <c r="F10" s="16">
        <v>1.1965482700000001</v>
      </c>
      <c r="G10" s="14">
        <v>16.123564349999999</v>
      </c>
      <c r="H10" s="16">
        <v>0.83929927000000004</v>
      </c>
      <c r="I10" s="14">
        <v>59.517348699999999</v>
      </c>
      <c r="J10" s="16">
        <v>1.3053798700000001</v>
      </c>
      <c r="K10" s="14" t="s">
        <v>139</v>
      </c>
      <c r="L10" s="16" t="s">
        <v>139</v>
      </c>
      <c r="M10" s="14">
        <v>0</v>
      </c>
      <c r="N10" s="16">
        <v>0</v>
      </c>
      <c r="O10" s="14">
        <v>0</v>
      </c>
      <c r="P10" s="16">
        <v>0</v>
      </c>
      <c r="Q10" s="14">
        <v>0</v>
      </c>
      <c r="R10" s="16">
        <v>0</v>
      </c>
      <c r="S10" s="14">
        <v>0</v>
      </c>
      <c r="T10" s="16">
        <v>0</v>
      </c>
    </row>
    <row r="11" spans="1:20" x14ac:dyDescent="0.25">
      <c r="A11" s="11" t="s">
        <v>143</v>
      </c>
      <c r="B11" s="13">
        <v>7053</v>
      </c>
      <c r="C11" s="14">
        <f>(5845/B11*100)</f>
        <v>82.872536509286832</v>
      </c>
      <c r="D11" s="15">
        <v>1208</v>
      </c>
      <c r="E11" s="14">
        <v>40.457398740000002</v>
      </c>
      <c r="F11" s="16">
        <v>1.8585748099999999</v>
      </c>
      <c r="G11" s="14">
        <v>17.846904139999999</v>
      </c>
      <c r="H11" s="16">
        <v>1.3721999199999999</v>
      </c>
      <c r="I11" s="14">
        <v>41.695697119999998</v>
      </c>
      <c r="J11" s="16">
        <v>1.8172032300000001</v>
      </c>
      <c r="K11" s="14" t="s">
        <v>139</v>
      </c>
      <c r="L11" s="16" t="s">
        <v>139</v>
      </c>
      <c r="M11" s="14">
        <v>0</v>
      </c>
      <c r="N11" s="16">
        <v>0</v>
      </c>
      <c r="O11" s="14">
        <v>0</v>
      </c>
      <c r="P11" s="16">
        <v>0</v>
      </c>
      <c r="Q11" s="14">
        <v>0</v>
      </c>
      <c r="R11" s="16">
        <v>0</v>
      </c>
      <c r="S11" s="14">
        <v>0</v>
      </c>
      <c r="T11" s="16">
        <v>0</v>
      </c>
    </row>
    <row r="12" spans="1:20" x14ac:dyDescent="0.25">
      <c r="A12" s="11" t="s">
        <v>144</v>
      </c>
      <c r="B12" s="13">
        <v>6894</v>
      </c>
      <c r="C12" s="14">
        <f>(5730/B12*100)</f>
        <v>83.115752828546562</v>
      </c>
      <c r="D12" s="15">
        <v>1164</v>
      </c>
      <c r="E12" s="14">
        <v>18.45712975</v>
      </c>
      <c r="F12" s="16">
        <v>1.2213141999999999</v>
      </c>
      <c r="G12" s="14">
        <v>12.17511165</v>
      </c>
      <c r="H12" s="16">
        <v>1.16956152</v>
      </c>
      <c r="I12" s="14">
        <v>69.367758600000002</v>
      </c>
      <c r="J12" s="16">
        <v>1.6209256700000001</v>
      </c>
      <c r="K12" s="14" t="s">
        <v>139</v>
      </c>
      <c r="L12" s="16" t="s">
        <v>139</v>
      </c>
      <c r="M12" s="14">
        <v>0</v>
      </c>
      <c r="N12" s="16">
        <v>0</v>
      </c>
      <c r="O12" s="14">
        <v>0</v>
      </c>
      <c r="P12" s="16">
        <v>0</v>
      </c>
      <c r="Q12" s="14">
        <v>0</v>
      </c>
      <c r="R12" s="16">
        <v>0</v>
      </c>
      <c r="S12" s="14">
        <v>0</v>
      </c>
      <c r="T12" s="16">
        <v>0</v>
      </c>
    </row>
    <row r="13" spans="1:20" x14ac:dyDescent="0.25">
      <c r="A13" s="11" t="s">
        <v>145</v>
      </c>
      <c r="B13" s="13">
        <v>7161</v>
      </c>
      <c r="C13" s="14">
        <f>(5999/B13*100)</f>
        <v>83.773216031280555</v>
      </c>
      <c r="D13" s="15">
        <v>1162</v>
      </c>
      <c r="E13" s="14">
        <v>33.224905290000002</v>
      </c>
      <c r="F13" s="16">
        <v>2.0658494300000001</v>
      </c>
      <c r="G13" s="14">
        <v>19.121809599999999</v>
      </c>
      <c r="H13" s="16">
        <v>1.4028284600000001</v>
      </c>
      <c r="I13" s="14">
        <v>47.653285109999999</v>
      </c>
      <c r="J13" s="16">
        <v>1.7350567100000001</v>
      </c>
      <c r="K13" s="14" t="s">
        <v>139</v>
      </c>
      <c r="L13" s="16" t="s">
        <v>139</v>
      </c>
      <c r="M13" s="14">
        <v>0</v>
      </c>
      <c r="N13" s="16">
        <v>0</v>
      </c>
      <c r="O13" s="14">
        <v>0</v>
      </c>
      <c r="P13" s="16">
        <v>0</v>
      </c>
      <c r="Q13" s="14">
        <v>0</v>
      </c>
      <c r="R13" s="16">
        <v>0</v>
      </c>
      <c r="S13" s="14">
        <v>0</v>
      </c>
      <c r="T13" s="16">
        <v>0</v>
      </c>
    </row>
    <row r="14" spans="1:20" x14ac:dyDescent="0.25">
      <c r="A14" s="11" t="s">
        <v>146</v>
      </c>
      <c r="B14" s="13">
        <v>5587</v>
      </c>
      <c r="C14" s="14">
        <f>(4624/B14*100)</f>
        <v>82.763558260247009</v>
      </c>
      <c r="D14" s="15">
        <v>963</v>
      </c>
      <c r="E14" s="14">
        <v>21.281323019999999</v>
      </c>
      <c r="F14" s="16">
        <v>1.4397667599999999</v>
      </c>
      <c r="G14" s="14">
        <v>15.61618504</v>
      </c>
      <c r="H14" s="16">
        <v>1.1097591</v>
      </c>
      <c r="I14" s="14">
        <v>63.10249194</v>
      </c>
      <c r="J14" s="16">
        <v>1.69828859</v>
      </c>
      <c r="K14" s="14" t="s">
        <v>139</v>
      </c>
      <c r="L14" s="16" t="s">
        <v>139</v>
      </c>
      <c r="M14" s="14">
        <v>0</v>
      </c>
      <c r="N14" s="16">
        <v>0</v>
      </c>
      <c r="O14" s="14">
        <v>0</v>
      </c>
      <c r="P14" s="16">
        <v>0</v>
      </c>
      <c r="Q14" s="14">
        <v>0</v>
      </c>
      <c r="R14" s="16">
        <v>0</v>
      </c>
      <c r="S14" s="14">
        <v>0</v>
      </c>
      <c r="T14" s="16">
        <v>0</v>
      </c>
    </row>
    <row r="15" spans="1:20" x14ac:dyDescent="0.25">
      <c r="A15" s="11" t="s">
        <v>147</v>
      </c>
      <c r="B15" s="13">
        <v>5882</v>
      </c>
      <c r="C15" s="14">
        <f>(4872/B15*100)</f>
        <v>82.828969738184284</v>
      </c>
      <c r="D15" s="15">
        <v>1010</v>
      </c>
      <c r="E15" s="14">
        <v>16.994633870000001</v>
      </c>
      <c r="F15" s="16">
        <v>1.2747054600000001</v>
      </c>
      <c r="G15" s="14">
        <v>17.219195330000002</v>
      </c>
      <c r="H15" s="16">
        <v>1.2715781900000001</v>
      </c>
      <c r="I15" s="14">
        <v>65.786170799999994</v>
      </c>
      <c r="J15" s="16">
        <v>1.6977966799999999</v>
      </c>
      <c r="K15" s="14" t="s">
        <v>139</v>
      </c>
      <c r="L15" s="16" t="s">
        <v>139</v>
      </c>
      <c r="M15" s="14">
        <v>0</v>
      </c>
      <c r="N15" s="16">
        <v>0</v>
      </c>
      <c r="O15" s="14">
        <v>0</v>
      </c>
      <c r="P15" s="16">
        <v>0</v>
      </c>
      <c r="Q15" s="14">
        <v>0</v>
      </c>
      <c r="R15" s="16">
        <v>0</v>
      </c>
      <c r="S15" s="14">
        <v>0</v>
      </c>
      <c r="T15" s="16">
        <v>0</v>
      </c>
    </row>
    <row r="16" spans="1:20" x14ac:dyDescent="0.25">
      <c r="A16" s="11" t="s">
        <v>148</v>
      </c>
      <c r="B16" s="13">
        <v>6108</v>
      </c>
      <c r="C16" s="14">
        <f>(5082/B16*100)</f>
        <v>83.202357563850697</v>
      </c>
      <c r="D16" s="15">
        <v>1026</v>
      </c>
      <c r="E16" s="14">
        <v>32.283382260000003</v>
      </c>
      <c r="F16" s="16">
        <v>1.4471147200000001</v>
      </c>
      <c r="G16" s="14">
        <v>17.638655320000002</v>
      </c>
      <c r="H16" s="16">
        <v>1.1853021699999999</v>
      </c>
      <c r="I16" s="14">
        <v>50.077962419999999</v>
      </c>
      <c r="J16" s="16">
        <v>1.4963900800000001</v>
      </c>
      <c r="K16" s="14" t="s">
        <v>139</v>
      </c>
      <c r="L16" s="16" t="s">
        <v>139</v>
      </c>
      <c r="M16" s="14">
        <v>0</v>
      </c>
      <c r="N16" s="16">
        <v>0</v>
      </c>
      <c r="O16" s="14">
        <v>0</v>
      </c>
      <c r="P16" s="16">
        <v>0</v>
      </c>
      <c r="Q16" s="14">
        <v>0</v>
      </c>
      <c r="R16" s="16">
        <v>0</v>
      </c>
      <c r="S16" s="14">
        <v>0</v>
      </c>
      <c r="T16" s="16">
        <v>0</v>
      </c>
    </row>
    <row r="17" spans="1:20" x14ac:dyDescent="0.25">
      <c r="A17" s="11" t="s">
        <v>149</v>
      </c>
      <c r="B17" s="13">
        <v>6504</v>
      </c>
      <c r="C17" s="14">
        <f>(5413/B17*100)</f>
        <v>83.225707257072571</v>
      </c>
      <c r="D17" s="15">
        <v>1091</v>
      </c>
      <c r="E17" s="14">
        <v>26.452920469999999</v>
      </c>
      <c r="F17" s="16">
        <v>1.3388729800000001</v>
      </c>
      <c r="G17" s="14">
        <v>18.61656236</v>
      </c>
      <c r="H17" s="16">
        <v>1.1949852299999999</v>
      </c>
      <c r="I17" s="14">
        <v>54.930517170000002</v>
      </c>
      <c r="J17" s="16">
        <v>1.2814743900000001</v>
      </c>
      <c r="K17" s="14" t="s">
        <v>139</v>
      </c>
      <c r="L17" s="16" t="s">
        <v>139</v>
      </c>
      <c r="M17" s="14">
        <v>0</v>
      </c>
      <c r="N17" s="16">
        <v>0</v>
      </c>
      <c r="O17" s="14">
        <v>0</v>
      </c>
      <c r="P17" s="16">
        <v>0</v>
      </c>
      <c r="Q17" s="14">
        <v>0</v>
      </c>
      <c r="R17" s="16">
        <v>0</v>
      </c>
      <c r="S17" s="14">
        <v>0</v>
      </c>
      <c r="T17" s="16">
        <v>0</v>
      </c>
    </row>
    <row r="18" spans="1:20" x14ac:dyDescent="0.25">
      <c r="A18" s="11" t="s">
        <v>150</v>
      </c>
      <c r="B18" s="13">
        <v>5532</v>
      </c>
      <c r="C18" s="14">
        <f>(4580/B18*100)</f>
        <v>82.79103398409255</v>
      </c>
      <c r="D18" s="15">
        <v>952</v>
      </c>
      <c r="E18" s="14">
        <v>41.010128459999997</v>
      </c>
      <c r="F18" s="16">
        <v>1.80482169</v>
      </c>
      <c r="G18" s="14">
        <v>25.062332909999999</v>
      </c>
      <c r="H18" s="16">
        <v>1.49372079</v>
      </c>
      <c r="I18" s="14">
        <v>33.927538630000001</v>
      </c>
      <c r="J18" s="16">
        <v>1.72157453</v>
      </c>
      <c r="K18" s="14" t="s">
        <v>139</v>
      </c>
      <c r="L18" s="16" t="s">
        <v>139</v>
      </c>
      <c r="M18" s="14">
        <v>0</v>
      </c>
      <c r="N18" s="16">
        <v>0</v>
      </c>
      <c r="O18" s="14">
        <v>0</v>
      </c>
      <c r="P18" s="16">
        <v>0</v>
      </c>
      <c r="Q18" s="14">
        <v>0</v>
      </c>
      <c r="R18" s="16">
        <v>0</v>
      </c>
      <c r="S18" s="14">
        <v>0</v>
      </c>
      <c r="T18" s="16">
        <v>0</v>
      </c>
    </row>
    <row r="19" spans="1:20" x14ac:dyDescent="0.25">
      <c r="A19" s="11" t="s">
        <v>151</v>
      </c>
      <c r="B19" s="13">
        <v>5658</v>
      </c>
      <c r="C19" s="14">
        <f>(4698/B19*100)</f>
        <v>83.032873806998936</v>
      </c>
      <c r="D19" s="15">
        <v>960</v>
      </c>
      <c r="E19" s="14">
        <v>33.3089449</v>
      </c>
      <c r="F19" s="16">
        <v>1.6331584400000001</v>
      </c>
      <c r="G19" s="14">
        <v>11.141905599999999</v>
      </c>
      <c r="H19" s="16">
        <v>1.2087264900000001</v>
      </c>
      <c r="I19" s="14">
        <v>55.549149489999998</v>
      </c>
      <c r="J19" s="16">
        <v>1.67982681</v>
      </c>
      <c r="K19" s="14" t="s">
        <v>139</v>
      </c>
      <c r="L19" s="16" t="s">
        <v>139</v>
      </c>
      <c r="M19" s="14">
        <v>0</v>
      </c>
      <c r="N19" s="16">
        <v>0</v>
      </c>
      <c r="O19" s="14">
        <v>0</v>
      </c>
      <c r="P19" s="16">
        <v>0</v>
      </c>
      <c r="Q19" s="14">
        <v>0</v>
      </c>
      <c r="R19" s="16">
        <v>0</v>
      </c>
      <c r="S19" s="14">
        <v>0</v>
      </c>
      <c r="T19" s="16">
        <v>0</v>
      </c>
    </row>
    <row r="20" spans="1:20" x14ac:dyDescent="0.25">
      <c r="A20" s="11" t="s">
        <v>152</v>
      </c>
      <c r="B20" s="13">
        <v>3371</v>
      </c>
      <c r="C20" s="14">
        <f>(2801/B20*100)</f>
        <v>83.091070898843071</v>
      </c>
      <c r="D20" s="15">
        <v>570</v>
      </c>
      <c r="E20" s="14">
        <v>27.564765770000001</v>
      </c>
      <c r="F20" s="16">
        <v>1.82723623</v>
      </c>
      <c r="G20" s="14">
        <v>18.160514760000002</v>
      </c>
      <c r="H20" s="16">
        <v>1.6496404200000001</v>
      </c>
      <c r="I20" s="14">
        <v>54.274719470000001</v>
      </c>
      <c r="J20" s="16">
        <v>2.1160351099999999</v>
      </c>
      <c r="K20" s="14" t="s">
        <v>139</v>
      </c>
      <c r="L20" s="16" t="s">
        <v>139</v>
      </c>
      <c r="M20" s="14">
        <v>0</v>
      </c>
      <c r="N20" s="16">
        <v>0</v>
      </c>
      <c r="O20" s="14">
        <v>0</v>
      </c>
      <c r="P20" s="16">
        <v>0</v>
      </c>
      <c r="Q20" s="14">
        <v>0</v>
      </c>
      <c r="R20" s="16">
        <v>0</v>
      </c>
      <c r="S20" s="14">
        <v>0</v>
      </c>
      <c r="T20" s="16">
        <v>0</v>
      </c>
    </row>
    <row r="21" spans="1:20" x14ac:dyDescent="0.25">
      <c r="A21" s="11" t="s">
        <v>153</v>
      </c>
      <c r="B21" s="17" t="s">
        <v>154</v>
      </c>
      <c r="C21" s="17" t="s">
        <v>154</v>
      </c>
      <c r="D21" s="18" t="s">
        <v>154</v>
      </c>
      <c r="E21" s="17" t="s">
        <v>154</v>
      </c>
      <c r="F21" s="18" t="s">
        <v>154</v>
      </c>
      <c r="G21" s="17" t="s">
        <v>154</v>
      </c>
      <c r="H21" s="18" t="s">
        <v>154</v>
      </c>
      <c r="I21" s="17" t="s">
        <v>154</v>
      </c>
      <c r="J21" s="18" t="s">
        <v>154</v>
      </c>
      <c r="K21" s="17" t="s">
        <v>154</v>
      </c>
      <c r="L21" s="18" t="s">
        <v>154</v>
      </c>
      <c r="M21" s="17" t="s">
        <v>154</v>
      </c>
      <c r="N21" s="18" t="s">
        <v>154</v>
      </c>
      <c r="O21" s="17" t="s">
        <v>154</v>
      </c>
      <c r="P21" s="18" t="s">
        <v>154</v>
      </c>
      <c r="Q21" s="17" t="s">
        <v>154</v>
      </c>
      <c r="R21" s="18" t="s">
        <v>154</v>
      </c>
      <c r="S21" s="17" t="s">
        <v>154</v>
      </c>
      <c r="T21" s="18" t="s">
        <v>154</v>
      </c>
    </row>
    <row r="22" spans="1:20" x14ac:dyDescent="0.25">
      <c r="A22" s="11" t="s">
        <v>155</v>
      </c>
      <c r="B22" s="13">
        <v>6598</v>
      </c>
      <c r="C22" s="14">
        <f>(5578/B22*100)</f>
        <v>84.540769930281897</v>
      </c>
      <c r="D22" s="15">
        <v>1020</v>
      </c>
      <c r="E22" s="14">
        <v>28.356350389999999</v>
      </c>
      <c r="F22" s="16">
        <v>1.80219068</v>
      </c>
      <c r="G22" s="14">
        <v>13.71700197</v>
      </c>
      <c r="H22" s="16">
        <v>1.07549268</v>
      </c>
      <c r="I22" s="14">
        <v>57.926647639999999</v>
      </c>
      <c r="J22" s="16">
        <v>1.95673188</v>
      </c>
      <c r="K22" s="14" t="s">
        <v>139</v>
      </c>
      <c r="L22" s="16" t="s">
        <v>139</v>
      </c>
      <c r="M22" s="14">
        <v>0</v>
      </c>
      <c r="N22" s="16">
        <v>0</v>
      </c>
      <c r="O22" s="14">
        <v>0</v>
      </c>
      <c r="P22" s="16">
        <v>0</v>
      </c>
      <c r="Q22" s="14">
        <v>0</v>
      </c>
      <c r="R22" s="16">
        <v>0</v>
      </c>
      <c r="S22" s="14">
        <v>0</v>
      </c>
      <c r="T22" s="16">
        <v>0</v>
      </c>
    </row>
    <row r="23" spans="1:20" x14ac:dyDescent="0.25">
      <c r="A23" s="11" t="s">
        <v>156</v>
      </c>
      <c r="B23" s="13">
        <v>11583</v>
      </c>
      <c r="C23" s="14">
        <f>(9588/B23*100)</f>
        <v>82.77648277648278</v>
      </c>
      <c r="D23" s="15">
        <v>1995</v>
      </c>
      <c r="E23" s="14">
        <v>32.375334690000003</v>
      </c>
      <c r="F23" s="16">
        <v>1.6425116099999999</v>
      </c>
      <c r="G23" s="14">
        <v>23.338647689999998</v>
      </c>
      <c r="H23" s="16">
        <v>1.08408288</v>
      </c>
      <c r="I23" s="14">
        <v>44.286017620000003</v>
      </c>
      <c r="J23" s="16">
        <v>1.5544061300000001</v>
      </c>
      <c r="K23" s="14" t="s">
        <v>139</v>
      </c>
      <c r="L23" s="16" t="s">
        <v>139</v>
      </c>
      <c r="M23" s="14">
        <v>0</v>
      </c>
      <c r="N23" s="16">
        <v>0</v>
      </c>
      <c r="O23" s="14">
        <v>0</v>
      </c>
      <c r="P23" s="16">
        <v>0</v>
      </c>
      <c r="Q23" s="14">
        <v>0</v>
      </c>
      <c r="R23" s="16">
        <v>0</v>
      </c>
      <c r="S23" s="14">
        <v>0</v>
      </c>
      <c r="T23" s="16">
        <v>0</v>
      </c>
    </row>
    <row r="24" spans="1:20" x14ac:dyDescent="0.25">
      <c r="A24" s="11" t="s">
        <v>157</v>
      </c>
      <c r="B24" s="13">
        <v>6647</v>
      </c>
      <c r="C24" s="14">
        <f>(5492/B24*100)</f>
        <v>82.623740033097633</v>
      </c>
      <c r="D24" s="15">
        <v>1155</v>
      </c>
      <c r="E24" s="14">
        <v>8.8690897500000005</v>
      </c>
      <c r="F24" s="16">
        <v>0.99498995000000001</v>
      </c>
      <c r="G24" s="14">
        <v>16.081700130000002</v>
      </c>
      <c r="H24" s="16">
        <v>1.00981126</v>
      </c>
      <c r="I24" s="14">
        <v>75.049210110000004</v>
      </c>
      <c r="J24" s="16">
        <v>1.28295826</v>
      </c>
      <c r="K24" s="14" t="s">
        <v>139</v>
      </c>
      <c r="L24" s="16" t="s">
        <v>139</v>
      </c>
      <c r="M24" s="14">
        <v>0</v>
      </c>
      <c r="N24" s="16">
        <v>0</v>
      </c>
      <c r="O24" s="14">
        <v>0</v>
      </c>
      <c r="P24" s="16">
        <v>0</v>
      </c>
      <c r="Q24" s="14">
        <v>0</v>
      </c>
      <c r="R24" s="16">
        <v>0</v>
      </c>
      <c r="S24" s="14">
        <v>0</v>
      </c>
      <c r="T24" s="16">
        <v>0</v>
      </c>
    </row>
    <row r="25" spans="1:20" x14ac:dyDescent="0.25">
      <c r="A25" s="11" t="s">
        <v>158</v>
      </c>
      <c r="B25" s="13">
        <v>5581</v>
      </c>
      <c r="C25" s="14">
        <f>(4615/B25*100)</f>
        <v>82.691273965239205</v>
      </c>
      <c r="D25" s="15">
        <v>966</v>
      </c>
      <c r="E25" s="14">
        <v>9.0443013299999997</v>
      </c>
      <c r="F25" s="16">
        <v>0.88963415999999995</v>
      </c>
      <c r="G25" s="14">
        <v>15.381692790000001</v>
      </c>
      <c r="H25" s="16">
        <v>1.0331833699999999</v>
      </c>
      <c r="I25" s="14">
        <v>75.574005880000001</v>
      </c>
      <c r="J25" s="16">
        <v>1.3707089699999999</v>
      </c>
      <c r="K25" s="14" t="s">
        <v>139</v>
      </c>
      <c r="L25" s="16" t="s">
        <v>139</v>
      </c>
      <c r="M25" s="14">
        <v>0</v>
      </c>
      <c r="N25" s="16">
        <v>0</v>
      </c>
      <c r="O25" s="14">
        <v>0</v>
      </c>
      <c r="P25" s="16">
        <v>0</v>
      </c>
      <c r="Q25" s="14">
        <v>0</v>
      </c>
      <c r="R25" s="16">
        <v>0</v>
      </c>
      <c r="S25" s="14">
        <v>0</v>
      </c>
      <c r="T25" s="16">
        <v>0</v>
      </c>
    </row>
    <row r="26" spans="1:20" x14ac:dyDescent="0.25">
      <c r="A26" s="11" t="s">
        <v>159</v>
      </c>
      <c r="B26" s="13">
        <v>4869</v>
      </c>
      <c r="C26" s="14">
        <f>(4034/B26*100)</f>
        <v>82.850688026288765</v>
      </c>
      <c r="D26" s="15">
        <v>835</v>
      </c>
      <c r="E26" s="14">
        <v>40.870205339999998</v>
      </c>
      <c r="F26" s="16">
        <v>1.6706317900000001</v>
      </c>
      <c r="G26" s="14">
        <v>18.07386769</v>
      </c>
      <c r="H26" s="16">
        <v>1.5302338</v>
      </c>
      <c r="I26" s="14">
        <v>41.055926970000002</v>
      </c>
      <c r="J26" s="16">
        <v>1.7677249100000001</v>
      </c>
      <c r="K26" s="14" t="s">
        <v>139</v>
      </c>
      <c r="L26" s="16" t="s">
        <v>139</v>
      </c>
      <c r="M26" s="14">
        <v>0</v>
      </c>
      <c r="N26" s="16">
        <v>0</v>
      </c>
      <c r="O26" s="14">
        <v>0</v>
      </c>
      <c r="P26" s="16">
        <v>0</v>
      </c>
      <c r="Q26" s="14">
        <v>0</v>
      </c>
      <c r="R26" s="16">
        <v>0</v>
      </c>
      <c r="S26" s="14">
        <v>0</v>
      </c>
      <c r="T26" s="16">
        <v>0</v>
      </c>
    </row>
    <row r="27" spans="1:20" x14ac:dyDescent="0.25">
      <c r="A27" s="11" t="s">
        <v>160</v>
      </c>
      <c r="B27" s="13">
        <v>5299</v>
      </c>
      <c r="C27" s="14">
        <f>(4392/B27*100)</f>
        <v>82.883562936403095</v>
      </c>
      <c r="D27" s="15">
        <v>907</v>
      </c>
      <c r="E27" s="14">
        <v>36.758085540000003</v>
      </c>
      <c r="F27" s="16">
        <v>1.5574581300000001</v>
      </c>
      <c r="G27" s="14">
        <v>19.015106029999998</v>
      </c>
      <c r="H27" s="16">
        <v>1.3835850300000001</v>
      </c>
      <c r="I27" s="14">
        <v>44.226808429999998</v>
      </c>
      <c r="J27" s="16">
        <v>1.8030909500000001</v>
      </c>
      <c r="K27" s="14" t="s">
        <v>139</v>
      </c>
      <c r="L27" s="16" t="s">
        <v>139</v>
      </c>
      <c r="M27" s="14">
        <v>0</v>
      </c>
      <c r="N27" s="16">
        <v>0</v>
      </c>
      <c r="O27" s="14">
        <v>0</v>
      </c>
      <c r="P27" s="16">
        <v>0</v>
      </c>
      <c r="Q27" s="14">
        <v>0</v>
      </c>
      <c r="R27" s="16">
        <v>0</v>
      </c>
      <c r="S27" s="14">
        <v>0</v>
      </c>
      <c r="T27" s="16">
        <v>0</v>
      </c>
    </row>
    <row r="28" spans="1:20" x14ac:dyDescent="0.25">
      <c r="A28" s="11" t="s">
        <v>161</v>
      </c>
      <c r="B28" s="13">
        <v>7568</v>
      </c>
      <c r="C28" s="14">
        <f>(6329/B28*100)</f>
        <v>83.628435517970402</v>
      </c>
      <c r="D28" s="15">
        <v>1239</v>
      </c>
      <c r="E28" s="14">
        <v>38.510137299999997</v>
      </c>
      <c r="F28" s="16">
        <v>1.55622119</v>
      </c>
      <c r="G28" s="14">
        <v>10.825342470000001</v>
      </c>
      <c r="H28" s="16">
        <v>1.0298530800000001</v>
      </c>
      <c r="I28" s="14">
        <v>50.664520230000001</v>
      </c>
      <c r="J28" s="16">
        <v>1.68252628</v>
      </c>
      <c r="K28" s="14" t="s">
        <v>139</v>
      </c>
      <c r="L28" s="16" t="s">
        <v>139</v>
      </c>
      <c r="M28" s="14">
        <v>0</v>
      </c>
      <c r="N28" s="16">
        <v>0</v>
      </c>
      <c r="O28" s="14">
        <v>0</v>
      </c>
      <c r="P28" s="16">
        <v>0</v>
      </c>
      <c r="Q28" s="14">
        <v>0</v>
      </c>
      <c r="R28" s="16">
        <v>0</v>
      </c>
      <c r="S28" s="14">
        <v>0</v>
      </c>
      <c r="T28" s="16">
        <v>0</v>
      </c>
    </row>
    <row r="29" spans="1:20" x14ac:dyDescent="0.25">
      <c r="A29" s="11" t="s">
        <v>162</v>
      </c>
      <c r="B29" s="13">
        <v>5385</v>
      </c>
      <c r="C29" s="14">
        <f>(4499/B29*100)</f>
        <v>83.546889507892303</v>
      </c>
      <c r="D29" s="15">
        <v>886</v>
      </c>
      <c r="E29" s="14">
        <v>16.13502008</v>
      </c>
      <c r="F29" s="16">
        <v>1.4086435900000001</v>
      </c>
      <c r="G29" s="14">
        <v>19.673368100000001</v>
      </c>
      <c r="H29" s="16">
        <v>1.4043185</v>
      </c>
      <c r="I29" s="14">
        <v>64.191611820000006</v>
      </c>
      <c r="J29" s="16">
        <v>1.7016605300000001</v>
      </c>
      <c r="K29" s="14" t="s">
        <v>139</v>
      </c>
      <c r="L29" s="16" t="s">
        <v>139</v>
      </c>
      <c r="M29" s="14">
        <v>0</v>
      </c>
      <c r="N29" s="16">
        <v>0</v>
      </c>
      <c r="O29" s="14">
        <v>0</v>
      </c>
      <c r="P29" s="16">
        <v>0</v>
      </c>
      <c r="Q29" s="14">
        <v>0</v>
      </c>
      <c r="R29" s="16">
        <v>0</v>
      </c>
      <c r="S29" s="14">
        <v>0</v>
      </c>
      <c r="T29" s="16">
        <v>0</v>
      </c>
    </row>
    <row r="30" spans="1:20" x14ac:dyDescent="0.25">
      <c r="A30" s="11" t="s">
        <v>163</v>
      </c>
      <c r="B30" s="13">
        <v>4520</v>
      </c>
      <c r="C30" s="14">
        <f>(3785/B30*100)</f>
        <v>83.738938053097343</v>
      </c>
      <c r="D30" s="15">
        <v>735</v>
      </c>
      <c r="E30" s="14">
        <v>29.453418790000001</v>
      </c>
      <c r="F30" s="16">
        <v>2.00254296</v>
      </c>
      <c r="G30" s="14">
        <v>13.260180910000001</v>
      </c>
      <c r="H30" s="16">
        <v>1.2930547400000001</v>
      </c>
      <c r="I30" s="14">
        <v>57.286400299999997</v>
      </c>
      <c r="J30" s="16">
        <v>1.8719663499999999</v>
      </c>
      <c r="K30" s="14" t="s">
        <v>139</v>
      </c>
      <c r="L30" s="16" t="s">
        <v>139</v>
      </c>
      <c r="M30" s="14">
        <v>0</v>
      </c>
      <c r="N30" s="16">
        <v>0</v>
      </c>
      <c r="O30" s="14">
        <v>0</v>
      </c>
      <c r="P30" s="16">
        <v>0</v>
      </c>
      <c r="Q30" s="14">
        <v>0</v>
      </c>
      <c r="R30" s="16">
        <v>0</v>
      </c>
      <c r="S30" s="14">
        <v>0</v>
      </c>
      <c r="T30" s="16">
        <v>0</v>
      </c>
    </row>
    <row r="31" spans="1:20" x14ac:dyDescent="0.25">
      <c r="A31" s="11" t="s">
        <v>164</v>
      </c>
      <c r="B31" s="13">
        <v>5456</v>
      </c>
      <c r="C31" s="14">
        <f>(4540/B31*100)</f>
        <v>83.21114369501467</v>
      </c>
      <c r="D31" s="15">
        <v>916</v>
      </c>
      <c r="E31" s="14">
        <v>25.098658799999999</v>
      </c>
      <c r="F31" s="16">
        <v>1.4803081899999999</v>
      </c>
      <c r="G31" s="14">
        <v>12.13475635</v>
      </c>
      <c r="H31" s="16">
        <v>1.1014787699999999</v>
      </c>
      <c r="I31" s="14">
        <v>62.766584850000001</v>
      </c>
      <c r="J31" s="16">
        <v>1.7410631400000001</v>
      </c>
      <c r="K31" s="14" t="s">
        <v>139</v>
      </c>
      <c r="L31" s="16" t="s">
        <v>139</v>
      </c>
      <c r="M31" s="14">
        <v>0</v>
      </c>
      <c r="N31" s="16">
        <v>0</v>
      </c>
      <c r="O31" s="14">
        <v>0</v>
      </c>
      <c r="P31" s="16">
        <v>0</v>
      </c>
      <c r="Q31" s="14">
        <v>0</v>
      </c>
      <c r="R31" s="16">
        <v>0</v>
      </c>
      <c r="S31" s="14">
        <v>0</v>
      </c>
      <c r="T31" s="16">
        <v>0</v>
      </c>
    </row>
    <row r="32" spans="1:20" x14ac:dyDescent="0.25">
      <c r="A32" s="11" t="s">
        <v>165</v>
      </c>
      <c r="B32" s="17" t="s">
        <v>154</v>
      </c>
      <c r="C32" s="17" t="s">
        <v>154</v>
      </c>
      <c r="D32" s="18" t="s">
        <v>154</v>
      </c>
      <c r="E32" s="17" t="s">
        <v>154</v>
      </c>
      <c r="F32" s="18" t="s">
        <v>154</v>
      </c>
      <c r="G32" s="17" t="s">
        <v>154</v>
      </c>
      <c r="H32" s="18" t="s">
        <v>154</v>
      </c>
      <c r="I32" s="17" t="s">
        <v>154</v>
      </c>
      <c r="J32" s="18" t="s">
        <v>154</v>
      </c>
      <c r="K32" s="17" t="s">
        <v>154</v>
      </c>
      <c r="L32" s="18" t="s">
        <v>154</v>
      </c>
      <c r="M32" s="17" t="s">
        <v>154</v>
      </c>
      <c r="N32" s="18" t="s">
        <v>154</v>
      </c>
      <c r="O32" s="17" t="s">
        <v>154</v>
      </c>
      <c r="P32" s="18" t="s">
        <v>154</v>
      </c>
      <c r="Q32" s="17" t="s">
        <v>154</v>
      </c>
      <c r="R32" s="18" t="s">
        <v>154</v>
      </c>
      <c r="S32" s="17" t="s">
        <v>154</v>
      </c>
      <c r="T32" s="18" t="s">
        <v>154</v>
      </c>
    </row>
    <row r="33" spans="1:20" x14ac:dyDescent="0.25">
      <c r="A33" s="11" t="s">
        <v>166</v>
      </c>
      <c r="B33" s="13">
        <v>7325</v>
      </c>
      <c r="C33" s="14">
        <f>(6097/B33*100)</f>
        <v>83.235494880546085</v>
      </c>
      <c r="D33" s="15">
        <v>1228</v>
      </c>
      <c r="E33" s="14">
        <v>38.05936913</v>
      </c>
      <c r="F33" s="16">
        <v>1.6203573899999999</v>
      </c>
      <c r="G33" s="14">
        <v>20.676106950000001</v>
      </c>
      <c r="H33" s="16">
        <v>1.3564364200000001</v>
      </c>
      <c r="I33" s="14">
        <v>41.264523920000002</v>
      </c>
      <c r="J33" s="16">
        <v>1.5834757699999999</v>
      </c>
      <c r="K33" s="14" t="s">
        <v>139</v>
      </c>
      <c r="L33" s="16" t="s">
        <v>139</v>
      </c>
      <c r="M33" s="14">
        <v>0</v>
      </c>
      <c r="N33" s="16">
        <v>0</v>
      </c>
      <c r="O33" s="14">
        <v>0</v>
      </c>
      <c r="P33" s="16">
        <v>0</v>
      </c>
      <c r="Q33" s="14">
        <v>0</v>
      </c>
      <c r="R33" s="16">
        <v>0</v>
      </c>
      <c r="S33" s="14">
        <v>0</v>
      </c>
      <c r="T33" s="16">
        <v>0</v>
      </c>
    </row>
    <row r="34" spans="1:20" x14ac:dyDescent="0.25">
      <c r="A34" s="11" t="s">
        <v>167</v>
      </c>
      <c r="B34" s="13">
        <v>6350</v>
      </c>
      <c r="C34" s="14">
        <f>(5305/B34*100)</f>
        <v>83.543307086614178</v>
      </c>
      <c r="D34" s="15">
        <v>1045</v>
      </c>
      <c r="E34" s="14">
        <v>36.12175234</v>
      </c>
      <c r="F34" s="16">
        <v>1.74726632</v>
      </c>
      <c r="G34" s="14">
        <v>16.60390349</v>
      </c>
      <c r="H34" s="16">
        <v>1.24126482</v>
      </c>
      <c r="I34" s="14">
        <v>47.274344169999999</v>
      </c>
      <c r="J34" s="16">
        <v>1.71354289</v>
      </c>
      <c r="K34" s="14" t="s">
        <v>139</v>
      </c>
      <c r="L34" s="16" t="s">
        <v>139</v>
      </c>
      <c r="M34" s="14">
        <v>0</v>
      </c>
      <c r="N34" s="16">
        <v>0</v>
      </c>
      <c r="O34" s="14">
        <v>0</v>
      </c>
      <c r="P34" s="16">
        <v>0</v>
      </c>
      <c r="Q34" s="14">
        <v>0</v>
      </c>
      <c r="R34" s="16">
        <v>0</v>
      </c>
      <c r="S34" s="14">
        <v>0</v>
      </c>
      <c r="T34" s="16">
        <v>0</v>
      </c>
    </row>
    <row r="35" spans="1:20" x14ac:dyDescent="0.25">
      <c r="A35" s="11" t="s">
        <v>168</v>
      </c>
      <c r="B35" s="13">
        <v>6406</v>
      </c>
      <c r="C35" s="14">
        <f>(5349/B35*100)</f>
        <v>83.499843896347173</v>
      </c>
      <c r="D35" s="15">
        <v>1057</v>
      </c>
      <c r="E35" s="14">
        <v>22.332147930000001</v>
      </c>
      <c r="F35" s="16">
        <v>1.5846696300000001</v>
      </c>
      <c r="G35" s="14">
        <v>14.47613194</v>
      </c>
      <c r="H35" s="16">
        <v>1.22998396</v>
      </c>
      <c r="I35" s="14">
        <v>63.191720119999999</v>
      </c>
      <c r="J35" s="16">
        <v>1.7281889699999999</v>
      </c>
      <c r="K35" s="14" t="s">
        <v>139</v>
      </c>
      <c r="L35" s="16" t="s">
        <v>139</v>
      </c>
      <c r="M35" s="14">
        <v>0</v>
      </c>
      <c r="N35" s="16">
        <v>0</v>
      </c>
      <c r="O35" s="14">
        <v>0</v>
      </c>
      <c r="P35" s="16">
        <v>0</v>
      </c>
      <c r="Q35" s="14">
        <v>0</v>
      </c>
      <c r="R35" s="16">
        <v>0</v>
      </c>
      <c r="S35" s="14">
        <v>0</v>
      </c>
      <c r="T35" s="16">
        <v>0</v>
      </c>
    </row>
    <row r="36" spans="1:20" x14ac:dyDescent="0.25">
      <c r="A36" s="11" t="s">
        <v>169</v>
      </c>
      <c r="B36" s="13">
        <v>6736</v>
      </c>
      <c r="C36" s="14">
        <f>(5587/B36*100)</f>
        <v>82.942399049881232</v>
      </c>
      <c r="D36" s="15">
        <v>1149</v>
      </c>
      <c r="E36" s="14">
        <v>25.459432039999999</v>
      </c>
      <c r="F36" s="16">
        <v>1.73949087</v>
      </c>
      <c r="G36" s="14">
        <v>13.360418790000001</v>
      </c>
      <c r="H36" s="16">
        <v>1.130663</v>
      </c>
      <c r="I36" s="14">
        <v>61.18014917</v>
      </c>
      <c r="J36" s="16">
        <v>1.6750745499999999</v>
      </c>
      <c r="K36" s="14" t="s">
        <v>139</v>
      </c>
      <c r="L36" s="16" t="s">
        <v>139</v>
      </c>
      <c r="M36" s="14">
        <v>0</v>
      </c>
      <c r="N36" s="16">
        <v>0</v>
      </c>
      <c r="O36" s="14">
        <v>0</v>
      </c>
      <c r="P36" s="16">
        <v>0</v>
      </c>
      <c r="Q36" s="14">
        <v>0</v>
      </c>
      <c r="R36" s="16">
        <v>0</v>
      </c>
      <c r="S36" s="14">
        <v>0</v>
      </c>
      <c r="T36" s="16">
        <v>0</v>
      </c>
    </row>
    <row r="37" spans="1:20" x14ac:dyDescent="0.25">
      <c r="A37" s="11" t="s">
        <v>170</v>
      </c>
      <c r="B37" s="13">
        <v>5458</v>
      </c>
      <c r="C37" s="14">
        <f>(4553/B37*100)</f>
        <v>83.418834737999276</v>
      </c>
      <c r="D37" s="15">
        <v>905</v>
      </c>
      <c r="E37" s="14">
        <v>31.278824589999999</v>
      </c>
      <c r="F37" s="16">
        <v>1.5213416399999999</v>
      </c>
      <c r="G37" s="14">
        <v>16.688373989999999</v>
      </c>
      <c r="H37" s="16">
        <v>1.1684548800000001</v>
      </c>
      <c r="I37" s="14">
        <v>52.032801419999998</v>
      </c>
      <c r="J37" s="16">
        <v>1.59370988</v>
      </c>
      <c r="K37" s="14" t="s">
        <v>139</v>
      </c>
      <c r="L37" s="16" t="s">
        <v>139</v>
      </c>
      <c r="M37" s="14">
        <v>0</v>
      </c>
      <c r="N37" s="16">
        <v>0</v>
      </c>
      <c r="O37" s="14">
        <v>0</v>
      </c>
      <c r="P37" s="16">
        <v>0</v>
      </c>
      <c r="Q37" s="14">
        <v>0</v>
      </c>
      <c r="R37" s="16">
        <v>0</v>
      </c>
      <c r="S37" s="14">
        <v>0</v>
      </c>
      <c r="T37" s="16">
        <v>0</v>
      </c>
    </row>
    <row r="38" spans="1:20" x14ac:dyDescent="0.25">
      <c r="A38" s="11" t="s">
        <v>171</v>
      </c>
      <c r="B38" s="17" t="s">
        <v>154</v>
      </c>
      <c r="C38" s="17" t="s">
        <v>154</v>
      </c>
      <c r="D38" s="18" t="s">
        <v>154</v>
      </c>
      <c r="E38" s="17" t="s">
        <v>154</v>
      </c>
      <c r="F38" s="18" t="s">
        <v>154</v>
      </c>
      <c r="G38" s="17" t="s">
        <v>154</v>
      </c>
      <c r="H38" s="18" t="s">
        <v>154</v>
      </c>
      <c r="I38" s="17" t="s">
        <v>154</v>
      </c>
      <c r="J38" s="18" t="s">
        <v>154</v>
      </c>
      <c r="K38" s="17" t="s">
        <v>154</v>
      </c>
      <c r="L38" s="18" t="s">
        <v>154</v>
      </c>
      <c r="M38" s="17" t="s">
        <v>154</v>
      </c>
      <c r="N38" s="18" t="s">
        <v>154</v>
      </c>
      <c r="O38" s="17" t="s">
        <v>154</v>
      </c>
      <c r="P38" s="18" t="s">
        <v>154</v>
      </c>
      <c r="Q38" s="17" t="s">
        <v>154</v>
      </c>
      <c r="R38" s="18" t="s">
        <v>154</v>
      </c>
      <c r="S38" s="17" t="s">
        <v>154</v>
      </c>
      <c r="T38" s="18" t="s">
        <v>154</v>
      </c>
    </row>
    <row r="39" spans="1:20" x14ac:dyDescent="0.25">
      <c r="A39" s="11" t="s">
        <v>172</v>
      </c>
      <c r="B39" s="13">
        <v>5895</v>
      </c>
      <c r="C39" s="14">
        <f>(4863/B39*100)</f>
        <v>82.493638676844782</v>
      </c>
      <c r="D39" s="15">
        <v>1032</v>
      </c>
      <c r="E39" s="14">
        <v>40.507628339999997</v>
      </c>
      <c r="F39" s="16">
        <v>2.0978479000000001</v>
      </c>
      <c r="G39" s="14">
        <v>18.74403877</v>
      </c>
      <c r="H39" s="16">
        <v>1.22966595</v>
      </c>
      <c r="I39" s="14">
        <v>40.74833289</v>
      </c>
      <c r="J39" s="16">
        <v>2.0599894299999999</v>
      </c>
      <c r="K39" s="14" t="s">
        <v>139</v>
      </c>
      <c r="L39" s="16" t="s">
        <v>139</v>
      </c>
      <c r="M39" s="14">
        <v>0</v>
      </c>
      <c r="N39" s="16">
        <v>0</v>
      </c>
      <c r="O39" s="14">
        <v>0</v>
      </c>
      <c r="P39" s="16">
        <v>0</v>
      </c>
      <c r="Q39" s="14">
        <v>0</v>
      </c>
      <c r="R39" s="16">
        <v>0</v>
      </c>
      <c r="S39" s="14">
        <v>0</v>
      </c>
      <c r="T39" s="16">
        <v>0</v>
      </c>
    </row>
    <row r="40" spans="1:20" x14ac:dyDescent="0.25">
      <c r="A40" s="11" t="s">
        <v>173</v>
      </c>
      <c r="B40" s="13">
        <v>14157</v>
      </c>
      <c r="C40" s="14">
        <f>(11741/B40*100)</f>
        <v>82.93423747969203</v>
      </c>
      <c r="D40" s="15">
        <v>2416</v>
      </c>
      <c r="E40" s="14">
        <v>25.524254119999998</v>
      </c>
      <c r="F40" s="16">
        <v>1.53473959</v>
      </c>
      <c r="G40" s="14">
        <v>17.150797130000001</v>
      </c>
      <c r="H40" s="16">
        <v>1.22033407</v>
      </c>
      <c r="I40" s="14">
        <v>57.324948749999997</v>
      </c>
      <c r="J40" s="16">
        <v>2.0272075100000002</v>
      </c>
      <c r="K40" s="14" t="s">
        <v>139</v>
      </c>
      <c r="L40" s="16" t="s">
        <v>139</v>
      </c>
      <c r="M40" s="14">
        <v>0</v>
      </c>
      <c r="N40" s="16">
        <v>0</v>
      </c>
      <c r="O40" s="14">
        <v>0</v>
      </c>
      <c r="P40" s="16">
        <v>0</v>
      </c>
      <c r="Q40" s="14">
        <v>0</v>
      </c>
      <c r="R40" s="16">
        <v>0</v>
      </c>
      <c r="S40" s="14">
        <v>0</v>
      </c>
      <c r="T40" s="16">
        <v>0</v>
      </c>
    </row>
    <row r="41" spans="1:20" x14ac:dyDescent="0.25">
      <c r="A41" s="11" t="s">
        <v>174</v>
      </c>
      <c r="B41" s="13">
        <v>5712</v>
      </c>
      <c r="C41" s="14">
        <f>(4732/B41*100)</f>
        <v>82.843137254901961</v>
      </c>
      <c r="D41" s="15">
        <v>980</v>
      </c>
      <c r="E41" s="14">
        <v>26.467031729999999</v>
      </c>
      <c r="F41" s="16">
        <v>1.5327805699999999</v>
      </c>
      <c r="G41" s="14">
        <v>19.602593429999999</v>
      </c>
      <c r="H41" s="16">
        <v>1.1491609700000001</v>
      </c>
      <c r="I41" s="14">
        <v>53.930374839999999</v>
      </c>
      <c r="J41" s="16">
        <v>1.6831265900000001</v>
      </c>
      <c r="K41" s="14" t="s">
        <v>139</v>
      </c>
      <c r="L41" s="16" t="s">
        <v>139</v>
      </c>
      <c r="M41" s="14">
        <v>0</v>
      </c>
      <c r="N41" s="16">
        <v>0</v>
      </c>
      <c r="O41" s="14">
        <v>0</v>
      </c>
      <c r="P41" s="16">
        <v>0</v>
      </c>
      <c r="Q41" s="14">
        <v>0</v>
      </c>
      <c r="R41" s="16">
        <v>0</v>
      </c>
      <c r="S41" s="14">
        <v>0</v>
      </c>
      <c r="T41" s="16">
        <v>0</v>
      </c>
    </row>
    <row r="42" spans="1:20" x14ac:dyDescent="0.25">
      <c r="A42" s="11" t="s">
        <v>175</v>
      </c>
      <c r="B42" s="13">
        <f>IF(COUNT(B7:B41) &gt; 0, AVERAGE(B7:B41), "\u2014")</f>
        <v>7266.90625</v>
      </c>
      <c r="C42" s="14">
        <f>IF(COUNT(C7:C41) &gt; 0, AVERAGE(C7:C41), "—")</f>
        <v>83.128406570357896</v>
      </c>
      <c r="D42" s="15">
        <f>IF(COUNT(D7:D41) &gt; 0, AVERAGE(D7:D41), "—")</f>
        <v>1226.78125</v>
      </c>
      <c r="E42" s="14">
        <f>IF(COUNT(E7:E41) &gt; 0, AVERAGE(E7:E41), "—")</f>
        <v>28.300276171875005</v>
      </c>
      <c r="F42" s="16">
        <f>IF(COUNT(F7:F41) &gt; 0, SQRT(SUMSQ(F7:F41)/(COUNT(F7:F41)*COUNT(F7:F41)) ), "—")</f>
        <v>0.27590173344864138</v>
      </c>
      <c r="G42" s="14">
        <f>IF(COUNT(G7:G41) &gt; 0, AVERAGE(G7:G41), "—")</f>
        <v>17.024457354374995</v>
      </c>
      <c r="H42" s="16">
        <f>IF(COUNT(H7:H41) &gt; 0, SQRT(SUMSQ(H7:H41)/(COUNT(H7:H41)*COUNT(H7:H41)) ), "—")</f>
        <v>0.21587373213442274</v>
      </c>
      <c r="I42" s="14">
        <f>IF(COUNT(I7:I41) &gt; 0, AVERAGE(I7:I41), "—")</f>
        <v>54.675266472812496</v>
      </c>
      <c r="J42" s="16">
        <f>IF(COUNT(J7:J41) &gt; 0, SQRT(SUMSQ(J7:J41)/(COUNT(J7:J41)*COUNT(J7:J41)) ), "—")</f>
        <v>0.29470905760193689</v>
      </c>
      <c r="K42" s="14" t="str">
        <f>IF(COUNT(K7:K41) &gt; 0, AVERAGE(K7:K41), "—")</f>
        <v>—</v>
      </c>
      <c r="L42" s="16" t="str">
        <f>IF(COUNT(L7:L41) &gt; 0, SQRT(SUMSQ(L7:L41)/(COUNT(L7:L41)*COUNT(L7:L41)) ), "—")</f>
        <v>—</v>
      </c>
      <c r="M42" s="14">
        <f>IF(COUNT(M7:M41) &gt; 0, AVERAGE(M7:M41), "—")</f>
        <v>0</v>
      </c>
      <c r="N42" s="16">
        <f>IF(COUNT(N7:N41) &gt; 0, SQRT(SUMSQ(N7:N41)/(COUNT(N7:N41)*COUNT(N7:N41)) ), "—")</f>
        <v>0</v>
      </c>
      <c r="O42" s="14">
        <f>IF(COUNT(O7:O41) &gt; 0, AVERAGE(O7:O41), "—")</f>
        <v>0</v>
      </c>
      <c r="P42" s="16">
        <f>IF(COUNT(P7:P41) &gt; 0, SQRT(SUMSQ(P7:P41)/(COUNT(P7:P41)*COUNT(P7:P41)) ), "—")</f>
        <v>0</v>
      </c>
      <c r="Q42" s="14">
        <f>IF(COUNT(Q7:Q41) &gt; 0, AVERAGE(Q7:Q41), "—")</f>
        <v>0</v>
      </c>
      <c r="R42" s="16">
        <f>IF(COUNT(R7:R41) &gt; 0, SQRT(SUMSQ(R7:R41)/(COUNT(R7:R41)*COUNT(R7:R41)) ), "—")</f>
        <v>0</v>
      </c>
      <c r="S42" s="14">
        <f>IF(COUNT(S7:S41) &gt; 0, AVERAGE(S7:S41), "—")</f>
        <v>0</v>
      </c>
      <c r="T42" s="16">
        <f>IF(COUNT(T7:T41) &gt; 0, SQRT(SUMSQ(T7:T41)/(COUNT(T7:T41)*COUNT(T7:T41)) ), "—")</f>
        <v>0</v>
      </c>
    </row>
    <row r="43" spans="1:20" x14ac:dyDescent="0.25">
      <c r="A43" s="9" t="s">
        <v>176</v>
      </c>
      <c r="B43" s="10"/>
      <c r="C43" s="10"/>
      <c r="D43" s="11"/>
      <c r="E43" s="10"/>
      <c r="F43" s="11"/>
      <c r="G43" s="10"/>
      <c r="H43" s="11"/>
      <c r="I43" s="10"/>
      <c r="J43" s="11"/>
      <c r="K43" s="10"/>
      <c r="L43" s="11"/>
      <c r="M43" s="10"/>
      <c r="N43" s="11"/>
      <c r="O43" s="10"/>
      <c r="P43" s="11"/>
      <c r="Q43" s="10"/>
      <c r="R43" s="11"/>
      <c r="S43" s="10"/>
      <c r="T43" s="12"/>
    </row>
    <row r="44" spans="1:20" x14ac:dyDescent="0.25">
      <c r="A44" s="11" t="s">
        <v>177</v>
      </c>
      <c r="B44" s="17" t="s">
        <v>154</v>
      </c>
      <c r="C44" s="17" t="s">
        <v>154</v>
      </c>
      <c r="D44" s="18" t="s">
        <v>154</v>
      </c>
      <c r="E44" s="17" t="s">
        <v>154</v>
      </c>
      <c r="F44" s="18" t="s">
        <v>154</v>
      </c>
      <c r="G44" s="17" t="s">
        <v>154</v>
      </c>
      <c r="H44" s="18" t="s">
        <v>154</v>
      </c>
      <c r="I44" s="17" t="s">
        <v>154</v>
      </c>
      <c r="J44" s="18" t="s">
        <v>154</v>
      </c>
      <c r="K44" s="17" t="s">
        <v>154</v>
      </c>
      <c r="L44" s="18" t="s">
        <v>154</v>
      </c>
      <c r="M44" s="17" t="s">
        <v>154</v>
      </c>
      <c r="N44" s="18" t="s">
        <v>154</v>
      </c>
      <c r="O44" s="17" t="s">
        <v>154</v>
      </c>
      <c r="P44" s="18" t="s">
        <v>154</v>
      </c>
      <c r="Q44" s="17" t="s">
        <v>154</v>
      </c>
      <c r="R44" s="18" t="s">
        <v>154</v>
      </c>
      <c r="S44" s="17" t="s">
        <v>154</v>
      </c>
      <c r="T44" s="18" t="s">
        <v>154</v>
      </c>
    </row>
    <row r="45" spans="1:20" x14ac:dyDescent="0.25">
      <c r="A45" s="11" t="s">
        <v>178</v>
      </c>
      <c r="B45" s="17" t="s">
        <v>154</v>
      </c>
      <c r="C45" s="17" t="s">
        <v>154</v>
      </c>
      <c r="D45" s="18" t="s">
        <v>154</v>
      </c>
      <c r="E45" s="17" t="s">
        <v>154</v>
      </c>
      <c r="F45" s="18" t="s">
        <v>154</v>
      </c>
      <c r="G45" s="17" t="s">
        <v>154</v>
      </c>
      <c r="H45" s="18" t="s">
        <v>154</v>
      </c>
      <c r="I45" s="17" t="s">
        <v>154</v>
      </c>
      <c r="J45" s="18" t="s">
        <v>154</v>
      </c>
      <c r="K45" s="17" t="s">
        <v>154</v>
      </c>
      <c r="L45" s="18" t="s">
        <v>154</v>
      </c>
      <c r="M45" s="17" t="s">
        <v>154</v>
      </c>
      <c r="N45" s="18" t="s">
        <v>154</v>
      </c>
      <c r="O45" s="17" t="s">
        <v>154</v>
      </c>
      <c r="P45" s="18" t="s">
        <v>154</v>
      </c>
      <c r="Q45" s="17" t="s">
        <v>154</v>
      </c>
      <c r="R45" s="18" t="s">
        <v>154</v>
      </c>
      <c r="S45" s="17" t="s">
        <v>154</v>
      </c>
      <c r="T45" s="18" t="s">
        <v>154</v>
      </c>
    </row>
    <row r="46" spans="1:20" x14ac:dyDescent="0.25">
      <c r="A46" s="11" t="s">
        <v>179</v>
      </c>
      <c r="B46" s="13">
        <v>23141</v>
      </c>
      <c r="C46" s="14">
        <f>(19861/B46*100)</f>
        <v>85.826023075925846</v>
      </c>
      <c r="D46" s="15">
        <v>3280</v>
      </c>
      <c r="E46" s="14">
        <v>40.480198039999998</v>
      </c>
      <c r="F46" s="16">
        <v>1.2797783300000001</v>
      </c>
      <c r="G46" s="14">
        <v>15.164554239999999</v>
      </c>
      <c r="H46" s="16">
        <v>0.74781319999999996</v>
      </c>
      <c r="I46" s="14">
        <v>44.35524771</v>
      </c>
      <c r="J46" s="16">
        <v>1.15534837</v>
      </c>
      <c r="K46" s="14" t="s">
        <v>139</v>
      </c>
      <c r="L46" s="16" t="s">
        <v>139</v>
      </c>
      <c r="M46" s="14">
        <v>0</v>
      </c>
      <c r="N46" s="16">
        <v>0</v>
      </c>
      <c r="O46" s="14">
        <v>0</v>
      </c>
      <c r="P46" s="16">
        <v>0</v>
      </c>
      <c r="Q46" s="14">
        <v>0</v>
      </c>
      <c r="R46" s="16">
        <v>0</v>
      </c>
      <c r="S46" s="14">
        <v>0</v>
      </c>
      <c r="T46" s="16">
        <v>0</v>
      </c>
    </row>
    <row r="47" spans="1:20" x14ac:dyDescent="0.25">
      <c r="A47" s="11" t="s">
        <v>180</v>
      </c>
      <c r="B47" s="13">
        <v>5928</v>
      </c>
      <c r="C47" s="14">
        <f>(4932/B47*100)</f>
        <v>83.198380566801617</v>
      </c>
      <c r="D47" s="15">
        <v>996</v>
      </c>
      <c r="E47" s="14">
        <v>38.234369360000002</v>
      </c>
      <c r="F47" s="16">
        <v>1.8483192799999999</v>
      </c>
      <c r="G47" s="14">
        <v>17.471829880000001</v>
      </c>
      <c r="H47" s="16">
        <v>1.36208979</v>
      </c>
      <c r="I47" s="14">
        <v>44.293800760000003</v>
      </c>
      <c r="J47" s="16">
        <v>1.6991951000000001</v>
      </c>
      <c r="K47" s="14" t="s">
        <v>139</v>
      </c>
      <c r="L47" s="16" t="s">
        <v>139</v>
      </c>
      <c r="M47" s="14">
        <v>0</v>
      </c>
      <c r="N47" s="16">
        <v>0</v>
      </c>
      <c r="O47" s="14">
        <v>0</v>
      </c>
      <c r="P47" s="16">
        <v>0</v>
      </c>
      <c r="Q47" s="14">
        <v>0</v>
      </c>
      <c r="R47" s="16">
        <v>0</v>
      </c>
      <c r="S47" s="14">
        <v>0</v>
      </c>
      <c r="T47" s="16">
        <v>0</v>
      </c>
    </row>
    <row r="48" spans="1:20" x14ac:dyDescent="0.25">
      <c r="A48" s="11" t="s">
        <v>181</v>
      </c>
      <c r="B48" s="13">
        <v>9841</v>
      </c>
      <c r="C48" s="14">
        <f>(8170/B48*100)</f>
        <v>83.020018290824112</v>
      </c>
      <c r="D48" s="15">
        <v>1671</v>
      </c>
      <c r="E48" s="14">
        <v>24.7815318</v>
      </c>
      <c r="F48" s="16">
        <v>1.73823595</v>
      </c>
      <c r="G48" s="14">
        <v>13.844825569999999</v>
      </c>
      <c r="H48" s="16">
        <v>0.89520040999999995</v>
      </c>
      <c r="I48" s="14">
        <v>61.373642629999999</v>
      </c>
      <c r="J48" s="16">
        <v>1.7127917500000001</v>
      </c>
      <c r="K48" s="14" t="s">
        <v>139</v>
      </c>
      <c r="L48" s="16" t="s">
        <v>139</v>
      </c>
      <c r="M48" s="14">
        <v>0</v>
      </c>
      <c r="N48" s="16">
        <v>0</v>
      </c>
      <c r="O48" s="14">
        <v>0</v>
      </c>
      <c r="P48" s="16">
        <v>0</v>
      </c>
      <c r="Q48" s="14">
        <v>0</v>
      </c>
      <c r="R48" s="16">
        <v>0</v>
      </c>
      <c r="S48" s="14">
        <v>0</v>
      </c>
      <c r="T48" s="16">
        <v>0</v>
      </c>
    </row>
    <row r="49" spans="1:20" x14ac:dyDescent="0.25">
      <c r="A49" s="11" t="s">
        <v>182</v>
      </c>
      <c r="B49" s="17" t="s">
        <v>154</v>
      </c>
      <c r="C49" s="17" t="s">
        <v>154</v>
      </c>
      <c r="D49" s="18" t="s">
        <v>154</v>
      </c>
      <c r="E49" s="17" t="s">
        <v>154</v>
      </c>
      <c r="F49" s="18" t="s">
        <v>154</v>
      </c>
      <c r="G49" s="17" t="s">
        <v>154</v>
      </c>
      <c r="H49" s="18" t="s">
        <v>154</v>
      </c>
      <c r="I49" s="17" t="s">
        <v>154</v>
      </c>
      <c r="J49" s="18" t="s">
        <v>154</v>
      </c>
      <c r="K49" s="17" t="s">
        <v>154</v>
      </c>
      <c r="L49" s="18" t="s">
        <v>154</v>
      </c>
      <c r="M49" s="17" t="s">
        <v>154</v>
      </c>
      <c r="N49" s="18" t="s">
        <v>154</v>
      </c>
      <c r="O49" s="17" t="s">
        <v>154</v>
      </c>
      <c r="P49" s="18" t="s">
        <v>154</v>
      </c>
      <c r="Q49" s="17" t="s">
        <v>154</v>
      </c>
      <c r="R49" s="18" t="s">
        <v>154</v>
      </c>
      <c r="S49" s="17" t="s">
        <v>154</v>
      </c>
      <c r="T49" s="18" t="s">
        <v>154</v>
      </c>
    </row>
    <row r="50" spans="1:20" x14ac:dyDescent="0.25">
      <c r="A50" s="11" t="s">
        <v>183</v>
      </c>
      <c r="B50" s="13">
        <v>11795</v>
      </c>
      <c r="C50" s="14">
        <f>(9825/B50*100)</f>
        <v>83.298007630351847</v>
      </c>
      <c r="D50" s="15">
        <v>1970</v>
      </c>
      <c r="E50" s="14">
        <v>41.758998030000001</v>
      </c>
      <c r="F50" s="16">
        <v>1.57673839</v>
      </c>
      <c r="G50" s="14">
        <v>16.474782300000001</v>
      </c>
      <c r="H50" s="16">
        <v>1.05252144</v>
      </c>
      <c r="I50" s="14">
        <v>41.766219669999998</v>
      </c>
      <c r="J50" s="16">
        <v>1.27373274</v>
      </c>
      <c r="K50" s="14" t="s">
        <v>139</v>
      </c>
      <c r="L50" s="16" t="s">
        <v>139</v>
      </c>
      <c r="M50" s="14">
        <v>0</v>
      </c>
      <c r="N50" s="16">
        <v>0</v>
      </c>
      <c r="O50" s="14">
        <v>0</v>
      </c>
      <c r="P50" s="16">
        <v>0</v>
      </c>
      <c r="Q50" s="14">
        <v>0</v>
      </c>
      <c r="R50" s="16">
        <v>0</v>
      </c>
      <c r="S50" s="14">
        <v>0</v>
      </c>
      <c r="T50" s="16">
        <v>0</v>
      </c>
    </row>
    <row r="51" spans="1:20" x14ac:dyDescent="0.25">
      <c r="A51" s="11" t="s">
        <v>184</v>
      </c>
      <c r="B51" s="13">
        <v>6866</v>
      </c>
      <c r="C51" s="14">
        <f>(5838/B51*100)</f>
        <v>85.027672589571807</v>
      </c>
      <c r="D51" s="15">
        <v>1028</v>
      </c>
      <c r="E51" s="14">
        <v>39.619206329999997</v>
      </c>
      <c r="F51" s="16">
        <v>1.5903772700000001</v>
      </c>
      <c r="G51" s="14">
        <v>15.41086395</v>
      </c>
      <c r="H51" s="16">
        <v>1.1837559</v>
      </c>
      <c r="I51" s="14">
        <v>44.969929710000002</v>
      </c>
      <c r="J51" s="16">
        <v>1.76439441</v>
      </c>
      <c r="K51" s="14" t="s">
        <v>139</v>
      </c>
      <c r="L51" s="16" t="s">
        <v>139</v>
      </c>
      <c r="M51" s="14">
        <v>0</v>
      </c>
      <c r="N51" s="16">
        <v>0</v>
      </c>
      <c r="O51" s="14">
        <v>0</v>
      </c>
      <c r="P51" s="16">
        <v>0</v>
      </c>
      <c r="Q51" s="14">
        <v>0</v>
      </c>
      <c r="R51" s="16">
        <v>0</v>
      </c>
      <c r="S51" s="14">
        <v>0</v>
      </c>
      <c r="T51" s="16">
        <v>0</v>
      </c>
    </row>
    <row r="52" spans="1:20" x14ac:dyDescent="0.25">
      <c r="A52" s="11" t="s">
        <v>185</v>
      </c>
      <c r="B52" s="13">
        <v>5809</v>
      </c>
      <c r="C52" s="14">
        <f>(4835/B52*100)</f>
        <v>83.232914443105528</v>
      </c>
      <c r="D52" s="15">
        <v>974</v>
      </c>
      <c r="E52" s="14">
        <v>26.633451090000001</v>
      </c>
      <c r="F52" s="16">
        <v>1.28671103</v>
      </c>
      <c r="G52" s="14">
        <v>18.66846833</v>
      </c>
      <c r="H52" s="16">
        <v>1.3154928100000001</v>
      </c>
      <c r="I52" s="14">
        <v>54.698080580000003</v>
      </c>
      <c r="J52" s="16">
        <v>1.39052457</v>
      </c>
      <c r="K52" s="14" t="s">
        <v>139</v>
      </c>
      <c r="L52" s="16" t="s">
        <v>139</v>
      </c>
      <c r="M52" s="14">
        <v>0</v>
      </c>
      <c r="N52" s="16">
        <v>0</v>
      </c>
      <c r="O52" s="14">
        <v>0</v>
      </c>
      <c r="P52" s="16">
        <v>0</v>
      </c>
      <c r="Q52" s="14">
        <v>0</v>
      </c>
      <c r="R52" s="16">
        <v>0</v>
      </c>
      <c r="S52" s="14">
        <v>0</v>
      </c>
      <c r="T52" s="16">
        <v>0</v>
      </c>
    </row>
    <row r="53" spans="1:20" x14ac:dyDescent="0.25">
      <c r="A53" s="11" t="s">
        <v>186</v>
      </c>
      <c r="B53" s="13">
        <v>5571</v>
      </c>
      <c r="C53" s="14">
        <f>(4641/B53*100)</f>
        <v>83.306408185245019</v>
      </c>
      <c r="D53" s="15">
        <v>930</v>
      </c>
      <c r="E53" s="14">
        <v>38.194420549999997</v>
      </c>
      <c r="F53" s="16">
        <v>1.4210199999999999</v>
      </c>
      <c r="G53" s="14">
        <v>19.828312369999999</v>
      </c>
      <c r="H53" s="16">
        <v>1.3973800000000001</v>
      </c>
      <c r="I53" s="14">
        <v>41.977267079999997</v>
      </c>
      <c r="J53" s="16">
        <v>1.8264642499999999</v>
      </c>
      <c r="K53" s="14" t="s">
        <v>139</v>
      </c>
      <c r="L53" s="16" t="s">
        <v>139</v>
      </c>
      <c r="M53" s="14">
        <v>0</v>
      </c>
      <c r="N53" s="16">
        <v>0</v>
      </c>
      <c r="O53" s="14">
        <v>0</v>
      </c>
      <c r="P53" s="16">
        <v>0</v>
      </c>
      <c r="Q53" s="14">
        <v>0</v>
      </c>
      <c r="R53" s="16">
        <v>0</v>
      </c>
      <c r="S53" s="14">
        <v>0</v>
      </c>
      <c r="T53" s="16">
        <v>0</v>
      </c>
    </row>
    <row r="54" spans="1:20" x14ac:dyDescent="0.25">
      <c r="A54" s="11" t="s">
        <v>187</v>
      </c>
      <c r="B54" s="17" t="s">
        <v>154</v>
      </c>
      <c r="C54" s="17" t="s">
        <v>154</v>
      </c>
      <c r="D54" s="18" t="s">
        <v>154</v>
      </c>
      <c r="E54" s="17" t="s">
        <v>154</v>
      </c>
      <c r="F54" s="18" t="s">
        <v>154</v>
      </c>
      <c r="G54" s="17" t="s">
        <v>154</v>
      </c>
      <c r="H54" s="18" t="s">
        <v>154</v>
      </c>
      <c r="I54" s="17" t="s">
        <v>154</v>
      </c>
      <c r="J54" s="18" t="s">
        <v>154</v>
      </c>
      <c r="K54" s="17" t="s">
        <v>154</v>
      </c>
      <c r="L54" s="18" t="s">
        <v>154</v>
      </c>
      <c r="M54" s="17" t="s">
        <v>154</v>
      </c>
      <c r="N54" s="18" t="s">
        <v>154</v>
      </c>
      <c r="O54" s="17" t="s">
        <v>154</v>
      </c>
      <c r="P54" s="18" t="s">
        <v>154</v>
      </c>
      <c r="Q54" s="17" t="s">
        <v>154</v>
      </c>
      <c r="R54" s="18" t="s">
        <v>154</v>
      </c>
      <c r="S54" s="17" t="s">
        <v>154</v>
      </c>
      <c r="T54" s="18" t="s">
        <v>154</v>
      </c>
    </row>
    <row r="55" spans="1:20" x14ac:dyDescent="0.25">
      <c r="A55" s="11" t="s">
        <v>188</v>
      </c>
      <c r="B55" s="17" t="s">
        <v>154</v>
      </c>
      <c r="C55" s="17" t="s">
        <v>154</v>
      </c>
      <c r="D55" s="18" t="s">
        <v>154</v>
      </c>
      <c r="E55" s="17" t="s">
        <v>154</v>
      </c>
      <c r="F55" s="18" t="s">
        <v>154</v>
      </c>
      <c r="G55" s="17" t="s">
        <v>154</v>
      </c>
      <c r="H55" s="18" t="s">
        <v>154</v>
      </c>
      <c r="I55" s="17" t="s">
        <v>154</v>
      </c>
      <c r="J55" s="18" t="s">
        <v>154</v>
      </c>
      <c r="K55" s="17" t="s">
        <v>154</v>
      </c>
      <c r="L55" s="18" t="s">
        <v>154</v>
      </c>
      <c r="M55" s="17" t="s">
        <v>154</v>
      </c>
      <c r="N55" s="18" t="s">
        <v>154</v>
      </c>
      <c r="O55" s="17" t="s">
        <v>154</v>
      </c>
      <c r="P55" s="18" t="s">
        <v>154</v>
      </c>
      <c r="Q55" s="17" t="s">
        <v>154</v>
      </c>
      <c r="R55" s="18" t="s">
        <v>154</v>
      </c>
      <c r="S55" s="17" t="s">
        <v>154</v>
      </c>
      <c r="T55" s="18" t="s">
        <v>154</v>
      </c>
    </row>
    <row r="56" spans="1:20" x14ac:dyDescent="0.25">
      <c r="A56" s="11" t="s">
        <v>189</v>
      </c>
      <c r="B56" s="13">
        <v>5359</v>
      </c>
      <c r="C56" s="14">
        <f>(4447/B56*100)</f>
        <v>82.981899608135848</v>
      </c>
      <c r="D56" s="15">
        <v>912</v>
      </c>
      <c r="E56" s="14">
        <v>16.396391829999999</v>
      </c>
      <c r="F56" s="16">
        <v>1.15111053</v>
      </c>
      <c r="G56" s="14">
        <v>10.052400410000001</v>
      </c>
      <c r="H56" s="16">
        <v>1.0721975399999999</v>
      </c>
      <c r="I56" s="14">
        <v>73.551207759999997</v>
      </c>
      <c r="J56" s="16">
        <v>1.4297873000000001</v>
      </c>
      <c r="K56" s="14" t="s">
        <v>139</v>
      </c>
      <c r="L56" s="16" t="s">
        <v>139</v>
      </c>
      <c r="M56" s="14">
        <v>0</v>
      </c>
      <c r="N56" s="16">
        <v>0</v>
      </c>
      <c r="O56" s="14">
        <v>0</v>
      </c>
      <c r="P56" s="16">
        <v>0</v>
      </c>
      <c r="Q56" s="14">
        <v>0</v>
      </c>
      <c r="R56" s="16">
        <v>0</v>
      </c>
      <c r="S56" s="14">
        <v>0</v>
      </c>
      <c r="T56" s="16">
        <v>0</v>
      </c>
    </row>
    <row r="57" spans="1:20" x14ac:dyDescent="0.25">
      <c r="A57" s="11" t="s">
        <v>190</v>
      </c>
      <c r="B57" s="17" t="s">
        <v>154</v>
      </c>
      <c r="C57" s="17" t="s">
        <v>154</v>
      </c>
      <c r="D57" s="18" t="s">
        <v>154</v>
      </c>
      <c r="E57" s="17" t="s">
        <v>154</v>
      </c>
      <c r="F57" s="18" t="s">
        <v>154</v>
      </c>
      <c r="G57" s="17" t="s">
        <v>154</v>
      </c>
      <c r="H57" s="18" t="s">
        <v>154</v>
      </c>
      <c r="I57" s="17" t="s">
        <v>154</v>
      </c>
      <c r="J57" s="18" t="s">
        <v>154</v>
      </c>
      <c r="K57" s="17" t="s">
        <v>154</v>
      </c>
      <c r="L57" s="18" t="s">
        <v>154</v>
      </c>
      <c r="M57" s="17" t="s">
        <v>154</v>
      </c>
      <c r="N57" s="18" t="s">
        <v>154</v>
      </c>
      <c r="O57" s="17" t="s">
        <v>154</v>
      </c>
      <c r="P57" s="18" t="s">
        <v>154</v>
      </c>
      <c r="Q57" s="17" t="s">
        <v>154</v>
      </c>
      <c r="R57" s="18" t="s">
        <v>154</v>
      </c>
      <c r="S57" s="17" t="s">
        <v>154</v>
      </c>
      <c r="T57" s="18" t="s">
        <v>154</v>
      </c>
    </row>
    <row r="58" spans="1:20" x14ac:dyDescent="0.25">
      <c r="A58" s="11" t="s">
        <v>191</v>
      </c>
      <c r="B58" s="17" t="s">
        <v>154</v>
      </c>
      <c r="C58" s="17" t="s">
        <v>154</v>
      </c>
      <c r="D58" s="18" t="s">
        <v>154</v>
      </c>
      <c r="E58" s="17" t="s">
        <v>154</v>
      </c>
      <c r="F58" s="18" t="s">
        <v>154</v>
      </c>
      <c r="G58" s="17" t="s">
        <v>154</v>
      </c>
      <c r="H58" s="18" t="s">
        <v>154</v>
      </c>
      <c r="I58" s="17" t="s">
        <v>154</v>
      </c>
      <c r="J58" s="18" t="s">
        <v>154</v>
      </c>
      <c r="K58" s="17" t="s">
        <v>154</v>
      </c>
      <c r="L58" s="18" t="s">
        <v>154</v>
      </c>
      <c r="M58" s="17" t="s">
        <v>154</v>
      </c>
      <c r="N58" s="18" t="s">
        <v>154</v>
      </c>
      <c r="O58" s="17" t="s">
        <v>154</v>
      </c>
      <c r="P58" s="18" t="s">
        <v>154</v>
      </c>
      <c r="Q58" s="17" t="s">
        <v>154</v>
      </c>
      <c r="R58" s="18" t="s">
        <v>154</v>
      </c>
      <c r="S58" s="17" t="s">
        <v>154</v>
      </c>
      <c r="T58" s="18" t="s">
        <v>154</v>
      </c>
    </row>
    <row r="59" spans="1:20" x14ac:dyDescent="0.25">
      <c r="A59" s="11" t="s">
        <v>192</v>
      </c>
      <c r="B59" s="17" t="s">
        <v>154</v>
      </c>
      <c r="C59" s="17" t="s">
        <v>154</v>
      </c>
      <c r="D59" s="18" t="s">
        <v>154</v>
      </c>
      <c r="E59" s="17" t="s">
        <v>154</v>
      </c>
      <c r="F59" s="18" t="s">
        <v>154</v>
      </c>
      <c r="G59" s="17" t="s">
        <v>154</v>
      </c>
      <c r="H59" s="18" t="s">
        <v>154</v>
      </c>
      <c r="I59" s="17" t="s">
        <v>154</v>
      </c>
      <c r="J59" s="18" t="s">
        <v>154</v>
      </c>
      <c r="K59" s="17" t="s">
        <v>154</v>
      </c>
      <c r="L59" s="18" t="s">
        <v>154</v>
      </c>
      <c r="M59" s="17" t="s">
        <v>154</v>
      </c>
      <c r="N59" s="18" t="s">
        <v>154</v>
      </c>
      <c r="O59" s="17" t="s">
        <v>154</v>
      </c>
      <c r="P59" s="18" t="s">
        <v>154</v>
      </c>
      <c r="Q59" s="17" t="s">
        <v>154</v>
      </c>
      <c r="R59" s="18" t="s">
        <v>154</v>
      </c>
      <c r="S59" s="17" t="s">
        <v>154</v>
      </c>
      <c r="T59" s="18" t="s">
        <v>154</v>
      </c>
    </row>
    <row r="60" spans="1:20" x14ac:dyDescent="0.25">
      <c r="A60" s="11" t="s">
        <v>193</v>
      </c>
      <c r="B60" s="17" t="s">
        <v>154</v>
      </c>
      <c r="C60" s="17" t="s">
        <v>154</v>
      </c>
      <c r="D60" s="18" t="s">
        <v>154</v>
      </c>
      <c r="E60" s="17" t="s">
        <v>154</v>
      </c>
      <c r="F60" s="18" t="s">
        <v>154</v>
      </c>
      <c r="G60" s="17" t="s">
        <v>154</v>
      </c>
      <c r="H60" s="18" t="s">
        <v>154</v>
      </c>
      <c r="I60" s="17" t="s">
        <v>154</v>
      </c>
      <c r="J60" s="18" t="s">
        <v>154</v>
      </c>
      <c r="K60" s="17" t="s">
        <v>154</v>
      </c>
      <c r="L60" s="18" t="s">
        <v>154</v>
      </c>
      <c r="M60" s="17" t="s">
        <v>154</v>
      </c>
      <c r="N60" s="18" t="s">
        <v>154</v>
      </c>
      <c r="O60" s="17" t="s">
        <v>154</v>
      </c>
      <c r="P60" s="18" t="s">
        <v>154</v>
      </c>
      <c r="Q60" s="17" t="s">
        <v>154</v>
      </c>
      <c r="R60" s="18" t="s">
        <v>154</v>
      </c>
      <c r="S60" s="17" t="s">
        <v>154</v>
      </c>
      <c r="T60" s="18" t="s">
        <v>154</v>
      </c>
    </row>
    <row r="61" spans="1:20" x14ac:dyDescent="0.25">
      <c r="A61" s="11" t="s">
        <v>194</v>
      </c>
      <c r="B61" s="13">
        <v>6525</v>
      </c>
      <c r="C61" s="14">
        <f>(5425/B61*100)</f>
        <v>83.141762452107287</v>
      </c>
      <c r="D61" s="15">
        <v>1100</v>
      </c>
      <c r="E61" s="14">
        <v>37.490701129999998</v>
      </c>
      <c r="F61" s="16">
        <v>1.72851289</v>
      </c>
      <c r="G61" s="14">
        <v>16.724771029999999</v>
      </c>
      <c r="H61" s="16">
        <v>1.2202357800000001</v>
      </c>
      <c r="I61" s="14">
        <v>45.784527840000003</v>
      </c>
      <c r="J61" s="16">
        <v>1.7115916099999999</v>
      </c>
      <c r="K61" s="14" t="s">
        <v>139</v>
      </c>
      <c r="L61" s="16" t="s">
        <v>139</v>
      </c>
      <c r="M61" s="14">
        <v>0</v>
      </c>
      <c r="N61" s="16">
        <v>0</v>
      </c>
      <c r="O61" s="14">
        <v>0</v>
      </c>
      <c r="P61" s="16">
        <v>0</v>
      </c>
      <c r="Q61" s="14">
        <v>0</v>
      </c>
      <c r="R61" s="16">
        <v>0</v>
      </c>
      <c r="S61" s="14">
        <v>0</v>
      </c>
      <c r="T61" s="16">
        <v>0</v>
      </c>
    </row>
    <row r="62" spans="1:20" x14ac:dyDescent="0.25">
      <c r="A62" s="11" t="s">
        <v>195</v>
      </c>
      <c r="B62" s="13">
        <v>4476</v>
      </c>
      <c r="C62" s="14">
        <f>(3704/B62*100)</f>
        <v>82.752457551385163</v>
      </c>
      <c r="D62" s="15">
        <v>772</v>
      </c>
      <c r="E62" s="14">
        <v>21.67449654</v>
      </c>
      <c r="F62" s="16">
        <v>1.4141061699999999</v>
      </c>
      <c r="G62" s="14">
        <v>12.719242960000001</v>
      </c>
      <c r="H62" s="16">
        <v>1.12293877</v>
      </c>
      <c r="I62" s="14">
        <v>65.606260500000005</v>
      </c>
      <c r="J62" s="16">
        <v>1.7611894800000001</v>
      </c>
      <c r="K62" s="14" t="s">
        <v>139</v>
      </c>
      <c r="L62" s="16" t="s">
        <v>139</v>
      </c>
      <c r="M62" s="14">
        <v>0</v>
      </c>
      <c r="N62" s="16">
        <v>0</v>
      </c>
      <c r="O62" s="14">
        <v>0</v>
      </c>
      <c r="P62" s="16">
        <v>0</v>
      </c>
      <c r="Q62" s="14">
        <v>0</v>
      </c>
      <c r="R62" s="16">
        <v>0</v>
      </c>
      <c r="S62" s="14">
        <v>0</v>
      </c>
      <c r="T62" s="16">
        <v>0</v>
      </c>
    </row>
    <row r="63" spans="1:20" x14ac:dyDescent="0.25">
      <c r="A63" s="11" t="s">
        <v>196</v>
      </c>
      <c r="B63" s="17" t="s">
        <v>154</v>
      </c>
      <c r="C63" s="17" t="s">
        <v>154</v>
      </c>
      <c r="D63" s="18" t="s">
        <v>154</v>
      </c>
      <c r="E63" s="17" t="s">
        <v>154</v>
      </c>
      <c r="F63" s="18" t="s">
        <v>154</v>
      </c>
      <c r="G63" s="17" t="s">
        <v>154</v>
      </c>
      <c r="H63" s="18" t="s">
        <v>154</v>
      </c>
      <c r="I63" s="17" t="s">
        <v>154</v>
      </c>
      <c r="J63" s="18" t="s">
        <v>154</v>
      </c>
      <c r="K63" s="17" t="s">
        <v>154</v>
      </c>
      <c r="L63" s="18" t="s">
        <v>154</v>
      </c>
      <c r="M63" s="17" t="s">
        <v>154</v>
      </c>
      <c r="N63" s="18" t="s">
        <v>154</v>
      </c>
      <c r="O63" s="17" t="s">
        <v>154</v>
      </c>
      <c r="P63" s="18" t="s">
        <v>154</v>
      </c>
      <c r="Q63" s="17" t="s">
        <v>154</v>
      </c>
      <c r="R63" s="18" t="s">
        <v>154</v>
      </c>
      <c r="S63" s="17" t="s">
        <v>154</v>
      </c>
      <c r="T63" s="18" t="s">
        <v>154</v>
      </c>
    </row>
    <row r="64" spans="1:20" x14ac:dyDescent="0.25">
      <c r="A64" s="11" t="s">
        <v>197</v>
      </c>
      <c r="B64" s="17" t="s">
        <v>154</v>
      </c>
      <c r="C64" s="17" t="s">
        <v>154</v>
      </c>
      <c r="D64" s="18" t="s">
        <v>154</v>
      </c>
      <c r="E64" s="17" t="s">
        <v>154</v>
      </c>
      <c r="F64" s="18" t="s">
        <v>154</v>
      </c>
      <c r="G64" s="17" t="s">
        <v>154</v>
      </c>
      <c r="H64" s="18" t="s">
        <v>154</v>
      </c>
      <c r="I64" s="17" t="s">
        <v>154</v>
      </c>
      <c r="J64" s="18" t="s">
        <v>154</v>
      </c>
      <c r="K64" s="17" t="s">
        <v>154</v>
      </c>
      <c r="L64" s="18" t="s">
        <v>154</v>
      </c>
      <c r="M64" s="17" t="s">
        <v>154</v>
      </c>
      <c r="N64" s="18" t="s">
        <v>154</v>
      </c>
      <c r="O64" s="17" t="s">
        <v>154</v>
      </c>
      <c r="P64" s="18" t="s">
        <v>154</v>
      </c>
      <c r="Q64" s="17" t="s">
        <v>154</v>
      </c>
      <c r="R64" s="18" t="s">
        <v>154</v>
      </c>
      <c r="S64" s="17" t="s">
        <v>154</v>
      </c>
      <c r="T64" s="18" t="s">
        <v>154</v>
      </c>
    </row>
    <row r="65" spans="1:20" x14ac:dyDescent="0.25">
      <c r="A65" s="11" t="s">
        <v>198</v>
      </c>
      <c r="B65" s="17" t="s">
        <v>154</v>
      </c>
      <c r="C65" s="17" t="s">
        <v>154</v>
      </c>
      <c r="D65" s="18" t="s">
        <v>154</v>
      </c>
      <c r="E65" s="17" t="s">
        <v>154</v>
      </c>
      <c r="F65" s="18" t="s">
        <v>154</v>
      </c>
      <c r="G65" s="17" t="s">
        <v>154</v>
      </c>
      <c r="H65" s="18" t="s">
        <v>154</v>
      </c>
      <c r="I65" s="17" t="s">
        <v>154</v>
      </c>
      <c r="J65" s="18" t="s">
        <v>154</v>
      </c>
      <c r="K65" s="17" t="s">
        <v>154</v>
      </c>
      <c r="L65" s="18" t="s">
        <v>154</v>
      </c>
      <c r="M65" s="17" t="s">
        <v>154</v>
      </c>
      <c r="N65" s="18" t="s">
        <v>154</v>
      </c>
      <c r="O65" s="17" t="s">
        <v>154</v>
      </c>
      <c r="P65" s="18" t="s">
        <v>154</v>
      </c>
      <c r="Q65" s="17" t="s">
        <v>154</v>
      </c>
      <c r="R65" s="18" t="s">
        <v>154</v>
      </c>
      <c r="S65" s="17" t="s">
        <v>154</v>
      </c>
      <c r="T65" s="18" t="s">
        <v>154</v>
      </c>
    </row>
    <row r="66" spans="1:20" x14ac:dyDescent="0.25">
      <c r="A66" s="11" t="s">
        <v>199</v>
      </c>
      <c r="B66" s="13">
        <v>5665</v>
      </c>
      <c r="C66" s="14">
        <f>(4728/B66*100)</f>
        <v>83.459841129744035</v>
      </c>
      <c r="D66" s="15">
        <v>937</v>
      </c>
      <c r="E66" s="14">
        <v>57.049925829999999</v>
      </c>
      <c r="F66" s="16">
        <v>1.6835411600000001</v>
      </c>
      <c r="G66" s="14">
        <v>20.08703186</v>
      </c>
      <c r="H66" s="16">
        <v>1.32965318</v>
      </c>
      <c r="I66" s="14">
        <v>22.863042310000001</v>
      </c>
      <c r="J66" s="16">
        <v>1.4836881200000001</v>
      </c>
      <c r="K66" s="14" t="s">
        <v>139</v>
      </c>
      <c r="L66" s="16" t="s">
        <v>139</v>
      </c>
      <c r="M66" s="14">
        <v>0</v>
      </c>
      <c r="N66" s="16">
        <v>0</v>
      </c>
      <c r="O66" s="14">
        <v>0</v>
      </c>
      <c r="P66" s="16">
        <v>0</v>
      </c>
      <c r="Q66" s="14">
        <v>0</v>
      </c>
      <c r="R66" s="16">
        <v>0</v>
      </c>
      <c r="S66" s="14">
        <v>0</v>
      </c>
      <c r="T66" s="16">
        <v>0</v>
      </c>
    </row>
    <row r="67" spans="1:20" x14ac:dyDescent="0.25">
      <c r="A67" s="11" t="s">
        <v>200</v>
      </c>
      <c r="B67" s="13">
        <v>6971</v>
      </c>
      <c r="C67" s="14">
        <f>(5900/B67*100)</f>
        <v>84.636350595323478</v>
      </c>
      <c r="D67" s="15">
        <v>1071</v>
      </c>
      <c r="E67" s="14">
        <v>47.810542390000002</v>
      </c>
      <c r="F67" s="16">
        <v>1.52736746</v>
      </c>
      <c r="G67" s="14">
        <v>13.30343122</v>
      </c>
      <c r="H67" s="16">
        <v>1.1432386400000001</v>
      </c>
      <c r="I67" s="14">
        <v>38.886026399999999</v>
      </c>
      <c r="J67" s="16">
        <v>1.45923566</v>
      </c>
      <c r="K67" s="14" t="s">
        <v>139</v>
      </c>
      <c r="L67" s="16" t="s">
        <v>139</v>
      </c>
      <c r="M67" s="14">
        <v>0</v>
      </c>
      <c r="N67" s="16">
        <v>0</v>
      </c>
      <c r="O67" s="14">
        <v>0</v>
      </c>
      <c r="P67" s="16">
        <v>0</v>
      </c>
      <c r="Q67" s="14">
        <v>0</v>
      </c>
      <c r="R67" s="16">
        <v>0</v>
      </c>
      <c r="S67" s="14">
        <v>0</v>
      </c>
      <c r="T67" s="16">
        <v>0</v>
      </c>
    </row>
    <row r="68" spans="1:20" x14ac:dyDescent="0.25">
      <c r="A68" s="11" t="s">
        <v>201</v>
      </c>
      <c r="B68" s="17" t="s">
        <v>154</v>
      </c>
      <c r="C68" s="17" t="s">
        <v>154</v>
      </c>
      <c r="D68" s="18" t="s">
        <v>154</v>
      </c>
      <c r="E68" s="17" t="s">
        <v>154</v>
      </c>
      <c r="F68" s="18" t="s">
        <v>154</v>
      </c>
      <c r="G68" s="17" t="s">
        <v>154</v>
      </c>
      <c r="H68" s="18" t="s">
        <v>154</v>
      </c>
      <c r="I68" s="17" t="s">
        <v>154</v>
      </c>
      <c r="J68" s="18" t="s">
        <v>154</v>
      </c>
      <c r="K68" s="17" t="s">
        <v>154</v>
      </c>
      <c r="L68" s="18" t="s">
        <v>154</v>
      </c>
      <c r="M68" s="17" t="s">
        <v>154</v>
      </c>
      <c r="N68" s="18" t="s">
        <v>154</v>
      </c>
      <c r="O68" s="17" t="s">
        <v>154</v>
      </c>
      <c r="P68" s="18" t="s">
        <v>154</v>
      </c>
      <c r="Q68" s="17" t="s">
        <v>154</v>
      </c>
      <c r="R68" s="18" t="s">
        <v>154</v>
      </c>
      <c r="S68" s="17" t="s">
        <v>154</v>
      </c>
      <c r="T68" s="18" t="s">
        <v>154</v>
      </c>
    </row>
    <row r="69" spans="1:20" x14ac:dyDescent="0.25">
      <c r="A69" s="11" t="s">
        <v>202</v>
      </c>
      <c r="B69" s="17" t="s">
        <v>154</v>
      </c>
      <c r="C69" s="17" t="s">
        <v>154</v>
      </c>
      <c r="D69" s="18" t="s">
        <v>154</v>
      </c>
      <c r="E69" s="17" t="s">
        <v>154</v>
      </c>
      <c r="F69" s="18" t="s">
        <v>154</v>
      </c>
      <c r="G69" s="17" t="s">
        <v>154</v>
      </c>
      <c r="H69" s="18" t="s">
        <v>154</v>
      </c>
      <c r="I69" s="17" t="s">
        <v>154</v>
      </c>
      <c r="J69" s="18" t="s">
        <v>154</v>
      </c>
      <c r="K69" s="17" t="s">
        <v>154</v>
      </c>
      <c r="L69" s="18" t="s">
        <v>154</v>
      </c>
      <c r="M69" s="17" t="s">
        <v>154</v>
      </c>
      <c r="N69" s="18" t="s">
        <v>154</v>
      </c>
      <c r="O69" s="17" t="s">
        <v>154</v>
      </c>
      <c r="P69" s="18" t="s">
        <v>154</v>
      </c>
      <c r="Q69" s="17" t="s">
        <v>154</v>
      </c>
      <c r="R69" s="18" t="s">
        <v>154</v>
      </c>
      <c r="S69" s="17" t="s">
        <v>154</v>
      </c>
      <c r="T69" s="18" t="s">
        <v>154</v>
      </c>
    </row>
    <row r="70" spans="1:20" x14ac:dyDescent="0.25">
      <c r="A70" s="11" t="s">
        <v>203</v>
      </c>
      <c r="B70" s="13">
        <v>6036</v>
      </c>
      <c r="C70" s="14">
        <f>(5008/B70*100)</f>
        <v>82.96885354539431</v>
      </c>
      <c r="D70" s="15">
        <v>1028</v>
      </c>
      <c r="E70" s="14">
        <v>29.888889330000001</v>
      </c>
      <c r="F70" s="16">
        <v>1.7184300800000001</v>
      </c>
      <c r="G70" s="14">
        <v>14.15868764</v>
      </c>
      <c r="H70" s="16">
        <v>1.2532007599999999</v>
      </c>
      <c r="I70" s="14">
        <v>55.952423029999999</v>
      </c>
      <c r="J70" s="16">
        <v>1.8458664899999999</v>
      </c>
      <c r="K70" s="14" t="s">
        <v>139</v>
      </c>
      <c r="L70" s="16" t="s">
        <v>139</v>
      </c>
      <c r="M70" s="14">
        <v>0</v>
      </c>
      <c r="N70" s="16">
        <v>0</v>
      </c>
      <c r="O70" s="14">
        <v>0</v>
      </c>
      <c r="P70" s="16">
        <v>0</v>
      </c>
      <c r="Q70" s="14">
        <v>0</v>
      </c>
      <c r="R70" s="16">
        <v>0</v>
      </c>
      <c r="S70" s="14">
        <v>0</v>
      </c>
      <c r="T70" s="16">
        <v>0</v>
      </c>
    </row>
    <row r="71" spans="1:20" x14ac:dyDescent="0.25">
      <c r="A71" s="11" t="s">
        <v>204</v>
      </c>
      <c r="B71" s="17" t="s">
        <v>154</v>
      </c>
      <c r="C71" s="17" t="s">
        <v>154</v>
      </c>
      <c r="D71" s="18" t="s">
        <v>154</v>
      </c>
      <c r="E71" s="17" t="s">
        <v>154</v>
      </c>
      <c r="F71" s="18" t="s">
        <v>154</v>
      </c>
      <c r="G71" s="17" t="s">
        <v>154</v>
      </c>
      <c r="H71" s="18" t="s">
        <v>154</v>
      </c>
      <c r="I71" s="17" t="s">
        <v>154</v>
      </c>
      <c r="J71" s="18" t="s">
        <v>154</v>
      </c>
      <c r="K71" s="17" t="s">
        <v>154</v>
      </c>
      <c r="L71" s="18" t="s">
        <v>154</v>
      </c>
      <c r="M71" s="17" t="s">
        <v>154</v>
      </c>
      <c r="N71" s="18" t="s">
        <v>154</v>
      </c>
      <c r="O71" s="17" t="s">
        <v>154</v>
      </c>
      <c r="P71" s="18" t="s">
        <v>154</v>
      </c>
      <c r="Q71" s="17" t="s">
        <v>154</v>
      </c>
      <c r="R71" s="18" t="s">
        <v>154</v>
      </c>
      <c r="S71" s="17" t="s">
        <v>154</v>
      </c>
      <c r="T71" s="18" t="s">
        <v>154</v>
      </c>
    </row>
    <row r="72" spans="1:20" x14ac:dyDescent="0.25">
      <c r="A72" s="11" t="s">
        <v>205</v>
      </c>
      <c r="B72" s="13">
        <v>7708</v>
      </c>
      <c r="C72" s="14">
        <f>(6367/B72*100)</f>
        <v>82.6024909185262</v>
      </c>
      <c r="D72" s="15">
        <v>1341</v>
      </c>
      <c r="E72" s="14">
        <v>24.143044140000001</v>
      </c>
      <c r="F72" s="16">
        <v>1.1788401399999999</v>
      </c>
      <c r="G72" s="14">
        <v>14.239262480000001</v>
      </c>
      <c r="H72" s="16">
        <v>0.88133437999999997</v>
      </c>
      <c r="I72" s="14">
        <v>61.617693389999999</v>
      </c>
      <c r="J72" s="16">
        <v>1.2190748300000001</v>
      </c>
      <c r="K72" s="14" t="s">
        <v>139</v>
      </c>
      <c r="L72" s="16" t="s">
        <v>139</v>
      </c>
      <c r="M72" s="14">
        <v>0</v>
      </c>
      <c r="N72" s="16">
        <v>0</v>
      </c>
      <c r="O72" s="14">
        <v>0</v>
      </c>
      <c r="P72" s="16">
        <v>0</v>
      </c>
      <c r="Q72" s="14">
        <v>0</v>
      </c>
      <c r="R72" s="16">
        <v>0</v>
      </c>
      <c r="S72" s="14">
        <v>0</v>
      </c>
      <c r="T72" s="16">
        <v>0</v>
      </c>
    </row>
    <row r="73" spans="1:20" x14ac:dyDescent="0.25">
      <c r="A73" s="11" t="s">
        <v>206</v>
      </c>
      <c r="B73" s="13">
        <v>8249</v>
      </c>
      <c r="C73" s="14">
        <f>(6890/B73*100)</f>
        <v>83.525275791004972</v>
      </c>
      <c r="D73" s="15">
        <v>1359</v>
      </c>
      <c r="E73" s="14">
        <v>26.432006569999999</v>
      </c>
      <c r="F73" s="16">
        <v>1.5974418699999999</v>
      </c>
      <c r="G73" s="14">
        <v>9.3403026300000001</v>
      </c>
      <c r="H73" s="16">
        <v>1.1126676600000001</v>
      </c>
      <c r="I73" s="14">
        <v>64.227690809999999</v>
      </c>
      <c r="J73" s="16">
        <v>1.81758964</v>
      </c>
      <c r="K73" s="14" t="s">
        <v>139</v>
      </c>
      <c r="L73" s="16" t="s">
        <v>139</v>
      </c>
      <c r="M73" s="14">
        <v>0</v>
      </c>
      <c r="N73" s="16">
        <v>0</v>
      </c>
      <c r="O73" s="14">
        <v>0</v>
      </c>
      <c r="P73" s="16">
        <v>0</v>
      </c>
      <c r="Q73" s="14">
        <v>0</v>
      </c>
      <c r="R73" s="16">
        <v>0</v>
      </c>
      <c r="S73" s="14">
        <v>0</v>
      </c>
      <c r="T73" s="16">
        <v>0</v>
      </c>
    </row>
    <row r="74" spans="1:20" x14ac:dyDescent="0.25">
      <c r="A74" s="11" t="s">
        <v>207</v>
      </c>
      <c r="B74" s="17" t="s">
        <v>154</v>
      </c>
      <c r="C74" s="17" t="s">
        <v>154</v>
      </c>
      <c r="D74" s="18" t="s">
        <v>154</v>
      </c>
      <c r="E74" s="17" t="s">
        <v>154</v>
      </c>
      <c r="F74" s="18" t="s">
        <v>154</v>
      </c>
      <c r="G74" s="17" t="s">
        <v>154</v>
      </c>
      <c r="H74" s="18" t="s">
        <v>154</v>
      </c>
      <c r="I74" s="17" t="s">
        <v>154</v>
      </c>
      <c r="J74" s="18" t="s">
        <v>154</v>
      </c>
      <c r="K74" s="17" t="s">
        <v>154</v>
      </c>
      <c r="L74" s="18" t="s">
        <v>154</v>
      </c>
      <c r="M74" s="17" t="s">
        <v>154</v>
      </c>
      <c r="N74" s="18" t="s">
        <v>154</v>
      </c>
      <c r="O74" s="17" t="s">
        <v>154</v>
      </c>
      <c r="P74" s="18" t="s">
        <v>154</v>
      </c>
      <c r="Q74" s="17" t="s">
        <v>154</v>
      </c>
      <c r="R74" s="18" t="s">
        <v>154</v>
      </c>
      <c r="S74" s="17" t="s">
        <v>154</v>
      </c>
      <c r="T74" s="18" t="s">
        <v>154</v>
      </c>
    </row>
    <row r="75" spans="1:20" x14ac:dyDescent="0.25">
      <c r="A75" s="11" t="s">
        <v>208</v>
      </c>
      <c r="B75" s="13">
        <v>5375</v>
      </c>
      <c r="C75" s="14">
        <f>(4539/B75*100)</f>
        <v>84.446511627906972</v>
      </c>
      <c r="D75" s="15">
        <v>836</v>
      </c>
      <c r="E75" s="14">
        <v>42.218403799999997</v>
      </c>
      <c r="F75" s="16">
        <v>1.9499703100000001</v>
      </c>
      <c r="G75" s="14">
        <v>15.12102615</v>
      </c>
      <c r="H75" s="16">
        <v>1.13647784</v>
      </c>
      <c r="I75" s="14">
        <v>42.660570049999997</v>
      </c>
      <c r="J75" s="16">
        <v>1.9297824400000001</v>
      </c>
      <c r="K75" s="14" t="s">
        <v>139</v>
      </c>
      <c r="L75" s="16" t="s">
        <v>139</v>
      </c>
      <c r="M75" s="14">
        <v>0</v>
      </c>
      <c r="N75" s="16">
        <v>0</v>
      </c>
      <c r="O75" s="14">
        <v>0</v>
      </c>
      <c r="P75" s="16">
        <v>0</v>
      </c>
      <c r="Q75" s="14">
        <v>0</v>
      </c>
      <c r="R75" s="16">
        <v>0</v>
      </c>
      <c r="S75" s="14">
        <v>0</v>
      </c>
      <c r="T75" s="16">
        <v>0</v>
      </c>
    </row>
    <row r="76" spans="1:20" x14ac:dyDescent="0.25">
      <c r="A76" s="11" t="s">
        <v>209</v>
      </c>
      <c r="B76" s="13">
        <v>14167</v>
      </c>
      <c r="C76" s="14">
        <f>(11769/B76*100)</f>
        <v>83.073339450836443</v>
      </c>
      <c r="D76" s="15">
        <v>2398</v>
      </c>
      <c r="E76" s="14">
        <v>42.224434799999997</v>
      </c>
      <c r="F76" s="16">
        <v>1.1575922700000001</v>
      </c>
      <c r="G76" s="14">
        <v>14.93413359</v>
      </c>
      <c r="H76" s="16">
        <v>0.91982154999999999</v>
      </c>
      <c r="I76" s="14">
        <v>42.841431610000001</v>
      </c>
      <c r="J76" s="16">
        <v>1.1793676799999999</v>
      </c>
      <c r="K76" s="14" t="s">
        <v>139</v>
      </c>
      <c r="L76" s="16" t="s">
        <v>139</v>
      </c>
      <c r="M76" s="14">
        <v>0</v>
      </c>
      <c r="N76" s="16">
        <v>0</v>
      </c>
      <c r="O76" s="14">
        <v>0</v>
      </c>
      <c r="P76" s="16">
        <v>0</v>
      </c>
      <c r="Q76" s="14">
        <v>0</v>
      </c>
      <c r="R76" s="16">
        <v>0</v>
      </c>
      <c r="S76" s="14">
        <v>0</v>
      </c>
      <c r="T76" s="16">
        <v>0</v>
      </c>
    </row>
    <row r="77" spans="1:20" x14ac:dyDescent="0.25">
      <c r="A77" s="11" t="s">
        <v>210</v>
      </c>
      <c r="B77" s="13">
        <v>6062</v>
      </c>
      <c r="C77" s="14">
        <f>(5076/B77*100)</f>
        <v>83.734741009567799</v>
      </c>
      <c r="D77" s="15">
        <v>986</v>
      </c>
      <c r="E77" s="14">
        <v>37.79633372</v>
      </c>
      <c r="F77" s="16">
        <v>1.5764989899999999</v>
      </c>
      <c r="G77" s="14">
        <v>15.317791140000001</v>
      </c>
      <c r="H77" s="16">
        <v>1.2402304500000001</v>
      </c>
      <c r="I77" s="14">
        <v>46.885875130000002</v>
      </c>
      <c r="J77" s="16">
        <v>1.74460379</v>
      </c>
      <c r="K77" s="14" t="s">
        <v>139</v>
      </c>
      <c r="L77" s="16" t="s">
        <v>139</v>
      </c>
      <c r="M77" s="14">
        <v>0</v>
      </c>
      <c r="N77" s="16">
        <v>0</v>
      </c>
      <c r="O77" s="14">
        <v>0</v>
      </c>
      <c r="P77" s="16">
        <v>0</v>
      </c>
      <c r="Q77" s="14">
        <v>0</v>
      </c>
      <c r="R77" s="16">
        <v>0</v>
      </c>
      <c r="S77" s="14">
        <v>0</v>
      </c>
      <c r="T77" s="16">
        <v>0</v>
      </c>
    </row>
    <row r="78" spans="1:20" x14ac:dyDescent="0.25">
      <c r="A78" s="11" t="s">
        <v>211</v>
      </c>
      <c r="B78" s="17" t="s">
        <v>154</v>
      </c>
      <c r="C78" s="17" t="s">
        <v>154</v>
      </c>
      <c r="D78" s="18" t="s">
        <v>154</v>
      </c>
      <c r="E78" s="17" t="s">
        <v>154</v>
      </c>
      <c r="F78" s="18" t="s">
        <v>154</v>
      </c>
      <c r="G78" s="17" t="s">
        <v>154</v>
      </c>
      <c r="H78" s="18" t="s">
        <v>154</v>
      </c>
      <c r="I78" s="17" t="s">
        <v>154</v>
      </c>
      <c r="J78" s="18" t="s">
        <v>154</v>
      </c>
      <c r="K78" s="17" t="s">
        <v>154</v>
      </c>
      <c r="L78" s="18" t="s">
        <v>154</v>
      </c>
      <c r="M78" s="17" t="s">
        <v>154</v>
      </c>
      <c r="N78" s="18" t="s">
        <v>154</v>
      </c>
      <c r="O78" s="17" t="s">
        <v>154</v>
      </c>
      <c r="P78" s="18" t="s">
        <v>154</v>
      </c>
      <c r="Q78" s="17" t="s">
        <v>154</v>
      </c>
      <c r="R78" s="18" t="s">
        <v>154</v>
      </c>
      <c r="S78" s="17" t="s">
        <v>154</v>
      </c>
      <c r="T78" s="18" t="s">
        <v>154</v>
      </c>
    </row>
    <row r="79" spans="1:20" ht="24.95" customHeight="1" x14ac:dyDescent="0.25">
      <c r="A79" s="11" t="s">
        <v>212</v>
      </c>
      <c r="B79" s="17" t="s">
        <v>154</v>
      </c>
      <c r="C79" s="17" t="s">
        <v>154</v>
      </c>
      <c r="D79" s="18" t="s">
        <v>154</v>
      </c>
      <c r="E79" s="17" t="s">
        <v>154</v>
      </c>
      <c r="F79" s="18" t="s">
        <v>154</v>
      </c>
      <c r="G79" s="17" t="s">
        <v>154</v>
      </c>
      <c r="H79" s="18" t="s">
        <v>154</v>
      </c>
      <c r="I79" s="17" t="s">
        <v>154</v>
      </c>
      <c r="J79" s="18" t="s">
        <v>154</v>
      </c>
      <c r="K79" s="17" t="s">
        <v>154</v>
      </c>
      <c r="L79" s="18" t="s">
        <v>154</v>
      </c>
      <c r="M79" s="17" t="s">
        <v>154</v>
      </c>
      <c r="N79" s="18" t="s">
        <v>154</v>
      </c>
      <c r="O79" s="17" t="s">
        <v>154</v>
      </c>
      <c r="P79" s="18" t="s">
        <v>154</v>
      </c>
      <c r="Q79" s="17" t="s">
        <v>154</v>
      </c>
      <c r="R79" s="18" t="s">
        <v>154</v>
      </c>
      <c r="S79" s="17" t="s">
        <v>154</v>
      </c>
      <c r="T79" s="18" t="s">
        <v>154</v>
      </c>
    </row>
    <row r="80" spans="1:20" x14ac:dyDescent="0.25">
      <c r="A80" s="11" t="s">
        <v>213</v>
      </c>
      <c r="B80" s="17" t="s">
        <v>154</v>
      </c>
      <c r="C80" s="17" t="s">
        <v>154</v>
      </c>
      <c r="D80" s="18" t="s">
        <v>154</v>
      </c>
      <c r="E80" s="17" t="s">
        <v>154</v>
      </c>
      <c r="F80" s="18" t="s">
        <v>154</v>
      </c>
      <c r="G80" s="17" t="s">
        <v>154</v>
      </c>
      <c r="H80" s="18" t="s">
        <v>154</v>
      </c>
      <c r="I80" s="17" t="s">
        <v>154</v>
      </c>
      <c r="J80" s="18" t="s">
        <v>154</v>
      </c>
      <c r="K80" s="17" t="s">
        <v>154</v>
      </c>
      <c r="L80" s="18" t="s">
        <v>154</v>
      </c>
      <c r="M80" s="17" t="s">
        <v>154</v>
      </c>
      <c r="N80" s="18" t="s">
        <v>154</v>
      </c>
      <c r="O80" s="17" t="s">
        <v>154</v>
      </c>
      <c r="P80" s="18" t="s">
        <v>154</v>
      </c>
      <c r="Q80" s="17" t="s">
        <v>154</v>
      </c>
      <c r="R80" s="18" t="s">
        <v>154</v>
      </c>
      <c r="S80" s="17" t="s">
        <v>154</v>
      </c>
      <c r="T80" s="18" t="s">
        <v>154</v>
      </c>
    </row>
    <row r="81" spans="1:20" x14ac:dyDescent="0.25">
      <c r="A81" s="19" t="s">
        <v>214</v>
      </c>
      <c r="B81" s="13">
        <v>8861</v>
      </c>
      <c r="C81" s="14">
        <f>(7344/B81*100)</f>
        <v>82.880036113305493</v>
      </c>
      <c r="D81" s="15">
        <v>1517</v>
      </c>
      <c r="E81" s="14">
        <v>24.317076610000001</v>
      </c>
      <c r="F81" s="16">
        <v>1.49373829</v>
      </c>
      <c r="G81" s="14">
        <v>13.63981851</v>
      </c>
      <c r="H81" s="16">
        <v>1.1312696799999999</v>
      </c>
      <c r="I81" s="14">
        <v>62.043104880000001</v>
      </c>
      <c r="J81" s="16">
        <v>1.79787717</v>
      </c>
      <c r="K81" s="14" t="s">
        <v>139</v>
      </c>
      <c r="L81" s="16" t="s">
        <v>139</v>
      </c>
      <c r="M81" s="14">
        <v>0</v>
      </c>
      <c r="N81" s="16">
        <v>0</v>
      </c>
      <c r="O81" s="14">
        <v>0</v>
      </c>
      <c r="P81" s="16">
        <v>0</v>
      </c>
      <c r="Q81" s="14">
        <v>0</v>
      </c>
      <c r="R81" s="16">
        <v>0</v>
      </c>
      <c r="S81" s="14">
        <v>0</v>
      </c>
      <c r="T81" s="16">
        <v>0</v>
      </c>
    </row>
    <row r="82" spans="1:20" x14ac:dyDescent="0.25">
      <c r="A82" s="20"/>
      <c r="B82" s="20" t="s">
        <v>215</v>
      </c>
      <c r="C82" s="20" t="s">
        <v>215</v>
      </c>
      <c r="D82" s="20" t="s">
        <v>215</v>
      </c>
      <c r="E82" s="20" t="s">
        <v>215</v>
      </c>
      <c r="F82" s="20" t="s">
        <v>215</v>
      </c>
      <c r="G82" s="20" t="s">
        <v>215</v>
      </c>
      <c r="H82" s="20" t="s">
        <v>215</v>
      </c>
      <c r="I82" s="20" t="s">
        <v>215</v>
      </c>
      <c r="J82" s="20" t="s">
        <v>215</v>
      </c>
      <c r="K82" s="20" t="s">
        <v>215</v>
      </c>
      <c r="L82" s="20" t="s">
        <v>215</v>
      </c>
      <c r="M82" s="20" t="s">
        <v>215</v>
      </c>
      <c r="N82" s="20" t="s">
        <v>215</v>
      </c>
      <c r="O82" s="20" t="s">
        <v>215</v>
      </c>
      <c r="P82" s="20" t="s">
        <v>215</v>
      </c>
      <c r="Q82" s="20" t="s">
        <v>215</v>
      </c>
      <c r="R82" s="20" t="s">
        <v>215</v>
      </c>
      <c r="S82" s="20" t="s">
        <v>215</v>
      </c>
      <c r="T82" s="20" t="s">
        <v>215</v>
      </c>
    </row>
    <row r="83" spans="1:20" x14ac:dyDescent="0.25">
      <c r="A83" s="3" t="s">
        <v>216</v>
      </c>
    </row>
    <row r="84" spans="1:20" x14ac:dyDescent="0.25">
      <c r="A84" s="22" t="s">
        <v>217</v>
      </c>
      <c r="B84" s="23"/>
      <c r="C84" s="23"/>
      <c r="D84" s="23"/>
      <c r="E84" s="23"/>
      <c r="F84" s="23"/>
      <c r="G84" s="23"/>
      <c r="H84" s="23"/>
      <c r="I84" s="23"/>
      <c r="J84" s="23"/>
      <c r="K84" s="23"/>
      <c r="L84" s="23"/>
      <c r="M84" s="23"/>
      <c r="N84" s="23"/>
      <c r="O84" s="23"/>
      <c r="P84" s="23"/>
      <c r="Q84" s="23"/>
      <c r="R84" s="23"/>
      <c r="S84" s="23"/>
      <c r="T84" s="23"/>
    </row>
    <row r="85" spans="1:20" x14ac:dyDescent="0.25">
      <c r="A85" s="22" t="s">
        <v>218</v>
      </c>
      <c r="B85" s="23"/>
      <c r="C85" s="23"/>
      <c r="D85" s="23"/>
      <c r="E85" s="23"/>
      <c r="F85" s="23"/>
      <c r="G85" s="23"/>
      <c r="H85" s="23"/>
      <c r="I85" s="23"/>
      <c r="J85" s="23"/>
      <c r="K85" s="23"/>
      <c r="L85" s="23"/>
      <c r="M85" s="23"/>
      <c r="N85" s="23"/>
      <c r="O85" s="23"/>
      <c r="P85" s="23"/>
      <c r="Q85" s="23"/>
      <c r="R85" s="23"/>
      <c r="S85" s="23"/>
      <c r="T85" s="23"/>
    </row>
    <row r="86" spans="1:20" ht="30" customHeight="1" x14ac:dyDescent="0.25">
      <c r="A86" s="22" t="s">
        <v>219</v>
      </c>
      <c r="B86" s="23"/>
      <c r="C86" s="23"/>
      <c r="D86" s="23"/>
      <c r="E86" s="23"/>
      <c r="F86" s="23"/>
      <c r="G86" s="23"/>
      <c r="H86" s="23"/>
      <c r="I86" s="23"/>
      <c r="J86" s="23"/>
      <c r="K86" s="23"/>
      <c r="L86" s="23"/>
      <c r="M86" s="23"/>
      <c r="N86" s="23"/>
      <c r="O86" s="23"/>
      <c r="P86" s="23"/>
      <c r="Q86" s="23"/>
      <c r="R86" s="23"/>
      <c r="S86" s="23"/>
      <c r="T86" s="23"/>
    </row>
    <row r="87" spans="1:20" ht="30" customHeight="1" x14ac:dyDescent="0.25">
      <c r="A87" s="22" t="s">
        <v>215</v>
      </c>
      <c r="B87" s="23"/>
      <c r="C87" s="23"/>
      <c r="D87" s="23"/>
      <c r="E87" s="23"/>
      <c r="F87" s="23"/>
      <c r="G87" s="23"/>
      <c r="H87" s="23"/>
      <c r="I87" s="23"/>
      <c r="J87" s="23"/>
      <c r="K87" s="23"/>
      <c r="L87" s="23"/>
      <c r="M87" s="23"/>
      <c r="N87" s="23"/>
      <c r="O87" s="23"/>
      <c r="P87" s="23"/>
      <c r="Q87" s="23"/>
      <c r="R87" s="23"/>
      <c r="S87" s="23"/>
      <c r="T87" s="23"/>
    </row>
    <row r="88" spans="1:20" ht="30" customHeight="1" x14ac:dyDescent="0.25">
      <c r="A88" s="22" t="s">
        <v>220</v>
      </c>
      <c r="B88" s="23"/>
      <c r="C88" s="23"/>
      <c r="D88" s="23"/>
      <c r="E88" s="23"/>
      <c r="F88" s="23"/>
      <c r="G88" s="23"/>
      <c r="H88" s="23"/>
      <c r="I88" s="23"/>
      <c r="J88" s="23"/>
      <c r="K88" s="23"/>
      <c r="L88" s="23"/>
      <c r="M88" s="23"/>
      <c r="N88" s="23"/>
      <c r="O88" s="23"/>
      <c r="P88" s="23"/>
      <c r="Q88" s="23"/>
      <c r="R88" s="23"/>
      <c r="S88" s="23"/>
      <c r="T88" s="23"/>
    </row>
    <row r="89" spans="1:20" ht="30" customHeight="1" x14ac:dyDescent="0.25">
      <c r="A89" s="22" t="s">
        <v>221</v>
      </c>
      <c r="B89" s="23"/>
      <c r="C89" s="23"/>
      <c r="D89" s="23"/>
      <c r="E89" s="23"/>
      <c r="F89" s="23"/>
      <c r="G89" s="23"/>
      <c r="H89" s="23"/>
      <c r="I89" s="23"/>
      <c r="J89" s="23"/>
      <c r="K89" s="23"/>
      <c r="L89" s="23"/>
      <c r="M89" s="23"/>
      <c r="N89" s="23"/>
      <c r="O89" s="23"/>
      <c r="P89" s="23"/>
      <c r="Q89" s="23"/>
      <c r="R89" s="23"/>
      <c r="S89" s="23"/>
      <c r="T89" s="23"/>
    </row>
    <row r="90" spans="1:20" ht="30" customHeight="1" x14ac:dyDescent="0.25">
      <c r="A90" s="22" t="s">
        <v>222</v>
      </c>
      <c r="B90" s="23"/>
      <c r="C90" s="23"/>
      <c r="D90" s="23"/>
      <c r="E90" s="23"/>
      <c r="F90" s="23"/>
      <c r="G90" s="23"/>
      <c r="H90" s="23"/>
      <c r="I90" s="23"/>
      <c r="J90" s="23"/>
      <c r="K90" s="23"/>
      <c r="L90" s="23"/>
      <c r="M90" s="23"/>
      <c r="N90" s="23"/>
      <c r="O90" s="23"/>
      <c r="P90" s="23"/>
      <c r="Q90" s="23"/>
      <c r="R90" s="23"/>
      <c r="S90" s="23"/>
      <c r="T90" s="23"/>
    </row>
    <row r="91" spans="1:20" ht="30" customHeight="1" x14ac:dyDescent="0.25">
      <c r="A91" s="22" t="s">
        <v>223</v>
      </c>
      <c r="B91" s="23"/>
      <c r="C91" s="23"/>
      <c r="D91" s="23"/>
      <c r="E91" s="23"/>
      <c r="F91" s="23"/>
      <c r="G91" s="23"/>
      <c r="H91" s="23"/>
      <c r="I91" s="23"/>
      <c r="J91" s="23"/>
      <c r="K91" s="23"/>
      <c r="L91" s="23"/>
      <c r="M91" s="23"/>
      <c r="N91" s="23"/>
      <c r="O91" s="23"/>
      <c r="P91" s="23"/>
      <c r="Q91" s="23"/>
      <c r="R91" s="23"/>
      <c r="S91" s="23"/>
      <c r="T91" s="23"/>
    </row>
    <row r="92" spans="1:20" ht="30" customHeight="1" x14ac:dyDescent="0.25">
      <c r="A92" s="22" t="s">
        <v>224</v>
      </c>
      <c r="B92" s="23"/>
      <c r="C92" s="23"/>
      <c r="D92" s="23"/>
      <c r="E92" s="23"/>
      <c r="F92" s="23"/>
      <c r="G92" s="23"/>
      <c r="H92" s="23"/>
      <c r="I92" s="23"/>
      <c r="J92" s="23"/>
      <c r="K92" s="23"/>
      <c r="L92" s="23"/>
      <c r="M92" s="23"/>
      <c r="N92" s="23"/>
      <c r="O92" s="23"/>
      <c r="P92" s="23"/>
      <c r="Q92" s="23"/>
      <c r="R92" s="23"/>
      <c r="S92" s="23"/>
      <c r="T92" s="23"/>
    </row>
    <row r="93" spans="1:20" ht="30" customHeight="1" x14ac:dyDescent="0.25">
      <c r="A93" s="22" t="s">
        <v>225</v>
      </c>
      <c r="B93" s="23"/>
      <c r="C93" s="23"/>
      <c r="D93" s="23"/>
      <c r="E93" s="23"/>
      <c r="F93" s="23"/>
      <c r="G93" s="23"/>
      <c r="H93" s="23"/>
      <c r="I93" s="23"/>
      <c r="J93" s="23"/>
      <c r="K93" s="23"/>
      <c r="L93" s="23"/>
      <c r="M93" s="23"/>
      <c r="N93" s="23"/>
      <c r="O93" s="23"/>
      <c r="P93" s="23"/>
      <c r="Q93" s="23"/>
      <c r="R93" s="23"/>
      <c r="S93" s="23"/>
      <c r="T93" s="23"/>
    </row>
    <row r="94" spans="1:20" ht="30" customHeight="1" x14ac:dyDescent="0.25">
      <c r="A94" s="22" t="s">
        <v>226</v>
      </c>
      <c r="B94" s="23"/>
      <c r="C94" s="23"/>
      <c r="D94" s="23"/>
      <c r="E94" s="23"/>
      <c r="F94" s="23"/>
      <c r="G94" s="23"/>
      <c r="H94" s="23"/>
      <c r="I94" s="23"/>
      <c r="J94" s="23"/>
      <c r="K94" s="23"/>
      <c r="L94" s="23"/>
      <c r="M94" s="23"/>
      <c r="N94" s="23"/>
      <c r="O94" s="23"/>
      <c r="P94" s="23"/>
      <c r="Q94" s="23"/>
      <c r="R94" s="23"/>
      <c r="S94" s="23"/>
      <c r="T94" s="23"/>
    </row>
    <row r="95" spans="1:20" ht="30" customHeight="1" x14ac:dyDescent="0.25">
      <c r="A95" s="22" t="s">
        <v>227</v>
      </c>
      <c r="B95" s="23"/>
      <c r="C95" s="23"/>
      <c r="D95" s="23"/>
      <c r="E95" s="23"/>
      <c r="F95" s="23"/>
      <c r="G95" s="23"/>
      <c r="H95" s="23"/>
      <c r="I95" s="23"/>
      <c r="J95" s="23"/>
      <c r="K95" s="23"/>
      <c r="L95" s="23"/>
      <c r="M95" s="23"/>
      <c r="N95" s="23"/>
      <c r="O95" s="23"/>
      <c r="P95" s="23"/>
      <c r="Q95" s="23"/>
      <c r="R95" s="23"/>
      <c r="S95" s="23"/>
      <c r="T95" s="23"/>
    </row>
    <row r="96" spans="1:20" ht="30" customHeight="1" x14ac:dyDescent="0.25">
      <c r="A96" s="22" t="s">
        <v>228</v>
      </c>
      <c r="B96" s="23"/>
      <c r="C96" s="23"/>
      <c r="D96" s="23"/>
      <c r="E96" s="23"/>
      <c r="F96" s="23"/>
      <c r="G96" s="23"/>
      <c r="H96" s="23"/>
      <c r="I96" s="23"/>
      <c r="J96" s="23"/>
      <c r="K96" s="23"/>
      <c r="L96" s="23"/>
      <c r="M96" s="23"/>
      <c r="N96" s="23"/>
      <c r="O96" s="23"/>
      <c r="P96" s="23"/>
      <c r="Q96" s="23"/>
      <c r="R96" s="23"/>
      <c r="S96" s="23"/>
      <c r="T96" s="23"/>
    </row>
  </sheetData>
  <mergeCells count="23">
    <mergeCell ref="O4:P4"/>
    <mergeCell ref="Q4:R4"/>
    <mergeCell ref="S4:T4"/>
    <mergeCell ref="A1:T1"/>
    <mergeCell ref="A2:T2"/>
    <mergeCell ref="E4:F4"/>
    <mergeCell ref="G4:H4"/>
    <mergeCell ref="I4:J4"/>
    <mergeCell ref="K4:L4"/>
    <mergeCell ref="M4:N4"/>
    <mergeCell ref="A84:T84"/>
    <mergeCell ref="A85:T85"/>
    <mergeCell ref="A86:T86"/>
    <mergeCell ref="A87:T87"/>
    <mergeCell ref="A88:T88"/>
    <mergeCell ref="A94:T94"/>
    <mergeCell ref="A95:T95"/>
    <mergeCell ref="A96:T96"/>
    <mergeCell ref="A89:T89"/>
    <mergeCell ref="A90:T90"/>
    <mergeCell ref="A91:T91"/>
    <mergeCell ref="A92:T92"/>
    <mergeCell ref="A93:T93"/>
  </mergeCells>
  <pageMargins left="0.75" right="0.75" top="1" bottom="1" header="0.5" footer="0.5"/>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7"/>
  <dimension ref="A1:T96"/>
  <sheetViews>
    <sheetView zoomScale="80" workbookViewId="0">
      <pane xSplit="4" topLeftCell="E1" activePane="topRight" state="frozen"/>
      <selection sqref="A1:R1"/>
      <selection pane="topRight" sqref="A1:T1"/>
    </sheetView>
  </sheetViews>
  <sheetFormatPr defaultColWidth="11.42578125" defaultRowHeight="15" x14ac:dyDescent="0.25"/>
  <cols>
    <col min="1" max="1" width="50" customWidth="1"/>
  </cols>
  <sheetData>
    <row r="1" spans="1:20" x14ac:dyDescent="0.25">
      <c r="A1" s="26" t="s">
        <v>122</v>
      </c>
      <c r="B1" s="23"/>
      <c r="C1" s="23"/>
      <c r="D1" s="23"/>
      <c r="E1" s="23"/>
      <c r="F1" s="23"/>
      <c r="G1" s="23"/>
      <c r="H1" s="23"/>
      <c r="I1" s="23"/>
      <c r="J1" s="23"/>
      <c r="K1" s="23"/>
      <c r="L1" s="23"/>
      <c r="M1" s="23"/>
      <c r="N1" s="23"/>
      <c r="O1" s="23"/>
      <c r="P1" s="23"/>
      <c r="Q1" s="23"/>
      <c r="R1" s="23"/>
      <c r="S1" s="23"/>
      <c r="T1" s="23"/>
    </row>
    <row r="2" spans="1:20" x14ac:dyDescent="0.25">
      <c r="A2" s="27" t="s">
        <v>333</v>
      </c>
      <c r="B2" s="23"/>
      <c r="C2" s="23"/>
      <c r="D2" s="23"/>
      <c r="E2" s="23"/>
      <c r="F2" s="23"/>
      <c r="G2" s="23"/>
      <c r="H2" s="23"/>
      <c r="I2" s="23"/>
      <c r="J2" s="23"/>
      <c r="K2" s="23"/>
      <c r="L2" s="23"/>
      <c r="M2" s="23"/>
      <c r="N2" s="23"/>
      <c r="O2" s="23"/>
      <c r="P2" s="23"/>
      <c r="Q2" s="23"/>
      <c r="R2" s="23"/>
      <c r="S2" s="23"/>
      <c r="T2" s="23"/>
    </row>
    <row r="4" spans="1:20" ht="30" customHeight="1" x14ac:dyDescent="0.25">
      <c r="A4" s="4"/>
      <c r="B4" s="5" t="s">
        <v>123</v>
      </c>
      <c r="C4" s="5" t="s">
        <v>124</v>
      </c>
      <c r="D4" s="6" t="s">
        <v>123</v>
      </c>
      <c r="E4" s="24" t="s">
        <v>125</v>
      </c>
      <c r="F4" s="25"/>
      <c r="G4" s="24" t="s">
        <v>233</v>
      </c>
      <c r="H4" s="25"/>
      <c r="I4" s="24" t="s">
        <v>234</v>
      </c>
      <c r="J4" s="25"/>
      <c r="K4" s="24" t="s">
        <v>127</v>
      </c>
      <c r="L4" s="25"/>
      <c r="M4" s="24" t="s">
        <v>128</v>
      </c>
      <c r="N4" s="25"/>
      <c r="O4" s="24" t="s">
        <v>129</v>
      </c>
      <c r="P4" s="25"/>
      <c r="Q4" s="24" t="s">
        <v>130</v>
      </c>
      <c r="R4" s="25"/>
      <c r="S4" s="24" t="s">
        <v>131</v>
      </c>
      <c r="T4" s="25"/>
    </row>
    <row r="5" spans="1:20" x14ac:dyDescent="0.25">
      <c r="A5" s="7"/>
      <c r="B5" s="8" t="s">
        <v>132</v>
      </c>
      <c r="C5" s="8" t="s">
        <v>133</v>
      </c>
      <c r="D5" s="7" t="s">
        <v>134</v>
      </c>
      <c r="E5" s="8" t="s">
        <v>135</v>
      </c>
      <c r="F5" s="7" t="s">
        <v>136</v>
      </c>
      <c r="G5" s="8" t="s">
        <v>135</v>
      </c>
      <c r="H5" s="7" t="s">
        <v>136</v>
      </c>
      <c r="I5" s="8" t="s">
        <v>135</v>
      </c>
      <c r="J5" s="7" t="s">
        <v>136</v>
      </c>
      <c r="K5" s="8" t="s">
        <v>135</v>
      </c>
      <c r="L5" s="7" t="s">
        <v>136</v>
      </c>
      <c r="M5" s="8" t="s">
        <v>135</v>
      </c>
      <c r="N5" s="7" t="s">
        <v>136</v>
      </c>
      <c r="O5" s="8" t="s">
        <v>135</v>
      </c>
      <c r="P5" s="7" t="s">
        <v>136</v>
      </c>
      <c r="Q5" s="8" t="s">
        <v>135</v>
      </c>
      <c r="R5" s="7" t="s">
        <v>136</v>
      </c>
      <c r="S5" s="8" t="s">
        <v>135</v>
      </c>
      <c r="T5" s="7" t="s">
        <v>136</v>
      </c>
    </row>
    <row r="6" spans="1:20" x14ac:dyDescent="0.25">
      <c r="A6" s="9" t="s">
        <v>137</v>
      </c>
      <c r="B6" s="10"/>
      <c r="C6" s="10"/>
      <c r="D6" s="11"/>
      <c r="E6" s="10"/>
      <c r="F6" s="11"/>
      <c r="G6" s="10"/>
      <c r="H6" s="11"/>
      <c r="I6" s="10"/>
      <c r="J6" s="11"/>
      <c r="K6" s="10"/>
      <c r="L6" s="11"/>
      <c r="M6" s="10"/>
      <c r="N6" s="11"/>
      <c r="O6" s="10"/>
      <c r="P6" s="11"/>
      <c r="Q6" s="10"/>
      <c r="R6" s="11"/>
      <c r="S6" s="10"/>
      <c r="T6" s="12"/>
    </row>
    <row r="7" spans="1:20" x14ac:dyDescent="0.25">
      <c r="A7" s="11" t="s">
        <v>138</v>
      </c>
      <c r="B7" s="13">
        <v>14530</v>
      </c>
      <c r="C7" s="14">
        <f>(12071/B7*100)</f>
        <v>83.076393668272544</v>
      </c>
      <c r="D7" s="15">
        <v>2459</v>
      </c>
      <c r="E7" s="14">
        <v>22.656162800000001</v>
      </c>
      <c r="F7" s="16">
        <v>1.0208734900000001</v>
      </c>
      <c r="G7" s="14">
        <v>35.750889229999999</v>
      </c>
      <c r="H7" s="16">
        <v>1.0777751200000001</v>
      </c>
      <c r="I7" s="14">
        <v>41.592947969999997</v>
      </c>
      <c r="J7" s="16">
        <v>1.04582968</v>
      </c>
      <c r="K7" s="14" t="s">
        <v>139</v>
      </c>
      <c r="L7" s="16" t="s">
        <v>139</v>
      </c>
      <c r="M7" s="14">
        <v>0</v>
      </c>
      <c r="N7" s="16">
        <v>0</v>
      </c>
      <c r="O7" s="14">
        <v>0</v>
      </c>
      <c r="P7" s="16">
        <v>0</v>
      </c>
      <c r="Q7" s="14">
        <v>0</v>
      </c>
      <c r="R7" s="16">
        <v>0</v>
      </c>
      <c r="S7" s="14">
        <v>0</v>
      </c>
      <c r="T7" s="16">
        <v>0</v>
      </c>
    </row>
    <row r="8" spans="1:20" x14ac:dyDescent="0.25">
      <c r="A8" s="11" t="s">
        <v>140</v>
      </c>
      <c r="B8" s="13">
        <v>7007</v>
      </c>
      <c r="C8" s="14">
        <f>(5776/B8*100)</f>
        <v>82.431853860425292</v>
      </c>
      <c r="D8" s="15">
        <v>1231</v>
      </c>
      <c r="E8" s="14">
        <v>28.104363119999999</v>
      </c>
      <c r="F8" s="16">
        <v>1.41504271</v>
      </c>
      <c r="G8" s="14">
        <v>38.529843100000001</v>
      </c>
      <c r="H8" s="16">
        <v>1.5559383899999999</v>
      </c>
      <c r="I8" s="14">
        <v>33.365793770000003</v>
      </c>
      <c r="J8" s="16">
        <v>1.6622094000000001</v>
      </c>
      <c r="K8" s="14" t="s">
        <v>139</v>
      </c>
      <c r="L8" s="16" t="s">
        <v>139</v>
      </c>
      <c r="M8" s="14">
        <v>0</v>
      </c>
      <c r="N8" s="16">
        <v>0</v>
      </c>
      <c r="O8" s="14">
        <v>0</v>
      </c>
      <c r="P8" s="16">
        <v>0</v>
      </c>
      <c r="Q8" s="14">
        <v>0</v>
      </c>
      <c r="R8" s="16">
        <v>0</v>
      </c>
      <c r="S8" s="14">
        <v>0</v>
      </c>
      <c r="T8" s="16">
        <v>0</v>
      </c>
    </row>
    <row r="9" spans="1:20" x14ac:dyDescent="0.25">
      <c r="A9" s="11" t="s">
        <v>141</v>
      </c>
      <c r="B9" s="13">
        <v>9651</v>
      </c>
      <c r="C9" s="14">
        <f>(8052/B9*100)</f>
        <v>83.431768728629152</v>
      </c>
      <c r="D9" s="15">
        <v>1599</v>
      </c>
      <c r="E9" s="14">
        <v>26.088101909999999</v>
      </c>
      <c r="F9" s="16">
        <v>1.17559689</v>
      </c>
      <c r="G9" s="14">
        <v>45.408446750000003</v>
      </c>
      <c r="H9" s="16">
        <v>1.44487755</v>
      </c>
      <c r="I9" s="14">
        <v>28.503451340000002</v>
      </c>
      <c r="J9" s="16">
        <v>1.3407533700000001</v>
      </c>
      <c r="K9" s="14" t="s">
        <v>139</v>
      </c>
      <c r="L9" s="16" t="s">
        <v>139</v>
      </c>
      <c r="M9" s="14">
        <v>0</v>
      </c>
      <c r="N9" s="16">
        <v>0</v>
      </c>
      <c r="O9" s="14">
        <v>0</v>
      </c>
      <c r="P9" s="16">
        <v>0</v>
      </c>
      <c r="Q9" s="14">
        <v>0</v>
      </c>
      <c r="R9" s="16">
        <v>0</v>
      </c>
      <c r="S9" s="14">
        <v>0</v>
      </c>
      <c r="T9" s="16">
        <v>0</v>
      </c>
    </row>
    <row r="10" spans="1:20" x14ac:dyDescent="0.25">
      <c r="A10" s="11" t="s">
        <v>142</v>
      </c>
      <c r="B10" s="13">
        <v>20058</v>
      </c>
      <c r="C10" s="14">
        <f>(16662/B10*100)</f>
        <v>83.069099611127726</v>
      </c>
      <c r="D10" s="15">
        <v>3396</v>
      </c>
      <c r="E10" s="14">
        <v>23.206472460000001</v>
      </c>
      <c r="F10" s="16">
        <v>0.96093510000000004</v>
      </c>
      <c r="G10" s="14">
        <v>34.977647640000001</v>
      </c>
      <c r="H10" s="16">
        <v>1.2736319700000001</v>
      </c>
      <c r="I10" s="14">
        <v>41.81587991</v>
      </c>
      <c r="J10" s="16">
        <v>1.13807492</v>
      </c>
      <c r="K10" s="14" t="s">
        <v>139</v>
      </c>
      <c r="L10" s="16" t="s">
        <v>139</v>
      </c>
      <c r="M10" s="14">
        <v>0</v>
      </c>
      <c r="N10" s="16">
        <v>0</v>
      </c>
      <c r="O10" s="14">
        <v>0</v>
      </c>
      <c r="P10" s="16">
        <v>0</v>
      </c>
      <c r="Q10" s="14">
        <v>0</v>
      </c>
      <c r="R10" s="16">
        <v>0</v>
      </c>
      <c r="S10" s="14">
        <v>0</v>
      </c>
      <c r="T10" s="16">
        <v>0</v>
      </c>
    </row>
    <row r="11" spans="1:20" x14ac:dyDescent="0.25">
      <c r="A11" s="11" t="s">
        <v>143</v>
      </c>
      <c r="B11" s="13">
        <v>7053</v>
      </c>
      <c r="C11" s="14">
        <f>(5845/B11*100)</f>
        <v>82.872536509286832</v>
      </c>
      <c r="D11" s="15">
        <v>1208</v>
      </c>
      <c r="E11" s="14">
        <v>32.552957589999998</v>
      </c>
      <c r="F11" s="16">
        <v>1.5276989700000001</v>
      </c>
      <c r="G11" s="14">
        <v>49.691383739999999</v>
      </c>
      <c r="H11" s="16">
        <v>1.6832195999999999</v>
      </c>
      <c r="I11" s="14">
        <v>17.755658669999999</v>
      </c>
      <c r="J11" s="16">
        <v>1.2275160000000001</v>
      </c>
      <c r="K11" s="14" t="s">
        <v>139</v>
      </c>
      <c r="L11" s="16" t="s">
        <v>139</v>
      </c>
      <c r="M11" s="14">
        <v>0</v>
      </c>
      <c r="N11" s="16">
        <v>0</v>
      </c>
      <c r="O11" s="14">
        <v>0</v>
      </c>
      <c r="P11" s="16">
        <v>0</v>
      </c>
      <c r="Q11" s="14">
        <v>0</v>
      </c>
      <c r="R11" s="16">
        <v>0</v>
      </c>
      <c r="S11" s="14">
        <v>0</v>
      </c>
      <c r="T11" s="16">
        <v>0</v>
      </c>
    </row>
    <row r="12" spans="1:20" x14ac:dyDescent="0.25">
      <c r="A12" s="11" t="s">
        <v>144</v>
      </c>
      <c r="B12" s="13">
        <v>6894</v>
      </c>
      <c r="C12" s="14">
        <f>(5730/B12*100)</f>
        <v>83.115752828546562</v>
      </c>
      <c r="D12" s="15">
        <v>1164</v>
      </c>
      <c r="E12" s="14">
        <v>30.88265414</v>
      </c>
      <c r="F12" s="16">
        <v>1.4045780000000001</v>
      </c>
      <c r="G12" s="14">
        <v>36.339996739999997</v>
      </c>
      <c r="H12" s="16">
        <v>1.5294414300000001</v>
      </c>
      <c r="I12" s="14">
        <v>32.777349119999997</v>
      </c>
      <c r="J12" s="16">
        <v>1.7649298200000001</v>
      </c>
      <c r="K12" s="14" t="s">
        <v>139</v>
      </c>
      <c r="L12" s="16" t="s">
        <v>139</v>
      </c>
      <c r="M12" s="14">
        <v>0</v>
      </c>
      <c r="N12" s="16">
        <v>0</v>
      </c>
      <c r="O12" s="14">
        <v>0</v>
      </c>
      <c r="P12" s="16">
        <v>0</v>
      </c>
      <c r="Q12" s="14">
        <v>0</v>
      </c>
      <c r="R12" s="16">
        <v>0</v>
      </c>
      <c r="S12" s="14">
        <v>0</v>
      </c>
      <c r="T12" s="16">
        <v>0</v>
      </c>
    </row>
    <row r="13" spans="1:20" x14ac:dyDescent="0.25">
      <c r="A13" s="11" t="s">
        <v>145</v>
      </c>
      <c r="B13" s="13">
        <v>7161</v>
      </c>
      <c r="C13" s="14">
        <f>(5999/B13*100)</f>
        <v>83.773216031280555</v>
      </c>
      <c r="D13" s="15">
        <v>1162</v>
      </c>
      <c r="E13" s="14">
        <v>25.1605919</v>
      </c>
      <c r="F13" s="16">
        <v>1.63870586</v>
      </c>
      <c r="G13" s="14">
        <v>48.146200039999997</v>
      </c>
      <c r="H13" s="16">
        <v>1.6126414099999999</v>
      </c>
      <c r="I13" s="14">
        <v>26.69320806</v>
      </c>
      <c r="J13" s="16">
        <v>1.44964698</v>
      </c>
      <c r="K13" s="14" t="s">
        <v>139</v>
      </c>
      <c r="L13" s="16" t="s">
        <v>139</v>
      </c>
      <c r="M13" s="14">
        <v>0</v>
      </c>
      <c r="N13" s="16">
        <v>0</v>
      </c>
      <c r="O13" s="14">
        <v>0</v>
      </c>
      <c r="P13" s="16">
        <v>0</v>
      </c>
      <c r="Q13" s="14">
        <v>0</v>
      </c>
      <c r="R13" s="16">
        <v>0</v>
      </c>
      <c r="S13" s="14">
        <v>0</v>
      </c>
      <c r="T13" s="16">
        <v>0</v>
      </c>
    </row>
    <row r="14" spans="1:20" x14ac:dyDescent="0.25">
      <c r="A14" s="11" t="s">
        <v>146</v>
      </c>
      <c r="B14" s="13">
        <v>5587</v>
      </c>
      <c r="C14" s="14">
        <f>(4624/B14*100)</f>
        <v>82.763558260247009</v>
      </c>
      <c r="D14" s="15">
        <v>963</v>
      </c>
      <c r="E14" s="14">
        <v>18.19481356</v>
      </c>
      <c r="F14" s="16">
        <v>1.1803524599999999</v>
      </c>
      <c r="G14" s="14">
        <v>45.877508239999997</v>
      </c>
      <c r="H14" s="16">
        <v>1.8793928799999999</v>
      </c>
      <c r="I14" s="14">
        <v>35.927678200000003</v>
      </c>
      <c r="J14" s="16">
        <v>1.7411958999999999</v>
      </c>
      <c r="K14" s="14" t="s">
        <v>139</v>
      </c>
      <c r="L14" s="16" t="s">
        <v>139</v>
      </c>
      <c r="M14" s="14">
        <v>0</v>
      </c>
      <c r="N14" s="16">
        <v>0</v>
      </c>
      <c r="O14" s="14">
        <v>0</v>
      </c>
      <c r="P14" s="16">
        <v>0</v>
      </c>
      <c r="Q14" s="14">
        <v>0</v>
      </c>
      <c r="R14" s="16">
        <v>0</v>
      </c>
      <c r="S14" s="14">
        <v>0</v>
      </c>
      <c r="T14" s="16">
        <v>0</v>
      </c>
    </row>
    <row r="15" spans="1:20" x14ac:dyDescent="0.25">
      <c r="A15" s="11" t="s">
        <v>147</v>
      </c>
      <c r="B15" s="13">
        <v>5882</v>
      </c>
      <c r="C15" s="14">
        <f>(4872/B15*100)</f>
        <v>82.828969738184284</v>
      </c>
      <c r="D15" s="15">
        <v>1010</v>
      </c>
      <c r="E15" s="14">
        <v>22.385349489999999</v>
      </c>
      <c r="F15" s="16">
        <v>1.41962791</v>
      </c>
      <c r="G15" s="14">
        <v>46.582705179999998</v>
      </c>
      <c r="H15" s="16">
        <v>1.7172824799999999</v>
      </c>
      <c r="I15" s="14">
        <v>31.031945329999999</v>
      </c>
      <c r="J15" s="16">
        <v>1.5488788200000001</v>
      </c>
      <c r="K15" s="14" t="s">
        <v>139</v>
      </c>
      <c r="L15" s="16" t="s">
        <v>139</v>
      </c>
      <c r="M15" s="14">
        <v>0</v>
      </c>
      <c r="N15" s="16">
        <v>0</v>
      </c>
      <c r="O15" s="14">
        <v>0</v>
      </c>
      <c r="P15" s="16">
        <v>0</v>
      </c>
      <c r="Q15" s="14">
        <v>0</v>
      </c>
      <c r="R15" s="16">
        <v>0</v>
      </c>
      <c r="S15" s="14">
        <v>0</v>
      </c>
      <c r="T15" s="16">
        <v>0</v>
      </c>
    </row>
    <row r="16" spans="1:20" x14ac:dyDescent="0.25">
      <c r="A16" s="11" t="s">
        <v>148</v>
      </c>
      <c r="B16" s="13">
        <v>6108</v>
      </c>
      <c r="C16" s="14">
        <f>(5082/B16*100)</f>
        <v>83.202357563850697</v>
      </c>
      <c r="D16" s="15">
        <v>1026</v>
      </c>
      <c r="E16" s="14">
        <v>32.350580030000003</v>
      </c>
      <c r="F16" s="16">
        <v>1.73659611</v>
      </c>
      <c r="G16" s="14">
        <v>42.132765190000001</v>
      </c>
      <c r="H16" s="16">
        <v>1.7169545100000001</v>
      </c>
      <c r="I16" s="14">
        <v>25.51665478</v>
      </c>
      <c r="J16" s="16">
        <v>1.3844716399999999</v>
      </c>
      <c r="K16" s="14" t="s">
        <v>139</v>
      </c>
      <c r="L16" s="16" t="s">
        <v>139</v>
      </c>
      <c r="M16" s="14">
        <v>0</v>
      </c>
      <c r="N16" s="16">
        <v>0</v>
      </c>
      <c r="O16" s="14">
        <v>0</v>
      </c>
      <c r="P16" s="16">
        <v>0</v>
      </c>
      <c r="Q16" s="14">
        <v>0</v>
      </c>
      <c r="R16" s="16">
        <v>0</v>
      </c>
      <c r="S16" s="14">
        <v>0</v>
      </c>
      <c r="T16" s="16">
        <v>0</v>
      </c>
    </row>
    <row r="17" spans="1:20" x14ac:dyDescent="0.25">
      <c r="A17" s="11" t="s">
        <v>149</v>
      </c>
      <c r="B17" s="13">
        <v>6504</v>
      </c>
      <c r="C17" s="14">
        <f>(5413/B17*100)</f>
        <v>83.225707257072571</v>
      </c>
      <c r="D17" s="15">
        <v>1091</v>
      </c>
      <c r="E17" s="14">
        <v>27.84412459</v>
      </c>
      <c r="F17" s="16">
        <v>1.59523272</v>
      </c>
      <c r="G17" s="14">
        <v>37.769519199999998</v>
      </c>
      <c r="H17" s="16">
        <v>1.52576665</v>
      </c>
      <c r="I17" s="14">
        <v>34.386356200000002</v>
      </c>
      <c r="J17" s="16">
        <v>1.48279808</v>
      </c>
      <c r="K17" s="14" t="s">
        <v>139</v>
      </c>
      <c r="L17" s="16" t="s">
        <v>139</v>
      </c>
      <c r="M17" s="14">
        <v>0</v>
      </c>
      <c r="N17" s="16">
        <v>0</v>
      </c>
      <c r="O17" s="14">
        <v>0</v>
      </c>
      <c r="P17" s="16">
        <v>0</v>
      </c>
      <c r="Q17" s="14">
        <v>0</v>
      </c>
      <c r="R17" s="16">
        <v>0</v>
      </c>
      <c r="S17" s="14">
        <v>0</v>
      </c>
      <c r="T17" s="16">
        <v>0</v>
      </c>
    </row>
    <row r="18" spans="1:20" x14ac:dyDescent="0.25">
      <c r="A18" s="11" t="s">
        <v>150</v>
      </c>
      <c r="B18" s="13">
        <v>5532</v>
      </c>
      <c r="C18" s="14">
        <f>(4580/B18*100)</f>
        <v>82.79103398409255</v>
      </c>
      <c r="D18" s="15">
        <v>952</v>
      </c>
      <c r="E18" s="14">
        <v>39.031734649999997</v>
      </c>
      <c r="F18" s="16">
        <v>1.6603800500000001</v>
      </c>
      <c r="G18" s="14">
        <v>43.535579400000003</v>
      </c>
      <c r="H18" s="16">
        <v>1.5777439900000001</v>
      </c>
      <c r="I18" s="14">
        <v>17.43268595</v>
      </c>
      <c r="J18" s="16">
        <v>1.3597193000000001</v>
      </c>
      <c r="K18" s="14" t="s">
        <v>139</v>
      </c>
      <c r="L18" s="16" t="s">
        <v>139</v>
      </c>
      <c r="M18" s="14">
        <v>0</v>
      </c>
      <c r="N18" s="16">
        <v>0</v>
      </c>
      <c r="O18" s="14">
        <v>0</v>
      </c>
      <c r="P18" s="16">
        <v>0</v>
      </c>
      <c r="Q18" s="14">
        <v>0</v>
      </c>
      <c r="R18" s="16">
        <v>0</v>
      </c>
      <c r="S18" s="14">
        <v>0</v>
      </c>
      <c r="T18" s="16">
        <v>0</v>
      </c>
    </row>
    <row r="19" spans="1:20" x14ac:dyDescent="0.25">
      <c r="A19" s="11" t="s">
        <v>151</v>
      </c>
      <c r="B19" s="13">
        <v>5658</v>
      </c>
      <c r="C19" s="14">
        <f>(4698/B19*100)</f>
        <v>83.032873806998936</v>
      </c>
      <c r="D19" s="15">
        <v>960</v>
      </c>
      <c r="E19" s="14">
        <v>34.267084670000003</v>
      </c>
      <c r="F19" s="16">
        <v>1.82368989</v>
      </c>
      <c r="G19" s="14">
        <v>46.08052532</v>
      </c>
      <c r="H19" s="16">
        <v>1.7640804000000001</v>
      </c>
      <c r="I19" s="14">
        <v>19.652390010000001</v>
      </c>
      <c r="J19" s="16">
        <v>1.2904676100000001</v>
      </c>
      <c r="K19" s="14" t="s">
        <v>139</v>
      </c>
      <c r="L19" s="16" t="s">
        <v>139</v>
      </c>
      <c r="M19" s="14">
        <v>0</v>
      </c>
      <c r="N19" s="16">
        <v>0</v>
      </c>
      <c r="O19" s="14">
        <v>0</v>
      </c>
      <c r="P19" s="16">
        <v>0</v>
      </c>
      <c r="Q19" s="14">
        <v>0</v>
      </c>
      <c r="R19" s="16">
        <v>0</v>
      </c>
      <c r="S19" s="14">
        <v>0</v>
      </c>
      <c r="T19" s="16">
        <v>0</v>
      </c>
    </row>
    <row r="20" spans="1:20" x14ac:dyDescent="0.25">
      <c r="A20" s="11" t="s">
        <v>152</v>
      </c>
      <c r="B20" s="13">
        <v>3371</v>
      </c>
      <c r="C20" s="14">
        <f>(2801/B20*100)</f>
        <v>83.091070898843071</v>
      </c>
      <c r="D20" s="15">
        <v>570</v>
      </c>
      <c r="E20" s="14">
        <v>32.469657460000001</v>
      </c>
      <c r="F20" s="16">
        <v>1.8517708900000001</v>
      </c>
      <c r="G20" s="14">
        <v>40.196905469999997</v>
      </c>
      <c r="H20" s="16">
        <v>2.3606786999999998</v>
      </c>
      <c r="I20" s="14">
        <v>27.333437069999999</v>
      </c>
      <c r="J20" s="16">
        <v>2.1235368100000001</v>
      </c>
      <c r="K20" s="14" t="s">
        <v>139</v>
      </c>
      <c r="L20" s="16" t="s">
        <v>139</v>
      </c>
      <c r="M20" s="14">
        <v>0</v>
      </c>
      <c r="N20" s="16">
        <v>0</v>
      </c>
      <c r="O20" s="14">
        <v>0</v>
      </c>
      <c r="P20" s="16">
        <v>0</v>
      </c>
      <c r="Q20" s="14">
        <v>0</v>
      </c>
      <c r="R20" s="16">
        <v>0</v>
      </c>
      <c r="S20" s="14">
        <v>0</v>
      </c>
      <c r="T20" s="16">
        <v>0</v>
      </c>
    </row>
    <row r="21" spans="1:20" x14ac:dyDescent="0.25">
      <c r="A21" s="11" t="s">
        <v>153</v>
      </c>
      <c r="B21" s="17" t="s">
        <v>154</v>
      </c>
      <c r="C21" s="17" t="s">
        <v>154</v>
      </c>
      <c r="D21" s="18" t="s">
        <v>154</v>
      </c>
      <c r="E21" s="17" t="s">
        <v>154</v>
      </c>
      <c r="F21" s="18" t="s">
        <v>154</v>
      </c>
      <c r="G21" s="17" t="s">
        <v>154</v>
      </c>
      <c r="H21" s="18" t="s">
        <v>154</v>
      </c>
      <c r="I21" s="17" t="s">
        <v>154</v>
      </c>
      <c r="J21" s="18" t="s">
        <v>154</v>
      </c>
      <c r="K21" s="17" t="s">
        <v>154</v>
      </c>
      <c r="L21" s="18" t="s">
        <v>154</v>
      </c>
      <c r="M21" s="17" t="s">
        <v>154</v>
      </c>
      <c r="N21" s="18" t="s">
        <v>154</v>
      </c>
      <c r="O21" s="17" t="s">
        <v>154</v>
      </c>
      <c r="P21" s="18" t="s">
        <v>154</v>
      </c>
      <c r="Q21" s="17" t="s">
        <v>154</v>
      </c>
      <c r="R21" s="18" t="s">
        <v>154</v>
      </c>
      <c r="S21" s="17" t="s">
        <v>154</v>
      </c>
      <c r="T21" s="18" t="s">
        <v>154</v>
      </c>
    </row>
    <row r="22" spans="1:20" x14ac:dyDescent="0.25">
      <c r="A22" s="11" t="s">
        <v>155</v>
      </c>
      <c r="B22" s="13">
        <v>6598</v>
      </c>
      <c r="C22" s="14">
        <f>(5578/B22*100)</f>
        <v>84.540769930281897</v>
      </c>
      <c r="D22" s="15">
        <v>1020</v>
      </c>
      <c r="E22" s="14">
        <v>31.382432260000002</v>
      </c>
      <c r="F22" s="16">
        <v>1.6596946100000001</v>
      </c>
      <c r="G22" s="14">
        <v>44.128516490000003</v>
      </c>
      <c r="H22" s="16">
        <v>1.5943642600000001</v>
      </c>
      <c r="I22" s="14">
        <v>24.489051249999999</v>
      </c>
      <c r="J22" s="16">
        <v>1.55563451</v>
      </c>
      <c r="K22" s="14" t="s">
        <v>139</v>
      </c>
      <c r="L22" s="16" t="s">
        <v>139</v>
      </c>
      <c r="M22" s="14">
        <v>0</v>
      </c>
      <c r="N22" s="16">
        <v>0</v>
      </c>
      <c r="O22" s="14">
        <v>0</v>
      </c>
      <c r="P22" s="16">
        <v>0</v>
      </c>
      <c r="Q22" s="14">
        <v>0</v>
      </c>
      <c r="R22" s="16">
        <v>0</v>
      </c>
      <c r="S22" s="14">
        <v>0</v>
      </c>
      <c r="T22" s="16">
        <v>0</v>
      </c>
    </row>
    <row r="23" spans="1:20" x14ac:dyDescent="0.25">
      <c r="A23" s="11" t="s">
        <v>156</v>
      </c>
      <c r="B23" s="13">
        <v>11583</v>
      </c>
      <c r="C23" s="14">
        <f>(9588/B23*100)</f>
        <v>82.77648277648278</v>
      </c>
      <c r="D23" s="15">
        <v>1995</v>
      </c>
      <c r="E23" s="14">
        <v>34.941572979999997</v>
      </c>
      <c r="F23" s="16">
        <v>1.44575034</v>
      </c>
      <c r="G23" s="14">
        <v>37.644871270000003</v>
      </c>
      <c r="H23" s="16">
        <v>1.5593316800000001</v>
      </c>
      <c r="I23" s="14">
        <v>27.41355575</v>
      </c>
      <c r="J23" s="16">
        <v>1.61590141</v>
      </c>
      <c r="K23" s="14" t="s">
        <v>139</v>
      </c>
      <c r="L23" s="16" t="s">
        <v>139</v>
      </c>
      <c r="M23" s="14">
        <v>0</v>
      </c>
      <c r="N23" s="16">
        <v>0</v>
      </c>
      <c r="O23" s="14">
        <v>0</v>
      </c>
      <c r="P23" s="16">
        <v>0</v>
      </c>
      <c r="Q23" s="14">
        <v>0</v>
      </c>
      <c r="R23" s="16">
        <v>0</v>
      </c>
      <c r="S23" s="14">
        <v>0</v>
      </c>
      <c r="T23" s="16">
        <v>0</v>
      </c>
    </row>
    <row r="24" spans="1:20" x14ac:dyDescent="0.25">
      <c r="A24" s="11" t="s">
        <v>157</v>
      </c>
      <c r="B24" s="13">
        <v>6647</v>
      </c>
      <c r="C24" s="14">
        <f>(5492/B24*100)</f>
        <v>82.623740033097633</v>
      </c>
      <c r="D24" s="15">
        <v>1155</v>
      </c>
      <c r="E24" s="14">
        <v>13.37039695</v>
      </c>
      <c r="F24" s="16">
        <v>1.1070492599999999</v>
      </c>
      <c r="G24" s="14">
        <v>35.110916879999998</v>
      </c>
      <c r="H24" s="16">
        <v>1.5284451100000001</v>
      </c>
      <c r="I24" s="14">
        <v>51.518686160000001</v>
      </c>
      <c r="J24" s="16">
        <v>1.7561893799999999</v>
      </c>
      <c r="K24" s="14" t="s">
        <v>139</v>
      </c>
      <c r="L24" s="16" t="s">
        <v>139</v>
      </c>
      <c r="M24" s="14">
        <v>0</v>
      </c>
      <c r="N24" s="16">
        <v>0</v>
      </c>
      <c r="O24" s="14">
        <v>0</v>
      </c>
      <c r="P24" s="16">
        <v>0</v>
      </c>
      <c r="Q24" s="14">
        <v>0</v>
      </c>
      <c r="R24" s="16">
        <v>0</v>
      </c>
      <c r="S24" s="14">
        <v>0</v>
      </c>
      <c r="T24" s="16">
        <v>0</v>
      </c>
    </row>
    <row r="25" spans="1:20" x14ac:dyDescent="0.25">
      <c r="A25" s="11" t="s">
        <v>158</v>
      </c>
      <c r="B25" s="13">
        <v>5581</v>
      </c>
      <c r="C25" s="14">
        <f>(4615/B25*100)</f>
        <v>82.691273965239205</v>
      </c>
      <c r="D25" s="15">
        <v>966</v>
      </c>
      <c r="E25" s="14">
        <v>12.11163387</v>
      </c>
      <c r="F25" s="16">
        <v>1.17895752</v>
      </c>
      <c r="G25" s="14">
        <v>40.369837230000002</v>
      </c>
      <c r="H25" s="16">
        <v>1.5723024000000001</v>
      </c>
      <c r="I25" s="14">
        <v>47.5185289</v>
      </c>
      <c r="J25" s="16">
        <v>1.5275945500000001</v>
      </c>
      <c r="K25" s="14" t="s">
        <v>139</v>
      </c>
      <c r="L25" s="16" t="s">
        <v>139</v>
      </c>
      <c r="M25" s="14">
        <v>0</v>
      </c>
      <c r="N25" s="16">
        <v>0</v>
      </c>
      <c r="O25" s="14">
        <v>0</v>
      </c>
      <c r="P25" s="16">
        <v>0</v>
      </c>
      <c r="Q25" s="14">
        <v>0</v>
      </c>
      <c r="R25" s="16">
        <v>0</v>
      </c>
      <c r="S25" s="14">
        <v>0</v>
      </c>
      <c r="T25" s="16">
        <v>0</v>
      </c>
    </row>
    <row r="26" spans="1:20" x14ac:dyDescent="0.25">
      <c r="A26" s="11" t="s">
        <v>159</v>
      </c>
      <c r="B26" s="13">
        <v>4869</v>
      </c>
      <c r="C26" s="14">
        <f>(4034/B26*100)</f>
        <v>82.850688026288765</v>
      </c>
      <c r="D26" s="15">
        <v>835</v>
      </c>
      <c r="E26" s="14">
        <v>37.097719640000001</v>
      </c>
      <c r="F26" s="16">
        <v>1.91103527</v>
      </c>
      <c r="G26" s="14">
        <v>40.217664239999998</v>
      </c>
      <c r="H26" s="16">
        <v>1.6709403899999999</v>
      </c>
      <c r="I26" s="14">
        <v>22.684616129999998</v>
      </c>
      <c r="J26" s="16">
        <v>1.6542466300000001</v>
      </c>
      <c r="K26" s="14" t="s">
        <v>139</v>
      </c>
      <c r="L26" s="16" t="s">
        <v>139</v>
      </c>
      <c r="M26" s="14">
        <v>0</v>
      </c>
      <c r="N26" s="16">
        <v>0</v>
      </c>
      <c r="O26" s="14">
        <v>0</v>
      </c>
      <c r="P26" s="16">
        <v>0</v>
      </c>
      <c r="Q26" s="14">
        <v>0</v>
      </c>
      <c r="R26" s="16">
        <v>0</v>
      </c>
      <c r="S26" s="14">
        <v>0</v>
      </c>
      <c r="T26" s="16">
        <v>0</v>
      </c>
    </row>
    <row r="27" spans="1:20" x14ac:dyDescent="0.25">
      <c r="A27" s="11" t="s">
        <v>160</v>
      </c>
      <c r="B27" s="13">
        <v>5299</v>
      </c>
      <c r="C27" s="14">
        <f>(4392/B27*100)</f>
        <v>82.883562936403095</v>
      </c>
      <c r="D27" s="15">
        <v>907</v>
      </c>
      <c r="E27" s="14">
        <v>29.981611959999999</v>
      </c>
      <c r="F27" s="16">
        <v>1.4338876599999999</v>
      </c>
      <c r="G27" s="14">
        <v>40.876215279999997</v>
      </c>
      <c r="H27" s="16">
        <v>1.6491069</v>
      </c>
      <c r="I27" s="14">
        <v>29.142172760000001</v>
      </c>
      <c r="J27" s="16">
        <v>1.4011562900000001</v>
      </c>
      <c r="K27" s="14" t="s">
        <v>139</v>
      </c>
      <c r="L27" s="16" t="s">
        <v>139</v>
      </c>
      <c r="M27" s="14">
        <v>0</v>
      </c>
      <c r="N27" s="16">
        <v>0</v>
      </c>
      <c r="O27" s="14">
        <v>0</v>
      </c>
      <c r="P27" s="16">
        <v>0</v>
      </c>
      <c r="Q27" s="14">
        <v>0</v>
      </c>
      <c r="R27" s="16">
        <v>0</v>
      </c>
      <c r="S27" s="14">
        <v>0</v>
      </c>
      <c r="T27" s="16">
        <v>0</v>
      </c>
    </row>
    <row r="28" spans="1:20" x14ac:dyDescent="0.25">
      <c r="A28" s="11" t="s">
        <v>161</v>
      </c>
      <c r="B28" s="13">
        <v>7568</v>
      </c>
      <c r="C28" s="14">
        <f>(6329/B28*100)</f>
        <v>83.628435517970402</v>
      </c>
      <c r="D28" s="15">
        <v>1239</v>
      </c>
      <c r="E28" s="14">
        <v>28.260867619999999</v>
      </c>
      <c r="F28" s="16">
        <v>1.43317977</v>
      </c>
      <c r="G28" s="14">
        <v>60.10388888</v>
      </c>
      <c r="H28" s="16">
        <v>1.66012249</v>
      </c>
      <c r="I28" s="14">
        <v>11.6352435</v>
      </c>
      <c r="J28" s="16">
        <v>1.0829233899999999</v>
      </c>
      <c r="K28" s="14" t="s">
        <v>139</v>
      </c>
      <c r="L28" s="16" t="s">
        <v>139</v>
      </c>
      <c r="M28" s="14">
        <v>0</v>
      </c>
      <c r="N28" s="16">
        <v>0</v>
      </c>
      <c r="O28" s="14">
        <v>0</v>
      </c>
      <c r="P28" s="16">
        <v>0</v>
      </c>
      <c r="Q28" s="14">
        <v>0</v>
      </c>
      <c r="R28" s="16">
        <v>0</v>
      </c>
      <c r="S28" s="14">
        <v>0</v>
      </c>
      <c r="T28" s="16">
        <v>0</v>
      </c>
    </row>
    <row r="29" spans="1:20" x14ac:dyDescent="0.25">
      <c r="A29" s="11" t="s">
        <v>162</v>
      </c>
      <c r="B29" s="13">
        <v>5385</v>
      </c>
      <c r="C29" s="14">
        <f>(4499/B29*100)</f>
        <v>83.546889507892303</v>
      </c>
      <c r="D29" s="15">
        <v>886</v>
      </c>
      <c r="E29" s="14">
        <v>22.53423652</v>
      </c>
      <c r="F29" s="16">
        <v>1.6267192800000001</v>
      </c>
      <c r="G29" s="14">
        <v>43.22286519</v>
      </c>
      <c r="H29" s="16">
        <v>1.34092894</v>
      </c>
      <c r="I29" s="14">
        <v>34.242898289999999</v>
      </c>
      <c r="J29" s="16">
        <v>1.4437237000000001</v>
      </c>
      <c r="K29" s="14" t="s">
        <v>139</v>
      </c>
      <c r="L29" s="16" t="s">
        <v>139</v>
      </c>
      <c r="M29" s="14">
        <v>0</v>
      </c>
      <c r="N29" s="16">
        <v>0</v>
      </c>
      <c r="O29" s="14">
        <v>0</v>
      </c>
      <c r="P29" s="16">
        <v>0</v>
      </c>
      <c r="Q29" s="14">
        <v>0</v>
      </c>
      <c r="R29" s="16">
        <v>0</v>
      </c>
      <c r="S29" s="14">
        <v>0</v>
      </c>
      <c r="T29" s="16">
        <v>0</v>
      </c>
    </row>
    <row r="30" spans="1:20" x14ac:dyDescent="0.25">
      <c r="A30" s="11" t="s">
        <v>163</v>
      </c>
      <c r="B30" s="13">
        <v>4520</v>
      </c>
      <c r="C30" s="14">
        <f>(3785/B30*100)</f>
        <v>83.738938053097343</v>
      </c>
      <c r="D30" s="15">
        <v>735</v>
      </c>
      <c r="E30" s="14">
        <v>22.62822126</v>
      </c>
      <c r="F30" s="16">
        <v>1.5581249699999999</v>
      </c>
      <c r="G30" s="14">
        <v>36.937266510000001</v>
      </c>
      <c r="H30" s="16">
        <v>1.79227011</v>
      </c>
      <c r="I30" s="14">
        <v>40.434512230000003</v>
      </c>
      <c r="J30" s="16">
        <v>2.0760542000000002</v>
      </c>
      <c r="K30" s="14" t="s">
        <v>139</v>
      </c>
      <c r="L30" s="16" t="s">
        <v>139</v>
      </c>
      <c r="M30" s="14">
        <v>0</v>
      </c>
      <c r="N30" s="16">
        <v>0</v>
      </c>
      <c r="O30" s="14">
        <v>0</v>
      </c>
      <c r="P30" s="16">
        <v>0</v>
      </c>
      <c r="Q30" s="14">
        <v>0</v>
      </c>
      <c r="R30" s="16">
        <v>0</v>
      </c>
      <c r="S30" s="14">
        <v>0</v>
      </c>
      <c r="T30" s="16">
        <v>0</v>
      </c>
    </row>
    <row r="31" spans="1:20" x14ac:dyDescent="0.25">
      <c r="A31" s="11" t="s">
        <v>164</v>
      </c>
      <c r="B31" s="13">
        <v>5456</v>
      </c>
      <c r="C31" s="14">
        <f>(4540/B31*100)</f>
        <v>83.21114369501467</v>
      </c>
      <c r="D31" s="15">
        <v>916</v>
      </c>
      <c r="E31" s="14">
        <v>27.44978235</v>
      </c>
      <c r="F31" s="16">
        <v>1.60944233</v>
      </c>
      <c r="G31" s="14">
        <v>38.43867856</v>
      </c>
      <c r="H31" s="16">
        <v>1.43920355</v>
      </c>
      <c r="I31" s="14">
        <v>34.111539090000001</v>
      </c>
      <c r="J31" s="16">
        <v>1.5775496600000001</v>
      </c>
      <c r="K31" s="14" t="s">
        <v>139</v>
      </c>
      <c r="L31" s="16" t="s">
        <v>139</v>
      </c>
      <c r="M31" s="14">
        <v>0</v>
      </c>
      <c r="N31" s="16">
        <v>0</v>
      </c>
      <c r="O31" s="14">
        <v>0</v>
      </c>
      <c r="P31" s="16">
        <v>0</v>
      </c>
      <c r="Q31" s="14">
        <v>0</v>
      </c>
      <c r="R31" s="16">
        <v>0</v>
      </c>
      <c r="S31" s="14">
        <v>0</v>
      </c>
      <c r="T31" s="16">
        <v>0</v>
      </c>
    </row>
    <row r="32" spans="1:20" x14ac:dyDescent="0.25">
      <c r="A32" s="11" t="s">
        <v>165</v>
      </c>
      <c r="B32" s="17" t="s">
        <v>154</v>
      </c>
      <c r="C32" s="17" t="s">
        <v>154</v>
      </c>
      <c r="D32" s="18" t="s">
        <v>154</v>
      </c>
      <c r="E32" s="17" t="s">
        <v>154</v>
      </c>
      <c r="F32" s="18" t="s">
        <v>154</v>
      </c>
      <c r="G32" s="17" t="s">
        <v>154</v>
      </c>
      <c r="H32" s="18" t="s">
        <v>154</v>
      </c>
      <c r="I32" s="17" t="s">
        <v>154</v>
      </c>
      <c r="J32" s="18" t="s">
        <v>154</v>
      </c>
      <c r="K32" s="17" t="s">
        <v>154</v>
      </c>
      <c r="L32" s="18" t="s">
        <v>154</v>
      </c>
      <c r="M32" s="17" t="s">
        <v>154</v>
      </c>
      <c r="N32" s="18" t="s">
        <v>154</v>
      </c>
      <c r="O32" s="17" t="s">
        <v>154</v>
      </c>
      <c r="P32" s="18" t="s">
        <v>154</v>
      </c>
      <c r="Q32" s="17" t="s">
        <v>154</v>
      </c>
      <c r="R32" s="18" t="s">
        <v>154</v>
      </c>
      <c r="S32" s="17" t="s">
        <v>154</v>
      </c>
      <c r="T32" s="18" t="s">
        <v>154</v>
      </c>
    </row>
    <row r="33" spans="1:20" x14ac:dyDescent="0.25">
      <c r="A33" s="11" t="s">
        <v>166</v>
      </c>
      <c r="B33" s="13">
        <v>7325</v>
      </c>
      <c r="C33" s="14">
        <f>(6097/B33*100)</f>
        <v>83.235494880546085</v>
      </c>
      <c r="D33" s="15">
        <v>1228</v>
      </c>
      <c r="E33" s="14">
        <v>31.30511868</v>
      </c>
      <c r="F33" s="16">
        <v>1.4292307799999999</v>
      </c>
      <c r="G33" s="14">
        <v>43.005073080000003</v>
      </c>
      <c r="H33" s="16">
        <v>1.61493935</v>
      </c>
      <c r="I33" s="14">
        <v>25.689808240000001</v>
      </c>
      <c r="J33" s="16">
        <v>1.5840661</v>
      </c>
      <c r="K33" s="14" t="s">
        <v>139</v>
      </c>
      <c r="L33" s="16" t="s">
        <v>139</v>
      </c>
      <c r="M33" s="14">
        <v>0</v>
      </c>
      <c r="N33" s="16">
        <v>0</v>
      </c>
      <c r="O33" s="14">
        <v>0</v>
      </c>
      <c r="P33" s="16">
        <v>0</v>
      </c>
      <c r="Q33" s="14">
        <v>0</v>
      </c>
      <c r="R33" s="16">
        <v>0</v>
      </c>
      <c r="S33" s="14">
        <v>0</v>
      </c>
      <c r="T33" s="16">
        <v>0</v>
      </c>
    </row>
    <row r="34" spans="1:20" x14ac:dyDescent="0.25">
      <c r="A34" s="11" t="s">
        <v>167</v>
      </c>
      <c r="B34" s="13">
        <v>6350</v>
      </c>
      <c r="C34" s="14">
        <f>(5305/B34*100)</f>
        <v>83.543307086614178</v>
      </c>
      <c r="D34" s="15">
        <v>1045</v>
      </c>
      <c r="E34" s="14">
        <v>36.497902160000002</v>
      </c>
      <c r="F34" s="16">
        <v>1.5417242499999999</v>
      </c>
      <c r="G34" s="14">
        <v>35.890528310000001</v>
      </c>
      <c r="H34" s="16">
        <v>1.5615933399999999</v>
      </c>
      <c r="I34" s="14">
        <v>27.611569530000001</v>
      </c>
      <c r="J34" s="16">
        <v>1.67251569</v>
      </c>
      <c r="K34" s="14" t="s">
        <v>139</v>
      </c>
      <c r="L34" s="16" t="s">
        <v>139</v>
      </c>
      <c r="M34" s="14">
        <v>0</v>
      </c>
      <c r="N34" s="16">
        <v>0</v>
      </c>
      <c r="O34" s="14">
        <v>0</v>
      </c>
      <c r="P34" s="16">
        <v>0</v>
      </c>
      <c r="Q34" s="14">
        <v>0</v>
      </c>
      <c r="R34" s="16">
        <v>0</v>
      </c>
      <c r="S34" s="14">
        <v>0</v>
      </c>
      <c r="T34" s="16">
        <v>0</v>
      </c>
    </row>
    <row r="35" spans="1:20" x14ac:dyDescent="0.25">
      <c r="A35" s="11" t="s">
        <v>168</v>
      </c>
      <c r="B35" s="13">
        <v>6406</v>
      </c>
      <c r="C35" s="14">
        <f>(5349/B35*100)</f>
        <v>83.499843896347173</v>
      </c>
      <c r="D35" s="15">
        <v>1057</v>
      </c>
      <c r="E35" s="14">
        <v>29.335296329999998</v>
      </c>
      <c r="F35" s="16">
        <v>1.68999319</v>
      </c>
      <c r="G35" s="14">
        <v>42.932930659999997</v>
      </c>
      <c r="H35" s="16">
        <v>1.75251782</v>
      </c>
      <c r="I35" s="14">
        <v>27.731773010000001</v>
      </c>
      <c r="J35" s="16">
        <v>1.72282644</v>
      </c>
      <c r="K35" s="14" t="s">
        <v>139</v>
      </c>
      <c r="L35" s="16" t="s">
        <v>139</v>
      </c>
      <c r="M35" s="14">
        <v>0</v>
      </c>
      <c r="N35" s="16">
        <v>0</v>
      </c>
      <c r="O35" s="14">
        <v>0</v>
      </c>
      <c r="P35" s="16">
        <v>0</v>
      </c>
      <c r="Q35" s="14">
        <v>0</v>
      </c>
      <c r="R35" s="16">
        <v>0</v>
      </c>
      <c r="S35" s="14">
        <v>0</v>
      </c>
      <c r="T35" s="16">
        <v>0</v>
      </c>
    </row>
    <row r="36" spans="1:20" x14ac:dyDescent="0.25">
      <c r="A36" s="11" t="s">
        <v>169</v>
      </c>
      <c r="B36" s="13">
        <v>6736</v>
      </c>
      <c r="C36" s="14">
        <f>(5587/B36*100)</f>
        <v>82.942399049881232</v>
      </c>
      <c r="D36" s="15">
        <v>1149</v>
      </c>
      <c r="E36" s="14">
        <v>34.115858899999999</v>
      </c>
      <c r="F36" s="16">
        <v>1.50832392</v>
      </c>
      <c r="G36" s="14">
        <v>36.08658801</v>
      </c>
      <c r="H36" s="16">
        <v>1.6797315500000001</v>
      </c>
      <c r="I36" s="14">
        <v>29.797553090000001</v>
      </c>
      <c r="J36" s="16">
        <v>1.4008772199999999</v>
      </c>
      <c r="K36" s="14" t="s">
        <v>139</v>
      </c>
      <c r="L36" s="16" t="s">
        <v>139</v>
      </c>
      <c r="M36" s="14">
        <v>0</v>
      </c>
      <c r="N36" s="16">
        <v>0</v>
      </c>
      <c r="O36" s="14">
        <v>0</v>
      </c>
      <c r="P36" s="16">
        <v>0</v>
      </c>
      <c r="Q36" s="14">
        <v>0</v>
      </c>
      <c r="R36" s="16">
        <v>0</v>
      </c>
      <c r="S36" s="14">
        <v>0</v>
      </c>
      <c r="T36" s="16">
        <v>0</v>
      </c>
    </row>
    <row r="37" spans="1:20" x14ac:dyDescent="0.25">
      <c r="A37" s="11" t="s">
        <v>170</v>
      </c>
      <c r="B37" s="13">
        <v>5458</v>
      </c>
      <c r="C37" s="14">
        <f>(4553/B37*100)</f>
        <v>83.418834737999276</v>
      </c>
      <c r="D37" s="15">
        <v>905</v>
      </c>
      <c r="E37" s="14">
        <v>27.252253249999999</v>
      </c>
      <c r="F37" s="16">
        <v>1.51928251</v>
      </c>
      <c r="G37" s="14">
        <v>42.635435680000001</v>
      </c>
      <c r="H37" s="16">
        <v>1.8274652300000001</v>
      </c>
      <c r="I37" s="14">
        <v>30.112311070000001</v>
      </c>
      <c r="J37" s="16">
        <v>1.5263561400000001</v>
      </c>
      <c r="K37" s="14" t="s">
        <v>139</v>
      </c>
      <c r="L37" s="16" t="s">
        <v>139</v>
      </c>
      <c r="M37" s="14">
        <v>0</v>
      </c>
      <c r="N37" s="16">
        <v>0</v>
      </c>
      <c r="O37" s="14">
        <v>0</v>
      </c>
      <c r="P37" s="16">
        <v>0</v>
      </c>
      <c r="Q37" s="14">
        <v>0</v>
      </c>
      <c r="R37" s="16">
        <v>0</v>
      </c>
      <c r="S37" s="14">
        <v>0</v>
      </c>
      <c r="T37" s="16">
        <v>0</v>
      </c>
    </row>
    <row r="38" spans="1:20" x14ac:dyDescent="0.25">
      <c r="A38" s="11" t="s">
        <v>171</v>
      </c>
      <c r="B38" s="17" t="s">
        <v>154</v>
      </c>
      <c r="C38" s="17" t="s">
        <v>154</v>
      </c>
      <c r="D38" s="18" t="s">
        <v>154</v>
      </c>
      <c r="E38" s="17" t="s">
        <v>154</v>
      </c>
      <c r="F38" s="18" t="s">
        <v>154</v>
      </c>
      <c r="G38" s="17" t="s">
        <v>154</v>
      </c>
      <c r="H38" s="18" t="s">
        <v>154</v>
      </c>
      <c r="I38" s="17" t="s">
        <v>154</v>
      </c>
      <c r="J38" s="18" t="s">
        <v>154</v>
      </c>
      <c r="K38" s="17" t="s">
        <v>154</v>
      </c>
      <c r="L38" s="18" t="s">
        <v>154</v>
      </c>
      <c r="M38" s="17" t="s">
        <v>154</v>
      </c>
      <c r="N38" s="18" t="s">
        <v>154</v>
      </c>
      <c r="O38" s="17" t="s">
        <v>154</v>
      </c>
      <c r="P38" s="18" t="s">
        <v>154</v>
      </c>
      <c r="Q38" s="17" t="s">
        <v>154</v>
      </c>
      <c r="R38" s="18" t="s">
        <v>154</v>
      </c>
      <c r="S38" s="17" t="s">
        <v>154</v>
      </c>
      <c r="T38" s="18" t="s">
        <v>154</v>
      </c>
    </row>
    <row r="39" spans="1:20" x14ac:dyDescent="0.25">
      <c r="A39" s="11" t="s">
        <v>172</v>
      </c>
      <c r="B39" s="13">
        <v>5895</v>
      </c>
      <c r="C39" s="14">
        <f>(4863/B39*100)</f>
        <v>82.493638676844782</v>
      </c>
      <c r="D39" s="15">
        <v>1032</v>
      </c>
      <c r="E39" s="14">
        <v>33.126495810000002</v>
      </c>
      <c r="F39" s="16">
        <v>1.70618413</v>
      </c>
      <c r="G39" s="14">
        <v>51.814138929999999</v>
      </c>
      <c r="H39" s="16">
        <v>1.59046284</v>
      </c>
      <c r="I39" s="14">
        <v>15.059365270000001</v>
      </c>
      <c r="J39" s="16">
        <v>1.34468064</v>
      </c>
      <c r="K39" s="14" t="s">
        <v>139</v>
      </c>
      <c r="L39" s="16" t="s">
        <v>139</v>
      </c>
      <c r="M39" s="14">
        <v>0</v>
      </c>
      <c r="N39" s="16">
        <v>0</v>
      </c>
      <c r="O39" s="14">
        <v>0</v>
      </c>
      <c r="P39" s="16">
        <v>0</v>
      </c>
      <c r="Q39" s="14">
        <v>0</v>
      </c>
      <c r="R39" s="16">
        <v>0</v>
      </c>
      <c r="S39" s="14">
        <v>0</v>
      </c>
      <c r="T39" s="16">
        <v>0</v>
      </c>
    </row>
    <row r="40" spans="1:20" x14ac:dyDescent="0.25">
      <c r="A40" s="11" t="s">
        <v>173</v>
      </c>
      <c r="B40" s="13">
        <v>14157</v>
      </c>
      <c r="C40" s="14">
        <f>(11741/B40*100)</f>
        <v>82.93423747969203</v>
      </c>
      <c r="D40" s="15">
        <v>2416</v>
      </c>
      <c r="E40" s="14">
        <v>25.623311430000001</v>
      </c>
      <c r="F40" s="16">
        <v>1.4467296999999999</v>
      </c>
      <c r="G40" s="14">
        <v>39.998362489999998</v>
      </c>
      <c r="H40" s="16">
        <v>1.3084370999999999</v>
      </c>
      <c r="I40" s="14">
        <v>34.378326080000001</v>
      </c>
      <c r="J40" s="16">
        <v>1.40518436</v>
      </c>
      <c r="K40" s="14" t="s">
        <v>139</v>
      </c>
      <c r="L40" s="16" t="s">
        <v>139</v>
      </c>
      <c r="M40" s="14">
        <v>0</v>
      </c>
      <c r="N40" s="16">
        <v>0</v>
      </c>
      <c r="O40" s="14">
        <v>0</v>
      </c>
      <c r="P40" s="16">
        <v>0</v>
      </c>
      <c r="Q40" s="14">
        <v>0</v>
      </c>
      <c r="R40" s="16">
        <v>0</v>
      </c>
      <c r="S40" s="14">
        <v>0</v>
      </c>
      <c r="T40" s="16">
        <v>0</v>
      </c>
    </row>
    <row r="41" spans="1:20" x14ac:dyDescent="0.25">
      <c r="A41" s="11" t="s">
        <v>174</v>
      </c>
      <c r="B41" s="13">
        <v>5712</v>
      </c>
      <c r="C41" s="14">
        <f>(4732/B41*100)</f>
        <v>82.843137254901961</v>
      </c>
      <c r="D41" s="15">
        <v>980</v>
      </c>
      <c r="E41" s="14">
        <v>25.347369659999998</v>
      </c>
      <c r="F41" s="16">
        <v>1.3916950800000001</v>
      </c>
      <c r="G41" s="14">
        <v>41.901462950000003</v>
      </c>
      <c r="H41" s="16">
        <v>1.40924363</v>
      </c>
      <c r="I41" s="14">
        <v>32.7511674</v>
      </c>
      <c r="J41" s="16">
        <v>1.6567076000000001</v>
      </c>
      <c r="K41" s="14" t="s">
        <v>139</v>
      </c>
      <c r="L41" s="16" t="s">
        <v>139</v>
      </c>
      <c r="M41" s="14">
        <v>0</v>
      </c>
      <c r="N41" s="16">
        <v>0</v>
      </c>
      <c r="O41" s="14">
        <v>0</v>
      </c>
      <c r="P41" s="16">
        <v>0</v>
      </c>
      <c r="Q41" s="14">
        <v>0</v>
      </c>
      <c r="R41" s="16">
        <v>0</v>
      </c>
      <c r="S41" s="14">
        <v>0</v>
      </c>
      <c r="T41" s="16">
        <v>0</v>
      </c>
    </row>
    <row r="42" spans="1:20" x14ac:dyDescent="0.25">
      <c r="A42" s="11" t="s">
        <v>175</v>
      </c>
      <c r="B42" s="13">
        <f>IF(COUNT(B7:B41) &gt; 0, AVERAGE(B7:B41), "\u2014")</f>
        <v>7266.90625</v>
      </c>
      <c r="C42" s="14">
        <f>IF(COUNT(C7:C41) &gt; 0, AVERAGE(C7:C41), "—")</f>
        <v>83.128406570357896</v>
      </c>
      <c r="D42" s="15">
        <f>IF(COUNT(D7:D41) &gt; 0, AVERAGE(D7:D41), "—")</f>
        <v>1226.78125</v>
      </c>
      <c r="E42" s="14">
        <f>IF(COUNT(E7:E41) &gt; 0, AVERAGE(E7:E41), "—")</f>
        <v>28.048647812499997</v>
      </c>
      <c r="F42" s="16">
        <f>IF(COUNT(F7:F41) &gt; 0, SQRT(SUMSQ(F7:F41)/(COUNT(F7:F41)*COUNT(F7:F41)) ), "—")</f>
        <v>0.2661013905795796</v>
      </c>
      <c r="G42" s="14">
        <f>IF(COUNT(G7:G41) &gt; 0, AVERAGE(G7:G41), "—")</f>
        <v>41.94797362125</v>
      </c>
      <c r="H42" s="16">
        <f>IF(COUNT(H7:H41) &gt; 0, SQRT(SUMSQ(H7:H41)/(COUNT(H7:H41)*COUNT(H7:H41)) ), "—")</f>
        <v>0.28578656748843567</v>
      </c>
      <c r="I42" s="14">
        <f>IF(COUNT(I7:I41) &gt; 0, AVERAGE(I7:I41), "—")</f>
        <v>30.003378566562493</v>
      </c>
      <c r="J42" s="16">
        <f>IF(COUNT(J7:J41) &gt; 0, SQRT(SUMSQ(J7:J41)/(COUNT(J7:J41)*COUNT(J7:J41)) ), "—")</f>
        <v>0.27160774979425195</v>
      </c>
      <c r="K42" s="14" t="str">
        <f>IF(COUNT(K7:K41) &gt; 0, AVERAGE(K7:K41), "—")</f>
        <v>—</v>
      </c>
      <c r="L42" s="16" t="str">
        <f>IF(COUNT(L7:L41) &gt; 0, SQRT(SUMSQ(L7:L41)/(COUNT(L7:L41)*COUNT(L7:L41)) ), "—")</f>
        <v>—</v>
      </c>
      <c r="M42" s="14">
        <f>IF(COUNT(M7:M41) &gt; 0, AVERAGE(M7:M41), "—")</f>
        <v>0</v>
      </c>
      <c r="N42" s="16">
        <f>IF(COUNT(N7:N41) &gt; 0, SQRT(SUMSQ(N7:N41)/(COUNT(N7:N41)*COUNT(N7:N41)) ), "—")</f>
        <v>0</v>
      </c>
      <c r="O42" s="14">
        <f>IF(COUNT(O7:O41) &gt; 0, AVERAGE(O7:O41), "—")</f>
        <v>0</v>
      </c>
      <c r="P42" s="16">
        <f>IF(COUNT(P7:P41) &gt; 0, SQRT(SUMSQ(P7:P41)/(COUNT(P7:P41)*COUNT(P7:P41)) ), "—")</f>
        <v>0</v>
      </c>
      <c r="Q42" s="14">
        <f>IF(COUNT(Q7:Q41) &gt; 0, AVERAGE(Q7:Q41), "—")</f>
        <v>0</v>
      </c>
      <c r="R42" s="16">
        <f>IF(COUNT(R7:R41) &gt; 0, SQRT(SUMSQ(R7:R41)/(COUNT(R7:R41)*COUNT(R7:R41)) ), "—")</f>
        <v>0</v>
      </c>
      <c r="S42" s="14">
        <f>IF(COUNT(S7:S41) &gt; 0, AVERAGE(S7:S41), "—")</f>
        <v>0</v>
      </c>
      <c r="T42" s="16">
        <f>IF(COUNT(T7:T41) &gt; 0, SQRT(SUMSQ(T7:T41)/(COUNT(T7:T41)*COUNT(T7:T41)) ), "—")</f>
        <v>0</v>
      </c>
    </row>
    <row r="43" spans="1:20" x14ac:dyDescent="0.25">
      <c r="A43" s="9" t="s">
        <v>176</v>
      </c>
      <c r="B43" s="10"/>
      <c r="C43" s="10"/>
      <c r="D43" s="11"/>
      <c r="E43" s="10"/>
      <c r="F43" s="11"/>
      <c r="G43" s="10"/>
      <c r="H43" s="11"/>
      <c r="I43" s="10"/>
      <c r="J43" s="11"/>
      <c r="K43" s="10"/>
      <c r="L43" s="11"/>
      <c r="M43" s="10"/>
      <c r="N43" s="11"/>
      <c r="O43" s="10"/>
      <c r="P43" s="11"/>
      <c r="Q43" s="10"/>
      <c r="R43" s="11"/>
      <c r="S43" s="10"/>
      <c r="T43" s="12"/>
    </row>
    <row r="44" spans="1:20" x14ac:dyDescent="0.25">
      <c r="A44" s="11" t="s">
        <v>177</v>
      </c>
      <c r="B44" s="17" t="s">
        <v>154</v>
      </c>
      <c r="C44" s="17" t="s">
        <v>154</v>
      </c>
      <c r="D44" s="18" t="s">
        <v>154</v>
      </c>
      <c r="E44" s="17" t="s">
        <v>154</v>
      </c>
      <c r="F44" s="18" t="s">
        <v>154</v>
      </c>
      <c r="G44" s="17" t="s">
        <v>154</v>
      </c>
      <c r="H44" s="18" t="s">
        <v>154</v>
      </c>
      <c r="I44" s="17" t="s">
        <v>154</v>
      </c>
      <c r="J44" s="18" t="s">
        <v>154</v>
      </c>
      <c r="K44" s="17" t="s">
        <v>154</v>
      </c>
      <c r="L44" s="18" t="s">
        <v>154</v>
      </c>
      <c r="M44" s="17" t="s">
        <v>154</v>
      </c>
      <c r="N44" s="18" t="s">
        <v>154</v>
      </c>
      <c r="O44" s="17" t="s">
        <v>154</v>
      </c>
      <c r="P44" s="18" t="s">
        <v>154</v>
      </c>
      <c r="Q44" s="17" t="s">
        <v>154</v>
      </c>
      <c r="R44" s="18" t="s">
        <v>154</v>
      </c>
      <c r="S44" s="17" t="s">
        <v>154</v>
      </c>
      <c r="T44" s="18" t="s">
        <v>154</v>
      </c>
    </row>
    <row r="45" spans="1:20" x14ac:dyDescent="0.25">
      <c r="A45" s="11" t="s">
        <v>178</v>
      </c>
      <c r="B45" s="17" t="s">
        <v>154</v>
      </c>
      <c r="C45" s="17" t="s">
        <v>154</v>
      </c>
      <c r="D45" s="18" t="s">
        <v>154</v>
      </c>
      <c r="E45" s="17" t="s">
        <v>154</v>
      </c>
      <c r="F45" s="18" t="s">
        <v>154</v>
      </c>
      <c r="G45" s="17" t="s">
        <v>154</v>
      </c>
      <c r="H45" s="18" t="s">
        <v>154</v>
      </c>
      <c r="I45" s="17" t="s">
        <v>154</v>
      </c>
      <c r="J45" s="18" t="s">
        <v>154</v>
      </c>
      <c r="K45" s="17" t="s">
        <v>154</v>
      </c>
      <c r="L45" s="18" t="s">
        <v>154</v>
      </c>
      <c r="M45" s="17" t="s">
        <v>154</v>
      </c>
      <c r="N45" s="18" t="s">
        <v>154</v>
      </c>
      <c r="O45" s="17" t="s">
        <v>154</v>
      </c>
      <c r="P45" s="18" t="s">
        <v>154</v>
      </c>
      <c r="Q45" s="17" t="s">
        <v>154</v>
      </c>
      <c r="R45" s="18" t="s">
        <v>154</v>
      </c>
      <c r="S45" s="17" t="s">
        <v>154</v>
      </c>
      <c r="T45" s="18" t="s">
        <v>154</v>
      </c>
    </row>
    <row r="46" spans="1:20" x14ac:dyDescent="0.25">
      <c r="A46" s="11" t="s">
        <v>179</v>
      </c>
      <c r="B46" s="13">
        <v>23141</v>
      </c>
      <c r="C46" s="14">
        <f>(19861/B46*100)</f>
        <v>85.826023075925846</v>
      </c>
      <c r="D46" s="15">
        <v>3280</v>
      </c>
      <c r="E46" s="14">
        <v>42.561214659999997</v>
      </c>
      <c r="F46" s="16">
        <v>0.99253961999999996</v>
      </c>
      <c r="G46" s="14">
        <v>45.258253119999999</v>
      </c>
      <c r="H46" s="16">
        <v>1.09626165</v>
      </c>
      <c r="I46" s="14">
        <v>12.180532210000001</v>
      </c>
      <c r="J46" s="16">
        <v>0.85576235</v>
      </c>
      <c r="K46" s="14" t="s">
        <v>139</v>
      </c>
      <c r="L46" s="16" t="s">
        <v>139</v>
      </c>
      <c r="M46" s="14">
        <v>0</v>
      </c>
      <c r="N46" s="16">
        <v>0</v>
      </c>
      <c r="O46" s="14">
        <v>0</v>
      </c>
      <c r="P46" s="16">
        <v>0</v>
      </c>
      <c r="Q46" s="14">
        <v>0</v>
      </c>
      <c r="R46" s="16">
        <v>0</v>
      </c>
      <c r="S46" s="14">
        <v>0</v>
      </c>
      <c r="T46" s="16">
        <v>0</v>
      </c>
    </row>
    <row r="47" spans="1:20" x14ac:dyDescent="0.25">
      <c r="A47" s="11" t="s">
        <v>180</v>
      </c>
      <c r="B47" s="13">
        <v>5928</v>
      </c>
      <c r="C47" s="14">
        <f>(4932/B47*100)</f>
        <v>83.198380566801617</v>
      </c>
      <c r="D47" s="15">
        <v>996</v>
      </c>
      <c r="E47" s="14">
        <v>40.150353019999997</v>
      </c>
      <c r="F47" s="16">
        <v>1.53727718</v>
      </c>
      <c r="G47" s="14">
        <v>43.547498259999998</v>
      </c>
      <c r="H47" s="16">
        <v>1.45602871</v>
      </c>
      <c r="I47" s="14">
        <v>16.302148720000002</v>
      </c>
      <c r="J47" s="16">
        <v>1.28928409</v>
      </c>
      <c r="K47" s="14" t="s">
        <v>139</v>
      </c>
      <c r="L47" s="16" t="s">
        <v>139</v>
      </c>
      <c r="M47" s="14">
        <v>0</v>
      </c>
      <c r="N47" s="16">
        <v>0</v>
      </c>
      <c r="O47" s="14">
        <v>0</v>
      </c>
      <c r="P47" s="16">
        <v>0</v>
      </c>
      <c r="Q47" s="14">
        <v>0</v>
      </c>
      <c r="R47" s="16">
        <v>0</v>
      </c>
      <c r="S47" s="14">
        <v>0</v>
      </c>
      <c r="T47" s="16">
        <v>0</v>
      </c>
    </row>
    <row r="48" spans="1:20" x14ac:dyDescent="0.25">
      <c r="A48" s="11" t="s">
        <v>181</v>
      </c>
      <c r="B48" s="13">
        <v>9841</v>
      </c>
      <c r="C48" s="14">
        <f>(8170/B48*100)</f>
        <v>83.020018290824112</v>
      </c>
      <c r="D48" s="15">
        <v>1671</v>
      </c>
      <c r="E48" s="14">
        <v>21.141217380000001</v>
      </c>
      <c r="F48" s="16">
        <v>1.50116608</v>
      </c>
      <c r="G48" s="14">
        <v>42.173997929999999</v>
      </c>
      <c r="H48" s="16">
        <v>1.4519510799999999</v>
      </c>
      <c r="I48" s="14">
        <v>36.684784690000001</v>
      </c>
      <c r="J48" s="16">
        <v>1.6510045799999999</v>
      </c>
      <c r="K48" s="14" t="s">
        <v>139</v>
      </c>
      <c r="L48" s="16" t="s">
        <v>139</v>
      </c>
      <c r="M48" s="14">
        <v>0</v>
      </c>
      <c r="N48" s="16">
        <v>0</v>
      </c>
      <c r="O48" s="14">
        <v>0</v>
      </c>
      <c r="P48" s="16">
        <v>0</v>
      </c>
      <c r="Q48" s="14">
        <v>0</v>
      </c>
      <c r="R48" s="16">
        <v>0</v>
      </c>
      <c r="S48" s="14">
        <v>0</v>
      </c>
      <c r="T48" s="16">
        <v>0</v>
      </c>
    </row>
    <row r="49" spans="1:20" x14ac:dyDescent="0.25">
      <c r="A49" s="11" t="s">
        <v>182</v>
      </c>
      <c r="B49" s="17" t="s">
        <v>154</v>
      </c>
      <c r="C49" s="17" t="s">
        <v>154</v>
      </c>
      <c r="D49" s="18" t="s">
        <v>154</v>
      </c>
      <c r="E49" s="17" t="s">
        <v>154</v>
      </c>
      <c r="F49" s="18" t="s">
        <v>154</v>
      </c>
      <c r="G49" s="17" t="s">
        <v>154</v>
      </c>
      <c r="H49" s="18" t="s">
        <v>154</v>
      </c>
      <c r="I49" s="17" t="s">
        <v>154</v>
      </c>
      <c r="J49" s="18" t="s">
        <v>154</v>
      </c>
      <c r="K49" s="17" t="s">
        <v>154</v>
      </c>
      <c r="L49" s="18" t="s">
        <v>154</v>
      </c>
      <c r="M49" s="17" t="s">
        <v>154</v>
      </c>
      <c r="N49" s="18" t="s">
        <v>154</v>
      </c>
      <c r="O49" s="17" t="s">
        <v>154</v>
      </c>
      <c r="P49" s="18" t="s">
        <v>154</v>
      </c>
      <c r="Q49" s="17" t="s">
        <v>154</v>
      </c>
      <c r="R49" s="18" t="s">
        <v>154</v>
      </c>
      <c r="S49" s="17" t="s">
        <v>154</v>
      </c>
      <c r="T49" s="18" t="s">
        <v>154</v>
      </c>
    </row>
    <row r="50" spans="1:20" x14ac:dyDescent="0.25">
      <c r="A50" s="11" t="s">
        <v>183</v>
      </c>
      <c r="B50" s="13">
        <v>11795</v>
      </c>
      <c r="C50" s="14">
        <f>(9825/B50*100)</f>
        <v>83.298007630351847</v>
      </c>
      <c r="D50" s="15">
        <v>1970</v>
      </c>
      <c r="E50" s="14">
        <v>33.120860780000001</v>
      </c>
      <c r="F50" s="16">
        <v>1.5245776499999999</v>
      </c>
      <c r="G50" s="14">
        <v>50.015122159999997</v>
      </c>
      <c r="H50" s="16">
        <v>1.53218173</v>
      </c>
      <c r="I50" s="14">
        <v>16.864017050000001</v>
      </c>
      <c r="J50" s="16">
        <v>0.90331682000000002</v>
      </c>
      <c r="K50" s="14" t="s">
        <v>139</v>
      </c>
      <c r="L50" s="16" t="s">
        <v>139</v>
      </c>
      <c r="M50" s="14">
        <v>0</v>
      </c>
      <c r="N50" s="16">
        <v>0</v>
      </c>
      <c r="O50" s="14">
        <v>0</v>
      </c>
      <c r="P50" s="16">
        <v>0</v>
      </c>
      <c r="Q50" s="14">
        <v>0</v>
      </c>
      <c r="R50" s="16">
        <v>0</v>
      </c>
      <c r="S50" s="14">
        <v>0</v>
      </c>
      <c r="T50" s="16">
        <v>0</v>
      </c>
    </row>
    <row r="51" spans="1:20" x14ac:dyDescent="0.25">
      <c r="A51" s="11" t="s">
        <v>184</v>
      </c>
      <c r="B51" s="13">
        <v>6866</v>
      </c>
      <c r="C51" s="14">
        <f>(5838/B51*100)</f>
        <v>85.027672589571807</v>
      </c>
      <c r="D51" s="15">
        <v>1028</v>
      </c>
      <c r="E51" s="14">
        <v>35.385017959999999</v>
      </c>
      <c r="F51" s="16">
        <v>1.6064209899999999</v>
      </c>
      <c r="G51" s="14">
        <v>51.632549079999997</v>
      </c>
      <c r="H51" s="16">
        <v>1.88076771</v>
      </c>
      <c r="I51" s="14">
        <v>12.982432960000001</v>
      </c>
      <c r="J51" s="16">
        <v>1.22010412</v>
      </c>
      <c r="K51" s="14" t="s">
        <v>139</v>
      </c>
      <c r="L51" s="16" t="s">
        <v>139</v>
      </c>
      <c r="M51" s="14">
        <v>0</v>
      </c>
      <c r="N51" s="16">
        <v>0</v>
      </c>
      <c r="O51" s="14">
        <v>0</v>
      </c>
      <c r="P51" s="16">
        <v>0</v>
      </c>
      <c r="Q51" s="14">
        <v>0</v>
      </c>
      <c r="R51" s="16">
        <v>0</v>
      </c>
      <c r="S51" s="14">
        <v>0</v>
      </c>
      <c r="T51" s="16">
        <v>0</v>
      </c>
    </row>
    <row r="52" spans="1:20" x14ac:dyDescent="0.25">
      <c r="A52" s="11" t="s">
        <v>185</v>
      </c>
      <c r="B52" s="13">
        <v>5809</v>
      </c>
      <c r="C52" s="14">
        <f>(4835/B52*100)</f>
        <v>83.232914443105528</v>
      </c>
      <c r="D52" s="15">
        <v>974</v>
      </c>
      <c r="E52" s="14">
        <v>25.15330569</v>
      </c>
      <c r="F52" s="16">
        <v>1.38192954</v>
      </c>
      <c r="G52" s="14">
        <v>47.647675450000001</v>
      </c>
      <c r="H52" s="16">
        <v>1.5009075000000001</v>
      </c>
      <c r="I52" s="14">
        <v>27.19901887</v>
      </c>
      <c r="J52" s="16">
        <v>1.62395618</v>
      </c>
      <c r="K52" s="14" t="s">
        <v>139</v>
      </c>
      <c r="L52" s="16" t="s">
        <v>139</v>
      </c>
      <c r="M52" s="14">
        <v>0</v>
      </c>
      <c r="N52" s="16">
        <v>0</v>
      </c>
      <c r="O52" s="14">
        <v>0</v>
      </c>
      <c r="P52" s="16">
        <v>0</v>
      </c>
      <c r="Q52" s="14">
        <v>0</v>
      </c>
      <c r="R52" s="16">
        <v>0</v>
      </c>
      <c r="S52" s="14">
        <v>0</v>
      </c>
      <c r="T52" s="16">
        <v>0</v>
      </c>
    </row>
    <row r="53" spans="1:20" x14ac:dyDescent="0.25">
      <c r="A53" s="11" t="s">
        <v>186</v>
      </c>
      <c r="B53" s="13">
        <v>5571</v>
      </c>
      <c r="C53" s="14">
        <f>(4641/B53*100)</f>
        <v>83.306408185245019</v>
      </c>
      <c r="D53" s="15">
        <v>930</v>
      </c>
      <c r="E53" s="14">
        <v>38.596332160000003</v>
      </c>
      <c r="F53" s="16">
        <v>1.7645760100000001</v>
      </c>
      <c r="G53" s="14">
        <v>41.918651359999998</v>
      </c>
      <c r="H53" s="16">
        <v>1.8594260300000001</v>
      </c>
      <c r="I53" s="14">
        <v>19.485016479999999</v>
      </c>
      <c r="J53" s="16">
        <v>1.3800719699999999</v>
      </c>
      <c r="K53" s="14" t="s">
        <v>139</v>
      </c>
      <c r="L53" s="16" t="s">
        <v>139</v>
      </c>
      <c r="M53" s="14">
        <v>0</v>
      </c>
      <c r="N53" s="16">
        <v>0</v>
      </c>
      <c r="O53" s="14">
        <v>0</v>
      </c>
      <c r="P53" s="16">
        <v>0</v>
      </c>
      <c r="Q53" s="14">
        <v>0</v>
      </c>
      <c r="R53" s="16">
        <v>0</v>
      </c>
      <c r="S53" s="14">
        <v>0</v>
      </c>
      <c r="T53" s="16">
        <v>0</v>
      </c>
    </row>
    <row r="54" spans="1:20" x14ac:dyDescent="0.25">
      <c r="A54" s="11" t="s">
        <v>187</v>
      </c>
      <c r="B54" s="17" t="s">
        <v>154</v>
      </c>
      <c r="C54" s="17" t="s">
        <v>154</v>
      </c>
      <c r="D54" s="18" t="s">
        <v>154</v>
      </c>
      <c r="E54" s="17" t="s">
        <v>154</v>
      </c>
      <c r="F54" s="18" t="s">
        <v>154</v>
      </c>
      <c r="G54" s="17" t="s">
        <v>154</v>
      </c>
      <c r="H54" s="18" t="s">
        <v>154</v>
      </c>
      <c r="I54" s="17" t="s">
        <v>154</v>
      </c>
      <c r="J54" s="18" t="s">
        <v>154</v>
      </c>
      <c r="K54" s="17" t="s">
        <v>154</v>
      </c>
      <c r="L54" s="18" t="s">
        <v>154</v>
      </c>
      <c r="M54" s="17" t="s">
        <v>154</v>
      </c>
      <c r="N54" s="18" t="s">
        <v>154</v>
      </c>
      <c r="O54" s="17" t="s">
        <v>154</v>
      </c>
      <c r="P54" s="18" t="s">
        <v>154</v>
      </c>
      <c r="Q54" s="17" t="s">
        <v>154</v>
      </c>
      <c r="R54" s="18" t="s">
        <v>154</v>
      </c>
      <c r="S54" s="17" t="s">
        <v>154</v>
      </c>
      <c r="T54" s="18" t="s">
        <v>154</v>
      </c>
    </row>
    <row r="55" spans="1:20" x14ac:dyDescent="0.25">
      <c r="A55" s="11" t="s">
        <v>188</v>
      </c>
      <c r="B55" s="17" t="s">
        <v>154</v>
      </c>
      <c r="C55" s="17" t="s">
        <v>154</v>
      </c>
      <c r="D55" s="18" t="s">
        <v>154</v>
      </c>
      <c r="E55" s="17" t="s">
        <v>154</v>
      </c>
      <c r="F55" s="18" t="s">
        <v>154</v>
      </c>
      <c r="G55" s="17" t="s">
        <v>154</v>
      </c>
      <c r="H55" s="18" t="s">
        <v>154</v>
      </c>
      <c r="I55" s="17" t="s">
        <v>154</v>
      </c>
      <c r="J55" s="18" t="s">
        <v>154</v>
      </c>
      <c r="K55" s="17" t="s">
        <v>154</v>
      </c>
      <c r="L55" s="18" t="s">
        <v>154</v>
      </c>
      <c r="M55" s="17" t="s">
        <v>154</v>
      </c>
      <c r="N55" s="18" t="s">
        <v>154</v>
      </c>
      <c r="O55" s="17" t="s">
        <v>154</v>
      </c>
      <c r="P55" s="18" t="s">
        <v>154</v>
      </c>
      <c r="Q55" s="17" t="s">
        <v>154</v>
      </c>
      <c r="R55" s="18" t="s">
        <v>154</v>
      </c>
      <c r="S55" s="17" t="s">
        <v>154</v>
      </c>
      <c r="T55" s="18" t="s">
        <v>154</v>
      </c>
    </row>
    <row r="56" spans="1:20" x14ac:dyDescent="0.25">
      <c r="A56" s="11" t="s">
        <v>189</v>
      </c>
      <c r="B56" s="13">
        <v>5359</v>
      </c>
      <c r="C56" s="14">
        <f>(4447/B56*100)</f>
        <v>82.981899608135848</v>
      </c>
      <c r="D56" s="15">
        <v>912</v>
      </c>
      <c r="E56" s="14">
        <v>13.28647024</v>
      </c>
      <c r="F56" s="16">
        <v>1.29129304</v>
      </c>
      <c r="G56" s="14">
        <v>34.467739850000001</v>
      </c>
      <c r="H56" s="16">
        <v>1.57506038</v>
      </c>
      <c r="I56" s="14">
        <v>52.245789909999999</v>
      </c>
      <c r="J56" s="16">
        <v>1.94321243</v>
      </c>
      <c r="K56" s="14" t="s">
        <v>139</v>
      </c>
      <c r="L56" s="16" t="s">
        <v>139</v>
      </c>
      <c r="M56" s="14">
        <v>0</v>
      </c>
      <c r="N56" s="16">
        <v>0</v>
      </c>
      <c r="O56" s="14">
        <v>0</v>
      </c>
      <c r="P56" s="16">
        <v>0</v>
      </c>
      <c r="Q56" s="14">
        <v>0</v>
      </c>
      <c r="R56" s="16">
        <v>0</v>
      </c>
      <c r="S56" s="14">
        <v>0</v>
      </c>
      <c r="T56" s="16">
        <v>0</v>
      </c>
    </row>
    <row r="57" spans="1:20" x14ac:dyDescent="0.25">
      <c r="A57" s="11" t="s">
        <v>190</v>
      </c>
      <c r="B57" s="17" t="s">
        <v>154</v>
      </c>
      <c r="C57" s="17" t="s">
        <v>154</v>
      </c>
      <c r="D57" s="18" t="s">
        <v>154</v>
      </c>
      <c r="E57" s="17" t="s">
        <v>154</v>
      </c>
      <c r="F57" s="18" t="s">
        <v>154</v>
      </c>
      <c r="G57" s="17" t="s">
        <v>154</v>
      </c>
      <c r="H57" s="18" t="s">
        <v>154</v>
      </c>
      <c r="I57" s="17" t="s">
        <v>154</v>
      </c>
      <c r="J57" s="18" t="s">
        <v>154</v>
      </c>
      <c r="K57" s="17" t="s">
        <v>154</v>
      </c>
      <c r="L57" s="18" t="s">
        <v>154</v>
      </c>
      <c r="M57" s="17" t="s">
        <v>154</v>
      </c>
      <c r="N57" s="18" t="s">
        <v>154</v>
      </c>
      <c r="O57" s="17" t="s">
        <v>154</v>
      </c>
      <c r="P57" s="18" t="s">
        <v>154</v>
      </c>
      <c r="Q57" s="17" t="s">
        <v>154</v>
      </c>
      <c r="R57" s="18" t="s">
        <v>154</v>
      </c>
      <c r="S57" s="17" t="s">
        <v>154</v>
      </c>
      <c r="T57" s="18" t="s">
        <v>154</v>
      </c>
    </row>
    <row r="58" spans="1:20" x14ac:dyDescent="0.25">
      <c r="A58" s="11" t="s">
        <v>191</v>
      </c>
      <c r="B58" s="17" t="s">
        <v>154</v>
      </c>
      <c r="C58" s="17" t="s">
        <v>154</v>
      </c>
      <c r="D58" s="18" t="s">
        <v>154</v>
      </c>
      <c r="E58" s="17" t="s">
        <v>154</v>
      </c>
      <c r="F58" s="18" t="s">
        <v>154</v>
      </c>
      <c r="G58" s="17" t="s">
        <v>154</v>
      </c>
      <c r="H58" s="18" t="s">
        <v>154</v>
      </c>
      <c r="I58" s="17" t="s">
        <v>154</v>
      </c>
      <c r="J58" s="18" t="s">
        <v>154</v>
      </c>
      <c r="K58" s="17" t="s">
        <v>154</v>
      </c>
      <c r="L58" s="18" t="s">
        <v>154</v>
      </c>
      <c r="M58" s="17" t="s">
        <v>154</v>
      </c>
      <c r="N58" s="18" t="s">
        <v>154</v>
      </c>
      <c r="O58" s="17" t="s">
        <v>154</v>
      </c>
      <c r="P58" s="18" t="s">
        <v>154</v>
      </c>
      <c r="Q58" s="17" t="s">
        <v>154</v>
      </c>
      <c r="R58" s="18" t="s">
        <v>154</v>
      </c>
      <c r="S58" s="17" t="s">
        <v>154</v>
      </c>
      <c r="T58" s="18" t="s">
        <v>154</v>
      </c>
    </row>
    <row r="59" spans="1:20" x14ac:dyDescent="0.25">
      <c r="A59" s="11" t="s">
        <v>192</v>
      </c>
      <c r="B59" s="17" t="s">
        <v>154</v>
      </c>
      <c r="C59" s="17" t="s">
        <v>154</v>
      </c>
      <c r="D59" s="18" t="s">
        <v>154</v>
      </c>
      <c r="E59" s="17" t="s">
        <v>154</v>
      </c>
      <c r="F59" s="18" t="s">
        <v>154</v>
      </c>
      <c r="G59" s="17" t="s">
        <v>154</v>
      </c>
      <c r="H59" s="18" t="s">
        <v>154</v>
      </c>
      <c r="I59" s="17" t="s">
        <v>154</v>
      </c>
      <c r="J59" s="18" t="s">
        <v>154</v>
      </c>
      <c r="K59" s="17" t="s">
        <v>154</v>
      </c>
      <c r="L59" s="18" t="s">
        <v>154</v>
      </c>
      <c r="M59" s="17" t="s">
        <v>154</v>
      </c>
      <c r="N59" s="18" t="s">
        <v>154</v>
      </c>
      <c r="O59" s="17" t="s">
        <v>154</v>
      </c>
      <c r="P59" s="18" t="s">
        <v>154</v>
      </c>
      <c r="Q59" s="17" t="s">
        <v>154</v>
      </c>
      <c r="R59" s="18" t="s">
        <v>154</v>
      </c>
      <c r="S59" s="17" t="s">
        <v>154</v>
      </c>
      <c r="T59" s="18" t="s">
        <v>154</v>
      </c>
    </row>
    <row r="60" spans="1:20" x14ac:dyDescent="0.25">
      <c r="A60" s="11" t="s">
        <v>193</v>
      </c>
      <c r="B60" s="17" t="s">
        <v>154</v>
      </c>
      <c r="C60" s="17" t="s">
        <v>154</v>
      </c>
      <c r="D60" s="18" t="s">
        <v>154</v>
      </c>
      <c r="E60" s="17" t="s">
        <v>154</v>
      </c>
      <c r="F60" s="18" t="s">
        <v>154</v>
      </c>
      <c r="G60" s="17" t="s">
        <v>154</v>
      </c>
      <c r="H60" s="18" t="s">
        <v>154</v>
      </c>
      <c r="I60" s="17" t="s">
        <v>154</v>
      </c>
      <c r="J60" s="18" t="s">
        <v>154</v>
      </c>
      <c r="K60" s="17" t="s">
        <v>154</v>
      </c>
      <c r="L60" s="18" t="s">
        <v>154</v>
      </c>
      <c r="M60" s="17" t="s">
        <v>154</v>
      </c>
      <c r="N60" s="18" t="s">
        <v>154</v>
      </c>
      <c r="O60" s="17" t="s">
        <v>154</v>
      </c>
      <c r="P60" s="18" t="s">
        <v>154</v>
      </c>
      <c r="Q60" s="17" t="s">
        <v>154</v>
      </c>
      <c r="R60" s="18" t="s">
        <v>154</v>
      </c>
      <c r="S60" s="17" t="s">
        <v>154</v>
      </c>
      <c r="T60" s="18" t="s">
        <v>154</v>
      </c>
    </row>
    <row r="61" spans="1:20" x14ac:dyDescent="0.25">
      <c r="A61" s="11" t="s">
        <v>194</v>
      </c>
      <c r="B61" s="13">
        <v>6525</v>
      </c>
      <c r="C61" s="14">
        <f>(5425/B61*100)</f>
        <v>83.141762452107287</v>
      </c>
      <c r="D61" s="15">
        <v>1100</v>
      </c>
      <c r="E61" s="14">
        <v>30.800582339999998</v>
      </c>
      <c r="F61" s="16">
        <v>1.70922412</v>
      </c>
      <c r="G61" s="14">
        <v>46.790886989999997</v>
      </c>
      <c r="H61" s="16">
        <v>1.82008087</v>
      </c>
      <c r="I61" s="14">
        <v>22.408530670000001</v>
      </c>
      <c r="J61" s="16">
        <v>1.65072102</v>
      </c>
      <c r="K61" s="14" t="s">
        <v>139</v>
      </c>
      <c r="L61" s="16" t="s">
        <v>139</v>
      </c>
      <c r="M61" s="14">
        <v>0</v>
      </c>
      <c r="N61" s="16">
        <v>0</v>
      </c>
      <c r="O61" s="14">
        <v>0</v>
      </c>
      <c r="P61" s="16">
        <v>0</v>
      </c>
      <c r="Q61" s="14">
        <v>0</v>
      </c>
      <c r="R61" s="16">
        <v>0</v>
      </c>
      <c r="S61" s="14">
        <v>0</v>
      </c>
      <c r="T61" s="16">
        <v>0</v>
      </c>
    </row>
    <row r="62" spans="1:20" x14ac:dyDescent="0.25">
      <c r="A62" s="11" t="s">
        <v>195</v>
      </c>
      <c r="B62" s="13">
        <v>4476</v>
      </c>
      <c r="C62" s="14">
        <f>(3704/B62*100)</f>
        <v>82.752457551385163</v>
      </c>
      <c r="D62" s="15">
        <v>772</v>
      </c>
      <c r="E62" s="14">
        <v>15.560826110000001</v>
      </c>
      <c r="F62" s="16">
        <v>1.33599216</v>
      </c>
      <c r="G62" s="14">
        <v>31.274986210000002</v>
      </c>
      <c r="H62" s="16">
        <v>1.8427448500000001</v>
      </c>
      <c r="I62" s="14">
        <v>53.164187679999998</v>
      </c>
      <c r="J62" s="16">
        <v>1.75361681</v>
      </c>
      <c r="K62" s="14" t="s">
        <v>139</v>
      </c>
      <c r="L62" s="16" t="s">
        <v>139</v>
      </c>
      <c r="M62" s="14">
        <v>0</v>
      </c>
      <c r="N62" s="16">
        <v>0</v>
      </c>
      <c r="O62" s="14">
        <v>0</v>
      </c>
      <c r="P62" s="16">
        <v>0</v>
      </c>
      <c r="Q62" s="14">
        <v>0</v>
      </c>
      <c r="R62" s="16">
        <v>0</v>
      </c>
      <c r="S62" s="14">
        <v>0</v>
      </c>
      <c r="T62" s="16">
        <v>0</v>
      </c>
    </row>
    <row r="63" spans="1:20" x14ac:dyDescent="0.25">
      <c r="A63" s="11" t="s">
        <v>196</v>
      </c>
      <c r="B63" s="17" t="s">
        <v>154</v>
      </c>
      <c r="C63" s="17" t="s">
        <v>154</v>
      </c>
      <c r="D63" s="18" t="s">
        <v>154</v>
      </c>
      <c r="E63" s="17" t="s">
        <v>154</v>
      </c>
      <c r="F63" s="18" t="s">
        <v>154</v>
      </c>
      <c r="G63" s="17" t="s">
        <v>154</v>
      </c>
      <c r="H63" s="18" t="s">
        <v>154</v>
      </c>
      <c r="I63" s="17" t="s">
        <v>154</v>
      </c>
      <c r="J63" s="18" t="s">
        <v>154</v>
      </c>
      <c r="K63" s="17" t="s">
        <v>154</v>
      </c>
      <c r="L63" s="18" t="s">
        <v>154</v>
      </c>
      <c r="M63" s="17" t="s">
        <v>154</v>
      </c>
      <c r="N63" s="18" t="s">
        <v>154</v>
      </c>
      <c r="O63" s="17" t="s">
        <v>154</v>
      </c>
      <c r="P63" s="18" t="s">
        <v>154</v>
      </c>
      <c r="Q63" s="17" t="s">
        <v>154</v>
      </c>
      <c r="R63" s="18" t="s">
        <v>154</v>
      </c>
      <c r="S63" s="17" t="s">
        <v>154</v>
      </c>
      <c r="T63" s="18" t="s">
        <v>154</v>
      </c>
    </row>
    <row r="64" spans="1:20" x14ac:dyDescent="0.25">
      <c r="A64" s="11" t="s">
        <v>197</v>
      </c>
      <c r="B64" s="17" t="s">
        <v>154</v>
      </c>
      <c r="C64" s="17" t="s">
        <v>154</v>
      </c>
      <c r="D64" s="18" t="s">
        <v>154</v>
      </c>
      <c r="E64" s="17" t="s">
        <v>154</v>
      </c>
      <c r="F64" s="18" t="s">
        <v>154</v>
      </c>
      <c r="G64" s="17" t="s">
        <v>154</v>
      </c>
      <c r="H64" s="18" t="s">
        <v>154</v>
      </c>
      <c r="I64" s="17" t="s">
        <v>154</v>
      </c>
      <c r="J64" s="18" t="s">
        <v>154</v>
      </c>
      <c r="K64" s="17" t="s">
        <v>154</v>
      </c>
      <c r="L64" s="18" t="s">
        <v>154</v>
      </c>
      <c r="M64" s="17" t="s">
        <v>154</v>
      </c>
      <c r="N64" s="18" t="s">
        <v>154</v>
      </c>
      <c r="O64" s="17" t="s">
        <v>154</v>
      </c>
      <c r="P64" s="18" t="s">
        <v>154</v>
      </c>
      <c r="Q64" s="17" t="s">
        <v>154</v>
      </c>
      <c r="R64" s="18" t="s">
        <v>154</v>
      </c>
      <c r="S64" s="17" t="s">
        <v>154</v>
      </c>
      <c r="T64" s="18" t="s">
        <v>154</v>
      </c>
    </row>
    <row r="65" spans="1:20" x14ac:dyDescent="0.25">
      <c r="A65" s="11" t="s">
        <v>198</v>
      </c>
      <c r="B65" s="17" t="s">
        <v>154</v>
      </c>
      <c r="C65" s="17" t="s">
        <v>154</v>
      </c>
      <c r="D65" s="18" t="s">
        <v>154</v>
      </c>
      <c r="E65" s="17" t="s">
        <v>154</v>
      </c>
      <c r="F65" s="18" t="s">
        <v>154</v>
      </c>
      <c r="G65" s="17" t="s">
        <v>154</v>
      </c>
      <c r="H65" s="18" t="s">
        <v>154</v>
      </c>
      <c r="I65" s="17" t="s">
        <v>154</v>
      </c>
      <c r="J65" s="18" t="s">
        <v>154</v>
      </c>
      <c r="K65" s="17" t="s">
        <v>154</v>
      </c>
      <c r="L65" s="18" t="s">
        <v>154</v>
      </c>
      <c r="M65" s="17" t="s">
        <v>154</v>
      </c>
      <c r="N65" s="18" t="s">
        <v>154</v>
      </c>
      <c r="O65" s="17" t="s">
        <v>154</v>
      </c>
      <c r="P65" s="18" t="s">
        <v>154</v>
      </c>
      <c r="Q65" s="17" t="s">
        <v>154</v>
      </c>
      <c r="R65" s="18" t="s">
        <v>154</v>
      </c>
      <c r="S65" s="17" t="s">
        <v>154</v>
      </c>
      <c r="T65" s="18" t="s">
        <v>154</v>
      </c>
    </row>
    <row r="66" spans="1:20" x14ac:dyDescent="0.25">
      <c r="A66" s="11" t="s">
        <v>199</v>
      </c>
      <c r="B66" s="13">
        <v>5665</v>
      </c>
      <c r="C66" s="14">
        <f>(4728/B66*100)</f>
        <v>83.459841129744035</v>
      </c>
      <c r="D66" s="15">
        <v>937</v>
      </c>
      <c r="E66" s="14">
        <v>38.749194670000001</v>
      </c>
      <c r="F66" s="16">
        <v>1.59266036</v>
      </c>
      <c r="G66" s="14">
        <v>46.528723290000002</v>
      </c>
      <c r="H66" s="16">
        <v>1.5765005700000001</v>
      </c>
      <c r="I66" s="14">
        <v>14.72208204</v>
      </c>
      <c r="J66" s="16">
        <v>1.19383569</v>
      </c>
      <c r="K66" s="14" t="s">
        <v>139</v>
      </c>
      <c r="L66" s="16" t="s">
        <v>139</v>
      </c>
      <c r="M66" s="14">
        <v>0</v>
      </c>
      <c r="N66" s="16">
        <v>0</v>
      </c>
      <c r="O66" s="14">
        <v>0</v>
      </c>
      <c r="P66" s="16">
        <v>0</v>
      </c>
      <c r="Q66" s="14">
        <v>0</v>
      </c>
      <c r="R66" s="16">
        <v>0</v>
      </c>
      <c r="S66" s="14">
        <v>0</v>
      </c>
      <c r="T66" s="16">
        <v>0</v>
      </c>
    </row>
    <row r="67" spans="1:20" x14ac:dyDescent="0.25">
      <c r="A67" s="11" t="s">
        <v>200</v>
      </c>
      <c r="B67" s="13">
        <v>6971</v>
      </c>
      <c r="C67" s="14">
        <f>(5900/B67*100)</f>
        <v>84.636350595323478</v>
      </c>
      <c r="D67" s="15">
        <v>1071</v>
      </c>
      <c r="E67" s="14">
        <v>33.352484320000002</v>
      </c>
      <c r="F67" s="16">
        <v>1.35082656</v>
      </c>
      <c r="G67" s="14">
        <v>51.559744639999998</v>
      </c>
      <c r="H67" s="16">
        <v>1.64845847</v>
      </c>
      <c r="I67" s="14">
        <v>15.08777104</v>
      </c>
      <c r="J67" s="16">
        <v>1.19716676</v>
      </c>
      <c r="K67" s="14" t="s">
        <v>139</v>
      </c>
      <c r="L67" s="16" t="s">
        <v>139</v>
      </c>
      <c r="M67" s="14">
        <v>0</v>
      </c>
      <c r="N67" s="16">
        <v>0</v>
      </c>
      <c r="O67" s="14">
        <v>0</v>
      </c>
      <c r="P67" s="16">
        <v>0</v>
      </c>
      <c r="Q67" s="14">
        <v>0</v>
      </c>
      <c r="R67" s="16">
        <v>0</v>
      </c>
      <c r="S67" s="14">
        <v>0</v>
      </c>
      <c r="T67" s="16">
        <v>0</v>
      </c>
    </row>
    <row r="68" spans="1:20" x14ac:dyDescent="0.25">
      <c r="A68" s="11" t="s">
        <v>201</v>
      </c>
      <c r="B68" s="17" t="s">
        <v>154</v>
      </c>
      <c r="C68" s="17" t="s">
        <v>154</v>
      </c>
      <c r="D68" s="18" t="s">
        <v>154</v>
      </c>
      <c r="E68" s="17" t="s">
        <v>154</v>
      </c>
      <c r="F68" s="18" t="s">
        <v>154</v>
      </c>
      <c r="G68" s="17" t="s">
        <v>154</v>
      </c>
      <c r="H68" s="18" t="s">
        <v>154</v>
      </c>
      <c r="I68" s="17" t="s">
        <v>154</v>
      </c>
      <c r="J68" s="18" t="s">
        <v>154</v>
      </c>
      <c r="K68" s="17" t="s">
        <v>154</v>
      </c>
      <c r="L68" s="18" t="s">
        <v>154</v>
      </c>
      <c r="M68" s="17" t="s">
        <v>154</v>
      </c>
      <c r="N68" s="18" t="s">
        <v>154</v>
      </c>
      <c r="O68" s="17" t="s">
        <v>154</v>
      </c>
      <c r="P68" s="18" t="s">
        <v>154</v>
      </c>
      <c r="Q68" s="17" t="s">
        <v>154</v>
      </c>
      <c r="R68" s="18" t="s">
        <v>154</v>
      </c>
      <c r="S68" s="17" t="s">
        <v>154</v>
      </c>
      <c r="T68" s="18" t="s">
        <v>154</v>
      </c>
    </row>
    <row r="69" spans="1:20" x14ac:dyDescent="0.25">
      <c r="A69" s="11" t="s">
        <v>202</v>
      </c>
      <c r="B69" s="17" t="s">
        <v>154</v>
      </c>
      <c r="C69" s="17" t="s">
        <v>154</v>
      </c>
      <c r="D69" s="18" t="s">
        <v>154</v>
      </c>
      <c r="E69" s="17" t="s">
        <v>154</v>
      </c>
      <c r="F69" s="18" t="s">
        <v>154</v>
      </c>
      <c r="G69" s="17" t="s">
        <v>154</v>
      </c>
      <c r="H69" s="18" t="s">
        <v>154</v>
      </c>
      <c r="I69" s="17" t="s">
        <v>154</v>
      </c>
      <c r="J69" s="18" t="s">
        <v>154</v>
      </c>
      <c r="K69" s="17" t="s">
        <v>154</v>
      </c>
      <c r="L69" s="18" t="s">
        <v>154</v>
      </c>
      <c r="M69" s="17" t="s">
        <v>154</v>
      </c>
      <c r="N69" s="18" t="s">
        <v>154</v>
      </c>
      <c r="O69" s="17" t="s">
        <v>154</v>
      </c>
      <c r="P69" s="18" t="s">
        <v>154</v>
      </c>
      <c r="Q69" s="17" t="s">
        <v>154</v>
      </c>
      <c r="R69" s="18" t="s">
        <v>154</v>
      </c>
      <c r="S69" s="17" t="s">
        <v>154</v>
      </c>
      <c r="T69" s="18" t="s">
        <v>154</v>
      </c>
    </row>
    <row r="70" spans="1:20" x14ac:dyDescent="0.25">
      <c r="A70" s="11" t="s">
        <v>203</v>
      </c>
      <c r="B70" s="13">
        <v>6036</v>
      </c>
      <c r="C70" s="14">
        <f>(5008/B70*100)</f>
        <v>82.96885354539431</v>
      </c>
      <c r="D70" s="15">
        <v>1028</v>
      </c>
      <c r="E70" s="14">
        <v>39.855540300000001</v>
      </c>
      <c r="F70" s="16">
        <v>1.7197964299999999</v>
      </c>
      <c r="G70" s="14">
        <v>42.708055799999997</v>
      </c>
      <c r="H70" s="16">
        <v>2.0202570500000001</v>
      </c>
      <c r="I70" s="14">
        <v>17.436403899999998</v>
      </c>
      <c r="J70" s="16">
        <v>1.3163510599999999</v>
      </c>
      <c r="K70" s="14" t="s">
        <v>139</v>
      </c>
      <c r="L70" s="16" t="s">
        <v>139</v>
      </c>
      <c r="M70" s="14">
        <v>0</v>
      </c>
      <c r="N70" s="16">
        <v>0</v>
      </c>
      <c r="O70" s="14">
        <v>0</v>
      </c>
      <c r="P70" s="16">
        <v>0</v>
      </c>
      <c r="Q70" s="14">
        <v>0</v>
      </c>
      <c r="R70" s="16">
        <v>0</v>
      </c>
      <c r="S70" s="14">
        <v>0</v>
      </c>
      <c r="T70" s="16">
        <v>0</v>
      </c>
    </row>
    <row r="71" spans="1:20" x14ac:dyDescent="0.25">
      <c r="A71" s="11" t="s">
        <v>204</v>
      </c>
      <c r="B71" s="17" t="s">
        <v>154</v>
      </c>
      <c r="C71" s="17" t="s">
        <v>154</v>
      </c>
      <c r="D71" s="18" t="s">
        <v>154</v>
      </c>
      <c r="E71" s="17" t="s">
        <v>154</v>
      </c>
      <c r="F71" s="18" t="s">
        <v>154</v>
      </c>
      <c r="G71" s="17" t="s">
        <v>154</v>
      </c>
      <c r="H71" s="18" t="s">
        <v>154</v>
      </c>
      <c r="I71" s="17" t="s">
        <v>154</v>
      </c>
      <c r="J71" s="18" t="s">
        <v>154</v>
      </c>
      <c r="K71" s="17" t="s">
        <v>154</v>
      </c>
      <c r="L71" s="18" t="s">
        <v>154</v>
      </c>
      <c r="M71" s="17" t="s">
        <v>154</v>
      </c>
      <c r="N71" s="18" t="s">
        <v>154</v>
      </c>
      <c r="O71" s="17" t="s">
        <v>154</v>
      </c>
      <c r="P71" s="18" t="s">
        <v>154</v>
      </c>
      <c r="Q71" s="17" t="s">
        <v>154</v>
      </c>
      <c r="R71" s="18" t="s">
        <v>154</v>
      </c>
      <c r="S71" s="17" t="s">
        <v>154</v>
      </c>
      <c r="T71" s="18" t="s">
        <v>154</v>
      </c>
    </row>
    <row r="72" spans="1:20" x14ac:dyDescent="0.25">
      <c r="A72" s="11" t="s">
        <v>205</v>
      </c>
      <c r="B72" s="13">
        <v>7708</v>
      </c>
      <c r="C72" s="14">
        <f>(6367/B72*100)</f>
        <v>82.6024909185262</v>
      </c>
      <c r="D72" s="15">
        <v>1341</v>
      </c>
      <c r="E72" s="14">
        <v>12.913418119999999</v>
      </c>
      <c r="F72" s="16">
        <v>0.95650946999999997</v>
      </c>
      <c r="G72" s="14">
        <v>42.531249389999999</v>
      </c>
      <c r="H72" s="16">
        <v>1.5226362200000001</v>
      </c>
      <c r="I72" s="14">
        <v>44.555332489999998</v>
      </c>
      <c r="J72" s="16">
        <v>1.53825444</v>
      </c>
      <c r="K72" s="14" t="s">
        <v>139</v>
      </c>
      <c r="L72" s="16" t="s">
        <v>139</v>
      </c>
      <c r="M72" s="14">
        <v>0</v>
      </c>
      <c r="N72" s="16">
        <v>0</v>
      </c>
      <c r="O72" s="14">
        <v>0</v>
      </c>
      <c r="P72" s="16">
        <v>0</v>
      </c>
      <c r="Q72" s="14">
        <v>0</v>
      </c>
      <c r="R72" s="16">
        <v>0</v>
      </c>
      <c r="S72" s="14">
        <v>0</v>
      </c>
      <c r="T72" s="16">
        <v>0</v>
      </c>
    </row>
    <row r="73" spans="1:20" x14ac:dyDescent="0.25">
      <c r="A73" s="11" t="s">
        <v>206</v>
      </c>
      <c r="B73" s="13">
        <v>8249</v>
      </c>
      <c r="C73" s="14">
        <f>(6890/B73*100)</f>
        <v>83.525275791004972</v>
      </c>
      <c r="D73" s="15">
        <v>1359</v>
      </c>
      <c r="E73" s="14">
        <v>27.780251839999998</v>
      </c>
      <c r="F73" s="16">
        <v>1.51042378</v>
      </c>
      <c r="G73" s="14">
        <v>48.233129640000001</v>
      </c>
      <c r="H73" s="16">
        <v>1.8609134199999999</v>
      </c>
      <c r="I73" s="14">
        <v>23.98661852</v>
      </c>
      <c r="J73" s="16">
        <v>1.71189002</v>
      </c>
      <c r="K73" s="14" t="s">
        <v>139</v>
      </c>
      <c r="L73" s="16" t="s">
        <v>139</v>
      </c>
      <c r="M73" s="14">
        <v>0</v>
      </c>
      <c r="N73" s="16">
        <v>0</v>
      </c>
      <c r="O73" s="14">
        <v>0</v>
      </c>
      <c r="P73" s="16">
        <v>0</v>
      </c>
      <c r="Q73" s="14">
        <v>0</v>
      </c>
      <c r="R73" s="16">
        <v>0</v>
      </c>
      <c r="S73" s="14">
        <v>0</v>
      </c>
      <c r="T73" s="16">
        <v>0</v>
      </c>
    </row>
    <row r="74" spans="1:20" x14ac:dyDescent="0.25">
      <c r="A74" s="11" t="s">
        <v>207</v>
      </c>
      <c r="B74" s="17" t="s">
        <v>154</v>
      </c>
      <c r="C74" s="17" t="s">
        <v>154</v>
      </c>
      <c r="D74" s="18" t="s">
        <v>154</v>
      </c>
      <c r="E74" s="17" t="s">
        <v>154</v>
      </c>
      <c r="F74" s="18" t="s">
        <v>154</v>
      </c>
      <c r="G74" s="17" t="s">
        <v>154</v>
      </c>
      <c r="H74" s="18" t="s">
        <v>154</v>
      </c>
      <c r="I74" s="17" t="s">
        <v>154</v>
      </c>
      <c r="J74" s="18" t="s">
        <v>154</v>
      </c>
      <c r="K74" s="17" t="s">
        <v>154</v>
      </c>
      <c r="L74" s="18" t="s">
        <v>154</v>
      </c>
      <c r="M74" s="17" t="s">
        <v>154</v>
      </c>
      <c r="N74" s="18" t="s">
        <v>154</v>
      </c>
      <c r="O74" s="17" t="s">
        <v>154</v>
      </c>
      <c r="P74" s="18" t="s">
        <v>154</v>
      </c>
      <c r="Q74" s="17" t="s">
        <v>154</v>
      </c>
      <c r="R74" s="18" t="s">
        <v>154</v>
      </c>
      <c r="S74" s="17" t="s">
        <v>154</v>
      </c>
      <c r="T74" s="18" t="s">
        <v>154</v>
      </c>
    </row>
    <row r="75" spans="1:20" x14ac:dyDescent="0.25">
      <c r="A75" s="11" t="s">
        <v>208</v>
      </c>
      <c r="B75" s="13">
        <v>5375</v>
      </c>
      <c r="C75" s="14">
        <f>(4539/B75*100)</f>
        <v>84.446511627906972</v>
      </c>
      <c r="D75" s="15">
        <v>836</v>
      </c>
      <c r="E75" s="14">
        <v>40.171092059999999</v>
      </c>
      <c r="F75" s="16">
        <v>1.85740767</v>
      </c>
      <c r="G75" s="14">
        <v>50.387912499999999</v>
      </c>
      <c r="H75" s="16">
        <v>2.0530993299999998</v>
      </c>
      <c r="I75" s="14">
        <v>9.44099544</v>
      </c>
      <c r="J75" s="16">
        <v>1.2081736599999999</v>
      </c>
      <c r="K75" s="14" t="s">
        <v>139</v>
      </c>
      <c r="L75" s="16" t="s">
        <v>139</v>
      </c>
      <c r="M75" s="14">
        <v>0</v>
      </c>
      <c r="N75" s="16">
        <v>0</v>
      </c>
      <c r="O75" s="14">
        <v>0</v>
      </c>
      <c r="P75" s="16">
        <v>0</v>
      </c>
      <c r="Q75" s="14">
        <v>0</v>
      </c>
      <c r="R75" s="16">
        <v>0</v>
      </c>
      <c r="S75" s="14">
        <v>0</v>
      </c>
      <c r="T75" s="16">
        <v>0</v>
      </c>
    </row>
    <row r="76" spans="1:20" x14ac:dyDescent="0.25">
      <c r="A76" s="11" t="s">
        <v>209</v>
      </c>
      <c r="B76" s="13">
        <v>14167</v>
      </c>
      <c r="C76" s="14">
        <f>(11769/B76*100)</f>
        <v>83.073339450836443</v>
      </c>
      <c r="D76" s="15">
        <v>2398</v>
      </c>
      <c r="E76" s="14">
        <v>38.55373333</v>
      </c>
      <c r="F76" s="16">
        <v>1.3303871300000001</v>
      </c>
      <c r="G76" s="14">
        <v>43.63150091</v>
      </c>
      <c r="H76" s="16">
        <v>1.23415907</v>
      </c>
      <c r="I76" s="14">
        <v>17.81476576</v>
      </c>
      <c r="J76" s="16">
        <v>0.88792470000000001</v>
      </c>
      <c r="K76" s="14" t="s">
        <v>139</v>
      </c>
      <c r="L76" s="16" t="s">
        <v>139</v>
      </c>
      <c r="M76" s="14">
        <v>0</v>
      </c>
      <c r="N76" s="16">
        <v>0</v>
      </c>
      <c r="O76" s="14">
        <v>0</v>
      </c>
      <c r="P76" s="16">
        <v>0</v>
      </c>
      <c r="Q76" s="14">
        <v>0</v>
      </c>
      <c r="R76" s="16">
        <v>0</v>
      </c>
      <c r="S76" s="14">
        <v>0</v>
      </c>
      <c r="T76" s="16">
        <v>0</v>
      </c>
    </row>
    <row r="77" spans="1:20" x14ac:dyDescent="0.25">
      <c r="A77" s="11" t="s">
        <v>210</v>
      </c>
      <c r="B77" s="13">
        <v>6062</v>
      </c>
      <c r="C77" s="14">
        <f>(5076/B77*100)</f>
        <v>83.734741009567799</v>
      </c>
      <c r="D77" s="15">
        <v>986</v>
      </c>
      <c r="E77" s="14">
        <v>38.788261939999998</v>
      </c>
      <c r="F77" s="16">
        <v>1.7482546699999999</v>
      </c>
      <c r="G77" s="14">
        <v>46.30842964</v>
      </c>
      <c r="H77" s="16">
        <v>1.6274822900000001</v>
      </c>
      <c r="I77" s="14">
        <v>14.90330842</v>
      </c>
      <c r="J77" s="16">
        <v>1.2992802299999999</v>
      </c>
      <c r="K77" s="14" t="s">
        <v>139</v>
      </c>
      <c r="L77" s="16" t="s">
        <v>139</v>
      </c>
      <c r="M77" s="14">
        <v>0</v>
      </c>
      <c r="N77" s="16">
        <v>0</v>
      </c>
      <c r="O77" s="14">
        <v>0</v>
      </c>
      <c r="P77" s="16">
        <v>0</v>
      </c>
      <c r="Q77" s="14">
        <v>0</v>
      </c>
      <c r="R77" s="16">
        <v>0</v>
      </c>
      <c r="S77" s="14">
        <v>0</v>
      </c>
      <c r="T77" s="16">
        <v>0</v>
      </c>
    </row>
    <row r="78" spans="1:20" x14ac:dyDescent="0.25">
      <c r="A78" s="11" t="s">
        <v>211</v>
      </c>
      <c r="B78" s="17" t="s">
        <v>154</v>
      </c>
      <c r="C78" s="17" t="s">
        <v>154</v>
      </c>
      <c r="D78" s="18" t="s">
        <v>154</v>
      </c>
      <c r="E78" s="17" t="s">
        <v>154</v>
      </c>
      <c r="F78" s="18" t="s">
        <v>154</v>
      </c>
      <c r="G78" s="17" t="s">
        <v>154</v>
      </c>
      <c r="H78" s="18" t="s">
        <v>154</v>
      </c>
      <c r="I78" s="17" t="s">
        <v>154</v>
      </c>
      <c r="J78" s="18" t="s">
        <v>154</v>
      </c>
      <c r="K78" s="17" t="s">
        <v>154</v>
      </c>
      <c r="L78" s="18" t="s">
        <v>154</v>
      </c>
      <c r="M78" s="17" t="s">
        <v>154</v>
      </c>
      <c r="N78" s="18" t="s">
        <v>154</v>
      </c>
      <c r="O78" s="17" t="s">
        <v>154</v>
      </c>
      <c r="P78" s="18" t="s">
        <v>154</v>
      </c>
      <c r="Q78" s="17" t="s">
        <v>154</v>
      </c>
      <c r="R78" s="18" t="s">
        <v>154</v>
      </c>
      <c r="S78" s="17" t="s">
        <v>154</v>
      </c>
      <c r="T78" s="18" t="s">
        <v>154</v>
      </c>
    </row>
    <row r="79" spans="1:20" ht="24.95" customHeight="1" x14ac:dyDescent="0.25">
      <c r="A79" s="11" t="s">
        <v>212</v>
      </c>
      <c r="B79" s="17" t="s">
        <v>154</v>
      </c>
      <c r="C79" s="17" t="s">
        <v>154</v>
      </c>
      <c r="D79" s="18" t="s">
        <v>154</v>
      </c>
      <c r="E79" s="17" t="s">
        <v>154</v>
      </c>
      <c r="F79" s="18" t="s">
        <v>154</v>
      </c>
      <c r="G79" s="17" t="s">
        <v>154</v>
      </c>
      <c r="H79" s="18" t="s">
        <v>154</v>
      </c>
      <c r="I79" s="17" t="s">
        <v>154</v>
      </c>
      <c r="J79" s="18" t="s">
        <v>154</v>
      </c>
      <c r="K79" s="17" t="s">
        <v>154</v>
      </c>
      <c r="L79" s="18" t="s">
        <v>154</v>
      </c>
      <c r="M79" s="17" t="s">
        <v>154</v>
      </c>
      <c r="N79" s="18" t="s">
        <v>154</v>
      </c>
      <c r="O79" s="17" t="s">
        <v>154</v>
      </c>
      <c r="P79" s="18" t="s">
        <v>154</v>
      </c>
      <c r="Q79" s="17" t="s">
        <v>154</v>
      </c>
      <c r="R79" s="18" t="s">
        <v>154</v>
      </c>
      <c r="S79" s="17" t="s">
        <v>154</v>
      </c>
      <c r="T79" s="18" t="s">
        <v>154</v>
      </c>
    </row>
    <row r="80" spans="1:20" x14ac:dyDescent="0.25">
      <c r="A80" s="11" t="s">
        <v>213</v>
      </c>
      <c r="B80" s="17" t="s">
        <v>154</v>
      </c>
      <c r="C80" s="17" t="s">
        <v>154</v>
      </c>
      <c r="D80" s="18" t="s">
        <v>154</v>
      </c>
      <c r="E80" s="17" t="s">
        <v>154</v>
      </c>
      <c r="F80" s="18" t="s">
        <v>154</v>
      </c>
      <c r="G80" s="17" t="s">
        <v>154</v>
      </c>
      <c r="H80" s="18" t="s">
        <v>154</v>
      </c>
      <c r="I80" s="17" t="s">
        <v>154</v>
      </c>
      <c r="J80" s="18" t="s">
        <v>154</v>
      </c>
      <c r="K80" s="17" t="s">
        <v>154</v>
      </c>
      <c r="L80" s="18" t="s">
        <v>154</v>
      </c>
      <c r="M80" s="17" t="s">
        <v>154</v>
      </c>
      <c r="N80" s="18" t="s">
        <v>154</v>
      </c>
      <c r="O80" s="17" t="s">
        <v>154</v>
      </c>
      <c r="P80" s="18" t="s">
        <v>154</v>
      </c>
      <c r="Q80" s="17" t="s">
        <v>154</v>
      </c>
      <c r="R80" s="18" t="s">
        <v>154</v>
      </c>
      <c r="S80" s="17" t="s">
        <v>154</v>
      </c>
      <c r="T80" s="18" t="s">
        <v>154</v>
      </c>
    </row>
    <row r="81" spans="1:20" x14ac:dyDescent="0.25">
      <c r="A81" s="19" t="s">
        <v>214</v>
      </c>
      <c r="B81" s="13">
        <v>8861</v>
      </c>
      <c r="C81" s="14">
        <f>(7344/B81*100)</f>
        <v>82.880036113305493</v>
      </c>
      <c r="D81" s="15">
        <v>1517</v>
      </c>
      <c r="E81" s="14">
        <v>38.489045820000001</v>
      </c>
      <c r="F81" s="16">
        <v>1.6085439399999999</v>
      </c>
      <c r="G81" s="14">
        <v>39.538399910000003</v>
      </c>
      <c r="H81" s="16">
        <v>1.36366199</v>
      </c>
      <c r="I81" s="14">
        <v>21.97255427</v>
      </c>
      <c r="J81" s="16">
        <v>1.33210162</v>
      </c>
      <c r="K81" s="14" t="s">
        <v>139</v>
      </c>
      <c r="L81" s="16" t="s">
        <v>139</v>
      </c>
      <c r="M81" s="14">
        <v>0</v>
      </c>
      <c r="N81" s="16">
        <v>0</v>
      </c>
      <c r="O81" s="14">
        <v>0</v>
      </c>
      <c r="P81" s="16">
        <v>0</v>
      </c>
      <c r="Q81" s="14">
        <v>0</v>
      </c>
      <c r="R81" s="16">
        <v>0</v>
      </c>
      <c r="S81" s="14">
        <v>0</v>
      </c>
      <c r="T81" s="16">
        <v>0</v>
      </c>
    </row>
    <row r="82" spans="1:20" x14ac:dyDescent="0.25">
      <c r="A82" s="20"/>
      <c r="B82" s="20" t="s">
        <v>215</v>
      </c>
      <c r="C82" s="20" t="s">
        <v>215</v>
      </c>
      <c r="D82" s="20" t="s">
        <v>215</v>
      </c>
      <c r="E82" s="20" t="s">
        <v>215</v>
      </c>
      <c r="F82" s="20" t="s">
        <v>215</v>
      </c>
      <c r="G82" s="20" t="s">
        <v>215</v>
      </c>
      <c r="H82" s="20" t="s">
        <v>215</v>
      </c>
      <c r="I82" s="20" t="s">
        <v>215</v>
      </c>
      <c r="J82" s="20" t="s">
        <v>215</v>
      </c>
      <c r="K82" s="20" t="s">
        <v>215</v>
      </c>
      <c r="L82" s="20" t="s">
        <v>215</v>
      </c>
      <c r="M82" s="20" t="s">
        <v>215</v>
      </c>
      <c r="N82" s="20" t="s">
        <v>215</v>
      </c>
      <c r="O82" s="20" t="s">
        <v>215</v>
      </c>
      <c r="P82" s="20" t="s">
        <v>215</v>
      </c>
      <c r="Q82" s="20" t="s">
        <v>215</v>
      </c>
      <c r="R82" s="20" t="s">
        <v>215</v>
      </c>
      <c r="S82" s="20" t="s">
        <v>215</v>
      </c>
      <c r="T82" s="20" t="s">
        <v>215</v>
      </c>
    </row>
    <row r="83" spans="1:20" x14ac:dyDescent="0.25">
      <c r="A83" s="3" t="s">
        <v>216</v>
      </c>
    </row>
    <row r="84" spans="1:20" x14ac:dyDescent="0.25">
      <c r="A84" s="22" t="s">
        <v>217</v>
      </c>
      <c r="B84" s="23"/>
      <c r="C84" s="23"/>
      <c r="D84" s="23"/>
      <c r="E84" s="23"/>
      <c r="F84" s="23"/>
      <c r="G84" s="23"/>
      <c r="H84" s="23"/>
      <c r="I84" s="23"/>
      <c r="J84" s="23"/>
      <c r="K84" s="23"/>
      <c r="L84" s="23"/>
      <c r="M84" s="23"/>
      <c r="N84" s="23"/>
      <c r="O84" s="23"/>
      <c r="P84" s="23"/>
      <c r="Q84" s="23"/>
      <c r="R84" s="23"/>
      <c r="S84" s="23"/>
      <c r="T84" s="23"/>
    </row>
    <row r="85" spans="1:20" x14ac:dyDescent="0.25">
      <c r="A85" s="22" t="s">
        <v>218</v>
      </c>
      <c r="B85" s="23"/>
      <c r="C85" s="23"/>
      <c r="D85" s="23"/>
      <c r="E85" s="23"/>
      <c r="F85" s="23"/>
      <c r="G85" s="23"/>
      <c r="H85" s="23"/>
      <c r="I85" s="23"/>
      <c r="J85" s="23"/>
      <c r="K85" s="23"/>
      <c r="L85" s="23"/>
      <c r="M85" s="23"/>
      <c r="N85" s="23"/>
      <c r="O85" s="23"/>
      <c r="P85" s="23"/>
      <c r="Q85" s="23"/>
      <c r="R85" s="23"/>
      <c r="S85" s="23"/>
      <c r="T85" s="23"/>
    </row>
    <row r="86" spans="1:20" ht="30" customHeight="1" x14ac:dyDescent="0.25">
      <c r="A86" s="22" t="s">
        <v>219</v>
      </c>
      <c r="B86" s="23"/>
      <c r="C86" s="23"/>
      <c r="D86" s="23"/>
      <c r="E86" s="23"/>
      <c r="F86" s="23"/>
      <c r="G86" s="23"/>
      <c r="H86" s="23"/>
      <c r="I86" s="23"/>
      <c r="J86" s="23"/>
      <c r="K86" s="23"/>
      <c r="L86" s="23"/>
      <c r="M86" s="23"/>
      <c r="N86" s="23"/>
      <c r="O86" s="23"/>
      <c r="P86" s="23"/>
      <c r="Q86" s="23"/>
      <c r="R86" s="23"/>
      <c r="S86" s="23"/>
      <c r="T86" s="23"/>
    </row>
    <row r="87" spans="1:20" ht="30" customHeight="1" x14ac:dyDescent="0.25">
      <c r="A87" s="22" t="s">
        <v>215</v>
      </c>
      <c r="B87" s="23"/>
      <c r="C87" s="23"/>
      <c r="D87" s="23"/>
      <c r="E87" s="23"/>
      <c r="F87" s="23"/>
      <c r="G87" s="23"/>
      <c r="H87" s="23"/>
      <c r="I87" s="23"/>
      <c r="J87" s="23"/>
      <c r="K87" s="23"/>
      <c r="L87" s="23"/>
      <c r="M87" s="23"/>
      <c r="N87" s="23"/>
      <c r="O87" s="23"/>
      <c r="P87" s="23"/>
      <c r="Q87" s="23"/>
      <c r="R87" s="23"/>
      <c r="S87" s="23"/>
      <c r="T87" s="23"/>
    </row>
    <row r="88" spans="1:20" ht="30" customHeight="1" x14ac:dyDescent="0.25">
      <c r="A88" s="22" t="s">
        <v>220</v>
      </c>
      <c r="B88" s="23"/>
      <c r="C88" s="23"/>
      <c r="D88" s="23"/>
      <c r="E88" s="23"/>
      <c r="F88" s="23"/>
      <c r="G88" s="23"/>
      <c r="H88" s="23"/>
      <c r="I88" s="23"/>
      <c r="J88" s="23"/>
      <c r="K88" s="23"/>
      <c r="L88" s="23"/>
      <c r="M88" s="23"/>
      <c r="N88" s="23"/>
      <c r="O88" s="23"/>
      <c r="P88" s="23"/>
      <c r="Q88" s="23"/>
      <c r="R88" s="23"/>
      <c r="S88" s="23"/>
      <c r="T88" s="23"/>
    </row>
    <row r="89" spans="1:20" ht="30" customHeight="1" x14ac:dyDescent="0.25">
      <c r="A89" s="22" t="s">
        <v>221</v>
      </c>
      <c r="B89" s="23"/>
      <c r="C89" s="23"/>
      <c r="D89" s="23"/>
      <c r="E89" s="23"/>
      <c r="F89" s="23"/>
      <c r="G89" s="23"/>
      <c r="H89" s="23"/>
      <c r="I89" s="23"/>
      <c r="J89" s="23"/>
      <c r="K89" s="23"/>
      <c r="L89" s="23"/>
      <c r="M89" s="23"/>
      <c r="N89" s="23"/>
      <c r="O89" s="23"/>
      <c r="P89" s="23"/>
      <c r="Q89" s="23"/>
      <c r="R89" s="23"/>
      <c r="S89" s="23"/>
      <c r="T89" s="23"/>
    </row>
    <row r="90" spans="1:20" ht="30" customHeight="1" x14ac:dyDescent="0.25">
      <c r="A90" s="22" t="s">
        <v>222</v>
      </c>
      <c r="B90" s="23"/>
      <c r="C90" s="23"/>
      <c r="D90" s="23"/>
      <c r="E90" s="23"/>
      <c r="F90" s="23"/>
      <c r="G90" s="23"/>
      <c r="H90" s="23"/>
      <c r="I90" s="23"/>
      <c r="J90" s="23"/>
      <c r="K90" s="23"/>
      <c r="L90" s="23"/>
      <c r="M90" s="23"/>
      <c r="N90" s="23"/>
      <c r="O90" s="23"/>
      <c r="P90" s="23"/>
      <c r="Q90" s="23"/>
      <c r="R90" s="23"/>
      <c r="S90" s="23"/>
      <c r="T90" s="23"/>
    </row>
    <row r="91" spans="1:20" ht="30" customHeight="1" x14ac:dyDescent="0.25">
      <c r="A91" s="22" t="s">
        <v>223</v>
      </c>
      <c r="B91" s="23"/>
      <c r="C91" s="23"/>
      <c r="D91" s="23"/>
      <c r="E91" s="23"/>
      <c r="F91" s="23"/>
      <c r="G91" s="23"/>
      <c r="H91" s="23"/>
      <c r="I91" s="23"/>
      <c r="J91" s="23"/>
      <c r="K91" s="23"/>
      <c r="L91" s="23"/>
      <c r="M91" s="23"/>
      <c r="N91" s="23"/>
      <c r="O91" s="23"/>
      <c r="P91" s="23"/>
      <c r="Q91" s="23"/>
      <c r="R91" s="23"/>
      <c r="S91" s="23"/>
      <c r="T91" s="23"/>
    </row>
    <row r="92" spans="1:20" ht="30" customHeight="1" x14ac:dyDescent="0.25">
      <c r="A92" s="22" t="s">
        <v>224</v>
      </c>
      <c r="B92" s="23"/>
      <c r="C92" s="23"/>
      <c r="D92" s="23"/>
      <c r="E92" s="23"/>
      <c r="F92" s="23"/>
      <c r="G92" s="23"/>
      <c r="H92" s="23"/>
      <c r="I92" s="23"/>
      <c r="J92" s="23"/>
      <c r="K92" s="23"/>
      <c r="L92" s="23"/>
      <c r="M92" s="23"/>
      <c r="N92" s="23"/>
      <c r="O92" s="23"/>
      <c r="P92" s="23"/>
      <c r="Q92" s="23"/>
      <c r="R92" s="23"/>
      <c r="S92" s="23"/>
      <c r="T92" s="23"/>
    </row>
    <row r="93" spans="1:20" ht="30" customHeight="1" x14ac:dyDescent="0.25">
      <c r="A93" s="22" t="s">
        <v>225</v>
      </c>
      <c r="B93" s="23"/>
      <c r="C93" s="23"/>
      <c r="D93" s="23"/>
      <c r="E93" s="23"/>
      <c r="F93" s="23"/>
      <c r="G93" s="23"/>
      <c r="H93" s="23"/>
      <c r="I93" s="23"/>
      <c r="J93" s="23"/>
      <c r="K93" s="23"/>
      <c r="L93" s="23"/>
      <c r="M93" s="23"/>
      <c r="N93" s="23"/>
      <c r="O93" s="23"/>
      <c r="P93" s="23"/>
      <c r="Q93" s="23"/>
      <c r="R93" s="23"/>
      <c r="S93" s="23"/>
      <c r="T93" s="23"/>
    </row>
    <row r="94" spans="1:20" ht="30" customHeight="1" x14ac:dyDescent="0.25">
      <c r="A94" s="22" t="s">
        <v>226</v>
      </c>
      <c r="B94" s="23"/>
      <c r="C94" s="23"/>
      <c r="D94" s="23"/>
      <c r="E94" s="23"/>
      <c r="F94" s="23"/>
      <c r="G94" s="23"/>
      <c r="H94" s="23"/>
      <c r="I94" s="23"/>
      <c r="J94" s="23"/>
      <c r="K94" s="23"/>
      <c r="L94" s="23"/>
      <c r="M94" s="23"/>
      <c r="N94" s="23"/>
      <c r="O94" s="23"/>
      <c r="P94" s="23"/>
      <c r="Q94" s="23"/>
      <c r="R94" s="23"/>
      <c r="S94" s="23"/>
      <c r="T94" s="23"/>
    </row>
    <row r="95" spans="1:20" ht="30" customHeight="1" x14ac:dyDescent="0.25">
      <c r="A95" s="22" t="s">
        <v>227</v>
      </c>
      <c r="B95" s="23"/>
      <c r="C95" s="23"/>
      <c r="D95" s="23"/>
      <c r="E95" s="23"/>
      <c r="F95" s="23"/>
      <c r="G95" s="23"/>
      <c r="H95" s="23"/>
      <c r="I95" s="23"/>
      <c r="J95" s="23"/>
      <c r="K95" s="23"/>
      <c r="L95" s="23"/>
      <c r="M95" s="23"/>
      <c r="N95" s="23"/>
      <c r="O95" s="23"/>
      <c r="P95" s="23"/>
      <c r="Q95" s="23"/>
      <c r="R95" s="23"/>
      <c r="S95" s="23"/>
      <c r="T95" s="23"/>
    </row>
    <row r="96" spans="1:20" ht="30" customHeight="1" x14ac:dyDescent="0.25">
      <c r="A96" s="22" t="s">
        <v>228</v>
      </c>
      <c r="B96" s="23"/>
      <c r="C96" s="23"/>
      <c r="D96" s="23"/>
      <c r="E96" s="23"/>
      <c r="F96" s="23"/>
      <c r="G96" s="23"/>
      <c r="H96" s="23"/>
      <c r="I96" s="23"/>
      <c r="J96" s="23"/>
      <c r="K96" s="23"/>
      <c r="L96" s="23"/>
      <c r="M96" s="23"/>
      <c r="N96" s="23"/>
      <c r="O96" s="23"/>
      <c r="P96" s="23"/>
      <c r="Q96" s="23"/>
      <c r="R96" s="23"/>
      <c r="S96" s="23"/>
      <c r="T96" s="23"/>
    </row>
  </sheetData>
  <mergeCells count="23">
    <mergeCell ref="O4:P4"/>
    <mergeCell ref="Q4:R4"/>
    <mergeCell ref="S4:T4"/>
    <mergeCell ref="A1:T1"/>
    <mergeCell ref="A2:T2"/>
    <mergeCell ref="E4:F4"/>
    <mergeCell ref="G4:H4"/>
    <mergeCell ref="I4:J4"/>
    <mergeCell ref="K4:L4"/>
    <mergeCell ref="M4:N4"/>
    <mergeCell ref="A84:T84"/>
    <mergeCell ref="A85:T85"/>
    <mergeCell ref="A86:T86"/>
    <mergeCell ref="A87:T87"/>
    <mergeCell ref="A88:T88"/>
    <mergeCell ref="A94:T94"/>
    <mergeCell ref="A95:T95"/>
    <mergeCell ref="A96:T96"/>
    <mergeCell ref="A89:T89"/>
    <mergeCell ref="A90:T90"/>
    <mergeCell ref="A91:T91"/>
    <mergeCell ref="A92:T92"/>
    <mergeCell ref="A93:T93"/>
  </mergeCells>
  <pageMargins left="0.75" right="0.75" top="1" bottom="1" header="0.5" footer="0.5"/>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8"/>
  <dimension ref="A1:T96"/>
  <sheetViews>
    <sheetView zoomScale="80" workbookViewId="0">
      <pane xSplit="4" topLeftCell="E1" activePane="topRight" state="frozen"/>
      <selection sqref="A1:R1"/>
      <selection pane="topRight" sqref="A1:T1"/>
    </sheetView>
  </sheetViews>
  <sheetFormatPr defaultColWidth="11.42578125" defaultRowHeight="15" x14ac:dyDescent="0.25"/>
  <cols>
    <col min="1" max="1" width="50" customWidth="1"/>
  </cols>
  <sheetData>
    <row r="1" spans="1:20" x14ac:dyDescent="0.25">
      <c r="A1" s="26" t="s">
        <v>122</v>
      </c>
      <c r="B1" s="23"/>
      <c r="C1" s="23"/>
      <c r="D1" s="23"/>
      <c r="E1" s="23"/>
      <c r="F1" s="23"/>
      <c r="G1" s="23"/>
      <c r="H1" s="23"/>
      <c r="I1" s="23"/>
      <c r="J1" s="23"/>
      <c r="K1" s="23"/>
      <c r="L1" s="23"/>
      <c r="M1" s="23"/>
      <c r="N1" s="23"/>
      <c r="O1" s="23"/>
      <c r="P1" s="23"/>
      <c r="Q1" s="23"/>
      <c r="R1" s="23"/>
      <c r="S1" s="23"/>
      <c r="T1" s="23"/>
    </row>
    <row r="2" spans="1:20" x14ac:dyDescent="0.25">
      <c r="A2" s="27" t="s">
        <v>334</v>
      </c>
      <c r="B2" s="23"/>
      <c r="C2" s="23"/>
      <c r="D2" s="23"/>
      <c r="E2" s="23"/>
      <c r="F2" s="23"/>
      <c r="G2" s="23"/>
      <c r="H2" s="23"/>
      <c r="I2" s="23"/>
      <c r="J2" s="23"/>
      <c r="K2" s="23"/>
      <c r="L2" s="23"/>
      <c r="M2" s="23"/>
      <c r="N2" s="23"/>
      <c r="O2" s="23"/>
      <c r="P2" s="23"/>
      <c r="Q2" s="23"/>
      <c r="R2" s="23"/>
      <c r="S2" s="23"/>
      <c r="T2" s="23"/>
    </row>
    <row r="4" spans="1:20" ht="30" customHeight="1" x14ac:dyDescent="0.25">
      <c r="A4" s="4"/>
      <c r="B4" s="5" t="s">
        <v>123</v>
      </c>
      <c r="C4" s="5" t="s">
        <v>124</v>
      </c>
      <c r="D4" s="6" t="s">
        <v>123</v>
      </c>
      <c r="E4" s="24" t="s">
        <v>229</v>
      </c>
      <c r="F4" s="25"/>
      <c r="G4" s="24" t="s">
        <v>230</v>
      </c>
      <c r="H4" s="25"/>
      <c r="I4" s="24" t="s">
        <v>232</v>
      </c>
      <c r="J4" s="25"/>
      <c r="K4" s="24" t="s">
        <v>127</v>
      </c>
      <c r="L4" s="25"/>
      <c r="M4" s="24" t="s">
        <v>128</v>
      </c>
      <c r="N4" s="25"/>
      <c r="O4" s="24" t="s">
        <v>129</v>
      </c>
      <c r="P4" s="25"/>
      <c r="Q4" s="24" t="s">
        <v>130</v>
      </c>
      <c r="R4" s="25"/>
      <c r="S4" s="24" t="s">
        <v>131</v>
      </c>
      <c r="T4" s="25"/>
    </row>
    <row r="5" spans="1:20" x14ac:dyDescent="0.25">
      <c r="A5" s="7"/>
      <c r="B5" s="8" t="s">
        <v>132</v>
      </c>
      <c r="C5" s="8" t="s">
        <v>133</v>
      </c>
      <c r="D5" s="7" t="s">
        <v>134</v>
      </c>
      <c r="E5" s="8" t="s">
        <v>135</v>
      </c>
      <c r="F5" s="7" t="s">
        <v>136</v>
      </c>
      <c r="G5" s="8" t="s">
        <v>135</v>
      </c>
      <c r="H5" s="7" t="s">
        <v>136</v>
      </c>
      <c r="I5" s="8" t="s">
        <v>135</v>
      </c>
      <c r="J5" s="7" t="s">
        <v>136</v>
      </c>
      <c r="K5" s="8" t="s">
        <v>135</v>
      </c>
      <c r="L5" s="7" t="s">
        <v>136</v>
      </c>
      <c r="M5" s="8" t="s">
        <v>135</v>
      </c>
      <c r="N5" s="7" t="s">
        <v>136</v>
      </c>
      <c r="O5" s="8" t="s">
        <v>135</v>
      </c>
      <c r="P5" s="7" t="s">
        <v>136</v>
      </c>
      <c r="Q5" s="8" t="s">
        <v>135</v>
      </c>
      <c r="R5" s="7" t="s">
        <v>136</v>
      </c>
      <c r="S5" s="8" t="s">
        <v>135</v>
      </c>
      <c r="T5" s="7" t="s">
        <v>136</v>
      </c>
    </row>
    <row r="6" spans="1:20" x14ac:dyDescent="0.25">
      <c r="A6" s="9" t="s">
        <v>137</v>
      </c>
      <c r="B6" s="10"/>
      <c r="C6" s="10"/>
      <c r="D6" s="11"/>
      <c r="E6" s="10"/>
      <c r="F6" s="11"/>
      <c r="G6" s="10"/>
      <c r="H6" s="11"/>
      <c r="I6" s="10"/>
      <c r="J6" s="11"/>
      <c r="K6" s="10"/>
      <c r="L6" s="11"/>
      <c r="M6" s="10"/>
      <c r="N6" s="11"/>
      <c r="O6" s="10"/>
      <c r="P6" s="11"/>
      <c r="Q6" s="10"/>
      <c r="R6" s="11"/>
      <c r="S6" s="10"/>
      <c r="T6" s="12"/>
    </row>
    <row r="7" spans="1:20" x14ac:dyDescent="0.25">
      <c r="A7" s="11" t="s">
        <v>138</v>
      </c>
      <c r="B7" s="13">
        <v>14530</v>
      </c>
      <c r="C7" s="14">
        <f>(12071/B7*100)</f>
        <v>83.076393668272544</v>
      </c>
      <c r="D7" s="15">
        <v>2459</v>
      </c>
      <c r="E7" s="14">
        <v>84.819238670000004</v>
      </c>
      <c r="F7" s="16">
        <v>0.86053749000000002</v>
      </c>
      <c r="G7" s="14">
        <v>5.8405305399999996</v>
      </c>
      <c r="H7" s="16">
        <v>0.54696652000000001</v>
      </c>
      <c r="I7" s="14">
        <v>9.3402307899999997</v>
      </c>
      <c r="J7" s="16">
        <v>0.70243509000000004</v>
      </c>
      <c r="K7" s="14" t="s">
        <v>139</v>
      </c>
      <c r="L7" s="16" t="s">
        <v>139</v>
      </c>
      <c r="M7" s="14">
        <v>0</v>
      </c>
      <c r="N7" s="16">
        <v>0</v>
      </c>
      <c r="O7" s="14">
        <v>0</v>
      </c>
      <c r="P7" s="16">
        <v>0</v>
      </c>
      <c r="Q7" s="14">
        <v>0</v>
      </c>
      <c r="R7" s="16">
        <v>0</v>
      </c>
      <c r="S7" s="14">
        <v>0</v>
      </c>
      <c r="T7" s="16">
        <v>0</v>
      </c>
    </row>
    <row r="8" spans="1:20" x14ac:dyDescent="0.25">
      <c r="A8" s="11" t="s">
        <v>140</v>
      </c>
      <c r="B8" s="13">
        <v>7007</v>
      </c>
      <c r="C8" s="14">
        <f>(5776/B8*100)</f>
        <v>82.431853860425292</v>
      </c>
      <c r="D8" s="15">
        <v>1231</v>
      </c>
      <c r="E8" s="14">
        <v>87.145725799999994</v>
      </c>
      <c r="F8" s="16">
        <v>0.92197534000000003</v>
      </c>
      <c r="G8" s="14">
        <v>5.8759238399999996</v>
      </c>
      <c r="H8" s="16">
        <v>0.64785605000000002</v>
      </c>
      <c r="I8" s="14">
        <v>6.9783503600000003</v>
      </c>
      <c r="J8" s="16">
        <v>0.75346880000000005</v>
      </c>
      <c r="K8" s="14" t="s">
        <v>139</v>
      </c>
      <c r="L8" s="16" t="s">
        <v>139</v>
      </c>
      <c r="M8" s="14">
        <v>0</v>
      </c>
      <c r="N8" s="16">
        <v>0</v>
      </c>
      <c r="O8" s="14">
        <v>0</v>
      </c>
      <c r="P8" s="16">
        <v>0</v>
      </c>
      <c r="Q8" s="14">
        <v>0</v>
      </c>
      <c r="R8" s="16">
        <v>0</v>
      </c>
      <c r="S8" s="14">
        <v>0</v>
      </c>
      <c r="T8" s="16">
        <v>0</v>
      </c>
    </row>
    <row r="9" spans="1:20" x14ac:dyDescent="0.25">
      <c r="A9" s="11" t="s">
        <v>141</v>
      </c>
      <c r="B9" s="13">
        <v>9651</v>
      </c>
      <c r="C9" s="14">
        <f>(8052/B9*100)</f>
        <v>83.431768728629152</v>
      </c>
      <c r="D9" s="15">
        <v>1599</v>
      </c>
      <c r="E9" s="14">
        <v>91.229133619999999</v>
      </c>
      <c r="F9" s="16">
        <v>0.66790804000000004</v>
      </c>
      <c r="G9" s="14">
        <v>3.5366808199999999</v>
      </c>
      <c r="H9" s="16">
        <v>0.49314946999999998</v>
      </c>
      <c r="I9" s="14">
        <v>5.2341855600000002</v>
      </c>
      <c r="J9" s="16">
        <v>0.49369540000000001</v>
      </c>
      <c r="K9" s="14" t="s">
        <v>139</v>
      </c>
      <c r="L9" s="16" t="s">
        <v>139</v>
      </c>
      <c r="M9" s="14">
        <v>0</v>
      </c>
      <c r="N9" s="16">
        <v>0</v>
      </c>
      <c r="O9" s="14">
        <v>0</v>
      </c>
      <c r="P9" s="16">
        <v>0</v>
      </c>
      <c r="Q9" s="14">
        <v>0</v>
      </c>
      <c r="R9" s="16">
        <v>0</v>
      </c>
      <c r="S9" s="14">
        <v>0</v>
      </c>
      <c r="T9" s="16">
        <v>0</v>
      </c>
    </row>
    <row r="10" spans="1:20" x14ac:dyDescent="0.25">
      <c r="A10" s="11" t="s">
        <v>142</v>
      </c>
      <c r="B10" s="13">
        <v>20058</v>
      </c>
      <c r="C10" s="14">
        <f>(16662/B10*100)</f>
        <v>83.069099611127726</v>
      </c>
      <c r="D10" s="15">
        <v>3396</v>
      </c>
      <c r="E10" s="14">
        <v>86.661183730000005</v>
      </c>
      <c r="F10" s="16">
        <v>0.79435257000000004</v>
      </c>
      <c r="G10" s="14">
        <v>5.46555152</v>
      </c>
      <c r="H10" s="16">
        <v>0.56888061000000001</v>
      </c>
      <c r="I10" s="14">
        <v>7.8732647499999997</v>
      </c>
      <c r="J10" s="16">
        <v>0.62300509999999998</v>
      </c>
      <c r="K10" s="14" t="s">
        <v>139</v>
      </c>
      <c r="L10" s="16" t="s">
        <v>139</v>
      </c>
      <c r="M10" s="14">
        <v>0</v>
      </c>
      <c r="N10" s="16">
        <v>0</v>
      </c>
      <c r="O10" s="14">
        <v>0</v>
      </c>
      <c r="P10" s="16">
        <v>0</v>
      </c>
      <c r="Q10" s="14">
        <v>0</v>
      </c>
      <c r="R10" s="16">
        <v>0</v>
      </c>
      <c r="S10" s="14">
        <v>0</v>
      </c>
      <c r="T10" s="16">
        <v>0</v>
      </c>
    </row>
    <row r="11" spans="1:20" x14ac:dyDescent="0.25">
      <c r="A11" s="11" t="s">
        <v>143</v>
      </c>
      <c r="B11" s="13">
        <v>7053</v>
      </c>
      <c r="C11" s="14">
        <f>(5845/B11*100)</f>
        <v>82.872536509286832</v>
      </c>
      <c r="D11" s="15">
        <v>1208</v>
      </c>
      <c r="E11" s="14">
        <v>90.798058900000001</v>
      </c>
      <c r="F11" s="16">
        <v>0.99313784999999999</v>
      </c>
      <c r="G11" s="14">
        <v>4.7535646199999997</v>
      </c>
      <c r="H11" s="16">
        <v>0.63744833999999995</v>
      </c>
      <c r="I11" s="14">
        <v>4.4483764800000003</v>
      </c>
      <c r="J11" s="16">
        <v>0.66208657999999998</v>
      </c>
      <c r="K11" s="14" t="s">
        <v>139</v>
      </c>
      <c r="L11" s="16" t="s">
        <v>139</v>
      </c>
      <c r="M11" s="14">
        <v>0</v>
      </c>
      <c r="N11" s="16">
        <v>0</v>
      </c>
      <c r="O11" s="14">
        <v>0</v>
      </c>
      <c r="P11" s="16">
        <v>0</v>
      </c>
      <c r="Q11" s="14">
        <v>0</v>
      </c>
      <c r="R11" s="16">
        <v>0</v>
      </c>
      <c r="S11" s="14">
        <v>0</v>
      </c>
      <c r="T11" s="16">
        <v>0</v>
      </c>
    </row>
    <row r="12" spans="1:20" x14ac:dyDescent="0.25">
      <c r="A12" s="11" t="s">
        <v>144</v>
      </c>
      <c r="B12" s="13">
        <v>6894</v>
      </c>
      <c r="C12" s="14">
        <f>(5730/B12*100)</f>
        <v>83.115752828546562</v>
      </c>
      <c r="D12" s="15">
        <v>1164</v>
      </c>
      <c r="E12" s="14">
        <v>88.115388960000004</v>
      </c>
      <c r="F12" s="16">
        <v>1.01673182</v>
      </c>
      <c r="G12" s="14">
        <v>4.3284977800000002</v>
      </c>
      <c r="H12" s="16">
        <v>0.61941893000000003</v>
      </c>
      <c r="I12" s="14">
        <v>7.5561132600000001</v>
      </c>
      <c r="J12" s="16">
        <v>0.77690556</v>
      </c>
      <c r="K12" s="14" t="s">
        <v>139</v>
      </c>
      <c r="L12" s="16" t="s">
        <v>139</v>
      </c>
      <c r="M12" s="14">
        <v>0</v>
      </c>
      <c r="N12" s="16">
        <v>0</v>
      </c>
      <c r="O12" s="14">
        <v>0</v>
      </c>
      <c r="P12" s="16">
        <v>0</v>
      </c>
      <c r="Q12" s="14">
        <v>0</v>
      </c>
      <c r="R12" s="16">
        <v>0</v>
      </c>
      <c r="S12" s="14">
        <v>0</v>
      </c>
      <c r="T12" s="16">
        <v>0</v>
      </c>
    </row>
    <row r="13" spans="1:20" x14ac:dyDescent="0.25">
      <c r="A13" s="11" t="s">
        <v>145</v>
      </c>
      <c r="B13" s="13">
        <v>7161</v>
      </c>
      <c r="C13" s="14">
        <f>(5999/B13*100)</f>
        <v>83.773216031280555</v>
      </c>
      <c r="D13" s="15">
        <v>1162</v>
      </c>
      <c r="E13" s="14">
        <v>87.097040519999993</v>
      </c>
      <c r="F13" s="16">
        <v>1.21187376</v>
      </c>
      <c r="G13" s="14">
        <v>2.9052656200000002</v>
      </c>
      <c r="H13" s="16">
        <v>0.5752543</v>
      </c>
      <c r="I13" s="14">
        <v>9.99769386</v>
      </c>
      <c r="J13" s="16">
        <v>1.0697092800000001</v>
      </c>
      <c r="K13" s="14" t="s">
        <v>139</v>
      </c>
      <c r="L13" s="16" t="s">
        <v>139</v>
      </c>
      <c r="M13" s="14">
        <v>0</v>
      </c>
      <c r="N13" s="16">
        <v>0</v>
      </c>
      <c r="O13" s="14">
        <v>0</v>
      </c>
      <c r="P13" s="16">
        <v>0</v>
      </c>
      <c r="Q13" s="14">
        <v>0</v>
      </c>
      <c r="R13" s="16">
        <v>0</v>
      </c>
      <c r="S13" s="14">
        <v>0</v>
      </c>
      <c r="T13" s="16">
        <v>0</v>
      </c>
    </row>
    <row r="14" spans="1:20" x14ac:dyDescent="0.25">
      <c r="A14" s="11" t="s">
        <v>146</v>
      </c>
      <c r="B14" s="13">
        <v>5587</v>
      </c>
      <c r="C14" s="14">
        <f>(4624/B14*100)</f>
        <v>82.763558260247009</v>
      </c>
      <c r="D14" s="15">
        <v>963</v>
      </c>
      <c r="E14" s="14">
        <v>88.378941710000007</v>
      </c>
      <c r="F14" s="16">
        <v>1.1428881399999999</v>
      </c>
      <c r="G14" s="14">
        <v>3.9769692700000001</v>
      </c>
      <c r="H14" s="16">
        <v>0.77566248999999998</v>
      </c>
      <c r="I14" s="14">
        <v>7.64408902</v>
      </c>
      <c r="J14" s="16">
        <v>0.82824277000000002</v>
      </c>
      <c r="K14" s="14" t="s">
        <v>139</v>
      </c>
      <c r="L14" s="16" t="s">
        <v>139</v>
      </c>
      <c r="M14" s="14">
        <v>0</v>
      </c>
      <c r="N14" s="16">
        <v>0</v>
      </c>
      <c r="O14" s="14">
        <v>0</v>
      </c>
      <c r="P14" s="16">
        <v>0</v>
      </c>
      <c r="Q14" s="14">
        <v>0</v>
      </c>
      <c r="R14" s="16">
        <v>0</v>
      </c>
      <c r="S14" s="14">
        <v>0</v>
      </c>
      <c r="T14" s="16">
        <v>0</v>
      </c>
    </row>
    <row r="15" spans="1:20" x14ac:dyDescent="0.25">
      <c r="A15" s="11" t="s">
        <v>147</v>
      </c>
      <c r="B15" s="13">
        <v>5882</v>
      </c>
      <c r="C15" s="14">
        <f>(4872/B15*100)</f>
        <v>82.828969738184284</v>
      </c>
      <c r="D15" s="15">
        <v>1010</v>
      </c>
      <c r="E15" s="14">
        <v>89.986722510000007</v>
      </c>
      <c r="F15" s="16">
        <v>0.93389367000000001</v>
      </c>
      <c r="G15" s="14">
        <v>1.32615061</v>
      </c>
      <c r="H15" s="16">
        <v>0.38867136000000002</v>
      </c>
      <c r="I15" s="14">
        <v>8.6871268799999992</v>
      </c>
      <c r="J15" s="16">
        <v>0.86286474000000002</v>
      </c>
      <c r="K15" s="14" t="s">
        <v>139</v>
      </c>
      <c r="L15" s="16" t="s">
        <v>139</v>
      </c>
      <c r="M15" s="14">
        <v>0</v>
      </c>
      <c r="N15" s="16">
        <v>0</v>
      </c>
      <c r="O15" s="14">
        <v>0</v>
      </c>
      <c r="P15" s="16">
        <v>0</v>
      </c>
      <c r="Q15" s="14">
        <v>0</v>
      </c>
      <c r="R15" s="16">
        <v>0</v>
      </c>
      <c r="S15" s="14">
        <v>0</v>
      </c>
      <c r="T15" s="16">
        <v>0</v>
      </c>
    </row>
    <row r="16" spans="1:20" x14ac:dyDescent="0.25">
      <c r="A16" s="11" t="s">
        <v>148</v>
      </c>
      <c r="B16" s="13">
        <v>6108</v>
      </c>
      <c r="C16" s="14">
        <f>(5082/B16*100)</f>
        <v>83.202357563850697</v>
      </c>
      <c r="D16" s="15">
        <v>1026</v>
      </c>
      <c r="E16" s="14">
        <v>89.324770529999995</v>
      </c>
      <c r="F16" s="16">
        <v>0.92312017000000002</v>
      </c>
      <c r="G16" s="14">
        <v>4.5687941399999996</v>
      </c>
      <c r="H16" s="16">
        <v>0.58266560999999994</v>
      </c>
      <c r="I16" s="14">
        <v>6.1064353300000001</v>
      </c>
      <c r="J16" s="16">
        <v>0.68772984999999998</v>
      </c>
      <c r="K16" s="14" t="s">
        <v>139</v>
      </c>
      <c r="L16" s="16" t="s">
        <v>139</v>
      </c>
      <c r="M16" s="14">
        <v>0</v>
      </c>
      <c r="N16" s="16">
        <v>0</v>
      </c>
      <c r="O16" s="14">
        <v>0</v>
      </c>
      <c r="P16" s="16">
        <v>0</v>
      </c>
      <c r="Q16" s="14">
        <v>0</v>
      </c>
      <c r="R16" s="16">
        <v>0</v>
      </c>
      <c r="S16" s="14">
        <v>0</v>
      </c>
      <c r="T16" s="16">
        <v>0</v>
      </c>
    </row>
    <row r="17" spans="1:20" x14ac:dyDescent="0.25">
      <c r="A17" s="11" t="s">
        <v>149</v>
      </c>
      <c r="B17" s="13">
        <v>6504</v>
      </c>
      <c r="C17" s="14">
        <f>(5413/B17*100)</f>
        <v>83.225707257072571</v>
      </c>
      <c r="D17" s="15">
        <v>1091</v>
      </c>
      <c r="E17" s="14">
        <v>87.173947580000004</v>
      </c>
      <c r="F17" s="16">
        <v>1.0945862500000001</v>
      </c>
      <c r="G17" s="14">
        <v>4.6831828900000003</v>
      </c>
      <c r="H17" s="16">
        <v>0.68956178999999995</v>
      </c>
      <c r="I17" s="14">
        <v>8.1428695399999995</v>
      </c>
      <c r="J17" s="16">
        <v>0.83858573000000003</v>
      </c>
      <c r="K17" s="14" t="s">
        <v>139</v>
      </c>
      <c r="L17" s="16" t="s">
        <v>139</v>
      </c>
      <c r="M17" s="14">
        <v>0</v>
      </c>
      <c r="N17" s="16">
        <v>0</v>
      </c>
      <c r="O17" s="14">
        <v>0</v>
      </c>
      <c r="P17" s="16">
        <v>0</v>
      </c>
      <c r="Q17" s="14">
        <v>0</v>
      </c>
      <c r="R17" s="16">
        <v>0</v>
      </c>
      <c r="S17" s="14">
        <v>0</v>
      </c>
      <c r="T17" s="16">
        <v>0</v>
      </c>
    </row>
    <row r="18" spans="1:20" x14ac:dyDescent="0.25">
      <c r="A18" s="11" t="s">
        <v>150</v>
      </c>
      <c r="B18" s="13">
        <v>5532</v>
      </c>
      <c r="C18" s="14">
        <f>(4580/B18*100)</f>
        <v>82.79103398409255</v>
      </c>
      <c r="D18" s="15">
        <v>952</v>
      </c>
      <c r="E18" s="14">
        <v>90.151430770000005</v>
      </c>
      <c r="F18" s="16">
        <v>1.1474078400000001</v>
      </c>
      <c r="G18" s="14">
        <v>4.9997000900000002</v>
      </c>
      <c r="H18" s="16">
        <v>0.77641446000000003</v>
      </c>
      <c r="I18" s="14">
        <v>4.8488691399999997</v>
      </c>
      <c r="J18" s="16">
        <v>0.88735947999999998</v>
      </c>
      <c r="K18" s="14" t="s">
        <v>139</v>
      </c>
      <c r="L18" s="16" t="s">
        <v>139</v>
      </c>
      <c r="M18" s="14">
        <v>0</v>
      </c>
      <c r="N18" s="16">
        <v>0</v>
      </c>
      <c r="O18" s="14">
        <v>0</v>
      </c>
      <c r="P18" s="16">
        <v>0</v>
      </c>
      <c r="Q18" s="14">
        <v>0</v>
      </c>
      <c r="R18" s="16">
        <v>0</v>
      </c>
      <c r="S18" s="14">
        <v>0</v>
      </c>
      <c r="T18" s="16">
        <v>0</v>
      </c>
    </row>
    <row r="19" spans="1:20" x14ac:dyDescent="0.25">
      <c r="A19" s="11" t="s">
        <v>151</v>
      </c>
      <c r="B19" s="13">
        <v>5658</v>
      </c>
      <c r="C19" s="14">
        <f>(4698/B19*100)</f>
        <v>83.032873806998936</v>
      </c>
      <c r="D19" s="15">
        <v>960</v>
      </c>
      <c r="E19" s="14">
        <v>88.999468399999998</v>
      </c>
      <c r="F19" s="16">
        <v>1.2923662499999999</v>
      </c>
      <c r="G19" s="14">
        <v>6.3817708299999998</v>
      </c>
      <c r="H19" s="16">
        <v>1.0126947100000001</v>
      </c>
      <c r="I19" s="14">
        <v>4.6187607699999997</v>
      </c>
      <c r="J19" s="16">
        <v>0.81125099000000001</v>
      </c>
      <c r="K19" s="14" t="s">
        <v>139</v>
      </c>
      <c r="L19" s="16" t="s">
        <v>139</v>
      </c>
      <c r="M19" s="14">
        <v>0</v>
      </c>
      <c r="N19" s="16">
        <v>0</v>
      </c>
      <c r="O19" s="14">
        <v>0</v>
      </c>
      <c r="P19" s="16">
        <v>0</v>
      </c>
      <c r="Q19" s="14">
        <v>0</v>
      </c>
      <c r="R19" s="16">
        <v>0</v>
      </c>
      <c r="S19" s="14">
        <v>0</v>
      </c>
      <c r="T19" s="16">
        <v>0</v>
      </c>
    </row>
    <row r="20" spans="1:20" x14ac:dyDescent="0.25">
      <c r="A20" s="11" t="s">
        <v>152</v>
      </c>
      <c r="B20" s="13">
        <v>3371</v>
      </c>
      <c r="C20" s="14">
        <f>(2801/B20*100)</f>
        <v>83.091070898843071</v>
      </c>
      <c r="D20" s="15">
        <v>570</v>
      </c>
      <c r="E20" s="14">
        <v>90.559565710000001</v>
      </c>
      <c r="F20" s="16">
        <v>1.1877120800000001</v>
      </c>
      <c r="G20" s="14">
        <v>4.8889151000000002</v>
      </c>
      <c r="H20" s="16">
        <v>0.89755483999999996</v>
      </c>
      <c r="I20" s="14">
        <v>4.5515191799999997</v>
      </c>
      <c r="J20" s="16">
        <v>0.67772774999999996</v>
      </c>
      <c r="K20" s="14" t="s">
        <v>139</v>
      </c>
      <c r="L20" s="16" t="s">
        <v>139</v>
      </c>
      <c r="M20" s="14">
        <v>0</v>
      </c>
      <c r="N20" s="16">
        <v>0</v>
      </c>
      <c r="O20" s="14">
        <v>0</v>
      </c>
      <c r="P20" s="16">
        <v>0</v>
      </c>
      <c r="Q20" s="14">
        <v>0</v>
      </c>
      <c r="R20" s="16">
        <v>0</v>
      </c>
      <c r="S20" s="14">
        <v>0</v>
      </c>
      <c r="T20" s="16">
        <v>0</v>
      </c>
    </row>
    <row r="21" spans="1:20" x14ac:dyDescent="0.25">
      <c r="A21" s="11" t="s">
        <v>153</v>
      </c>
      <c r="B21" s="17" t="s">
        <v>154</v>
      </c>
      <c r="C21" s="17" t="s">
        <v>154</v>
      </c>
      <c r="D21" s="18" t="s">
        <v>154</v>
      </c>
      <c r="E21" s="17" t="s">
        <v>154</v>
      </c>
      <c r="F21" s="18" t="s">
        <v>154</v>
      </c>
      <c r="G21" s="17" t="s">
        <v>154</v>
      </c>
      <c r="H21" s="18" t="s">
        <v>154</v>
      </c>
      <c r="I21" s="17" t="s">
        <v>154</v>
      </c>
      <c r="J21" s="18" t="s">
        <v>154</v>
      </c>
      <c r="K21" s="17" t="s">
        <v>154</v>
      </c>
      <c r="L21" s="18" t="s">
        <v>154</v>
      </c>
      <c r="M21" s="17" t="s">
        <v>154</v>
      </c>
      <c r="N21" s="18" t="s">
        <v>154</v>
      </c>
      <c r="O21" s="17" t="s">
        <v>154</v>
      </c>
      <c r="P21" s="18" t="s">
        <v>154</v>
      </c>
      <c r="Q21" s="17" t="s">
        <v>154</v>
      </c>
      <c r="R21" s="18" t="s">
        <v>154</v>
      </c>
      <c r="S21" s="17" t="s">
        <v>154</v>
      </c>
      <c r="T21" s="18" t="s">
        <v>154</v>
      </c>
    </row>
    <row r="22" spans="1:20" x14ac:dyDescent="0.25">
      <c r="A22" s="11" t="s">
        <v>155</v>
      </c>
      <c r="B22" s="13">
        <v>6598</v>
      </c>
      <c r="C22" s="14">
        <f>(5578/B22*100)</f>
        <v>84.540769930281897</v>
      </c>
      <c r="D22" s="15">
        <v>1020</v>
      </c>
      <c r="E22" s="14">
        <v>89.760249290000004</v>
      </c>
      <c r="F22" s="16">
        <v>0.89452094000000004</v>
      </c>
      <c r="G22" s="14">
        <v>4.4970983200000001</v>
      </c>
      <c r="H22" s="16">
        <v>0.57801665999999996</v>
      </c>
      <c r="I22" s="14">
        <v>5.7426523899999999</v>
      </c>
      <c r="J22" s="16">
        <v>0.69858259</v>
      </c>
      <c r="K22" s="14" t="s">
        <v>139</v>
      </c>
      <c r="L22" s="16" t="s">
        <v>139</v>
      </c>
      <c r="M22" s="14">
        <v>0</v>
      </c>
      <c r="N22" s="16">
        <v>0</v>
      </c>
      <c r="O22" s="14">
        <v>0</v>
      </c>
      <c r="P22" s="16">
        <v>0</v>
      </c>
      <c r="Q22" s="14">
        <v>0</v>
      </c>
      <c r="R22" s="16">
        <v>0</v>
      </c>
      <c r="S22" s="14">
        <v>0</v>
      </c>
      <c r="T22" s="16">
        <v>0</v>
      </c>
    </row>
    <row r="23" spans="1:20" x14ac:dyDescent="0.25">
      <c r="A23" s="11" t="s">
        <v>156</v>
      </c>
      <c r="B23" s="13">
        <v>11583</v>
      </c>
      <c r="C23" s="14">
        <f>(9588/B23*100)</f>
        <v>82.77648277648278</v>
      </c>
      <c r="D23" s="15">
        <v>1995</v>
      </c>
      <c r="E23" s="14">
        <v>87.474591090000004</v>
      </c>
      <c r="F23" s="16">
        <v>1.0675582800000001</v>
      </c>
      <c r="G23" s="14">
        <v>6.05484489</v>
      </c>
      <c r="H23" s="16">
        <v>0.74384614000000004</v>
      </c>
      <c r="I23" s="14">
        <v>6.4705640200000003</v>
      </c>
      <c r="J23" s="16">
        <v>0.75011285000000005</v>
      </c>
      <c r="K23" s="14" t="s">
        <v>139</v>
      </c>
      <c r="L23" s="16" t="s">
        <v>139</v>
      </c>
      <c r="M23" s="14">
        <v>0</v>
      </c>
      <c r="N23" s="16">
        <v>0</v>
      </c>
      <c r="O23" s="14">
        <v>0</v>
      </c>
      <c r="P23" s="16">
        <v>0</v>
      </c>
      <c r="Q23" s="14">
        <v>0</v>
      </c>
      <c r="R23" s="16">
        <v>0</v>
      </c>
      <c r="S23" s="14">
        <v>0</v>
      </c>
      <c r="T23" s="16">
        <v>0</v>
      </c>
    </row>
    <row r="24" spans="1:20" x14ac:dyDescent="0.25">
      <c r="A24" s="11" t="s">
        <v>157</v>
      </c>
      <c r="B24" s="13">
        <v>6647</v>
      </c>
      <c r="C24" s="14">
        <f>(5492/B24*100)</f>
        <v>82.623740033097633</v>
      </c>
      <c r="D24" s="15">
        <v>1155</v>
      </c>
      <c r="E24" s="14">
        <v>88.014459840000001</v>
      </c>
      <c r="F24" s="16">
        <v>0.90238764000000005</v>
      </c>
      <c r="G24" s="14">
        <v>1.77349873</v>
      </c>
      <c r="H24" s="16">
        <v>0.43443237000000001</v>
      </c>
      <c r="I24" s="14">
        <v>10.212041429999999</v>
      </c>
      <c r="J24" s="16">
        <v>0.84388430999999997</v>
      </c>
      <c r="K24" s="14" t="s">
        <v>139</v>
      </c>
      <c r="L24" s="16" t="s">
        <v>139</v>
      </c>
      <c r="M24" s="14">
        <v>0</v>
      </c>
      <c r="N24" s="16">
        <v>0</v>
      </c>
      <c r="O24" s="14">
        <v>0</v>
      </c>
      <c r="P24" s="16">
        <v>0</v>
      </c>
      <c r="Q24" s="14">
        <v>0</v>
      </c>
      <c r="R24" s="16">
        <v>0</v>
      </c>
      <c r="S24" s="14">
        <v>0</v>
      </c>
      <c r="T24" s="16">
        <v>0</v>
      </c>
    </row>
    <row r="25" spans="1:20" x14ac:dyDescent="0.25">
      <c r="A25" s="11" t="s">
        <v>158</v>
      </c>
      <c r="B25" s="13">
        <v>5581</v>
      </c>
      <c r="C25" s="14">
        <f>(4615/B25*100)</f>
        <v>82.691273965239205</v>
      </c>
      <c r="D25" s="15">
        <v>966</v>
      </c>
      <c r="E25" s="14">
        <v>86.113797669999997</v>
      </c>
      <c r="F25" s="16">
        <v>1.05996029</v>
      </c>
      <c r="G25" s="14">
        <v>5.0260615399999997</v>
      </c>
      <c r="H25" s="16">
        <v>0.67998523</v>
      </c>
      <c r="I25" s="14">
        <v>8.8601407900000009</v>
      </c>
      <c r="J25" s="16">
        <v>1.02225554</v>
      </c>
      <c r="K25" s="14" t="s">
        <v>139</v>
      </c>
      <c r="L25" s="16" t="s">
        <v>139</v>
      </c>
      <c r="M25" s="14">
        <v>0</v>
      </c>
      <c r="N25" s="16">
        <v>0</v>
      </c>
      <c r="O25" s="14">
        <v>0</v>
      </c>
      <c r="P25" s="16">
        <v>0</v>
      </c>
      <c r="Q25" s="14">
        <v>0</v>
      </c>
      <c r="R25" s="16">
        <v>0</v>
      </c>
      <c r="S25" s="14">
        <v>0</v>
      </c>
      <c r="T25" s="16">
        <v>0</v>
      </c>
    </row>
    <row r="26" spans="1:20" x14ac:dyDescent="0.25">
      <c r="A26" s="11" t="s">
        <v>159</v>
      </c>
      <c r="B26" s="13">
        <v>4869</v>
      </c>
      <c r="C26" s="14">
        <f>(4034/B26*100)</f>
        <v>82.850688026288765</v>
      </c>
      <c r="D26" s="15">
        <v>835</v>
      </c>
      <c r="E26" s="14">
        <v>89.67582238</v>
      </c>
      <c r="F26" s="16">
        <v>1.1411934100000001</v>
      </c>
      <c r="G26" s="14">
        <v>3.4131947899999999</v>
      </c>
      <c r="H26" s="16">
        <v>0.73395608000000001</v>
      </c>
      <c r="I26" s="14">
        <v>6.91098284</v>
      </c>
      <c r="J26" s="16">
        <v>1.04145855</v>
      </c>
      <c r="K26" s="14" t="s">
        <v>139</v>
      </c>
      <c r="L26" s="16" t="s">
        <v>139</v>
      </c>
      <c r="M26" s="14">
        <v>0</v>
      </c>
      <c r="N26" s="16">
        <v>0</v>
      </c>
      <c r="O26" s="14">
        <v>0</v>
      </c>
      <c r="P26" s="16">
        <v>0</v>
      </c>
      <c r="Q26" s="14">
        <v>0</v>
      </c>
      <c r="R26" s="16">
        <v>0</v>
      </c>
      <c r="S26" s="14">
        <v>0</v>
      </c>
      <c r="T26" s="16">
        <v>0</v>
      </c>
    </row>
    <row r="27" spans="1:20" x14ac:dyDescent="0.25">
      <c r="A27" s="11" t="s">
        <v>160</v>
      </c>
      <c r="B27" s="13">
        <v>5299</v>
      </c>
      <c r="C27" s="14">
        <f>(4392/B27*100)</f>
        <v>82.883562936403095</v>
      </c>
      <c r="D27" s="15">
        <v>907</v>
      </c>
      <c r="E27" s="14">
        <v>88.622875640000004</v>
      </c>
      <c r="F27" s="16">
        <v>1.06749509</v>
      </c>
      <c r="G27" s="14">
        <v>5.2267081800000001</v>
      </c>
      <c r="H27" s="16">
        <v>0.77501894000000005</v>
      </c>
      <c r="I27" s="14">
        <v>6.1504161799999997</v>
      </c>
      <c r="J27" s="16">
        <v>0.91786743000000004</v>
      </c>
      <c r="K27" s="14" t="s">
        <v>139</v>
      </c>
      <c r="L27" s="16" t="s">
        <v>139</v>
      </c>
      <c r="M27" s="14">
        <v>0</v>
      </c>
      <c r="N27" s="16">
        <v>0</v>
      </c>
      <c r="O27" s="14">
        <v>0</v>
      </c>
      <c r="P27" s="16">
        <v>0</v>
      </c>
      <c r="Q27" s="14">
        <v>0</v>
      </c>
      <c r="R27" s="16">
        <v>0</v>
      </c>
      <c r="S27" s="14">
        <v>0</v>
      </c>
      <c r="T27" s="16">
        <v>0</v>
      </c>
    </row>
    <row r="28" spans="1:20" x14ac:dyDescent="0.25">
      <c r="A28" s="11" t="s">
        <v>161</v>
      </c>
      <c r="B28" s="13">
        <v>7568</v>
      </c>
      <c r="C28" s="14">
        <f>(6329/B28*100)</f>
        <v>83.628435517970402</v>
      </c>
      <c r="D28" s="15">
        <v>1239</v>
      </c>
      <c r="E28" s="14">
        <v>90.118814959999995</v>
      </c>
      <c r="F28" s="16">
        <v>0.96353962000000004</v>
      </c>
      <c r="G28" s="14">
        <v>5.9036707499999999</v>
      </c>
      <c r="H28" s="16">
        <v>0.81305819999999995</v>
      </c>
      <c r="I28" s="14">
        <v>3.9775143000000002</v>
      </c>
      <c r="J28" s="16">
        <v>0.58571784999999998</v>
      </c>
      <c r="K28" s="14" t="s">
        <v>139</v>
      </c>
      <c r="L28" s="16" t="s">
        <v>139</v>
      </c>
      <c r="M28" s="14">
        <v>0</v>
      </c>
      <c r="N28" s="16">
        <v>0</v>
      </c>
      <c r="O28" s="14">
        <v>0</v>
      </c>
      <c r="P28" s="16">
        <v>0</v>
      </c>
      <c r="Q28" s="14">
        <v>0</v>
      </c>
      <c r="R28" s="16">
        <v>0</v>
      </c>
      <c r="S28" s="14">
        <v>0</v>
      </c>
      <c r="T28" s="16">
        <v>0</v>
      </c>
    </row>
    <row r="29" spans="1:20" x14ac:dyDescent="0.25">
      <c r="A29" s="11" t="s">
        <v>162</v>
      </c>
      <c r="B29" s="13">
        <v>5385</v>
      </c>
      <c r="C29" s="14">
        <f>(4499/B29*100)</f>
        <v>83.546889507892303</v>
      </c>
      <c r="D29" s="15">
        <v>886</v>
      </c>
      <c r="E29" s="14">
        <v>92.462883750000003</v>
      </c>
      <c r="F29" s="16">
        <v>1.0319703899999999</v>
      </c>
      <c r="G29" s="14">
        <v>3.1518585300000002</v>
      </c>
      <c r="H29" s="16">
        <v>0.62001344000000003</v>
      </c>
      <c r="I29" s="14">
        <v>4.3852577200000002</v>
      </c>
      <c r="J29" s="16">
        <v>0.70589661000000004</v>
      </c>
      <c r="K29" s="14" t="s">
        <v>139</v>
      </c>
      <c r="L29" s="16" t="s">
        <v>139</v>
      </c>
      <c r="M29" s="14">
        <v>0</v>
      </c>
      <c r="N29" s="16">
        <v>0</v>
      </c>
      <c r="O29" s="14">
        <v>0</v>
      </c>
      <c r="P29" s="16">
        <v>0</v>
      </c>
      <c r="Q29" s="14">
        <v>0</v>
      </c>
      <c r="R29" s="16">
        <v>0</v>
      </c>
      <c r="S29" s="14">
        <v>0</v>
      </c>
      <c r="T29" s="16">
        <v>0</v>
      </c>
    </row>
    <row r="30" spans="1:20" x14ac:dyDescent="0.25">
      <c r="A30" s="11" t="s">
        <v>163</v>
      </c>
      <c r="B30" s="13">
        <v>4520</v>
      </c>
      <c r="C30" s="14">
        <f>(3785/B30*100)</f>
        <v>83.738938053097343</v>
      </c>
      <c r="D30" s="15">
        <v>735</v>
      </c>
      <c r="E30" s="14">
        <v>84.875394080000007</v>
      </c>
      <c r="F30" s="16">
        <v>1.20093085</v>
      </c>
      <c r="G30" s="14">
        <v>6.6815227300000002</v>
      </c>
      <c r="H30" s="16">
        <v>0.85277371000000002</v>
      </c>
      <c r="I30" s="14">
        <v>8.4430831899999994</v>
      </c>
      <c r="J30" s="16">
        <v>0.85536643000000001</v>
      </c>
      <c r="K30" s="14" t="s">
        <v>139</v>
      </c>
      <c r="L30" s="16" t="s">
        <v>139</v>
      </c>
      <c r="M30" s="14">
        <v>0</v>
      </c>
      <c r="N30" s="16">
        <v>0</v>
      </c>
      <c r="O30" s="14">
        <v>0</v>
      </c>
      <c r="P30" s="16">
        <v>0</v>
      </c>
      <c r="Q30" s="14">
        <v>0</v>
      </c>
      <c r="R30" s="16">
        <v>0</v>
      </c>
      <c r="S30" s="14">
        <v>0</v>
      </c>
      <c r="T30" s="16">
        <v>0</v>
      </c>
    </row>
    <row r="31" spans="1:20" x14ac:dyDescent="0.25">
      <c r="A31" s="11" t="s">
        <v>164</v>
      </c>
      <c r="B31" s="13">
        <v>5456</v>
      </c>
      <c r="C31" s="14">
        <f>(4540/B31*100)</f>
        <v>83.21114369501467</v>
      </c>
      <c r="D31" s="15">
        <v>916</v>
      </c>
      <c r="E31" s="14">
        <v>87.871097899999995</v>
      </c>
      <c r="F31" s="16">
        <v>1.12277191</v>
      </c>
      <c r="G31" s="14">
        <v>3.1961565699999999</v>
      </c>
      <c r="H31" s="16">
        <v>0.61971728000000004</v>
      </c>
      <c r="I31" s="14">
        <v>8.93274553</v>
      </c>
      <c r="J31" s="16">
        <v>0.86076032999999996</v>
      </c>
      <c r="K31" s="14" t="s">
        <v>139</v>
      </c>
      <c r="L31" s="16" t="s">
        <v>139</v>
      </c>
      <c r="M31" s="14">
        <v>0</v>
      </c>
      <c r="N31" s="16">
        <v>0</v>
      </c>
      <c r="O31" s="14">
        <v>0</v>
      </c>
      <c r="P31" s="16">
        <v>0</v>
      </c>
      <c r="Q31" s="14">
        <v>0</v>
      </c>
      <c r="R31" s="16">
        <v>0</v>
      </c>
      <c r="S31" s="14">
        <v>0</v>
      </c>
      <c r="T31" s="16">
        <v>0</v>
      </c>
    </row>
    <row r="32" spans="1:20" x14ac:dyDescent="0.25">
      <c r="A32" s="11" t="s">
        <v>165</v>
      </c>
      <c r="B32" s="17" t="s">
        <v>154</v>
      </c>
      <c r="C32" s="17" t="s">
        <v>154</v>
      </c>
      <c r="D32" s="18" t="s">
        <v>154</v>
      </c>
      <c r="E32" s="17" t="s">
        <v>154</v>
      </c>
      <c r="F32" s="18" t="s">
        <v>154</v>
      </c>
      <c r="G32" s="17" t="s">
        <v>154</v>
      </c>
      <c r="H32" s="18" t="s">
        <v>154</v>
      </c>
      <c r="I32" s="17" t="s">
        <v>154</v>
      </c>
      <c r="J32" s="18" t="s">
        <v>154</v>
      </c>
      <c r="K32" s="17" t="s">
        <v>154</v>
      </c>
      <c r="L32" s="18" t="s">
        <v>154</v>
      </c>
      <c r="M32" s="17" t="s">
        <v>154</v>
      </c>
      <c r="N32" s="18" t="s">
        <v>154</v>
      </c>
      <c r="O32" s="17" t="s">
        <v>154</v>
      </c>
      <c r="P32" s="18" t="s">
        <v>154</v>
      </c>
      <c r="Q32" s="17" t="s">
        <v>154</v>
      </c>
      <c r="R32" s="18" t="s">
        <v>154</v>
      </c>
      <c r="S32" s="17" t="s">
        <v>154</v>
      </c>
      <c r="T32" s="18" t="s">
        <v>154</v>
      </c>
    </row>
    <row r="33" spans="1:20" x14ac:dyDescent="0.25">
      <c r="A33" s="11" t="s">
        <v>166</v>
      </c>
      <c r="B33" s="13">
        <v>7325</v>
      </c>
      <c r="C33" s="14">
        <f>(6097/B33*100)</f>
        <v>83.235494880546085</v>
      </c>
      <c r="D33" s="15">
        <v>1228</v>
      </c>
      <c r="E33" s="14">
        <v>90.373529700000006</v>
      </c>
      <c r="F33" s="16">
        <v>0.89551751999999996</v>
      </c>
      <c r="G33" s="14">
        <v>4.7630831799999998</v>
      </c>
      <c r="H33" s="16">
        <v>0.66167312</v>
      </c>
      <c r="I33" s="14">
        <v>4.8633871199999996</v>
      </c>
      <c r="J33" s="16">
        <v>0.75514988000000005</v>
      </c>
      <c r="K33" s="14" t="s">
        <v>139</v>
      </c>
      <c r="L33" s="16" t="s">
        <v>139</v>
      </c>
      <c r="M33" s="14">
        <v>0</v>
      </c>
      <c r="N33" s="16">
        <v>0</v>
      </c>
      <c r="O33" s="14">
        <v>0</v>
      </c>
      <c r="P33" s="16">
        <v>0</v>
      </c>
      <c r="Q33" s="14">
        <v>0</v>
      </c>
      <c r="R33" s="16">
        <v>0</v>
      </c>
      <c r="S33" s="14">
        <v>0</v>
      </c>
      <c r="T33" s="16">
        <v>0</v>
      </c>
    </row>
    <row r="34" spans="1:20" x14ac:dyDescent="0.25">
      <c r="A34" s="11" t="s">
        <v>167</v>
      </c>
      <c r="B34" s="13">
        <v>6350</v>
      </c>
      <c r="C34" s="14">
        <f>(5305/B34*100)</f>
        <v>83.543307086614178</v>
      </c>
      <c r="D34" s="15">
        <v>1045</v>
      </c>
      <c r="E34" s="14">
        <v>88.068423370000005</v>
      </c>
      <c r="F34" s="16">
        <v>1.01868395</v>
      </c>
      <c r="G34" s="14">
        <v>6.6789482099999997</v>
      </c>
      <c r="H34" s="16">
        <v>0.75124489999999999</v>
      </c>
      <c r="I34" s="14">
        <v>5.2526284199999997</v>
      </c>
      <c r="J34" s="16">
        <v>0.74506865</v>
      </c>
      <c r="K34" s="14" t="s">
        <v>139</v>
      </c>
      <c r="L34" s="16" t="s">
        <v>139</v>
      </c>
      <c r="M34" s="14">
        <v>0</v>
      </c>
      <c r="N34" s="16">
        <v>0</v>
      </c>
      <c r="O34" s="14">
        <v>0</v>
      </c>
      <c r="P34" s="16">
        <v>0</v>
      </c>
      <c r="Q34" s="14">
        <v>0</v>
      </c>
      <c r="R34" s="16">
        <v>0</v>
      </c>
      <c r="S34" s="14">
        <v>0</v>
      </c>
      <c r="T34" s="16">
        <v>0</v>
      </c>
    </row>
    <row r="35" spans="1:20" x14ac:dyDescent="0.25">
      <c r="A35" s="11" t="s">
        <v>168</v>
      </c>
      <c r="B35" s="13">
        <v>6406</v>
      </c>
      <c r="C35" s="14">
        <f>(5349/B35*100)</f>
        <v>83.499843896347173</v>
      </c>
      <c r="D35" s="15">
        <v>1057</v>
      </c>
      <c r="E35" s="14">
        <v>88.829002930000001</v>
      </c>
      <c r="F35" s="16">
        <v>1.1602969299999999</v>
      </c>
      <c r="G35" s="14">
        <v>4.2171519100000001</v>
      </c>
      <c r="H35" s="16">
        <v>0.8459894</v>
      </c>
      <c r="I35" s="14">
        <v>6.9538451700000001</v>
      </c>
      <c r="J35" s="16">
        <v>0.87448645999999997</v>
      </c>
      <c r="K35" s="14" t="s">
        <v>139</v>
      </c>
      <c r="L35" s="16" t="s">
        <v>139</v>
      </c>
      <c r="M35" s="14">
        <v>0</v>
      </c>
      <c r="N35" s="16">
        <v>0</v>
      </c>
      <c r="O35" s="14">
        <v>0</v>
      </c>
      <c r="P35" s="16">
        <v>0</v>
      </c>
      <c r="Q35" s="14">
        <v>0</v>
      </c>
      <c r="R35" s="16">
        <v>0</v>
      </c>
      <c r="S35" s="14">
        <v>0</v>
      </c>
      <c r="T35" s="16">
        <v>0</v>
      </c>
    </row>
    <row r="36" spans="1:20" x14ac:dyDescent="0.25">
      <c r="A36" s="11" t="s">
        <v>169</v>
      </c>
      <c r="B36" s="13">
        <v>6736</v>
      </c>
      <c r="C36" s="14">
        <f>(5587/B36*100)</f>
        <v>82.942399049881232</v>
      </c>
      <c r="D36" s="15">
        <v>1149</v>
      </c>
      <c r="E36" s="14">
        <v>88.910488909999998</v>
      </c>
      <c r="F36" s="16">
        <v>0.83332099000000004</v>
      </c>
      <c r="G36" s="14">
        <v>5.7937866800000002</v>
      </c>
      <c r="H36" s="16">
        <v>0.67180459000000003</v>
      </c>
      <c r="I36" s="14">
        <v>5.2957244000000001</v>
      </c>
      <c r="J36" s="16">
        <v>0.58465383000000004</v>
      </c>
      <c r="K36" s="14" t="s">
        <v>139</v>
      </c>
      <c r="L36" s="16" t="s">
        <v>139</v>
      </c>
      <c r="M36" s="14">
        <v>0</v>
      </c>
      <c r="N36" s="16">
        <v>0</v>
      </c>
      <c r="O36" s="14">
        <v>0</v>
      </c>
      <c r="P36" s="16">
        <v>0</v>
      </c>
      <c r="Q36" s="14">
        <v>0</v>
      </c>
      <c r="R36" s="16">
        <v>0</v>
      </c>
      <c r="S36" s="14">
        <v>0</v>
      </c>
      <c r="T36" s="16">
        <v>0</v>
      </c>
    </row>
    <row r="37" spans="1:20" x14ac:dyDescent="0.25">
      <c r="A37" s="11" t="s">
        <v>170</v>
      </c>
      <c r="B37" s="13">
        <v>5458</v>
      </c>
      <c r="C37" s="14">
        <f>(4553/B37*100)</f>
        <v>83.418834737999276</v>
      </c>
      <c r="D37" s="15">
        <v>905</v>
      </c>
      <c r="E37" s="14">
        <v>87.370942029999995</v>
      </c>
      <c r="F37" s="16">
        <v>1.2272916599999999</v>
      </c>
      <c r="G37" s="14">
        <v>5.3387427699999996</v>
      </c>
      <c r="H37" s="16">
        <v>0.81844234999999999</v>
      </c>
      <c r="I37" s="14">
        <v>7.2903152100000002</v>
      </c>
      <c r="J37" s="16">
        <v>0.93900366000000002</v>
      </c>
      <c r="K37" s="14" t="s">
        <v>139</v>
      </c>
      <c r="L37" s="16" t="s">
        <v>139</v>
      </c>
      <c r="M37" s="14">
        <v>0</v>
      </c>
      <c r="N37" s="16">
        <v>0</v>
      </c>
      <c r="O37" s="14">
        <v>0</v>
      </c>
      <c r="P37" s="16">
        <v>0</v>
      </c>
      <c r="Q37" s="14">
        <v>0</v>
      </c>
      <c r="R37" s="16">
        <v>0</v>
      </c>
      <c r="S37" s="14">
        <v>0</v>
      </c>
      <c r="T37" s="16">
        <v>0</v>
      </c>
    </row>
    <row r="38" spans="1:20" x14ac:dyDescent="0.25">
      <c r="A38" s="11" t="s">
        <v>171</v>
      </c>
      <c r="B38" s="17" t="s">
        <v>154</v>
      </c>
      <c r="C38" s="17" t="s">
        <v>154</v>
      </c>
      <c r="D38" s="18" t="s">
        <v>154</v>
      </c>
      <c r="E38" s="17" t="s">
        <v>154</v>
      </c>
      <c r="F38" s="18" t="s">
        <v>154</v>
      </c>
      <c r="G38" s="17" t="s">
        <v>154</v>
      </c>
      <c r="H38" s="18" t="s">
        <v>154</v>
      </c>
      <c r="I38" s="17" t="s">
        <v>154</v>
      </c>
      <c r="J38" s="18" t="s">
        <v>154</v>
      </c>
      <c r="K38" s="17" t="s">
        <v>154</v>
      </c>
      <c r="L38" s="18" t="s">
        <v>154</v>
      </c>
      <c r="M38" s="17" t="s">
        <v>154</v>
      </c>
      <c r="N38" s="18" t="s">
        <v>154</v>
      </c>
      <c r="O38" s="17" t="s">
        <v>154</v>
      </c>
      <c r="P38" s="18" t="s">
        <v>154</v>
      </c>
      <c r="Q38" s="17" t="s">
        <v>154</v>
      </c>
      <c r="R38" s="18" t="s">
        <v>154</v>
      </c>
      <c r="S38" s="17" t="s">
        <v>154</v>
      </c>
      <c r="T38" s="18" t="s">
        <v>154</v>
      </c>
    </row>
    <row r="39" spans="1:20" x14ac:dyDescent="0.25">
      <c r="A39" s="11" t="s">
        <v>172</v>
      </c>
      <c r="B39" s="13">
        <v>5895</v>
      </c>
      <c r="C39" s="14">
        <f>(4863/B39*100)</f>
        <v>82.493638676844782</v>
      </c>
      <c r="D39" s="15">
        <v>1032</v>
      </c>
      <c r="E39" s="14">
        <v>87.535969339999994</v>
      </c>
      <c r="F39" s="16">
        <v>1.0148683000000001</v>
      </c>
      <c r="G39" s="14">
        <v>7.9890535900000001</v>
      </c>
      <c r="H39" s="16">
        <v>0.90280543000000002</v>
      </c>
      <c r="I39" s="14">
        <v>4.4749770800000004</v>
      </c>
      <c r="J39" s="16">
        <v>0.68669015</v>
      </c>
      <c r="K39" s="14" t="s">
        <v>139</v>
      </c>
      <c r="L39" s="16" t="s">
        <v>139</v>
      </c>
      <c r="M39" s="14">
        <v>0</v>
      </c>
      <c r="N39" s="16">
        <v>0</v>
      </c>
      <c r="O39" s="14">
        <v>0</v>
      </c>
      <c r="P39" s="16">
        <v>0</v>
      </c>
      <c r="Q39" s="14">
        <v>0</v>
      </c>
      <c r="R39" s="16">
        <v>0</v>
      </c>
      <c r="S39" s="14">
        <v>0</v>
      </c>
      <c r="T39" s="16">
        <v>0</v>
      </c>
    </row>
    <row r="40" spans="1:20" x14ac:dyDescent="0.25">
      <c r="A40" s="11" t="s">
        <v>173</v>
      </c>
      <c r="B40" s="13">
        <v>14157</v>
      </c>
      <c r="C40" s="14">
        <f>(11741/B40*100)</f>
        <v>82.93423747969203</v>
      </c>
      <c r="D40" s="15">
        <v>2416</v>
      </c>
      <c r="E40" s="14">
        <v>86.526876700000003</v>
      </c>
      <c r="F40" s="16">
        <v>1.1787410899999999</v>
      </c>
      <c r="G40" s="14">
        <v>5.7210911199999996</v>
      </c>
      <c r="H40" s="16">
        <v>0.74093876999999997</v>
      </c>
      <c r="I40" s="14">
        <v>7.7520321900000004</v>
      </c>
      <c r="J40" s="16">
        <v>0.88474801000000003</v>
      </c>
      <c r="K40" s="14" t="s">
        <v>139</v>
      </c>
      <c r="L40" s="16" t="s">
        <v>139</v>
      </c>
      <c r="M40" s="14">
        <v>0</v>
      </c>
      <c r="N40" s="16">
        <v>0</v>
      </c>
      <c r="O40" s="14">
        <v>0</v>
      </c>
      <c r="P40" s="16">
        <v>0</v>
      </c>
      <c r="Q40" s="14">
        <v>0</v>
      </c>
      <c r="R40" s="16">
        <v>0</v>
      </c>
      <c r="S40" s="14">
        <v>0</v>
      </c>
      <c r="T40" s="16">
        <v>0</v>
      </c>
    </row>
    <row r="41" spans="1:20" x14ac:dyDescent="0.25">
      <c r="A41" s="11" t="s">
        <v>174</v>
      </c>
      <c r="B41" s="13">
        <v>5712</v>
      </c>
      <c r="C41" s="14">
        <f>(4732/B41*100)</f>
        <v>82.843137254901961</v>
      </c>
      <c r="D41" s="15">
        <v>980</v>
      </c>
      <c r="E41" s="14">
        <v>89.186406199999993</v>
      </c>
      <c r="F41" s="16">
        <v>1.0383369</v>
      </c>
      <c r="G41" s="14">
        <v>5.5158824199999996</v>
      </c>
      <c r="H41" s="16">
        <v>0.73769152999999998</v>
      </c>
      <c r="I41" s="14">
        <v>5.2977113899999999</v>
      </c>
      <c r="J41" s="16">
        <v>0.76304700000000003</v>
      </c>
      <c r="K41" s="14" t="s">
        <v>139</v>
      </c>
      <c r="L41" s="16" t="s">
        <v>139</v>
      </c>
      <c r="M41" s="14">
        <v>0</v>
      </c>
      <c r="N41" s="16">
        <v>0</v>
      </c>
      <c r="O41" s="14">
        <v>0</v>
      </c>
      <c r="P41" s="16">
        <v>0</v>
      </c>
      <c r="Q41" s="14">
        <v>0</v>
      </c>
      <c r="R41" s="16">
        <v>0</v>
      </c>
      <c r="S41" s="14">
        <v>0</v>
      </c>
      <c r="T41" s="16">
        <v>0</v>
      </c>
    </row>
    <row r="42" spans="1:20" x14ac:dyDescent="0.25">
      <c r="A42" s="11" t="s">
        <v>175</v>
      </c>
      <c r="B42" s="13">
        <f>IF(COUNT(B7:B41) &gt; 0, AVERAGE(B7:B41), "\u2014")</f>
        <v>7266.90625</v>
      </c>
      <c r="C42" s="14">
        <f>IF(COUNT(C7:C41) &gt; 0, AVERAGE(C7:C41), "—")</f>
        <v>83.128406570357896</v>
      </c>
      <c r="D42" s="15">
        <f>IF(COUNT(D7:D41) &gt; 0, AVERAGE(D7:D41), "—")</f>
        <v>1226.78125</v>
      </c>
      <c r="E42" s="14">
        <f>IF(COUNT(E7:E41) &gt; 0, AVERAGE(E7:E41), "—")</f>
        <v>88.507257599687492</v>
      </c>
      <c r="F42" s="16">
        <f>IF(COUNT(F7:F41) &gt; 0, SQRT(SUMSQ(F7:F41)/(COUNT(F7:F41)*COUNT(F7:F41)) ), "—")</f>
        <v>0.18403654767607025</v>
      </c>
      <c r="G42" s="14">
        <f>IF(COUNT(G7:G41) &gt; 0, AVERAGE(G7:G41), "—")</f>
        <v>4.8273078931250009</v>
      </c>
      <c r="H42" s="16">
        <f>IF(COUNT(H7:H41) &gt; 0, SQRT(SUMSQ(H7:H41)/(COUNT(H7:H41)*COUNT(H7:H41)) ), "—")</f>
        <v>0.12496187258359645</v>
      </c>
      <c r="I42" s="14">
        <f>IF(COUNT(I7:I41) &gt; 0, AVERAGE(I7:I41), "—")</f>
        <v>6.6654345090625</v>
      </c>
      <c r="J42" s="16">
        <f>IF(COUNT(J7:J41) &gt; 0, SQRT(SUMSQ(J7:J41)/(COUNT(J7:J41)*COUNT(J7:J41)) ), "—")</f>
        <v>0.14110983067166749</v>
      </c>
      <c r="K42" s="14" t="str">
        <f>IF(COUNT(K7:K41) &gt; 0, AVERAGE(K7:K41), "—")</f>
        <v>—</v>
      </c>
      <c r="L42" s="16" t="str">
        <f>IF(COUNT(L7:L41) &gt; 0, SQRT(SUMSQ(L7:L41)/(COUNT(L7:L41)*COUNT(L7:L41)) ), "—")</f>
        <v>—</v>
      </c>
      <c r="M42" s="14">
        <f>IF(COUNT(M7:M41) &gt; 0, AVERAGE(M7:M41), "—")</f>
        <v>0</v>
      </c>
      <c r="N42" s="16">
        <f>IF(COUNT(N7:N41) &gt; 0, SQRT(SUMSQ(N7:N41)/(COUNT(N7:N41)*COUNT(N7:N41)) ), "—")</f>
        <v>0</v>
      </c>
      <c r="O42" s="14">
        <f>IF(COUNT(O7:O41) &gt; 0, AVERAGE(O7:O41), "—")</f>
        <v>0</v>
      </c>
      <c r="P42" s="16">
        <f>IF(COUNT(P7:P41) &gt; 0, SQRT(SUMSQ(P7:P41)/(COUNT(P7:P41)*COUNT(P7:P41)) ), "—")</f>
        <v>0</v>
      </c>
      <c r="Q42" s="14">
        <f>IF(COUNT(Q7:Q41) &gt; 0, AVERAGE(Q7:Q41), "—")</f>
        <v>0</v>
      </c>
      <c r="R42" s="16">
        <f>IF(COUNT(R7:R41) &gt; 0, SQRT(SUMSQ(R7:R41)/(COUNT(R7:R41)*COUNT(R7:R41)) ), "—")</f>
        <v>0</v>
      </c>
      <c r="S42" s="14">
        <f>IF(COUNT(S7:S41) &gt; 0, AVERAGE(S7:S41), "—")</f>
        <v>0</v>
      </c>
      <c r="T42" s="16">
        <f>IF(COUNT(T7:T41) &gt; 0, SQRT(SUMSQ(T7:T41)/(COUNT(T7:T41)*COUNT(T7:T41)) ), "—")</f>
        <v>0</v>
      </c>
    </row>
    <row r="43" spans="1:20" x14ac:dyDescent="0.25">
      <c r="A43" s="9" t="s">
        <v>176</v>
      </c>
      <c r="B43" s="10"/>
      <c r="C43" s="10"/>
      <c r="D43" s="11"/>
      <c r="E43" s="10"/>
      <c r="F43" s="11"/>
      <c r="G43" s="10"/>
      <c r="H43" s="11"/>
      <c r="I43" s="10"/>
      <c r="J43" s="11"/>
      <c r="K43" s="10"/>
      <c r="L43" s="11"/>
      <c r="M43" s="10"/>
      <c r="N43" s="11"/>
      <c r="O43" s="10"/>
      <c r="P43" s="11"/>
      <c r="Q43" s="10"/>
      <c r="R43" s="11"/>
      <c r="S43" s="10"/>
      <c r="T43" s="12"/>
    </row>
    <row r="44" spans="1:20" x14ac:dyDescent="0.25">
      <c r="A44" s="11" t="s">
        <v>177</v>
      </c>
      <c r="B44" s="17" t="s">
        <v>154</v>
      </c>
      <c r="C44" s="17" t="s">
        <v>154</v>
      </c>
      <c r="D44" s="18" t="s">
        <v>154</v>
      </c>
      <c r="E44" s="17" t="s">
        <v>154</v>
      </c>
      <c r="F44" s="18" t="s">
        <v>154</v>
      </c>
      <c r="G44" s="17" t="s">
        <v>154</v>
      </c>
      <c r="H44" s="18" t="s">
        <v>154</v>
      </c>
      <c r="I44" s="17" t="s">
        <v>154</v>
      </c>
      <c r="J44" s="18" t="s">
        <v>154</v>
      </c>
      <c r="K44" s="17" t="s">
        <v>154</v>
      </c>
      <c r="L44" s="18" t="s">
        <v>154</v>
      </c>
      <c r="M44" s="17" t="s">
        <v>154</v>
      </c>
      <c r="N44" s="18" t="s">
        <v>154</v>
      </c>
      <c r="O44" s="17" t="s">
        <v>154</v>
      </c>
      <c r="P44" s="18" t="s">
        <v>154</v>
      </c>
      <c r="Q44" s="17" t="s">
        <v>154</v>
      </c>
      <c r="R44" s="18" t="s">
        <v>154</v>
      </c>
      <c r="S44" s="17" t="s">
        <v>154</v>
      </c>
      <c r="T44" s="18" t="s">
        <v>154</v>
      </c>
    </row>
    <row r="45" spans="1:20" x14ac:dyDescent="0.25">
      <c r="A45" s="11" t="s">
        <v>178</v>
      </c>
      <c r="B45" s="17" t="s">
        <v>154</v>
      </c>
      <c r="C45" s="17" t="s">
        <v>154</v>
      </c>
      <c r="D45" s="18" t="s">
        <v>154</v>
      </c>
      <c r="E45" s="17" t="s">
        <v>154</v>
      </c>
      <c r="F45" s="18" t="s">
        <v>154</v>
      </c>
      <c r="G45" s="17" t="s">
        <v>154</v>
      </c>
      <c r="H45" s="18" t="s">
        <v>154</v>
      </c>
      <c r="I45" s="17" t="s">
        <v>154</v>
      </c>
      <c r="J45" s="18" t="s">
        <v>154</v>
      </c>
      <c r="K45" s="17" t="s">
        <v>154</v>
      </c>
      <c r="L45" s="18" t="s">
        <v>154</v>
      </c>
      <c r="M45" s="17" t="s">
        <v>154</v>
      </c>
      <c r="N45" s="18" t="s">
        <v>154</v>
      </c>
      <c r="O45" s="17" t="s">
        <v>154</v>
      </c>
      <c r="P45" s="18" t="s">
        <v>154</v>
      </c>
      <c r="Q45" s="17" t="s">
        <v>154</v>
      </c>
      <c r="R45" s="18" t="s">
        <v>154</v>
      </c>
      <c r="S45" s="17" t="s">
        <v>154</v>
      </c>
      <c r="T45" s="18" t="s">
        <v>154</v>
      </c>
    </row>
    <row r="46" spans="1:20" x14ac:dyDescent="0.25">
      <c r="A46" s="11" t="s">
        <v>179</v>
      </c>
      <c r="B46" s="13">
        <v>23141</v>
      </c>
      <c r="C46" s="14">
        <f>(19861/B46*100)</f>
        <v>85.826023075925846</v>
      </c>
      <c r="D46" s="15">
        <v>3280</v>
      </c>
      <c r="E46" s="14">
        <v>87.443977820000001</v>
      </c>
      <c r="F46" s="16">
        <v>0.72687299999999999</v>
      </c>
      <c r="G46" s="14">
        <v>8.9441398000000003</v>
      </c>
      <c r="H46" s="16">
        <v>0.68572434999999998</v>
      </c>
      <c r="I46" s="14">
        <v>3.6118823799999999</v>
      </c>
      <c r="J46" s="16">
        <v>0.42157106</v>
      </c>
      <c r="K46" s="14" t="s">
        <v>139</v>
      </c>
      <c r="L46" s="16" t="s">
        <v>139</v>
      </c>
      <c r="M46" s="14">
        <v>0</v>
      </c>
      <c r="N46" s="16">
        <v>0</v>
      </c>
      <c r="O46" s="14">
        <v>0</v>
      </c>
      <c r="P46" s="16">
        <v>0</v>
      </c>
      <c r="Q46" s="14">
        <v>0</v>
      </c>
      <c r="R46" s="16">
        <v>0</v>
      </c>
      <c r="S46" s="14">
        <v>0</v>
      </c>
      <c r="T46" s="16">
        <v>0</v>
      </c>
    </row>
    <row r="47" spans="1:20" x14ac:dyDescent="0.25">
      <c r="A47" s="11" t="s">
        <v>180</v>
      </c>
      <c r="B47" s="13">
        <v>5928</v>
      </c>
      <c r="C47" s="14">
        <f>(4932/B47*100)</f>
        <v>83.198380566801617</v>
      </c>
      <c r="D47" s="15">
        <v>996</v>
      </c>
      <c r="E47" s="14">
        <v>90.966358850000006</v>
      </c>
      <c r="F47" s="16">
        <v>0.79544420999999998</v>
      </c>
      <c r="G47" s="14">
        <v>6.3242745600000001</v>
      </c>
      <c r="H47" s="16">
        <v>0.68926538999999998</v>
      </c>
      <c r="I47" s="14">
        <v>2.7093665900000001</v>
      </c>
      <c r="J47" s="16">
        <v>0.52447542999999996</v>
      </c>
      <c r="K47" s="14" t="s">
        <v>139</v>
      </c>
      <c r="L47" s="16" t="s">
        <v>139</v>
      </c>
      <c r="M47" s="14">
        <v>0</v>
      </c>
      <c r="N47" s="16">
        <v>0</v>
      </c>
      <c r="O47" s="14">
        <v>0</v>
      </c>
      <c r="P47" s="16">
        <v>0</v>
      </c>
      <c r="Q47" s="14">
        <v>0</v>
      </c>
      <c r="R47" s="16">
        <v>0</v>
      </c>
      <c r="S47" s="14">
        <v>0</v>
      </c>
      <c r="T47" s="16">
        <v>0</v>
      </c>
    </row>
    <row r="48" spans="1:20" x14ac:dyDescent="0.25">
      <c r="A48" s="11" t="s">
        <v>181</v>
      </c>
      <c r="B48" s="13">
        <v>9841</v>
      </c>
      <c r="C48" s="14">
        <f>(8170/B48*100)</f>
        <v>83.020018290824112</v>
      </c>
      <c r="D48" s="15">
        <v>1671</v>
      </c>
      <c r="E48" s="14">
        <v>86.751864670000003</v>
      </c>
      <c r="F48" s="16">
        <v>0.95650815</v>
      </c>
      <c r="G48" s="14">
        <v>7.5838294399999997</v>
      </c>
      <c r="H48" s="16">
        <v>0.81100004000000003</v>
      </c>
      <c r="I48" s="14">
        <v>5.6643058899999996</v>
      </c>
      <c r="J48" s="16">
        <v>0.65956521999999995</v>
      </c>
      <c r="K48" s="14" t="s">
        <v>139</v>
      </c>
      <c r="L48" s="16" t="s">
        <v>139</v>
      </c>
      <c r="M48" s="14">
        <v>0</v>
      </c>
      <c r="N48" s="16">
        <v>0</v>
      </c>
      <c r="O48" s="14">
        <v>0</v>
      </c>
      <c r="P48" s="16">
        <v>0</v>
      </c>
      <c r="Q48" s="14">
        <v>0</v>
      </c>
      <c r="R48" s="16">
        <v>0</v>
      </c>
      <c r="S48" s="14">
        <v>0</v>
      </c>
      <c r="T48" s="16">
        <v>0</v>
      </c>
    </row>
    <row r="49" spans="1:20" x14ac:dyDescent="0.25">
      <c r="A49" s="11" t="s">
        <v>182</v>
      </c>
      <c r="B49" s="17" t="s">
        <v>154</v>
      </c>
      <c r="C49" s="17" t="s">
        <v>154</v>
      </c>
      <c r="D49" s="18" t="s">
        <v>154</v>
      </c>
      <c r="E49" s="17" t="s">
        <v>154</v>
      </c>
      <c r="F49" s="18" t="s">
        <v>154</v>
      </c>
      <c r="G49" s="17" t="s">
        <v>154</v>
      </c>
      <c r="H49" s="18" t="s">
        <v>154</v>
      </c>
      <c r="I49" s="17" t="s">
        <v>154</v>
      </c>
      <c r="J49" s="18" t="s">
        <v>154</v>
      </c>
      <c r="K49" s="17" t="s">
        <v>154</v>
      </c>
      <c r="L49" s="18" t="s">
        <v>154</v>
      </c>
      <c r="M49" s="17" t="s">
        <v>154</v>
      </c>
      <c r="N49" s="18" t="s">
        <v>154</v>
      </c>
      <c r="O49" s="17" t="s">
        <v>154</v>
      </c>
      <c r="P49" s="18" t="s">
        <v>154</v>
      </c>
      <c r="Q49" s="17" t="s">
        <v>154</v>
      </c>
      <c r="R49" s="18" t="s">
        <v>154</v>
      </c>
      <c r="S49" s="17" t="s">
        <v>154</v>
      </c>
      <c r="T49" s="18" t="s">
        <v>154</v>
      </c>
    </row>
    <row r="50" spans="1:20" x14ac:dyDescent="0.25">
      <c r="A50" s="11" t="s">
        <v>183</v>
      </c>
      <c r="B50" s="13">
        <v>11795</v>
      </c>
      <c r="C50" s="14">
        <f>(9825/B50*100)</f>
        <v>83.298007630351847</v>
      </c>
      <c r="D50" s="15">
        <v>1970</v>
      </c>
      <c r="E50" s="14">
        <v>87.975607890000006</v>
      </c>
      <c r="F50" s="16">
        <v>0.94431312999999995</v>
      </c>
      <c r="G50" s="14">
        <v>6.9642679699999999</v>
      </c>
      <c r="H50" s="16">
        <v>0.76696692</v>
      </c>
      <c r="I50" s="14">
        <v>5.0601241400000001</v>
      </c>
      <c r="J50" s="16">
        <v>0.67297516999999996</v>
      </c>
      <c r="K50" s="14" t="s">
        <v>139</v>
      </c>
      <c r="L50" s="16" t="s">
        <v>139</v>
      </c>
      <c r="M50" s="14">
        <v>0</v>
      </c>
      <c r="N50" s="16">
        <v>0</v>
      </c>
      <c r="O50" s="14">
        <v>0</v>
      </c>
      <c r="P50" s="16">
        <v>0</v>
      </c>
      <c r="Q50" s="14">
        <v>0</v>
      </c>
      <c r="R50" s="16">
        <v>0</v>
      </c>
      <c r="S50" s="14">
        <v>0</v>
      </c>
      <c r="T50" s="16">
        <v>0</v>
      </c>
    </row>
    <row r="51" spans="1:20" x14ac:dyDescent="0.25">
      <c r="A51" s="11" t="s">
        <v>184</v>
      </c>
      <c r="B51" s="13">
        <v>6866</v>
      </c>
      <c r="C51" s="14">
        <f>(5838/B51*100)</f>
        <v>85.027672589571807</v>
      </c>
      <c r="D51" s="15">
        <v>1028</v>
      </c>
      <c r="E51" s="14">
        <v>89.47067912</v>
      </c>
      <c r="F51" s="16">
        <v>1.0326195600000001</v>
      </c>
      <c r="G51" s="14">
        <v>6.3597395499999996</v>
      </c>
      <c r="H51" s="16">
        <v>0.78046320000000002</v>
      </c>
      <c r="I51" s="14">
        <v>4.1695813299999998</v>
      </c>
      <c r="J51" s="16">
        <v>0.64041784000000002</v>
      </c>
      <c r="K51" s="14" t="s">
        <v>139</v>
      </c>
      <c r="L51" s="16" t="s">
        <v>139</v>
      </c>
      <c r="M51" s="14">
        <v>0</v>
      </c>
      <c r="N51" s="16">
        <v>0</v>
      </c>
      <c r="O51" s="14">
        <v>0</v>
      </c>
      <c r="P51" s="16">
        <v>0</v>
      </c>
      <c r="Q51" s="14">
        <v>0</v>
      </c>
      <c r="R51" s="16">
        <v>0</v>
      </c>
      <c r="S51" s="14">
        <v>0</v>
      </c>
      <c r="T51" s="16">
        <v>0</v>
      </c>
    </row>
    <row r="52" spans="1:20" x14ac:dyDescent="0.25">
      <c r="A52" s="11" t="s">
        <v>185</v>
      </c>
      <c r="B52" s="13">
        <v>5809</v>
      </c>
      <c r="C52" s="14">
        <f>(4835/B52*100)</f>
        <v>83.232914443105528</v>
      </c>
      <c r="D52" s="15">
        <v>974</v>
      </c>
      <c r="E52" s="14">
        <v>90.201134870000004</v>
      </c>
      <c r="F52" s="16">
        <v>0.87693728000000004</v>
      </c>
      <c r="G52" s="14">
        <v>3.9185753600000002</v>
      </c>
      <c r="H52" s="16">
        <v>0.59919807999999997</v>
      </c>
      <c r="I52" s="14">
        <v>5.8802897700000001</v>
      </c>
      <c r="J52" s="16">
        <v>0.70797469999999996</v>
      </c>
      <c r="K52" s="14" t="s">
        <v>139</v>
      </c>
      <c r="L52" s="16" t="s">
        <v>139</v>
      </c>
      <c r="M52" s="14">
        <v>0</v>
      </c>
      <c r="N52" s="16">
        <v>0</v>
      </c>
      <c r="O52" s="14">
        <v>0</v>
      </c>
      <c r="P52" s="16">
        <v>0</v>
      </c>
      <c r="Q52" s="14">
        <v>0</v>
      </c>
      <c r="R52" s="16">
        <v>0</v>
      </c>
      <c r="S52" s="14">
        <v>0</v>
      </c>
      <c r="T52" s="16">
        <v>0</v>
      </c>
    </row>
    <row r="53" spans="1:20" x14ac:dyDescent="0.25">
      <c r="A53" s="11" t="s">
        <v>186</v>
      </c>
      <c r="B53" s="13">
        <v>5571</v>
      </c>
      <c r="C53" s="14">
        <f>(4641/B53*100)</f>
        <v>83.306408185245019</v>
      </c>
      <c r="D53" s="15">
        <v>930</v>
      </c>
      <c r="E53" s="14">
        <v>86.35529013</v>
      </c>
      <c r="F53" s="16">
        <v>1.1782336499999999</v>
      </c>
      <c r="G53" s="14">
        <v>9.0773364700000005</v>
      </c>
      <c r="H53" s="16">
        <v>1.0990409000000001</v>
      </c>
      <c r="I53" s="14">
        <v>4.5673734000000001</v>
      </c>
      <c r="J53" s="16">
        <v>0.70196957000000004</v>
      </c>
      <c r="K53" s="14" t="s">
        <v>139</v>
      </c>
      <c r="L53" s="16" t="s">
        <v>139</v>
      </c>
      <c r="M53" s="14">
        <v>0</v>
      </c>
      <c r="N53" s="16">
        <v>0</v>
      </c>
      <c r="O53" s="14">
        <v>0</v>
      </c>
      <c r="P53" s="16">
        <v>0</v>
      </c>
      <c r="Q53" s="14">
        <v>0</v>
      </c>
      <c r="R53" s="16">
        <v>0</v>
      </c>
      <c r="S53" s="14">
        <v>0</v>
      </c>
      <c r="T53" s="16">
        <v>0</v>
      </c>
    </row>
    <row r="54" spans="1:20" x14ac:dyDescent="0.25">
      <c r="A54" s="11" t="s">
        <v>187</v>
      </c>
      <c r="B54" s="17" t="s">
        <v>154</v>
      </c>
      <c r="C54" s="17" t="s">
        <v>154</v>
      </c>
      <c r="D54" s="18" t="s">
        <v>154</v>
      </c>
      <c r="E54" s="17" t="s">
        <v>154</v>
      </c>
      <c r="F54" s="18" t="s">
        <v>154</v>
      </c>
      <c r="G54" s="17" t="s">
        <v>154</v>
      </c>
      <c r="H54" s="18" t="s">
        <v>154</v>
      </c>
      <c r="I54" s="17" t="s">
        <v>154</v>
      </c>
      <c r="J54" s="18" t="s">
        <v>154</v>
      </c>
      <c r="K54" s="17" t="s">
        <v>154</v>
      </c>
      <c r="L54" s="18" t="s">
        <v>154</v>
      </c>
      <c r="M54" s="17" t="s">
        <v>154</v>
      </c>
      <c r="N54" s="18" t="s">
        <v>154</v>
      </c>
      <c r="O54" s="17" t="s">
        <v>154</v>
      </c>
      <c r="P54" s="18" t="s">
        <v>154</v>
      </c>
      <c r="Q54" s="17" t="s">
        <v>154</v>
      </c>
      <c r="R54" s="18" t="s">
        <v>154</v>
      </c>
      <c r="S54" s="17" t="s">
        <v>154</v>
      </c>
      <c r="T54" s="18" t="s">
        <v>154</v>
      </c>
    </row>
    <row r="55" spans="1:20" x14ac:dyDescent="0.25">
      <c r="A55" s="11" t="s">
        <v>188</v>
      </c>
      <c r="B55" s="17" t="s">
        <v>154</v>
      </c>
      <c r="C55" s="17" t="s">
        <v>154</v>
      </c>
      <c r="D55" s="18" t="s">
        <v>154</v>
      </c>
      <c r="E55" s="17" t="s">
        <v>154</v>
      </c>
      <c r="F55" s="18" t="s">
        <v>154</v>
      </c>
      <c r="G55" s="17" t="s">
        <v>154</v>
      </c>
      <c r="H55" s="18" t="s">
        <v>154</v>
      </c>
      <c r="I55" s="17" t="s">
        <v>154</v>
      </c>
      <c r="J55" s="18" t="s">
        <v>154</v>
      </c>
      <c r="K55" s="17" t="s">
        <v>154</v>
      </c>
      <c r="L55" s="18" t="s">
        <v>154</v>
      </c>
      <c r="M55" s="17" t="s">
        <v>154</v>
      </c>
      <c r="N55" s="18" t="s">
        <v>154</v>
      </c>
      <c r="O55" s="17" t="s">
        <v>154</v>
      </c>
      <c r="P55" s="18" t="s">
        <v>154</v>
      </c>
      <c r="Q55" s="17" t="s">
        <v>154</v>
      </c>
      <c r="R55" s="18" t="s">
        <v>154</v>
      </c>
      <c r="S55" s="17" t="s">
        <v>154</v>
      </c>
      <c r="T55" s="18" t="s">
        <v>154</v>
      </c>
    </row>
    <row r="56" spans="1:20" x14ac:dyDescent="0.25">
      <c r="A56" s="11" t="s">
        <v>189</v>
      </c>
      <c r="B56" s="13">
        <v>5359</v>
      </c>
      <c r="C56" s="14">
        <f>(4447/B56*100)</f>
        <v>82.981899608135848</v>
      </c>
      <c r="D56" s="15">
        <v>912</v>
      </c>
      <c r="E56" s="14">
        <v>90.069856909999999</v>
      </c>
      <c r="F56" s="16">
        <v>1.0798132600000001</v>
      </c>
      <c r="G56" s="14">
        <v>4.6894428799999996</v>
      </c>
      <c r="H56" s="16">
        <v>0.71936719000000005</v>
      </c>
      <c r="I56" s="14">
        <v>5.24070021</v>
      </c>
      <c r="J56" s="16">
        <v>0.78581712000000004</v>
      </c>
      <c r="K56" s="14" t="s">
        <v>139</v>
      </c>
      <c r="L56" s="16" t="s">
        <v>139</v>
      </c>
      <c r="M56" s="14">
        <v>0</v>
      </c>
      <c r="N56" s="16">
        <v>0</v>
      </c>
      <c r="O56" s="14">
        <v>0</v>
      </c>
      <c r="P56" s="16">
        <v>0</v>
      </c>
      <c r="Q56" s="14">
        <v>0</v>
      </c>
      <c r="R56" s="16">
        <v>0</v>
      </c>
      <c r="S56" s="14">
        <v>0</v>
      </c>
      <c r="T56" s="16">
        <v>0</v>
      </c>
    </row>
    <row r="57" spans="1:20" x14ac:dyDescent="0.25">
      <c r="A57" s="11" t="s">
        <v>190</v>
      </c>
      <c r="B57" s="17" t="s">
        <v>154</v>
      </c>
      <c r="C57" s="17" t="s">
        <v>154</v>
      </c>
      <c r="D57" s="18" t="s">
        <v>154</v>
      </c>
      <c r="E57" s="17" t="s">
        <v>154</v>
      </c>
      <c r="F57" s="18" t="s">
        <v>154</v>
      </c>
      <c r="G57" s="17" t="s">
        <v>154</v>
      </c>
      <c r="H57" s="18" t="s">
        <v>154</v>
      </c>
      <c r="I57" s="17" t="s">
        <v>154</v>
      </c>
      <c r="J57" s="18" t="s">
        <v>154</v>
      </c>
      <c r="K57" s="17" t="s">
        <v>154</v>
      </c>
      <c r="L57" s="18" t="s">
        <v>154</v>
      </c>
      <c r="M57" s="17" t="s">
        <v>154</v>
      </c>
      <c r="N57" s="18" t="s">
        <v>154</v>
      </c>
      <c r="O57" s="17" t="s">
        <v>154</v>
      </c>
      <c r="P57" s="18" t="s">
        <v>154</v>
      </c>
      <c r="Q57" s="17" t="s">
        <v>154</v>
      </c>
      <c r="R57" s="18" t="s">
        <v>154</v>
      </c>
      <c r="S57" s="17" t="s">
        <v>154</v>
      </c>
      <c r="T57" s="18" t="s">
        <v>154</v>
      </c>
    </row>
    <row r="58" spans="1:20" x14ac:dyDescent="0.25">
      <c r="A58" s="11" t="s">
        <v>191</v>
      </c>
      <c r="B58" s="17" t="s">
        <v>154</v>
      </c>
      <c r="C58" s="17" t="s">
        <v>154</v>
      </c>
      <c r="D58" s="18" t="s">
        <v>154</v>
      </c>
      <c r="E58" s="17" t="s">
        <v>154</v>
      </c>
      <c r="F58" s="18" t="s">
        <v>154</v>
      </c>
      <c r="G58" s="17" t="s">
        <v>154</v>
      </c>
      <c r="H58" s="18" t="s">
        <v>154</v>
      </c>
      <c r="I58" s="17" t="s">
        <v>154</v>
      </c>
      <c r="J58" s="18" t="s">
        <v>154</v>
      </c>
      <c r="K58" s="17" t="s">
        <v>154</v>
      </c>
      <c r="L58" s="18" t="s">
        <v>154</v>
      </c>
      <c r="M58" s="17" t="s">
        <v>154</v>
      </c>
      <c r="N58" s="18" t="s">
        <v>154</v>
      </c>
      <c r="O58" s="17" t="s">
        <v>154</v>
      </c>
      <c r="P58" s="18" t="s">
        <v>154</v>
      </c>
      <c r="Q58" s="17" t="s">
        <v>154</v>
      </c>
      <c r="R58" s="18" t="s">
        <v>154</v>
      </c>
      <c r="S58" s="17" t="s">
        <v>154</v>
      </c>
      <c r="T58" s="18" t="s">
        <v>154</v>
      </c>
    </row>
    <row r="59" spans="1:20" x14ac:dyDescent="0.25">
      <c r="A59" s="11" t="s">
        <v>192</v>
      </c>
      <c r="B59" s="17" t="s">
        <v>154</v>
      </c>
      <c r="C59" s="17" t="s">
        <v>154</v>
      </c>
      <c r="D59" s="18" t="s">
        <v>154</v>
      </c>
      <c r="E59" s="17" t="s">
        <v>154</v>
      </c>
      <c r="F59" s="18" t="s">
        <v>154</v>
      </c>
      <c r="G59" s="17" t="s">
        <v>154</v>
      </c>
      <c r="H59" s="18" t="s">
        <v>154</v>
      </c>
      <c r="I59" s="17" t="s">
        <v>154</v>
      </c>
      <c r="J59" s="18" t="s">
        <v>154</v>
      </c>
      <c r="K59" s="17" t="s">
        <v>154</v>
      </c>
      <c r="L59" s="18" t="s">
        <v>154</v>
      </c>
      <c r="M59" s="17" t="s">
        <v>154</v>
      </c>
      <c r="N59" s="18" t="s">
        <v>154</v>
      </c>
      <c r="O59" s="17" t="s">
        <v>154</v>
      </c>
      <c r="P59" s="18" t="s">
        <v>154</v>
      </c>
      <c r="Q59" s="17" t="s">
        <v>154</v>
      </c>
      <c r="R59" s="18" t="s">
        <v>154</v>
      </c>
      <c r="S59" s="17" t="s">
        <v>154</v>
      </c>
      <c r="T59" s="18" t="s">
        <v>154</v>
      </c>
    </row>
    <row r="60" spans="1:20" x14ac:dyDescent="0.25">
      <c r="A60" s="11" t="s">
        <v>193</v>
      </c>
      <c r="B60" s="17" t="s">
        <v>154</v>
      </c>
      <c r="C60" s="17" t="s">
        <v>154</v>
      </c>
      <c r="D60" s="18" t="s">
        <v>154</v>
      </c>
      <c r="E60" s="17" t="s">
        <v>154</v>
      </c>
      <c r="F60" s="18" t="s">
        <v>154</v>
      </c>
      <c r="G60" s="17" t="s">
        <v>154</v>
      </c>
      <c r="H60" s="18" t="s">
        <v>154</v>
      </c>
      <c r="I60" s="17" t="s">
        <v>154</v>
      </c>
      <c r="J60" s="18" t="s">
        <v>154</v>
      </c>
      <c r="K60" s="17" t="s">
        <v>154</v>
      </c>
      <c r="L60" s="18" t="s">
        <v>154</v>
      </c>
      <c r="M60" s="17" t="s">
        <v>154</v>
      </c>
      <c r="N60" s="18" t="s">
        <v>154</v>
      </c>
      <c r="O60" s="17" t="s">
        <v>154</v>
      </c>
      <c r="P60" s="18" t="s">
        <v>154</v>
      </c>
      <c r="Q60" s="17" t="s">
        <v>154</v>
      </c>
      <c r="R60" s="18" t="s">
        <v>154</v>
      </c>
      <c r="S60" s="17" t="s">
        <v>154</v>
      </c>
      <c r="T60" s="18" t="s">
        <v>154</v>
      </c>
    </row>
    <row r="61" spans="1:20" x14ac:dyDescent="0.25">
      <c r="A61" s="11" t="s">
        <v>194</v>
      </c>
      <c r="B61" s="13">
        <v>6525</v>
      </c>
      <c r="C61" s="14">
        <f>(5425/B61*100)</f>
        <v>83.141762452107287</v>
      </c>
      <c r="D61" s="15">
        <v>1100</v>
      </c>
      <c r="E61" s="14">
        <v>90.309953440000001</v>
      </c>
      <c r="F61" s="16">
        <v>1.02744178</v>
      </c>
      <c r="G61" s="14">
        <v>3.6283199700000002</v>
      </c>
      <c r="H61" s="16">
        <v>0.57530307999999997</v>
      </c>
      <c r="I61" s="14">
        <v>6.0617265900000001</v>
      </c>
      <c r="J61" s="16">
        <v>0.77985121000000002</v>
      </c>
      <c r="K61" s="14" t="s">
        <v>139</v>
      </c>
      <c r="L61" s="16" t="s">
        <v>139</v>
      </c>
      <c r="M61" s="14">
        <v>0</v>
      </c>
      <c r="N61" s="16">
        <v>0</v>
      </c>
      <c r="O61" s="14">
        <v>0</v>
      </c>
      <c r="P61" s="16">
        <v>0</v>
      </c>
      <c r="Q61" s="14">
        <v>0</v>
      </c>
      <c r="R61" s="16">
        <v>0</v>
      </c>
      <c r="S61" s="14">
        <v>0</v>
      </c>
      <c r="T61" s="16">
        <v>0</v>
      </c>
    </row>
    <row r="62" spans="1:20" x14ac:dyDescent="0.25">
      <c r="A62" s="11" t="s">
        <v>195</v>
      </c>
      <c r="B62" s="13">
        <v>4476</v>
      </c>
      <c r="C62" s="14">
        <f>(3704/B62*100)</f>
        <v>82.752457551385163</v>
      </c>
      <c r="D62" s="15">
        <v>772</v>
      </c>
      <c r="E62" s="14">
        <v>86.012954440000001</v>
      </c>
      <c r="F62" s="16">
        <v>1.16977266</v>
      </c>
      <c r="G62" s="14">
        <v>6.4786852799999997</v>
      </c>
      <c r="H62" s="16">
        <v>0.78208515000000001</v>
      </c>
      <c r="I62" s="14">
        <v>7.5083602799999998</v>
      </c>
      <c r="J62" s="16">
        <v>0.88959621</v>
      </c>
      <c r="K62" s="14" t="s">
        <v>139</v>
      </c>
      <c r="L62" s="16" t="s">
        <v>139</v>
      </c>
      <c r="M62" s="14">
        <v>0</v>
      </c>
      <c r="N62" s="16">
        <v>0</v>
      </c>
      <c r="O62" s="14">
        <v>0</v>
      </c>
      <c r="P62" s="16">
        <v>0</v>
      </c>
      <c r="Q62" s="14">
        <v>0</v>
      </c>
      <c r="R62" s="16">
        <v>0</v>
      </c>
      <c r="S62" s="14">
        <v>0</v>
      </c>
      <c r="T62" s="16">
        <v>0</v>
      </c>
    </row>
    <row r="63" spans="1:20" x14ac:dyDescent="0.25">
      <c r="A63" s="11" t="s">
        <v>196</v>
      </c>
      <c r="B63" s="17" t="s">
        <v>154</v>
      </c>
      <c r="C63" s="17" t="s">
        <v>154</v>
      </c>
      <c r="D63" s="18" t="s">
        <v>154</v>
      </c>
      <c r="E63" s="17" t="s">
        <v>154</v>
      </c>
      <c r="F63" s="18" t="s">
        <v>154</v>
      </c>
      <c r="G63" s="17" t="s">
        <v>154</v>
      </c>
      <c r="H63" s="18" t="s">
        <v>154</v>
      </c>
      <c r="I63" s="17" t="s">
        <v>154</v>
      </c>
      <c r="J63" s="18" t="s">
        <v>154</v>
      </c>
      <c r="K63" s="17" t="s">
        <v>154</v>
      </c>
      <c r="L63" s="18" t="s">
        <v>154</v>
      </c>
      <c r="M63" s="17" t="s">
        <v>154</v>
      </c>
      <c r="N63" s="18" t="s">
        <v>154</v>
      </c>
      <c r="O63" s="17" t="s">
        <v>154</v>
      </c>
      <c r="P63" s="18" t="s">
        <v>154</v>
      </c>
      <c r="Q63" s="17" t="s">
        <v>154</v>
      </c>
      <c r="R63" s="18" t="s">
        <v>154</v>
      </c>
      <c r="S63" s="17" t="s">
        <v>154</v>
      </c>
      <c r="T63" s="18" t="s">
        <v>154</v>
      </c>
    </row>
    <row r="64" spans="1:20" x14ac:dyDescent="0.25">
      <c r="A64" s="11" t="s">
        <v>197</v>
      </c>
      <c r="B64" s="17" t="s">
        <v>154</v>
      </c>
      <c r="C64" s="17" t="s">
        <v>154</v>
      </c>
      <c r="D64" s="18" t="s">
        <v>154</v>
      </c>
      <c r="E64" s="17" t="s">
        <v>154</v>
      </c>
      <c r="F64" s="18" t="s">
        <v>154</v>
      </c>
      <c r="G64" s="17" t="s">
        <v>154</v>
      </c>
      <c r="H64" s="18" t="s">
        <v>154</v>
      </c>
      <c r="I64" s="17" t="s">
        <v>154</v>
      </c>
      <c r="J64" s="18" t="s">
        <v>154</v>
      </c>
      <c r="K64" s="17" t="s">
        <v>154</v>
      </c>
      <c r="L64" s="18" t="s">
        <v>154</v>
      </c>
      <c r="M64" s="17" t="s">
        <v>154</v>
      </c>
      <c r="N64" s="18" t="s">
        <v>154</v>
      </c>
      <c r="O64" s="17" t="s">
        <v>154</v>
      </c>
      <c r="P64" s="18" t="s">
        <v>154</v>
      </c>
      <c r="Q64" s="17" t="s">
        <v>154</v>
      </c>
      <c r="R64" s="18" t="s">
        <v>154</v>
      </c>
      <c r="S64" s="17" t="s">
        <v>154</v>
      </c>
      <c r="T64" s="18" t="s">
        <v>154</v>
      </c>
    </row>
    <row r="65" spans="1:20" x14ac:dyDescent="0.25">
      <c r="A65" s="11" t="s">
        <v>198</v>
      </c>
      <c r="B65" s="17" t="s">
        <v>154</v>
      </c>
      <c r="C65" s="17" t="s">
        <v>154</v>
      </c>
      <c r="D65" s="18" t="s">
        <v>154</v>
      </c>
      <c r="E65" s="17" t="s">
        <v>154</v>
      </c>
      <c r="F65" s="18" t="s">
        <v>154</v>
      </c>
      <c r="G65" s="17" t="s">
        <v>154</v>
      </c>
      <c r="H65" s="18" t="s">
        <v>154</v>
      </c>
      <c r="I65" s="17" t="s">
        <v>154</v>
      </c>
      <c r="J65" s="18" t="s">
        <v>154</v>
      </c>
      <c r="K65" s="17" t="s">
        <v>154</v>
      </c>
      <c r="L65" s="18" t="s">
        <v>154</v>
      </c>
      <c r="M65" s="17" t="s">
        <v>154</v>
      </c>
      <c r="N65" s="18" t="s">
        <v>154</v>
      </c>
      <c r="O65" s="17" t="s">
        <v>154</v>
      </c>
      <c r="P65" s="18" t="s">
        <v>154</v>
      </c>
      <c r="Q65" s="17" t="s">
        <v>154</v>
      </c>
      <c r="R65" s="18" t="s">
        <v>154</v>
      </c>
      <c r="S65" s="17" t="s">
        <v>154</v>
      </c>
      <c r="T65" s="18" t="s">
        <v>154</v>
      </c>
    </row>
    <row r="66" spans="1:20" x14ac:dyDescent="0.25">
      <c r="A66" s="11" t="s">
        <v>199</v>
      </c>
      <c r="B66" s="13">
        <v>5665</v>
      </c>
      <c r="C66" s="14">
        <f>(4728/B66*100)</f>
        <v>83.459841129744035</v>
      </c>
      <c r="D66" s="15">
        <v>937</v>
      </c>
      <c r="E66" s="14">
        <v>91.474929220000007</v>
      </c>
      <c r="F66" s="16">
        <v>0.88338174999999997</v>
      </c>
      <c r="G66" s="14">
        <v>6.0734988999999997</v>
      </c>
      <c r="H66" s="16">
        <v>0.70416106999999994</v>
      </c>
      <c r="I66" s="14">
        <v>2.4515718799999999</v>
      </c>
      <c r="J66" s="16">
        <v>0.54975715000000003</v>
      </c>
      <c r="K66" s="14" t="s">
        <v>139</v>
      </c>
      <c r="L66" s="16" t="s">
        <v>139</v>
      </c>
      <c r="M66" s="14">
        <v>0</v>
      </c>
      <c r="N66" s="16">
        <v>0</v>
      </c>
      <c r="O66" s="14">
        <v>0</v>
      </c>
      <c r="P66" s="16">
        <v>0</v>
      </c>
      <c r="Q66" s="14">
        <v>0</v>
      </c>
      <c r="R66" s="16">
        <v>0</v>
      </c>
      <c r="S66" s="14">
        <v>0</v>
      </c>
      <c r="T66" s="16">
        <v>0</v>
      </c>
    </row>
    <row r="67" spans="1:20" x14ac:dyDescent="0.25">
      <c r="A67" s="11" t="s">
        <v>200</v>
      </c>
      <c r="B67" s="13">
        <v>6971</v>
      </c>
      <c r="C67" s="14">
        <f>(5900/B67*100)</f>
        <v>84.636350595323478</v>
      </c>
      <c r="D67" s="15">
        <v>1071</v>
      </c>
      <c r="E67" s="14">
        <v>86.604137769999994</v>
      </c>
      <c r="F67" s="16">
        <v>0.93521714</v>
      </c>
      <c r="G67" s="14">
        <v>8.6696066100000007</v>
      </c>
      <c r="H67" s="16">
        <v>0.78158178</v>
      </c>
      <c r="I67" s="14">
        <v>4.7262556199999999</v>
      </c>
      <c r="J67" s="16">
        <v>0.76245969000000002</v>
      </c>
      <c r="K67" s="14" t="s">
        <v>139</v>
      </c>
      <c r="L67" s="16" t="s">
        <v>139</v>
      </c>
      <c r="M67" s="14">
        <v>0</v>
      </c>
      <c r="N67" s="16">
        <v>0</v>
      </c>
      <c r="O67" s="14">
        <v>0</v>
      </c>
      <c r="P67" s="16">
        <v>0</v>
      </c>
      <c r="Q67" s="14">
        <v>0</v>
      </c>
      <c r="R67" s="16">
        <v>0</v>
      </c>
      <c r="S67" s="14">
        <v>0</v>
      </c>
      <c r="T67" s="16">
        <v>0</v>
      </c>
    </row>
    <row r="68" spans="1:20" x14ac:dyDescent="0.25">
      <c r="A68" s="11" t="s">
        <v>201</v>
      </c>
      <c r="B68" s="17" t="s">
        <v>154</v>
      </c>
      <c r="C68" s="17" t="s">
        <v>154</v>
      </c>
      <c r="D68" s="18" t="s">
        <v>154</v>
      </c>
      <c r="E68" s="17" t="s">
        <v>154</v>
      </c>
      <c r="F68" s="18" t="s">
        <v>154</v>
      </c>
      <c r="G68" s="17" t="s">
        <v>154</v>
      </c>
      <c r="H68" s="18" t="s">
        <v>154</v>
      </c>
      <c r="I68" s="17" t="s">
        <v>154</v>
      </c>
      <c r="J68" s="18" t="s">
        <v>154</v>
      </c>
      <c r="K68" s="17" t="s">
        <v>154</v>
      </c>
      <c r="L68" s="18" t="s">
        <v>154</v>
      </c>
      <c r="M68" s="17" t="s">
        <v>154</v>
      </c>
      <c r="N68" s="18" t="s">
        <v>154</v>
      </c>
      <c r="O68" s="17" t="s">
        <v>154</v>
      </c>
      <c r="P68" s="18" t="s">
        <v>154</v>
      </c>
      <c r="Q68" s="17" t="s">
        <v>154</v>
      </c>
      <c r="R68" s="18" t="s">
        <v>154</v>
      </c>
      <c r="S68" s="17" t="s">
        <v>154</v>
      </c>
      <c r="T68" s="18" t="s">
        <v>154</v>
      </c>
    </row>
    <row r="69" spans="1:20" x14ac:dyDescent="0.25">
      <c r="A69" s="11" t="s">
        <v>202</v>
      </c>
      <c r="B69" s="17" t="s">
        <v>154</v>
      </c>
      <c r="C69" s="17" t="s">
        <v>154</v>
      </c>
      <c r="D69" s="18" t="s">
        <v>154</v>
      </c>
      <c r="E69" s="17" t="s">
        <v>154</v>
      </c>
      <c r="F69" s="18" t="s">
        <v>154</v>
      </c>
      <c r="G69" s="17" t="s">
        <v>154</v>
      </c>
      <c r="H69" s="18" t="s">
        <v>154</v>
      </c>
      <c r="I69" s="17" t="s">
        <v>154</v>
      </c>
      <c r="J69" s="18" t="s">
        <v>154</v>
      </c>
      <c r="K69" s="17" t="s">
        <v>154</v>
      </c>
      <c r="L69" s="18" t="s">
        <v>154</v>
      </c>
      <c r="M69" s="17" t="s">
        <v>154</v>
      </c>
      <c r="N69" s="18" t="s">
        <v>154</v>
      </c>
      <c r="O69" s="17" t="s">
        <v>154</v>
      </c>
      <c r="P69" s="18" t="s">
        <v>154</v>
      </c>
      <c r="Q69" s="17" t="s">
        <v>154</v>
      </c>
      <c r="R69" s="18" t="s">
        <v>154</v>
      </c>
      <c r="S69" s="17" t="s">
        <v>154</v>
      </c>
      <c r="T69" s="18" t="s">
        <v>154</v>
      </c>
    </row>
    <row r="70" spans="1:20" x14ac:dyDescent="0.25">
      <c r="A70" s="11" t="s">
        <v>203</v>
      </c>
      <c r="B70" s="13">
        <v>6036</v>
      </c>
      <c r="C70" s="14">
        <f>(5008/B70*100)</f>
        <v>82.96885354539431</v>
      </c>
      <c r="D70" s="15">
        <v>1028</v>
      </c>
      <c r="E70" s="14">
        <v>90.993444139999994</v>
      </c>
      <c r="F70" s="16">
        <v>1.0924069300000001</v>
      </c>
      <c r="G70" s="14">
        <v>5.3412317099999997</v>
      </c>
      <c r="H70" s="16">
        <v>0.84834746999999999</v>
      </c>
      <c r="I70" s="14">
        <v>3.6653241599999999</v>
      </c>
      <c r="J70" s="16">
        <v>0.52793685999999995</v>
      </c>
      <c r="K70" s="14" t="s">
        <v>139</v>
      </c>
      <c r="L70" s="16" t="s">
        <v>139</v>
      </c>
      <c r="M70" s="14">
        <v>0</v>
      </c>
      <c r="N70" s="16">
        <v>0</v>
      </c>
      <c r="O70" s="14">
        <v>0</v>
      </c>
      <c r="P70" s="16">
        <v>0</v>
      </c>
      <c r="Q70" s="14">
        <v>0</v>
      </c>
      <c r="R70" s="16">
        <v>0</v>
      </c>
      <c r="S70" s="14">
        <v>0</v>
      </c>
      <c r="T70" s="16">
        <v>0</v>
      </c>
    </row>
    <row r="71" spans="1:20" x14ac:dyDescent="0.25">
      <c r="A71" s="11" t="s">
        <v>204</v>
      </c>
      <c r="B71" s="17" t="s">
        <v>154</v>
      </c>
      <c r="C71" s="17" t="s">
        <v>154</v>
      </c>
      <c r="D71" s="18" t="s">
        <v>154</v>
      </c>
      <c r="E71" s="17" t="s">
        <v>154</v>
      </c>
      <c r="F71" s="18" t="s">
        <v>154</v>
      </c>
      <c r="G71" s="17" t="s">
        <v>154</v>
      </c>
      <c r="H71" s="18" t="s">
        <v>154</v>
      </c>
      <c r="I71" s="17" t="s">
        <v>154</v>
      </c>
      <c r="J71" s="18" t="s">
        <v>154</v>
      </c>
      <c r="K71" s="17" t="s">
        <v>154</v>
      </c>
      <c r="L71" s="18" t="s">
        <v>154</v>
      </c>
      <c r="M71" s="17" t="s">
        <v>154</v>
      </c>
      <c r="N71" s="18" t="s">
        <v>154</v>
      </c>
      <c r="O71" s="17" t="s">
        <v>154</v>
      </c>
      <c r="P71" s="18" t="s">
        <v>154</v>
      </c>
      <c r="Q71" s="17" t="s">
        <v>154</v>
      </c>
      <c r="R71" s="18" t="s">
        <v>154</v>
      </c>
      <c r="S71" s="17" t="s">
        <v>154</v>
      </c>
      <c r="T71" s="18" t="s">
        <v>154</v>
      </c>
    </row>
    <row r="72" spans="1:20" x14ac:dyDescent="0.25">
      <c r="A72" s="11" t="s">
        <v>205</v>
      </c>
      <c r="B72" s="13">
        <v>7708</v>
      </c>
      <c r="C72" s="14">
        <f>(6367/B72*100)</f>
        <v>82.6024909185262</v>
      </c>
      <c r="D72" s="15">
        <v>1341</v>
      </c>
      <c r="E72" s="14">
        <v>92.459083949999993</v>
      </c>
      <c r="F72" s="16">
        <v>0.62146548000000001</v>
      </c>
      <c r="G72" s="14">
        <v>3.06804861</v>
      </c>
      <c r="H72" s="16">
        <v>0.45074482999999999</v>
      </c>
      <c r="I72" s="14">
        <v>4.4728674399999999</v>
      </c>
      <c r="J72" s="16">
        <v>0.47277215</v>
      </c>
      <c r="K72" s="14" t="s">
        <v>139</v>
      </c>
      <c r="L72" s="16" t="s">
        <v>139</v>
      </c>
      <c r="M72" s="14">
        <v>0</v>
      </c>
      <c r="N72" s="16">
        <v>0</v>
      </c>
      <c r="O72" s="14">
        <v>0</v>
      </c>
      <c r="P72" s="16">
        <v>0</v>
      </c>
      <c r="Q72" s="14">
        <v>0</v>
      </c>
      <c r="R72" s="16">
        <v>0</v>
      </c>
      <c r="S72" s="14">
        <v>0</v>
      </c>
      <c r="T72" s="16">
        <v>0</v>
      </c>
    </row>
    <row r="73" spans="1:20" x14ac:dyDescent="0.25">
      <c r="A73" s="11" t="s">
        <v>206</v>
      </c>
      <c r="B73" s="13">
        <v>8249</v>
      </c>
      <c r="C73" s="14">
        <f>(6890/B73*100)</f>
        <v>83.525275791004972</v>
      </c>
      <c r="D73" s="15">
        <v>1359</v>
      </c>
      <c r="E73" s="14">
        <v>78.958720310000004</v>
      </c>
      <c r="F73" s="16">
        <v>1.4897697000000001</v>
      </c>
      <c r="G73" s="14">
        <v>14.38838982</v>
      </c>
      <c r="H73" s="16">
        <v>1.1989013399999999</v>
      </c>
      <c r="I73" s="14">
        <v>6.65288988</v>
      </c>
      <c r="J73" s="16">
        <v>0.73317785999999996</v>
      </c>
      <c r="K73" s="14" t="s">
        <v>139</v>
      </c>
      <c r="L73" s="16" t="s">
        <v>139</v>
      </c>
      <c r="M73" s="14">
        <v>0</v>
      </c>
      <c r="N73" s="16">
        <v>0</v>
      </c>
      <c r="O73" s="14">
        <v>0</v>
      </c>
      <c r="P73" s="16">
        <v>0</v>
      </c>
      <c r="Q73" s="14">
        <v>0</v>
      </c>
      <c r="R73" s="16">
        <v>0</v>
      </c>
      <c r="S73" s="14">
        <v>0</v>
      </c>
      <c r="T73" s="16">
        <v>0</v>
      </c>
    </row>
    <row r="74" spans="1:20" x14ac:dyDescent="0.25">
      <c r="A74" s="11" t="s">
        <v>207</v>
      </c>
      <c r="B74" s="17" t="s">
        <v>154</v>
      </c>
      <c r="C74" s="17" t="s">
        <v>154</v>
      </c>
      <c r="D74" s="18" t="s">
        <v>154</v>
      </c>
      <c r="E74" s="17" t="s">
        <v>154</v>
      </c>
      <c r="F74" s="18" t="s">
        <v>154</v>
      </c>
      <c r="G74" s="17" t="s">
        <v>154</v>
      </c>
      <c r="H74" s="18" t="s">
        <v>154</v>
      </c>
      <c r="I74" s="17" t="s">
        <v>154</v>
      </c>
      <c r="J74" s="18" t="s">
        <v>154</v>
      </c>
      <c r="K74" s="17" t="s">
        <v>154</v>
      </c>
      <c r="L74" s="18" t="s">
        <v>154</v>
      </c>
      <c r="M74" s="17" t="s">
        <v>154</v>
      </c>
      <c r="N74" s="18" t="s">
        <v>154</v>
      </c>
      <c r="O74" s="17" t="s">
        <v>154</v>
      </c>
      <c r="P74" s="18" t="s">
        <v>154</v>
      </c>
      <c r="Q74" s="17" t="s">
        <v>154</v>
      </c>
      <c r="R74" s="18" t="s">
        <v>154</v>
      </c>
      <c r="S74" s="17" t="s">
        <v>154</v>
      </c>
      <c r="T74" s="18" t="s">
        <v>154</v>
      </c>
    </row>
    <row r="75" spans="1:20" x14ac:dyDescent="0.25">
      <c r="A75" s="11" t="s">
        <v>208</v>
      </c>
      <c r="B75" s="13">
        <v>5375</v>
      </c>
      <c r="C75" s="14">
        <f>(4539/B75*100)</f>
        <v>84.446511627906972</v>
      </c>
      <c r="D75" s="15">
        <v>836</v>
      </c>
      <c r="E75" s="14">
        <v>86.823415659999995</v>
      </c>
      <c r="F75" s="16">
        <v>1.27355737</v>
      </c>
      <c r="G75" s="14">
        <v>8.8275646699999992</v>
      </c>
      <c r="H75" s="16">
        <v>1.07348186</v>
      </c>
      <c r="I75" s="14">
        <v>4.3490196699999997</v>
      </c>
      <c r="J75" s="16">
        <v>0.62584987000000003</v>
      </c>
      <c r="K75" s="14" t="s">
        <v>139</v>
      </c>
      <c r="L75" s="16" t="s">
        <v>139</v>
      </c>
      <c r="M75" s="14">
        <v>0</v>
      </c>
      <c r="N75" s="16">
        <v>0</v>
      </c>
      <c r="O75" s="14">
        <v>0</v>
      </c>
      <c r="P75" s="16">
        <v>0</v>
      </c>
      <c r="Q75" s="14">
        <v>0</v>
      </c>
      <c r="R75" s="16">
        <v>0</v>
      </c>
      <c r="S75" s="14">
        <v>0</v>
      </c>
      <c r="T75" s="16">
        <v>0</v>
      </c>
    </row>
    <row r="76" spans="1:20" x14ac:dyDescent="0.25">
      <c r="A76" s="11" t="s">
        <v>209</v>
      </c>
      <c r="B76" s="13">
        <v>14167</v>
      </c>
      <c r="C76" s="14">
        <f>(11769/B76*100)</f>
        <v>83.073339450836443</v>
      </c>
      <c r="D76" s="15">
        <v>2398</v>
      </c>
      <c r="E76" s="14">
        <v>87.264740869999997</v>
      </c>
      <c r="F76" s="16">
        <v>0.90166049999999998</v>
      </c>
      <c r="G76" s="14">
        <v>8.1049453299999996</v>
      </c>
      <c r="H76" s="16">
        <v>0.61574817999999998</v>
      </c>
      <c r="I76" s="14">
        <v>4.6303137999999997</v>
      </c>
      <c r="J76" s="16">
        <v>0.55628833</v>
      </c>
      <c r="K76" s="14" t="s">
        <v>139</v>
      </c>
      <c r="L76" s="16" t="s">
        <v>139</v>
      </c>
      <c r="M76" s="14">
        <v>0</v>
      </c>
      <c r="N76" s="16">
        <v>0</v>
      </c>
      <c r="O76" s="14">
        <v>0</v>
      </c>
      <c r="P76" s="16">
        <v>0</v>
      </c>
      <c r="Q76" s="14">
        <v>0</v>
      </c>
      <c r="R76" s="16">
        <v>0</v>
      </c>
      <c r="S76" s="14">
        <v>0</v>
      </c>
      <c r="T76" s="16">
        <v>0</v>
      </c>
    </row>
    <row r="77" spans="1:20" x14ac:dyDescent="0.25">
      <c r="A77" s="11" t="s">
        <v>210</v>
      </c>
      <c r="B77" s="13">
        <v>6062</v>
      </c>
      <c r="C77" s="14">
        <f>(5076/B77*100)</f>
        <v>83.734741009567799</v>
      </c>
      <c r="D77" s="15">
        <v>986</v>
      </c>
      <c r="E77" s="14">
        <v>89.371026220000005</v>
      </c>
      <c r="F77" s="16">
        <v>1.03358667</v>
      </c>
      <c r="G77" s="14">
        <v>5.1342417500000002</v>
      </c>
      <c r="H77" s="16">
        <v>0.75485283999999997</v>
      </c>
      <c r="I77" s="14">
        <v>5.4947320299999998</v>
      </c>
      <c r="J77" s="16">
        <v>0.81356156999999996</v>
      </c>
      <c r="K77" s="14" t="s">
        <v>139</v>
      </c>
      <c r="L77" s="16" t="s">
        <v>139</v>
      </c>
      <c r="M77" s="14">
        <v>0</v>
      </c>
      <c r="N77" s="16">
        <v>0</v>
      </c>
      <c r="O77" s="14">
        <v>0</v>
      </c>
      <c r="P77" s="16">
        <v>0</v>
      </c>
      <c r="Q77" s="14">
        <v>0</v>
      </c>
      <c r="R77" s="16">
        <v>0</v>
      </c>
      <c r="S77" s="14">
        <v>0</v>
      </c>
      <c r="T77" s="16">
        <v>0</v>
      </c>
    </row>
    <row r="78" spans="1:20" x14ac:dyDescent="0.25">
      <c r="A78" s="11" t="s">
        <v>211</v>
      </c>
      <c r="B78" s="17" t="s">
        <v>154</v>
      </c>
      <c r="C78" s="17" t="s">
        <v>154</v>
      </c>
      <c r="D78" s="18" t="s">
        <v>154</v>
      </c>
      <c r="E78" s="17" t="s">
        <v>154</v>
      </c>
      <c r="F78" s="18" t="s">
        <v>154</v>
      </c>
      <c r="G78" s="17" t="s">
        <v>154</v>
      </c>
      <c r="H78" s="18" t="s">
        <v>154</v>
      </c>
      <c r="I78" s="17" t="s">
        <v>154</v>
      </c>
      <c r="J78" s="18" t="s">
        <v>154</v>
      </c>
      <c r="K78" s="17" t="s">
        <v>154</v>
      </c>
      <c r="L78" s="18" t="s">
        <v>154</v>
      </c>
      <c r="M78" s="17" t="s">
        <v>154</v>
      </c>
      <c r="N78" s="18" t="s">
        <v>154</v>
      </c>
      <c r="O78" s="17" t="s">
        <v>154</v>
      </c>
      <c r="P78" s="18" t="s">
        <v>154</v>
      </c>
      <c r="Q78" s="17" t="s">
        <v>154</v>
      </c>
      <c r="R78" s="18" t="s">
        <v>154</v>
      </c>
      <c r="S78" s="17" t="s">
        <v>154</v>
      </c>
      <c r="T78" s="18" t="s">
        <v>154</v>
      </c>
    </row>
    <row r="79" spans="1:20" ht="24.95" customHeight="1" x14ac:dyDescent="0.25">
      <c r="A79" s="11" t="s">
        <v>212</v>
      </c>
      <c r="B79" s="17" t="s">
        <v>154</v>
      </c>
      <c r="C79" s="17" t="s">
        <v>154</v>
      </c>
      <c r="D79" s="18" t="s">
        <v>154</v>
      </c>
      <c r="E79" s="17" t="s">
        <v>154</v>
      </c>
      <c r="F79" s="18" t="s">
        <v>154</v>
      </c>
      <c r="G79" s="17" t="s">
        <v>154</v>
      </c>
      <c r="H79" s="18" t="s">
        <v>154</v>
      </c>
      <c r="I79" s="17" t="s">
        <v>154</v>
      </c>
      <c r="J79" s="18" t="s">
        <v>154</v>
      </c>
      <c r="K79" s="17" t="s">
        <v>154</v>
      </c>
      <c r="L79" s="18" t="s">
        <v>154</v>
      </c>
      <c r="M79" s="17" t="s">
        <v>154</v>
      </c>
      <c r="N79" s="18" t="s">
        <v>154</v>
      </c>
      <c r="O79" s="17" t="s">
        <v>154</v>
      </c>
      <c r="P79" s="18" t="s">
        <v>154</v>
      </c>
      <c r="Q79" s="17" t="s">
        <v>154</v>
      </c>
      <c r="R79" s="18" t="s">
        <v>154</v>
      </c>
      <c r="S79" s="17" t="s">
        <v>154</v>
      </c>
      <c r="T79" s="18" t="s">
        <v>154</v>
      </c>
    </row>
    <row r="80" spans="1:20" x14ac:dyDescent="0.25">
      <c r="A80" s="11" t="s">
        <v>213</v>
      </c>
      <c r="B80" s="17" t="s">
        <v>154</v>
      </c>
      <c r="C80" s="17" t="s">
        <v>154</v>
      </c>
      <c r="D80" s="18" t="s">
        <v>154</v>
      </c>
      <c r="E80" s="17" t="s">
        <v>154</v>
      </c>
      <c r="F80" s="18" t="s">
        <v>154</v>
      </c>
      <c r="G80" s="17" t="s">
        <v>154</v>
      </c>
      <c r="H80" s="18" t="s">
        <v>154</v>
      </c>
      <c r="I80" s="17" t="s">
        <v>154</v>
      </c>
      <c r="J80" s="18" t="s">
        <v>154</v>
      </c>
      <c r="K80" s="17" t="s">
        <v>154</v>
      </c>
      <c r="L80" s="18" t="s">
        <v>154</v>
      </c>
      <c r="M80" s="17" t="s">
        <v>154</v>
      </c>
      <c r="N80" s="18" t="s">
        <v>154</v>
      </c>
      <c r="O80" s="17" t="s">
        <v>154</v>
      </c>
      <c r="P80" s="18" t="s">
        <v>154</v>
      </c>
      <c r="Q80" s="17" t="s">
        <v>154</v>
      </c>
      <c r="R80" s="18" t="s">
        <v>154</v>
      </c>
      <c r="S80" s="17" t="s">
        <v>154</v>
      </c>
      <c r="T80" s="18" t="s">
        <v>154</v>
      </c>
    </row>
    <row r="81" spans="1:20" x14ac:dyDescent="0.25">
      <c r="A81" s="19" t="s">
        <v>214</v>
      </c>
      <c r="B81" s="13">
        <v>8861</v>
      </c>
      <c r="C81" s="14">
        <f>(7344/B81*100)</f>
        <v>82.880036113305493</v>
      </c>
      <c r="D81" s="15">
        <v>1517</v>
      </c>
      <c r="E81" s="14">
        <v>86.702174769999999</v>
      </c>
      <c r="F81" s="16">
        <v>1.19971706</v>
      </c>
      <c r="G81" s="14">
        <v>7.1663194499999996</v>
      </c>
      <c r="H81" s="16">
        <v>1.00237423</v>
      </c>
      <c r="I81" s="14">
        <v>6.1315057900000003</v>
      </c>
      <c r="J81" s="16">
        <v>0.77228158000000002</v>
      </c>
      <c r="K81" s="14" t="s">
        <v>139</v>
      </c>
      <c r="L81" s="16" t="s">
        <v>139</v>
      </c>
      <c r="M81" s="14">
        <v>0</v>
      </c>
      <c r="N81" s="16">
        <v>0</v>
      </c>
      <c r="O81" s="14">
        <v>0</v>
      </c>
      <c r="P81" s="16">
        <v>0</v>
      </c>
      <c r="Q81" s="14">
        <v>0</v>
      </c>
      <c r="R81" s="16">
        <v>0</v>
      </c>
      <c r="S81" s="14">
        <v>0</v>
      </c>
      <c r="T81" s="16">
        <v>0</v>
      </c>
    </row>
    <row r="82" spans="1:20" x14ac:dyDescent="0.25">
      <c r="A82" s="20"/>
      <c r="B82" s="20" t="s">
        <v>215</v>
      </c>
      <c r="C82" s="20" t="s">
        <v>215</v>
      </c>
      <c r="D82" s="20" t="s">
        <v>215</v>
      </c>
      <c r="E82" s="20" t="s">
        <v>215</v>
      </c>
      <c r="F82" s="20" t="s">
        <v>215</v>
      </c>
      <c r="G82" s="20" t="s">
        <v>215</v>
      </c>
      <c r="H82" s="20" t="s">
        <v>215</v>
      </c>
      <c r="I82" s="20" t="s">
        <v>215</v>
      </c>
      <c r="J82" s="20" t="s">
        <v>215</v>
      </c>
      <c r="K82" s="20" t="s">
        <v>215</v>
      </c>
      <c r="L82" s="20" t="s">
        <v>215</v>
      </c>
      <c r="M82" s="20" t="s">
        <v>215</v>
      </c>
      <c r="N82" s="20" t="s">
        <v>215</v>
      </c>
      <c r="O82" s="20" t="s">
        <v>215</v>
      </c>
      <c r="P82" s="20" t="s">
        <v>215</v>
      </c>
      <c r="Q82" s="20" t="s">
        <v>215</v>
      </c>
      <c r="R82" s="20" t="s">
        <v>215</v>
      </c>
      <c r="S82" s="20" t="s">
        <v>215</v>
      </c>
      <c r="T82" s="20" t="s">
        <v>215</v>
      </c>
    </row>
    <row r="83" spans="1:20" x14ac:dyDescent="0.25">
      <c r="A83" s="3" t="s">
        <v>216</v>
      </c>
    </row>
    <row r="84" spans="1:20" x14ac:dyDescent="0.25">
      <c r="A84" s="22" t="s">
        <v>217</v>
      </c>
      <c r="B84" s="23"/>
      <c r="C84" s="23"/>
      <c r="D84" s="23"/>
      <c r="E84" s="23"/>
      <c r="F84" s="23"/>
      <c r="G84" s="23"/>
      <c r="H84" s="23"/>
      <c r="I84" s="23"/>
      <c r="J84" s="23"/>
      <c r="K84" s="23"/>
      <c r="L84" s="23"/>
      <c r="M84" s="23"/>
      <c r="N84" s="23"/>
      <c r="O84" s="23"/>
      <c r="P84" s="23"/>
      <c r="Q84" s="23"/>
      <c r="R84" s="23"/>
      <c r="S84" s="23"/>
      <c r="T84" s="23"/>
    </row>
    <row r="85" spans="1:20" x14ac:dyDescent="0.25">
      <c r="A85" s="22" t="s">
        <v>218</v>
      </c>
      <c r="B85" s="23"/>
      <c r="C85" s="23"/>
      <c r="D85" s="23"/>
      <c r="E85" s="23"/>
      <c r="F85" s="23"/>
      <c r="G85" s="23"/>
      <c r="H85" s="23"/>
      <c r="I85" s="23"/>
      <c r="J85" s="23"/>
      <c r="K85" s="23"/>
      <c r="L85" s="23"/>
      <c r="M85" s="23"/>
      <c r="N85" s="23"/>
      <c r="O85" s="23"/>
      <c r="P85" s="23"/>
      <c r="Q85" s="23"/>
      <c r="R85" s="23"/>
      <c r="S85" s="23"/>
      <c r="T85" s="23"/>
    </row>
    <row r="86" spans="1:20" ht="30" customHeight="1" x14ac:dyDescent="0.25">
      <c r="A86" s="22" t="s">
        <v>219</v>
      </c>
      <c r="B86" s="23"/>
      <c r="C86" s="23"/>
      <c r="D86" s="23"/>
      <c r="E86" s="23"/>
      <c r="F86" s="23"/>
      <c r="G86" s="23"/>
      <c r="H86" s="23"/>
      <c r="I86" s="23"/>
      <c r="J86" s="23"/>
      <c r="K86" s="23"/>
      <c r="L86" s="23"/>
      <c r="M86" s="23"/>
      <c r="N86" s="23"/>
      <c r="O86" s="23"/>
      <c r="P86" s="23"/>
      <c r="Q86" s="23"/>
      <c r="R86" s="23"/>
      <c r="S86" s="23"/>
      <c r="T86" s="23"/>
    </row>
    <row r="87" spans="1:20" ht="30" customHeight="1" x14ac:dyDescent="0.25">
      <c r="A87" s="22" t="s">
        <v>215</v>
      </c>
      <c r="B87" s="23"/>
      <c r="C87" s="23"/>
      <c r="D87" s="23"/>
      <c r="E87" s="23"/>
      <c r="F87" s="23"/>
      <c r="G87" s="23"/>
      <c r="H87" s="23"/>
      <c r="I87" s="23"/>
      <c r="J87" s="23"/>
      <c r="K87" s="23"/>
      <c r="L87" s="23"/>
      <c r="M87" s="23"/>
      <c r="N87" s="23"/>
      <c r="O87" s="23"/>
      <c r="P87" s="23"/>
      <c r="Q87" s="23"/>
      <c r="R87" s="23"/>
      <c r="S87" s="23"/>
      <c r="T87" s="23"/>
    </row>
    <row r="88" spans="1:20" ht="30" customHeight="1" x14ac:dyDescent="0.25">
      <c r="A88" s="22" t="s">
        <v>220</v>
      </c>
      <c r="B88" s="23"/>
      <c r="C88" s="23"/>
      <c r="D88" s="23"/>
      <c r="E88" s="23"/>
      <c r="F88" s="23"/>
      <c r="G88" s="23"/>
      <c r="H88" s="23"/>
      <c r="I88" s="23"/>
      <c r="J88" s="23"/>
      <c r="K88" s="23"/>
      <c r="L88" s="23"/>
      <c r="M88" s="23"/>
      <c r="N88" s="23"/>
      <c r="O88" s="23"/>
      <c r="P88" s="23"/>
      <c r="Q88" s="23"/>
      <c r="R88" s="23"/>
      <c r="S88" s="23"/>
      <c r="T88" s="23"/>
    </row>
    <row r="89" spans="1:20" ht="30" customHeight="1" x14ac:dyDescent="0.25">
      <c r="A89" s="22" t="s">
        <v>221</v>
      </c>
      <c r="B89" s="23"/>
      <c r="C89" s="23"/>
      <c r="D89" s="23"/>
      <c r="E89" s="23"/>
      <c r="F89" s="23"/>
      <c r="G89" s="23"/>
      <c r="H89" s="23"/>
      <c r="I89" s="23"/>
      <c r="J89" s="23"/>
      <c r="K89" s="23"/>
      <c r="L89" s="23"/>
      <c r="M89" s="23"/>
      <c r="N89" s="23"/>
      <c r="O89" s="23"/>
      <c r="P89" s="23"/>
      <c r="Q89" s="23"/>
      <c r="R89" s="23"/>
      <c r="S89" s="23"/>
      <c r="T89" s="23"/>
    </row>
    <row r="90" spans="1:20" ht="30" customHeight="1" x14ac:dyDescent="0.25">
      <c r="A90" s="22" t="s">
        <v>222</v>
      </c>
      <c r="B90" s="23"/>
      <c r="C90" s="23"/>
      <c r="D90" s="23"/>
      <c r="E90" s="23"/>
      <c r="F90" s="23"/>
      <c r="G90" s="23"/>
      <c r="H90" s="23"/>
      <c r="I90" s="23"/>
      <c r="J90" s="23"/>
      <c r="K90" s="23"/>
      <c r="L90" s="23"/>
      <c r="M90" s="23"/>
      <c r="N90" s="23"/>
      <c r="O90" s="23"/>
      <c r="P90" s="23"/>
      <c r="Q90" s="23"/>
      <c r="R90" s="23"/>
      <c r="S90" s="23"/>
      <c r="T90" s="23"/>
    </row>
    <row r="91" spans="1:20" ht="30" customHeight="1" x14ac:dyDescent="0.25">
      <c r="A91" s="22" t="s">
        <v>223</v>
      </c>
      <c r="B91" s="23"/>
      <c r="C91" s="23"/>
      <c r="D91" s="23"/>
      <c r="E91" s="23"/>
      <c r="F91" s="23"/>
      <c r="G91" s="23"/>
      <c r="H91" s="23"/>
      <c r="I91" s="23"/>
      <c r="J91" s="23"/>
      <c r="K91" s="23"/>
      <c r="L91" s="23"/>
      <c r="M91" s="23"/>
      <c r="N91" s="23"/>
      <c r="O91" s="23"/>
      <c r="P91" s="23"/>
      <c r="Q91" s="23"/>
      <c r="R91" s="23"/>
      <c r="S91" s="23"/>
      <c r="T91" s="23"/>
    </row>
    <row r="92" spans="1:20" ht="30" customHeight="1" x14ac:dyDescent="0.25">
      <c r="A92" s="22" t="s">
        <v>224</v>
      </c>
      <c r="B92" s="23"/>
      <c r="C92" s="23"/>
      <c r="D92" s="23"/>
      <c r="E92" s="23"/>
      <c r="F92" s="23"/>
      <c r="G92" s="23"/>
      <c r="H92" s="23"/>
      <c r="I92" s="23"/>
      <c r="J92" s="23"/>
      <c r="K92" s="23"/>
      <c r="L92" s="23"/>
      <c r="M92" s="23"/>
      <c r="N92" s="23"/>
      <c r="O92" s="23"/>
      <c r="P92" s="23"/>
      <c r="Q92" s="23"/>
      <c r="R92" s="23"/>
      <c r="S92" s="23"/>
      <c r="T92" s="23"/>
    </row>
    <row r="93" spans="1:20" ht="30" customHeight="1" x14ac:dyDescent="0.25">
      <c r="A93" s="22" t="s">
        <v>225</v>
      </c>
      <c r="B93" s="23"/>
      <c r="C93" s="23"/>
      <c r="D93" s="23"/>
      <c r="E93" s="23"/>
      <c r="F93" s="23"/>
      <c r="G93" s="23"/>
      <c r="H93" s="23"/>
      <c r="I93" s="23"/>
      <c r="J93" s="23"/>
      <c r="K93" s="23"/>
      <c r="L93" s="23"/>
      <c r="M93" s="23"/>
      <c r="N93" s="23"/>
      <c r="O93" s="23"/>
      <c r="P93" s="23"/>
      <c r="Q93" s="23"/>
      <c r="R93" s="23"/>
      <c r="S93" s="23"/>
      <c r="T93" s="23"/>
    </row>
    <row r="94" spans="1:20" ht="30" customHeight="1" x14ac:dyDescent="0.25">
      <c r="A94" s="22" t="s">
        <v>226</v>
      </c>
      <c r="B94" s="23"/>
      <c r="C94" s="23"/>
      <c r="D94" s="23"/>
      <c r="E94" s="23"/>
      <c r="F94" s="23"/>
      <c r="G94" s="23"/>
      <c r="H94" s="23"/>
      <c r="I94" s="23"/>
      <c r="J94" s="23"/>
      <c r="K94" s="23"/>
      <c r="L94" s="23"/>
      <c r="M94" s="23"/>
      <c r="N94" s="23"/>
      <c r="O94" s="23"/>
      <c r="P94" s="23"/>
      <c r="Q94" s="23"/>
      <c r="R94" s="23"/>
      <c r="S94" s="23"/>
      <c r="T94" s="23"/>
    </row>
    <row r="95" spans="1:20" ht="30" customHeight="1" x14ac:dyDescent="0.25">
      <c r="A95" s="22" t="s">
        <v>227</v>
      </c>
      <c r="B95" s="23"/>
      <c r="C95" s="23"/>
      <c r="D95" s="23"/>
      <c r="E95" s="23"/>
      <c r="F95" s="23"/>
      <c r="G95" s="23"/>
      <c r="H95" s="23"/>
      <c r="I95" s="23"/>
      <c r="J95" s="23"/>
      <c r="K95" s="23"/>
      <c r="L95" s="23"/>
      <c r="M95" s="23"/>
      <c r="N95" s="23"/>
      <c r="O95" s="23"/>
      <c r="P95" s="23"/>
      <c r="Q95" s="23"/>
      <c r="R95" s="23"/>
      <c r="S95" s="23"/>
      <c r="T95" s="23"/>
    </row>
    <row r="96" spans="1:20" ht="30" customHeight="1" x14ac:dyDescent="0.25">
      <c r="A96" s="22" t="s">
        <v>228</v>
      </c>
      <c r="B96" s="23"/>
      <c r="C96" s="23"/>
      <c r="D96" s="23"/>
      <c r="E96" s="23"/>
      <c r="F96" s="23"/>
      <c r="G96" s="23"/>
      <c r="H96" s="23"/>
      <c r="I96" s="23"/>
      <c r="J96" s="23"/>
      <c r="K96" s="23"/>
      <c r="L96" s="23"/>
      <c r="M96" s="23"/>
      <c r="N96" s="23"/>
      <c r="O96" s="23"/>
      <c r="P96" s="23"/>
      <c r="Q96" s="23"/>
      <c r="R96" s="23"/>
      <c r="S96" s="23"/>
      <c r="T96" s="23"/>
    </row>
  </sheetData>
  <mergeCells count="23">
    <mergeCell ref="O4:P4"/>
    <mergeCell ref="Q4:R4"/>
    <mergeCell ref="S4:T4"/>
    <mergeCell ref="A1:T1"/>
    <mergeCell ref="A2:T2"/>
    <mergeCell ref="E4:F4"/>
    <mergeCell ref="G4:H4"/>
    <mergeCell ref="I4:J4"/>
    <mergeCell ref="K4:L4"/>
    <mergeCell ref="M4:N4"/>
    <mergeCell ref="A84:T84"/>
    <mergeCell ref="A85:T85"/>
    <mergeCell ref="A86:T86"/>
    <mergeCell ref="A87:T87"/>
    <mergeCell ref="A88:T88"/>
    <mergeCell ref="A94:T94"/>
    <mergeCell ref="A95:T95"/>
    <mergeCell ref="A96:T96"/>
    <mergeCell ref="A89:T89"/>
    <mergeCell ref="A90:T90"/>
    <mergeCell ref="A91:T91"/>
    <mergeCell ref="A92:T92"/>
    <mergeCell ref="A93:T93"/>
  </mergeCells>
  <pageMargins left="0.75" right="0.75" top="1" bottom="1" header="0.5" footer="0.5"/>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9"/>
  <dimension ref="A1:T96"/>
  <sheetViews>
    <sheetView zoomScale="80" workbookViewId="0">
      <pane xSplit="4" topLeftCell="E1" activePane="topRight" state="frozen"/>
      <selection sqref="A1:R1"/>
      <selection pane="topRight" sqref="A1:T1"/>
    </sheetView>
  </sheetViews>
  <sheetFormatPr defaultColWidth="11.42578125" defaultRowHeight="15" x14ac:dyDescent="0.25"/>
  <cols>
    <col min="1" max="1" width="50" customWidth="1"/>
  </cols>
  <sheetData>
    <row r="1" spans="1:20" x14ac:dyDescent="0.25">
      <c r="A1" s="26" t="s">
        <v>122</v>
      </c>
      <c r="B1" s="23"/>
      <c r="C1" s="23"/>
      <c r="D1" s="23"/>
      <c r="E1" s="23"/>
      <c r="F1" s="23"/>
      <c r="G1" s="23"/>
      <c r="H1" s="23"/>
      <c r="I1" s="23"/>
      <c r="J1" s="23"/>
      <c r="K1" s="23"/>
      <c r="L1" s="23"/>
      <c r="M1" s="23"/>
      <c r="N1" s="23"/>
      <c r="O1" s="23"/>
      <c r="P1" s="23"/>
      <c r="Q1" s="23"/>
      <c r="R1" s="23"/>
      <c r="S1" s="23"/>
      <c r="T1" s="23"/>
    </row>
    <row r="2" spans="1:20" x14ac:dyDescent="0.25">
      <c r="A2" s="27" t="s">
        <v>335</v>
      </c>
      <c r="B2" s="23"/>
      <c r="C2" s="23"/>
      <c r="D2" s="23"/>
      <c r="E2" s="23"/>
      <c r="F2" s="23"/>
      <c r="G2" s="23"/>
      <c r="H2" s="23"/>
      <c r="I2" s="23"/>
      <c r="J2" s="23"/>
      <c r="K2" s="23"/>
      <c r="L2" s="23"/>
      <c r="M2" s="23"/>
      <c r="N2" s="23"/>
      <c r="O2" s="23"/>
      <c r="P2" s="23"/>
      <c r="Q2" s="23"/>
      <c r="R2" s="23"/>
      <c r="S2" s="23"/>
      <c r="T2" s="23"/>
    </row>
    <row r="4" spans="1:20" ht="30" customHeight="1" x14ac:dyDescent="0.25">
      <c r="A4" s="4"/>
      <c r="B4" s="5" t="s">
        <v>123</v>
      </c>
      <c r="C4" s="5" t="s">
        <v>124</v>
      </c>
      <c r="D4" s="6" t="s">
        <v>123</v>
      </c>
      <c r="E4" s="24" t="s">
        <v>125</v>
      </c>
      <c r="F4" s="25"/>
      <c r="G4" s="24" t="s">
        <v>233</v>
      </c>
      <c r="H4" s="25"/>
      <c r="I4" s="24" t="s">
        <v>234</v>
      </c>
      <c r="J4" s="25"/>
      <c r="K4" s="24" t="s">
        <v>127</v>
      </c>
      <c r="L4" s="25"/>
      <c r="M4" s="24" t="s">
        <v>128</v>
      </c>
      <c r="N4" s="25"/>
      <c r="O4" s="24" t="s">
        <v>129</v>
      </c>
      <c r="P4" s="25"/>
      <c r="Q4" s="24" t="s">
        <v>130</v>
      </c>
      <c r="R4" s="25"/>
      <c r="S4" s="24" t="s">
        <v>131</v>
      </c>
      <c r="T4" s="25"/>
    </row>
    <row r="5" spans="1:20" x14ac:dyDescent="0.25">
      <c r="A5" s="7"/>
      <c r="B5" s="8" t="s">
        <v>132</v>
      </c>
      <c r="C5" s="8" t="s">
        <v>133</v>
      </c>
      <c r="D5" s="7" t="s">
        <v>134</v>
      </c>
      <c r="E5" s="8" t="s">
        <v>135</v>
      </c>
      <c r="F5" s="7" t="s">
        <v>136</v>
      </c>
      <c r="G5" s="8" t="s">
        <v>135</v>
      </c>
      <c r="H5" s="7" t="s">
        <v>136</v>
      </c>
      <c r="I5" s="8" t="s">
        <v>135</v>
      </c>
      <c r="J5" s="7" t="s">
        <v>136</v>
      </c>
      <c r="K5" s="8" t="s">
        <v>135</v>
      </c>
      <c r="L5" s="7" t="s">
        <v>136</v>
      </c>
      <c r="M5" s="8" t="s">
        <v>135</v>
      </c>
      <c r="N5" s="7" t="s">
        <v>136</v>
      </c>
      <c r="O5" s="8" t="s">
        <v>135</v>
      </c>
      <c r="P5" s="7" t="s">
        <v>136</v>
      </c>
      <c r="Q5" s="8" t="s">
        <v>135</v>
      </c>
      <c r="R5" s="7" t="s">
        <v>136</v>
      </c>
      <c r="S5" s="8" t="s">
        <v>135</v>
      </c>
      <c r="T5" s="7" t="s">
        <v>136</v>
      </c>
    </row>
    <row r="6" spans="1:20" x14ac:dyDescent="0.25">
      <c r="A6" s="9" t="s">
        <v>137</v>
      </c>
      <c r="B6" s="10"/>
      <c r="C6" s="10"/>
      <c r="D6" s="11"/>
      <c r="E6" s="10"/>
      <c r="F6" s="11"/>
      <c r="G6" s="10"/>
      <c r="H6" s="11"/>
      <c r="I6" s="10"/>
      <c r="J6" s="11"/>
      <c r="K6" s="10"/>
      <c r="L6" s="11"/>
      <c r="M6" s="10"/>
      <c r="N6" s="11"/>
      <c r="O6" s="10"/>
      <c r="P6" s="11"/>
      <c r="Q6" s="10"/>
      <c r="R6" s="11"/>
      <c r="S6" s="10"/>
      <c r="T6" s="12"/>
    </row>
    <row r="7" spans="1:20" x14ac:dyDescent="0.25">
      <c r="A7" s="11" t="s">
        <v>138</v>
      </c>
      <c r="B7" s="13">
        <v>14530</v>
      </c>
      <c r="C7" s="14">
        <f>(12104/B7*100)</f>
        <v>83.303509979353066</v>
      </c>
      <c r="D7" s="15">
        <v>2426</v>
      </c>
      <c r="E7" s="14">
        <v>29.03078253</v>
      </c>
      <c r="F7" s="16">
        <v>1.1802600299999999</v>
      </c>
      <c r="G7" s="14">
        <v>8.0582227799999995</v>
      </c>
      <c r="H7" s="16">
        <v>0.67926920000000002</v>
      </c>
      <c r="I7" s="14">
        <v>62.910994680000002</v>
      </c>
      <c r="J7" s="16">
        <v>1.0391345299999999</v>
      </c>
      <c r="K7" s="14" t="s">
        <v>139</v>
      </c>
      <c r="L7" s="16" t="s">
        <v>139</v>
      </c>
      <c r="M7" s="14">
        <v>0</v>
      </c>
      <c r="N7" s="16">
        <v>0</v>
      </c>
      <c r="O7" s="14">
        <v>0</v>
      </c>
      <c r="P7" s="16">
        <v>0</v>
      </c>
      <c r="Q7" s="14">
        <v>0</v>
      </c>
      <c r="R7" s="16">
        <v>0</v>
      </c>
      <c r="S7" s="14">
        <v>0</v>
      </c>
      <c r="T7" s="16">
        <v>0</v>
      </c>
    </row>
    <row r="8" spans="1:20" x14ac:dyDescent="0.25">
      <c r="A8" s="11" t="s">
        <v>140</v>
      </c>
      <c r="B8" s="13">
        <v>7007</v>
      </c>
      <c r="C8" s="14">
        <f>(5788/B8*100)</f>
        <v>82.603111174539748</v>
      </c>
      <c r="D8" s="15">
        <v>1219</v>
      </c>
      <c r="E8" s="14">
        <v>44.003925750000001</v>
      </c>
      <c r="F8" s="16">
        <v>1.6088120299999999</v>
      </c>
      <c r="G8" s="14">
        <v>15.68925533</v>
      </c>
      <c r="H8" s="16">
        <v>1.14427346</v>
      </c>
      <c r="I8" s="14">
        <v>40.306818919999998</v>
      </c>
      <c r="J8" s="16">
        <v>1.47056645</v>
      </c>
      <c r="K8" s="14" t="s">
        <v>139</v>
      </c>
      <c r="L8" s="16" t="s">
        <v>139</v>
      </c>
      <c r="M8" s="14">
        <v>0</v>
      </c>
      <c r="N8" s="16">
        <v>0</v>
      </c>
      <c r="O8" s="14">
        <v>0</v>
      </c>
      <c r="P8" s="16">
        <v>0</v>
      </c>
      <c r="Q8" s="14">
        <v>0</v>
      </c>
      <c r="R8" s="16">
        <v>0</v>
      </c>
      <c r="S8" s="14">
        <v>0</v>
      </c>
      <c r="T8" s="16">
        <v>0</v>
      </c>
    </row>
    <row r="9" spans="1:20" x14ac:dyDescent="0.25">
      <c r="A9" s="11" t="s">
        <v>141</v>
      </c>
      <c r="B9" s="13">
        <v>9651</v>
      </c>
      <c r="C9" s="14">
        <f>(8085/B9*100)</f>
        <v>83.773702207025181</v>
      </c>
      <c r="D9" s="15">
        <v>1566</v>
      </c>
      <c r="E9" s="14">
        <v>47.436738939999998</v>
      </c>
      <c r="F9" s="16">
        <v>1.2446781899999999</v>
      </c>
      <c r="G9" s="14">
        <v>15.561974660000001</v>
      </c>
      <c r="H9" s="16">
        <v>0.91580790999999995</v>
      </c>
      <c r="I9" s="14">
        <v>37.001286399999998</v>
      </c>
      <c r="J9" s="16">
        <v>1.1979436699999999</v>
      </c>
      <c r="K9" s="14" t="s">
        <v>139</v>
      </c>
      <c r="L9" s="16" t="s">
        <v>139</v>
      </c>
      <c r="M9" s="14">
        <v>0</v>
      </c>
      <c r="N9" s="16">
        <v>0</v>
      </c>
      <c r="O9" s="14">
        <v>0</v>
      </c>
      <c r="P9" s="16">
        <v>0</v>
      </c>
      <c r="Q9" s="14">
        <v>0</v>
      </c>
      <c r="R9" s="16">
        <v>0</v>
      </c>
      <c r="S9" s="14">
        <v>0</v>
      </c>
      <c r="T9" s="16">
        <v>0</v>
      </c>
    </row>
    <row r="10" spans="1:20" x14ac:dyDescent="0.25">
      <c r="A10" s="11" t="s">
        <v>142</v>
      </c>
      <c r="B10" s="13">
        <v>20058</v>
      </c>
      <c r="C10" s="14">
        <f>(16682/B10*100)</f>
        <v>83.168810449695883</v>
      </c>
      <c r="D10" s="15">
        <v>3376</v>
      </c>
      <c r="E10" s="14">
        <v>30.732251829999999</v>
      </c>
      <c r="F10" s="16">
        <v>1.0673867100000001</v>
      </c>
      <c r="G10" s="14">
        <v>8.1186710699999995</v>
      </c>
      <c r="H10" s="16">
        <v>0.65970408000000003</v>
      </c>
      <c r="I10" s="14">
        <v>61.1490771</v>
      </c>
      <c r="J10" s="16">
        <v>1.10610301</v>
      </c>
      <c r="K10" s="14" t="s">
        <v>139</v>
      </c>
      <c r="L10" s="16" t="s">
        <v>139</v>
      </c>
      <c r="M10" s="14">
        <v>0</v>
      </c>
      <c r="N10" s="16">
        <v>0</v>
      </c>
      <c r="O10" s="14">
        <v>0</v>
      </c>
      <c r="P10" s="16">
        <v>0</v>
      </c>
      <c r="Q10" s="14">
        <v>0</v>
      </c>
      <c r="R10" s="16">
        <v>0</v>
      </c>
      <c r="S10" s="14">
        <v>0</v>
      </c>
      <c r="T10" s="16">
        <v>0</v>
      </c>
    </row>
    <row r="11" spans="1:20" x14ac:dyDescent="0.25">
      <c r="A11" s="11" t="s">
        <v>143</v>
      </c>
      <c r="B11" s="13">
        <v>7053</v>
      </c>
      <c r="C11" s="14">
        <f>(5879/B11*100)</f>
        <v>83.354600879058566</v>
      </c>
      <c r="D11" s="15">
        <v>1174</v>
      </c>
      <c r="E11" s="14">
        <v>61.657863800000001</v>
      </c>
      <c r="F11" s="16">
        <v>1.7334445999999999</v>
      </c>
      <c r="G11" s="14">
        <v>14.027045899999999</v>
      </c>
      <c r="H11" s="16">
        <v>1.08611748</v>
      </c>
      <c r="I11" s="14">
        <v>24.315090300000001</v>
      </c>
      <c r="J11" s="16">
        <v>1.40494553</v>
      </c>
      <c r="K11" s="14" t="s">
        <v>139</v>
      </c>
      <c r="L11" s="16" t="s">
        <v>139</v>
      </c>
      <c r="M11" s="14">
        <v>0</v>
      </c>
      <c r="N11" s="16">
        <v>0</v>
      </c>
      <c r="O11" s="14">
        <v>0</v>
      </c>
      <c r="P11" s="16">
        <v>0</v>
      </c>
      <c r="Q11" s="14">
        <v>0</v>
      </c>
      <c r="R11" s="16">
        <v>0</v>
      </c>
      <c r="S11" s="14">
        <v>0</v>
      </c>
      <c r="T11" s="16">
        <v>0</v>
      </c>
    </row>
    <row r="12" spans="1:20" x14ac:dyDescent="0.25">
      <c r="A12" s="11" t="s">
        <v>144</v>
      </c>
      <c r="B12" s="13">
        <v>6894</v>
      </c>
      <c r="C12" s="14">
        <f>(5739/B12*100)</f>
        <v>83.246301131418619</v>
      </c>
      <c r="D12" s="15">
        <v>1155</v>
      </c>
      <c r="E12" s="14">
        <v>44.037766519999998</v>
      </c>
      <c r="F12" s="16">
        <v>1.6080942600000001</v>
      </c>
      <c r="G12" s="14">
        <v>18.130520099999998</v>
      </c>
      <c r="H12" s="16">
        <v>1.16019104</v>
      </c>
      <c r="I12" s="14">
        <v>37.831713370000003</v>
      </c>
      <c r="J12" s="16">
        <v>1.75064957</v>
      </c>
      <c r="K12" s="14" t="s">
        <v>139</v>
      </c>
      <c r="L12" s="16" t="s">
        <v>139</v>
      </c>
      <c r="M12" s="14">
        <v>0</v>
      </c>
      <c r="N12" s="16">
        <v>0</v>
      </c>
      <c r="O12" s="14">
        <v>0</v>
      </c>
      <c r="P12" s="16">
        <v>0</v>
      </c>
      <c r="Q12" s="14">
        <v>0</v>
      </c>
      <c r="R12" s="16">
        <v>0</v>
      </c>
      <c r="S12" s="14">
        <v>0</v>
      </c>
      <c r="T12" s="16">
        <v>0</v>
      </c>
    </row>
    <row r="13" spans="1:20" x14ac:dyDescent="0.25">
      <c r="A13" s="11" t="s">
        <v>145</v>
      </c>
      <c r="B13" s="13">
        <v>7161</v>
      </c>
      <c r="C13" s="14">
        <f>(6014/B13*100)</f>
        <v>83.98268398268398</v>
      </c>
      <c r="D13" s="15">
        <v>1147</v>
      </c>
      <c r="E13" s="14">
        <v>24.801925870000002</v>
      </c>
      <c r="F13" s="16">
        <v>1.6115963900000001</v>
      </c>
      <c r="G13" s="14">
        <v>10.630806809999999</v>
      </c>
      <c r="H13" s="16">
        <v>0.92684551000000004</v>
      </c>
      <c r="I13" s="14">
        <v>64.567267319999999</v>
      </c>
      <c r="J13" s="16">
        <v>1.85057234</v>
      </c>
      <c r="K13" s="14" t="s">
        <v>139</v>
      </c>
      <c r="L13" s="16" t="s">
        <v>139</v>
      </c>
      <c r="M13" s="14">
        <v>0</v>
      </c>
      <c r="N13" s="16">
        <v>0</v>
      </c>
      <c r="O13" s="14">
        <v>0</v>
      </c>
      <c r="P13" s="16">
        <v>0</v>
      </c>
      <c r="Q13" s="14">
        <v>0</v>
      </c>
      <c r="R13" s="16">
        <v>0</v>
      </c>
      <c r="S13" s="14">
        <v>0</v>
      </c>
      <c r="T13" s="16">
        <v>0</v>
      </c>
    </row>
    <row r="14" spans="1:20" x14ac:dyDescent="0.25">
      <c r="A14" s="11" t="s">
        <v>146</v>
      </c>
      <c r="B14" s="13">
        <v>5587</v>
      </c>
      <c r="C14" s="14">
        <f>(4630/B14*100)</f>
        <v>82.870950420619295</v>
      </c>
      <c r="D14" s="15">
        <v>957</v>
      </c>
      <c r="E14" s="14">
        <v>36.455449219999998</v>
      </c>
      <c r="F14" s="16">
        <v>1.7393385800000001</v>
      </c>
      <c r="G14" s="14">
        <v>11.300784569999999</v>
      </c>
      <c r="H14" s="16">
        <v>1.0091243299999999</v>
      </c>
      <c r="I14" s="14">
        <v>52.243766209999997</v>
      </c>
      <c r="J14" s="16">
        <v>1.76590067</v>
      </c>
      <c r="K14" s="14" t="s">
        <v>139</v>
      </c>
      <c r="L14" s="16" t="s">
        <v>139</v>
      </c>
      <c r="M14" s="14">
        <v>0</v>
      </c>
      <c r="N14" s="16">
        <v>0</v>
      </c>
      <c r="O14" s="14">
        <v>0</v>
      </c>
      <c r="P14" s="16">
        <v>0</v>
      </c>
      <c r="Q14" s="14">
        <v>0</v>
      </c>
      <c r="R14" s="16">
        <v>0</v>
      </c>
      <c r="S14" s="14">
        <v>0</v>
      </c>
      <c r="T14" s="16">
        <v>0</v>
      </c>
    </row>
    <row r="15" spans="1:20" x14ac:dyDescent="0.25">
      <c r="A15" s="11" t="s">
        <v>147</v>
      </c>
      <c r="B15" s="13">
        <v>5882</v>
      </c>
      <c r="C15" s="14">
        <f>(4876/B15*100)</f>
        <v>82.896973818429103</v>
      </c>
      <c r="D15" s="15">
        <v>1006</v>
      </c>
      <c r="E15" s="14">
        <v>21.334975700000001</v>
      </c>
      <c r="F15" s="16">
        <v>1.4087050000000001</v>
      </c>
      <c r="G15" s="14">
        <v>4.8980122699999997</v>
      </c>
      <c r="H15" s="16">
        <v>0.68637313</v>
      </c>
      <c r="I15" s="14">
        <v>73.767012030000004</v>
      </c>
      <c r="J15" s="16">
        <v>1.3109415200000001</v>
      </c>
      <c r="K15" s="14" t="s">
        <v>139</v>
      </c>
      <c r="L15" s="16" t="s">
        <v>139</v>
      </c>
      <c r="M15" s="14">
        <v>0</v>
      </c>
      <c r="N15" s="16">
        <v>0</v>
      </c>
      <c r="O15" s="14">
        <v>0</v>
      </c>
      <c r="P15" s="16">
        <v>0</v>
      </c>
      <c r="Q15" s="14">
        <v>0</v>
      </c>
      <c r="R15" s="16">
        <v>0</v>
      </c>
      <c r="S15" s="14">
        <v>0</v>
      </c>
      <c r="T15" s="16">
        <v>0</v>
      </c>
    </row>
    <row r="16" spans="1:20" x14ac:dyDescent="0.25">
      <c r="A16" s="11" t="s">
        <v>148</v>
      </c>
      <c r="B16" s="13">
        <v>6108</v>
      </c>
      <c r="C16" s="14">
        <f>(5090/B16*100)</f>
        <v>83.333333333333343</v>
      </c>
      <c r="D16" s="15">
        <v>1018</v>
      </c>
      <c r="E16" s="14">
        <v>45.45734238</v>
      </c>
      <c r="F16" s="16">
        <v>1.5711470700000001</v>
      </c>
      <c r="G16" s="14">
        <v>13.21131379</v>
      </c>
      <c r="H16" s="16">
        <v>1.0624685700000001</v>
      </c>
      <c r="I16" s="14">
        <v>41.331343830000002</v>
      </c>
      <c r="J16" s="16">
        <v>1.74805247</v>
      </c>
      <c r="K16" s="14" t="s">
        <v>139</v>
      </c>
      <c r="L16" s="16" t="s">
        <v>139</v>
      </c>
      <c r="M16" s="14">
        <v>0</v>
      </c>
      <c r="N16" s="16">
        <v>0</v>
      </c>
      <c r="O16" s="14">
        <v>0</v>
      </c>
      <c r="P16" s="16">
        <v>0</v>
      </c>
      <c r="Q16" s="14">
        <v>0</v>
      </c>
      <c r="R16" s="16">
        <v>0</v>
      </c>
      <c r="S16" s="14">
        <v>0</v>
      </c>
      <c r="T16" s="16">
        <v>0</v>
      </c>
    </row>
    <row r="17" spans="1:20" x14ac:dyDescent="0.25">
      <c r="A17" s="11" t="s">
        <v>149</v>
      </c>
      <c r="B17" s="13">
        <v>6504</v>
      </c>
      <c r="C17" s="14">
        <f>(5420/B17*100)</f>
        <v>83.333333333333343</v>
      </c>
      <c r="D17" s="15">
        <v>1084</v>
      </c>
      <c r="E17" s="14">
        <v>43.103028760000001</v>
      </c>
      <c r="F17" s="16">
        <v>1.57354745</v>
      </c>
      <c r="G17" s="14">
        <v>14.898972540000001</v>
      </c>
      <c r="H17" s="16">
        <v>1.0536154900000001</v>
      </c>
      <c r="I17" s="14">
        <v>41.997998699999997</v>
      </c>
      <c r="J17" s="16">
        <v>1.60780688</v>
      </c>
      <c r="K17" s="14" t="s">
        <v>139</v>
      </c>
      <c r="L17" s="16" t="s">
        <v>139</v>
      </c>
      <c r="M17" s="14">
        <v>0</v>
      </c>
      <c r="N17" s="16">
        <v>0</v>
      </c>
      <c r="O17" s="14">
        <v>0</v>
      </c>
      <c r="P17" s="16">
        <v>0</v>
      </c>
      <c r="Q17" s="14">
        <v>0</v>
      </c>
      <c r="R17" s="16">
        <v>0</v>
      </c>
      <c r="S17" s="14">
        <v>0</v>
      </c>
      <c r="T17" s="16">
        <v>0</v>
      </c>
    </row>
    <row r="18" spans="1:20" x14ac:dyDescent="0.25">
      <c r="A18" s="11" t="s">
        <v>150</v>
      </c>
      <c r="B18" s="13">
        <v>5532</v>
      </c>
      <c r="C18" s="14">
        <f>(4585/B18*100)</f>
        <v>82.881417208966013</v>
      </c>
      <c r="D18" s="15">
        <v>947</v>
      </c>
      <c r="E18" s="14">
        <v>52.257997750000001</v>
      </c>
      <c r="F18" s="16">
        <v>2.0679819799999999</v>
      </c>
      <c r="G18" s="14">
        <v>9.8210760500000003</v>
      </c>
      <c r="H18" s="16">
        <v>1.0506008600000001</v>
      </c>
      <c r="I18" s="14">
        <v>37.920926199999997</v>
      </c>
      <c r="J18" s="16">
        <v>1.9072740699999999</v>
      </c>
      <c r="K18" s="14" t="s">
        <v>139</v>
      </c>
      <c r="L18" s="16" t="s">
        <v>139</v>
      </c>
      <c r="M18" s="14">
        <v>0</v>
      </c>
      <c r="N18" s="16">
        <v>0</v>
      </c>
      <c r="O18" s="14">
        <v>0</v>
      </c>
      <c r="P18" s="16">
        <v>0</v>
      </c>
      <c r="Q18" s="14">
        <v>0</v>
      </c>
      <c r="R18" s="16">
        <v>0</v>
      </c>
      <c r="S18" s="14">
        <v>0</v>
      </c>
      <c r="T18" s="16">
        <v>0</v>
      </c>
    </row>
    <row r="19" spans="1:20" x14ac:dyDescent="0.25">
      <c r="A19" s="11" t="s">
        <v>151</v>
      </c>
      <c r="B19" s="13">
        <v>5658</v>
      </c>
      <c r="C19" s="14">
        <f>(4718/B19*100)</f>
        <v>83.38635560268645</v>
      </c>
      <c r="D19" s="15">
        <v>940</v>
      </c>
      <c r="E19" s="14">
        <v>50.771040190000001</v>
      </c>
      <c r="F19" s="16">
        <v>1.8913258799999999</v>
      </c>
      <c r="G19" s="14">
        <v>21.03545686</v>
      </c>
      <c r="H19" s="16">
        <v>1.4783362499999999</v>
      </c>
      <c r="I19" s="14">
        <v>28.193502949999999</v>
      </c>
      <c r="J19" s="16">
        <v>1.76063367</v>
      </c>
      <c r="K19" s="14" t="s">
        <v>139</v>
      </c>
      <c r="L19" s="16" t="s">
        <v>139</v>
      </c>
      <c r="M19" s="14">
        <v>0</v>
      </c>
      <c r="N19" s="16">
        <v>0</v>
      </c>
      <c r="O19" s="14">
        <v>0</v>
      </c>
      <c r="P19" s="16">
        <v>0</v>
      </c>
      <c r="Q19" s="14">
        <v>0</v>
      </c>
      <c r="R19" s="16">
        <v>0</v>
      </c>
      <c r="S19" s="14">
        <v>0</v>
      </c>
      <c r="T19" s="16">
        <v>0</v>
      </c>
    </row>
    <row r="20" spans="1:20" x14ac:dyDescent="0.25">
      <c r="A20" s="11" t="s">
        <v>152</v>
      </c>
      <c r="B20" s="13">
        <v>3371</v>
      </c>
      <c r="C20" s="14">
        <f>(2807/B20*100)</f>
        <v>83.26905962622368</v>
      </c>
      <c r="D20" s="15">
        <v>564</v>
      </c>
      <c r="E20" s="14">
        <v>33.76834521</v>
      </c>
      <c r="F20" s="16">
        <v>2.3075948400000001</v>
      </c>
      <c r="G20" s="14">
        <v>19.901824919999999</v>
      </c>
      <c r="H20" s="16">
        <v>2.1311634499999998</v>
      </c>
      <c r="I20" s="14">
        <v>46.329829869999998</v>
      </c>
      <c r="J20" s="16">
        <v>2.22908478</v>
      </c>
      <c r="K20" s="14" t="s">
        <v>139</v>
      </c>
      <c r="L20" s="16" t="s">
        <v>139</v>
      </c>
      <c r="M20" s="14">
        <v>0</v>
      </c>
      <c r="N20" s="16">
        <v>0</v>
      </c>
      <c r="O20" s="14">
        <v>0</v>
      </c>
      <c r="P20" s="16">
        <v>0</v>
      </c>
      <c r="Q20" s="14">
        <v>0</v>
      </c>
      <c r="R20" s="16">
        <v>0</v>
      </c>
      <c r="S20" s="14">
        <v>0</v>
      </c>
      <c r="T20" s="16">
        <v>0</v>
      </c>
    </row>
    <row r="21" spans="1:20" x14ac:dyDescent="0.25">
      <c r="A21" s="11" t="s">
        <v>153</v>
      </c>
      <c r="B21" s="17" t="s">
        <v>154</v>
      </c>
      <c r="C21" s="17" t="s">
        <v>154</v>
      </c>
      <c r="D21" s="18" t="s">
        <v>154</v>
      </c>
      <c r="E21" s="17" t="s">
        <v>154</v>
      </c>
      <c r="F21" s="18" t="s">
        <v>154</v>
      </c>
      <c r="G21" s="17" t="s">
        <v>154</v>
      </c>
      <c r="H21" s="18" t="s">
        <v>154</v>
      </c>
      <c r="I21" s="17" t="s">
        <v>154</v>
      </c>
      <c r="J21" s="18" t="s">
        <v>154</v>
      </c>
      <c r="K21" s="17" t="s">
        <v>154</v>
      </c>
      <c r="L21" s="18" t="s">
        <v>154</v>
      </c>
      <c r="M21" s="17" t="s">
        <v>154</v>
      </c>
      <c r="N21" s="18" t="s">
        <v>154</v>
      </c>
      <c r="O21" s="17" t="s">
        <v>154</v>
      </c>
      <c r="P21" s="18" t="s">
        <v>154</v>
      </c>
      <c r="Q21" s="17" t="s">
        <v>154</v>
      </c>
      <c r="R21" s="18" t="s">
        <v>154</v>
      </c>
      <c r="S21" s="17" t="s">
        <v>154</v>
      </c>
      <c r="T21" s="18" t="s">
        <v>154</v>
      </c>
    </row>
    <row r="22" spans="1:20" x14ac:dyDescent="0.25">
      <c r="A22" s="11" t="s">
        <v>155</v>
      </c>
      <c r="B22" s="13">
        <v>6598</v>
      </c>
      <c r="C22" s="14">
        <f>(5584/B22*100)</f>
        <v>84.631706577750833</v>
      </c>
      <c r="D22" s="15">
        <v>1014</v>
      </c>
      <c r="E22" s="14">
        <v>47.312864349999998</v>
      </c>
      <c r="F22" s="16">
        <v>1.7592504499999999</v>
      </c>
      <c r="G22" s="14">
        <v>11.98510956</v>
      </c>
      <c r="H22" s="16">
        <v>1.1958676699999999</v>
      </c>
      <c r="I22" s="14">
        <v>40.702026080000003</v>
      </c>
      <c r="J22" s="16">
        <v>1.6914575199999999</v>
      </c>
      <c r="K22" s="14" t="s">
        <v>139</v>
      </c>
      <c r="L22" s="16" t="s">
        <v>139</v>
      </c>
      <c r="M22" s="14">
        <v>0</v>
      </c>
      <c r="N22" s="16">
        <v>0</v>
      </c>
      <c r="O22" s="14">
        <v>0</v>
      </c>
      <c r="P22" s="16">
        <v>0</v>
      </c>
      <c r="Q22" s="14">
        <v>0</v>
      </c>
      <c r="R22" s="16">
        <v>0</v>
      </c>
      <c r="S22" s="14">
        <v>0</v>
      </c>
      <c r="T22" s="16">
        <v>0</v>
      </c>
    </row>
    <row r="23" spans="1:20" x14ac:dyDescent="0.25">
      <c r="A23" s="11" t="s">
        <v>156</v>
      </c>
      <c r="B23" s="13">
        <v>11583</v>
      </c>
      <c r="C23" s="14">
        <f>(9600/B23*100)</f>
        <v>82.880082880082881</v>
      </c>
      <c r="D23" s="15">
        <v>1983</v>
      </c>
      <c r="E23" s="14">
        <v>58.34523137</v>
      </c>
      <c r="F23" s="16">
        <v>1.5486844500000001</v>
      </c>
      <c r="G23" s="14">
        <v>13.79834819</v>
      </c>
      <c r="H23" s="16">
        <v>1.32401941</v>
      </c>
      <c r="I23" s="14">
        <v>27.856420450000002</v>
      </c>
      <c r="J23" s="16">
        <v>1.4521298199999999</v>
      </c>
      <c r="K23" s="14" t="s">
        <v>139</v>
      </c>
      <c r="L23" s="16" t="s">
        <v>139</v>
      </c>
      <c r="M23" s="14">
        <v>0</v>
      </c>
      <c r="N23" s="16">
        <v>0</v>
      </c>
      <c r="O23" s="14">
        <v>0</v>
      </c>
      <c r="P23" s="16">
        <v>0</v>
      </c>
      <c r="Q23" s="14">
        <v>0</v>
      </c>
      <c r="R23" s="16">
        <v>0</v>
      </c>
      <c r="S23" s="14">
        <v>0</v>
      </c>
      <c r="T23" s="16">
        <v>0</v>
      </c>
    </row>
    <row r="24" spans="1:20" x14ac:dyDescent="0.25">
      <c r="A24" s="11" t="s">
        <v>157</v>
      </c>
      <c r="B24" s="13">
        <v>6647</v>
      </c>
      <c r="C24" s="14">
        <f>(5501/B24*100)</f>
        <v>82.759139461411152</v>
      </c>
      <c r="D24" s="15">
        <v>1146</v>
      </c>
      <c r="E24" s="14">
        <v>20.482855839999999</v>
      </c>
      <c r="F24" s="16">
        <v>1.98179482</v>
      </c>
      <c r="G24" s="14">
        <v>9.1376622699999999</v>
      </c>
      <c r="H24" s="16">
        <v>0.74430509</v>
      </c>
      <c r="I24" s="14">
        <v>70.379481889999994</v>
      </c>
      <c r="J24" s="16">
        <v>1.8196218399999999</v>
      </c>
      <c r="K24" s="14" t="s">
        <v>139</v>
      </c>
      <c r="L24" s="16" t="s">
        <v>139</v>
      </c>
      <c r="M24" s="14">
        <v>0</v>
      </c>
      <c r="N24" s="16">
        <v>0</v>
      </c>
      <c r="O24" s="14">
        <v>0</v>
      </c>
      <c r="P24" s="16">
        <v>0</v>
      </c>
      <c r="Q24" s="14">
        <v>0</v>
      </c>
      <c r="R24" s="16">
        <v>0</v>
      </c>
      <c r="S24" s="14">
        <v>0</v>
      </c>
      <c r="T24" s="16">
        <v>0</v>
      </c>
    </row>
    <row r="25" spans="1:20" x14ac:dyDescent="0.25">
      <c r="A25" s="11" t="s">
        <v>158</v>
      </c>
      <c r="B25" s="13">
        <v>5581</v>
      </c>
      <c r="C25" s="14">
        <f>(4615/B25*100)</f>
        <v>82.691273965239205</v>
      </c>
      <c r="D25" s="15">
        <v>966</v>
      </c>
      <c r="E25" s="14">
        <v>14.878414340000001</v>
      </c>
      <c r="F25" s="16">
        <v>1.25874536</v>
      </c>
      <c r="G25" s="14">
        <v>5.8730029500000001</v>
      </c>
      <c r="H25" s="16">
        <v>0.86673917</v>
      </c>
      <c r="I25" s="14">
        <v>79.248582709999994</v>
      </c>
      <c r="J25" s="16">
        <v>1.45229086</v>
      </c>
      <c r="K25" s="14" t="s">
        <v>139</v>
      </c>
      <c r="L25" s="16" t="s">
        <v>139</v>
      </c>
      <c r="M25" s="14">
        <v>0</v>
      </c>
      <c r="N25" s="16">
        <v>0</v>
      </c>
      <c r="O25" s="14">
        <v>0</v>
      </c>
      <c r="P25" s="16">
        <v>0</v>
      </c>
      <c r="Q25" s="14">
        <v>0</v>
      </c>
      <c r="R25" s="16">
        <v>0</v>
      </c>
      <c r="S25" s="14">
        <v>0</v>
      </c>
      <c r="T25" s="16">
        <v>0</v>
      </c>
    </row>
    <row r="26" spans="1:20" x14ac:dyDescent="0.25">
      <c r="A26" s="11" t="s">
        <v>159</v>
      </c>
      <c r="B26" s="13">
        <v>4869</v>
      </c>
      <c r="C26" s="14">
        <f>(4038/B26*100)</f>
        <v>82.932840418977207</v>
      </c>
      <c r="D26" s="15">
        <v>831</v>
      </c>
      <c r="E26" s="14">
        <v>50.6671342</v>
      </c>
      <c r="F26" s="16">
        <v>1.7062967099999999</v>
      </c>
      <c r="G26" s="14">
        <v>13.49033856</v>
      </c>
      <c r="H26" s="16">
        <v>1.3266249400000001</v>
      </c>
      <c r="I26" s="14">
        <v>35.842527240000003</v>
      </c>
      <c r="J26" s="16">
        <v>1.5248335799999999</v>
      </c>
      <c r="K26" s="14" t="s">
        <v>139</v>
      </c>
      <c r="L26" s="16" t="s">
        <v>139</v>
      </c>
      <c r="M26" s="14">
        <v>0</v>
      </c>
      <c r="N26" s="16">
        <v>0</v>
      </c>
      <c r="O26" s="14">
        <v>0</v>
      </c>
      <c r="P26" s="16">
        <v>0</v>
      </c>
      <c r="Q26" s="14">
        <v>0</v>
      </c>
      <c r="R26" s="16">
        <v>0</v>
      </c>
      <c r="S26" s="14">
        <v>0</v>
      </c>
      <c r="T26" s="16">
        <v>0</v>
      </c>
    </row>
    <row r="27" spans="1:20" x14ac:dyDescent="0.25">
      <c r="A27" s="11" t="s">
        <v>160</v>
      </c>
      <c r="B27" s="13">
        <v>5299</v>
      </c>
      <c r="C27" s="14">
        <f>(4417/B27*100)</f>
        <v>83.355350066050192</v>
      </c>
      <c r="D27" s="15">
        <v>882</v>
      </c>
      <c r="E27" s="14">
        <v>49.415242980000002</v>
      </c>
      <c r="F27" s="16">
        <v>1.92365721</v>
      </c>
      <c r="G27" s="14">
        <v>14.22909245</v>
      </c>
      <c r="H27" s="16">
        <v>1.2813635400000001</v>
      </c>
      <c r="I27" s="14">
        <v>36.355664560000001</v>
      </c>
      <c r="J27" s="16">
        <v>1.6715354099999999</v>
      </c>
      <c r="K27" s="14" t="s">
        <v>139</v>
      </c>
      <c r="L27" s="16" t="s">
        <v>139</v>
      </c>
      <c r="M27" s="14">
        <v>0</v>
      </c>
      <c r="N27" s="16">
        <v>0</v>
      </c>
      <c r="O27" s="14">
        <v>0</v>
      </c>
      <c r="P27" s="16">
        <v>0</v>
      </c>
      <c r="Q27" s="14">
        <v>0</v>
      </c>
      <c r="R27" s="16">
        <v>0</v>
      </c>
      <c r="S27" s="14">
        <v>0</v>
      </c>
      <c r="T27" s="16">
        <v>0</v>
      </c>
    </row>
    <row r="28" spans="1:20" x14ac:dyDescent="0.25">
      <c r="A28" s="11" t="s">
        <v>161</v>
      </c>
      <c r="B28" s="13">
        <v>7568</v>
      </c>
      <c r="C28" s="14">
        <f>(6373/B28*100)</f>
        <v>84.209830866807607</v>
      </c>
      <c r="D28" s="15">
        <v>1195</v>
      </c>
      <c r="E28" s="14">
        <v>62.09083648</v>
      </c>
      <c r="F28" s="16">
        <v>1.4206973599999999</v>
      </c>
      <c r="G28" s="14">
        <v>13.25982277</v>
      </c>
      <c r="H28" s="16">
        <v>1.0175365599999999</v>
      </c>
      <c r="I28" s="14">
        <v>24.64934075</v>
      </c>
      <c r="J28" s="16">
        <v>1.36007192</v>
      </c>
      <c r="K28" s="14" t="s">
        <v>139</v>
      </c>
      <c r="L28" s="16" t="s">
        <v>139</v>
      </c>
      <c r="M28" s="14">
        <v>0</v>
      </c>
      <c r="N28" s="16">
        <v>0</v>
      </c>
      <c r="O28" s="14">
        <v>0</v>
      </c>
      <c r="P28" s="16">
        <v>0</v>
      </c>
      <c r="Q28" s="14">
        <v>0</v>
      </c>
      <c r="R28" s="16">
        <v>0</v>
      </c>
      <c r="S28" s="14">
        <v>0</v>
      </c>
      <c r="T28" s="16">
        <v>0</v>
      </c>
    </row>
    <row r="29" spans="1:20" x14ac:dyDescent="0.25">
      <c r="A29" s="11" t="s">
        <v>162</v>
      </c>
      <c r="B29" s="13">
        <v>5385</v>
      </c>
      <c r="C29" s="14">
        <f>(4500/B29*100)</f>
        <v>83.565459610027858</v>
      </c>
      <c r="D29" s="15">
        <v>885</v>
      </c>
      <c r="E29" s="14">
        <v>49.26499287</v>
      </c>
      <c r="F29" s="16">
        <v>1.8105782399999999</v>
      </c>
      <c r="G29" s="14">
        <v>17.729592499999999</v>
      </c>
      <c r="H29" s="16">
        <v>1.36815876</v>
      </c>
      <c r="I29" s="14">
        <v>33.005414629999997</v>
      </c>
      <c r="J29" s="16">
        <v>1.4467177099999999</v>
      </c>
      <c r="K29" s="14" t="s">
        <v>139</v>
      </c>
      <c r="L29" s="16" t="s">
        <v>139</v>
      </c>
      <c r="M29" s="14">
        <v>0</v>
      </c>
      <c r="N29" s="16">
        <v>0</v>
      </c>
      <c r="O29" s="14">
        <v>0</v>
      </c>
      <c r="P29" s="16">
        <v>0</v>
      </c>
      <c r="Q29" s="14">
        <v>0</v>
      </c>
      <c r="R29" s="16">
        <v>0</v>
      </c>
      <c r="S29" s="14">
        <v>0</v>
      </c>
      <c r="T29" s="16">
        <v>0</v>
      </c>
    </row>
    <row r="30" spans="1:20" x14ac:dyDescent="0.25">
      <c r="A30" s="11" t="s">
        <v>163</v>
      </c>
      <c r="B30" s="13">
        <v>4520</v>
      </c>
      <c r="C30" s="14">
        <f>(3802/B30*100)</f>
        <v>84.115044247787608</v>
      </c>
      <c r="D30" s="15">
        <v>718</v>
      </c>
      <c r="E30" s="14">
        <v>30.676614270000002</v>
      </c>
      <c r="F30" s="16">
        <v>1.9185849100000001</v>
      </c>
      <c r="G30" s="14">
        <v>7.9225180799999997</v>
      </c>
      <c r="H30" s="16">
        <v>1.13378332</v>
      </c>
      <c r="I30" s="14">
        <v>61.400867650000002</v>
      </c>
      <c r="J30" s="16">
        <v>1.9193292399999999</v>
      </c>
      <c r="K30" s="14" t="s">
        <v>139</v>
      </c>
      <c r="L30" s="16" t="s">
        <v>139</v>
      </c>
      <c r="M30" s="14">
        <v>0</v>
      </c>
      <c r="N30" s="16">
        <v>0</v>
      </c>
      <c r="O30" s="14">
        <v>0</v>
      </c>
      <c r="P30" s="16">
        <v>0</v>
      </c>
      <c r="Q30" s="14">
        <v>0</v>
      </c>
      <c r="R30" s="16">
        <v>0</v>
      </c>
      <c r="S30" s="14">
        <v>0</v>
      </c>
      <c r="T30" s="16">
        <v>0</v>
      </c>
    </row>
    <row r="31" spans="1:20" x14ac:dyDescent="0.25">
      <c r="A31" s="11" t="s">
        <v>164</v>
      </c>
      <c r="B31" s="13">
        <v>5456</v>
      </c>
      <c r="C31" s="14">
        <f>(4547/B31*100)</f>
        <v>83.339442815249271</v>
      </c>
      <c r="D31" s="15">
        <v>909</v>
      </c>
      <c r="E31" s="14">
        <v>38.172694030000002</v>
      </c>
      <c r="F31" s="16">
        <v>1.6727776000000001</v>
      </c>
      <c r="G31" s="14">
        <v>5.9539089299999999</v>
      </c>
      <c r="H31" s="16">
        <v>0.67894772000000003</v>
      </c>
      <c r="I31" s="14">
        <v>55.87339703</v>
      </c>
      <c r="J31" s="16">
        <v>1.7149504099999999</v>
      </c>
      <c r="K31" s="14" t="s">
        <v>139</v>
      </c>
      <c r="L31" s="16" t="s">
        <v>139</v>
      </c>
      <c r="M31" s="14">
        <v>0</v>
      </c>
      <c r="N31" s="16">
        <v>0</v>
      </c>
      <c r="O31" s="14">
        <v>0</v>
      </c>
      <c r="P31" s="16">
        <v>0</v>
      </c>
      <c r="Q31" s="14">
        <v>0</v>
      </c>
      <c r="R31" s="16">
        <v>0</v>
      </c>
      <c r="S31" s="14">
        <v>0</v>
      </c>
      <c r="T31" s="16">
        <v>0</v>
      </c>
    </row>
    <row r="32" spans="1:20" x14ac:dyDescent="0.25">
      <c r="A32" s="11" t="s">
        <v>165</v>
      </c>
      <c r="B32" s="17" t="s">
        <v>154</v>
      </c>
      <c r="C32" s="17" t="s">
        <v>154</v>
      </c>
      <c r="D32" s="18" t="s">
        <v>154</v>
      </c>
      <c r="E32" s="17" t="s">
        <v>154</v>
      </c>
      <c r="F32" s="18" t="s">
        <v>154</v>
      </c>
      <c r="G32" s="17" t="s">
        <v>154</v>
      </c>
      <c r="H32" s="18" t="s">
        <v>154</v>
      </c>
      <c r="I32" s="17" t="s">
        <v>154</v>
      </c>
      <c r="J32" s="18" t="s">
        <v>154</v>
      </c>
      <c r="K32" s="17" t="s">
        <v>154</v>
      </c>
      <c r="L32" s="18" t="s">
        <v>154</v>
      </c>
      <c r="M32" s="17" t="s">
        <v>154</v>
      </c>
      <c r="N32" s="18" t="s">
        <v>154</v>
      </c>
      <c r="O32" s="17" t="s">
        <v>154</v>
      </c>
      <c r="P32" s="18" t="s">
        <v>154</v>
      </c>
      <c r="Q32" s="17" t="s">
        <v>154</v>
      </c>
      <c r="R32" s="18" t="s">
        <v>154</v>
      </c>
      <c r="S32" s="17" t="s">
        <v>154</v>
      </c>
      <c r="T32" s="18" t="s">
        <v>154</v>
      </c>
    </row>
    <row r="33" spans="1:20" x14ac:dyDescent="0.25">
      <c r="A33" s="11" t="s">
        <v>166</v>
      </c>
      <c r="B33" s="13">
        <v>7325</v>
      </c>
      <c r="C33" s="14">
        <f>(6119/B33*100)</f>
        <v>83.535836177474394</v>
      </c>
      <c r="D33" s="15">
        <v>1206</v>
      </c>
      <c r="E33" s="14">
        <v>40.787414339999998</v>
      </c>
      <c r="F33" s="16">
        <v>1.49873711</v>
      </c>
      <c r="G33" s="14">
        <v>11.73360446</v>
      </c>
      <c r="H33" s="16">
        <v>0.99473135999999995</v>
      </c>
      <c r="I33" s="14">
        <v>47.4789812</v>
      </c>
      <c r="J33" s="16">
        <v>1.57563885</v>
      </c>
      <c r="K33" s="14" t="s">
        <v>139</v>
      </c>
      <c r="L33" s="16" t="s">
        <v>139</v>
      </c>
      <c r="M33" s="14">
        <v>0</v>
      </c>
      <c r="N33" s="16">
        <v>0</v>
      </c>
      <c r="O33" s="14">
        <v>0</v>
      </c>
      <c r="P33" s="16">
        <v>0</v>
      </c>
      <c r="Q33" s="14">
        <v>0</v>
      </c>
      <c r="R33" s="16">
        <v>0</v>
      </c>
      <c r="S33" s="14">
        <v>0</v>
      </c>
      <c r="T33" s="16">
        <v>0</v>
      </c>
    </row>
    <row r="34" spans="1:20" x14ac:dyDescent="0.25">
      <c r="A34" s="11" t="s">
        <v>167</v>
      </c>
      <c r="B34" s="13">
        <v>6350</v>
      </c>
      <c r="C34" s="14">
        <f>(5317/B34*100)</f>
        <v>83.732283464566919</v>
      </c>
      <c r="D34" s="15">
        <v>1033</v>
      </c>
      <c r="E34" s="14">
        <v>58.02887647</v>
      </c>
      <c r="F34" s="16">
        <v>1.3961450200000001</v>
      </c>
      <c r="G34" s="14">
        <v>10.842558650000001</v>
      </c>
      <c r="H34" s="16">
        <v>1.09777345</v>
      </c>
      <c r="I34" s="14">
        <v>31.128564879999999</v>
      </c>
      <c r="J34" s="16">
        <v>1.4196848200000001</v>
      </c>
      <c r="K34" s="14" t="s">
        <v>139</v>
      </c>
      <c r="L34" s="16" t="s">
        <v>139</v>
      </c>
      <c r="M34" s="14">
        <v>0</v>
      </c>
      <c r="N34" s="16">
        <v>0</v>
      </c>
      <c r="O34" s="14">
        <v>0</v>
      </c>
      <c r="P34" s="16">
        <v>0</v>
      </c>
      <c r="Q34" s="14">
        <v>0</v>
      </c>
      <c r="R34" s="16">
        <v>0</v>
      </c>
      <c r="S34" s="14">
        <v>0</v>
      </c>
      <c r="T34" s="16">
        <v>0</v>
      </c>
    </row>
    <row r="35" spans="1:20" x14ac:dyDescent="0.25">
      <c r="A35" s="11" t="s">
        <v>168</v>
      </c>
      <c r="B35" s="13">
        <v>6406</v>
      </c>
      <c r="C35" s="14">
        <f>(5352/B35*100)</f>
        <v>83.546674992194809</v>
      </c>
      <c r="D35" s="15">
        <v>1054</v>
      </c>
      <c r="E35" s="14">
        <v>53.499283759999997</v>
      </c>
      <c r="F35" s="16">
        <v>1.7248526099999999</v>
      </c>
      <c r="G35" s="14">
        <v>10.86610305</v>
      </c>
      <c r="H35" s="16">
        <v>1.1500944</v>
      </c>
      <c r="I35" s="14">
        <v>35.634613190000003</v>
      </c>
      <c r="J35" s="16">
        <v>1.80436555</v>
      </c>
      <c r="K35" s="14" t="s">
        <v>139</v>
      </c>
      <c r="L35" s="16" t="s">
        <v>139</v>
      </c>
      <c r="M35" s="14">
        <v>0</v>
      </c>
      <c r="N35" s="16">
        <v>0</v>
      </c>
      <c r="O35" s="14">
        <v>0</v>
      </c>
      <c r="P35" s="16">
        <v>0</v>
      </c>
      <c r="Q35" s="14">
        <v>0</v>
      </c>
      <c r="R35" s="16">
        <v>0</v>
      </c>
      <c r="S35" s="14">
        <v>0</v>
      </c>
      <c r="T35" s="16">
        <v>0</v>
      </c>
    </row>
    <row r="36" spans="1:20" x14ac:dyDescent="0.25">
      <c r="A36" s="11" t="s">
        <v>169</v>
      </c>
      <c r="B36" s="13">
        <v>6736</v>
      </c>
      <c r="C36" s="14">
        <f>(5610/B36*100)</f>
        <v>83.283847980997621</v>
      </c>
      <c r="D36" s="15">
        <v>1126</v>
      </c>
      <c r="E36" s="14">
        <v>50.717083189999997</v>
      </c>
      <c r="F36" s="16">
        <v>1.55626317</v>
      </c>
      <c r="G36" s="14">
        <v>11.88354002</v>
      </c>
      <c r="H36" s="16">
        <v>0.94284816000000005</v>
      </c>
      <c r="I36" s="14">
        <v>37.399376789999998</v>
      </c>
      <c r="J36" s="16">
        <v>1.4855704199999999</v>
      </c>
      <c r="K36" s="14" t="s">
        <v>139</v>
      </c>
      <c r="L36" s="16" t="s">
        <v>139</v>
      </c>
      <c r="M36" s="14">
        <v>0</v>
      </c>
      <c r="N36" s="16">
        <v>0</v>
      </c>
      <c r="O36" s="14">
        <v>0</v>
      </c>
      <c r="P36" s="16">
        <v>0</v>
      </c>
      <c r="Q36" s="14">
        <v>0</v>
      </c>
      <c r="R36" s="16">
        <v>0</v>
      </c>
      <c r="S36" s="14">
        <v>0</v>
      </c>
      <c r="T36" s="16">
        <v>0</v>
      </c>
    </row>
    <row r="37" spans="1:20" x14ac:dyDescent="0.25">
      <c r="A37" s="11" t="s">
        <v>170</v>
      </c>
      <c r="B37" s="13">
        <v>5458</v>
      </c>
      <c r="C37" s="14">
        <f>(4571/B37*100)</f>
        <v>83.748625870282154</v>
      </c>
      <c r="D37" s="15">
        <v>887</v>
      </c>
      <c r="E37" s="14">
        <v>37.082678739999999</v>
      </c>
      <c r="F37" s="16">
        <v>1.77596358</v>
      </c>
      <c r="G37" s="14">
        <v>13.42755622</v>
      </c>
      <c r="H37" s="16">
        <v>1.25093112</v>
      </c>
      <c r="I37" s="14">
        <v>49.489765050000003</v>
      </c>
      <c r="J37" s="16">
        <v>1.62490172</v>
      </c>
      <c r="K37" s="14" t="s">
        <v>139</v>
      </c>
      <c r="L37" s="16" t="s">
        <v>139</v>
      </c>
      <c r="M37" s="14">
        <v>0</v>
      </c>
      <c r="N37" s="16">
        <v>0</v>
      </c>
      <c r="O37" s="14">
        <v>0</v>
      </c>
      <c r="P37" s="16">
        <v>0</v>
      </c>
      <c r="Q37" s="14">
        <v>0</v>
      </c>
      <c r="R37" s="16">
        <v>0</v>
      </c>
      <c r="S37" s="14">
        <v>0</v>
      </c>
      <c r="T37" s="16">
        <v>0</v>
      </c>
    </row>
    <row r="38" spans="1:20" x14ac:dyDescent="0.25">
      <c r="A38" s="11" t="s">
        <v>171</v>
      </c>
      <c r="B38" s="17" t="s">
        <v>154</v>
      </c>
      <c r="C38" s="17" t="s">
        <v>154</v>
      </c>
      <c r="D38" s="18" t="s">
        <v>154</v>
      </c>
      <c r="E38" s="17" t="s">
        <v>154</v>
      </c>
      <c r="F38" s="18" t="s">
        <v>154</v>
      </c>
      <c r="G38" s="17" t="s">
        <v>154</v>
      </c>
      <c r="H38" s="18" t="s">
        <v>154</v>
      </c>
      <c r="I38" s="17" t="s">
        <v>154</v>
      </c>
      <c r="J38" s="18" t="s">
        <v>154</v>
      </c>
      <c r="K38" s="17" t="s">
        <v>154</v>
      </c>
      <c r="L38" s="18" t="s">
        <v>154</v>
      </c>
      <c r="M38" s="17" t="s">
        <v>154</v>
      </c>
      <c r="N38" s="18" t="s">
        <v>154</v>
      </c>
      <c r="O38" s="17" t="s">
        <v>154</v>
      </c>
      <c r="P38" s="18" t="s">
        <v>154</v>
      </c>
      <c r="Q38" s="17" t="s">
        <v>154</v>
      </c>
      <c r="R38" s="18" t="s">
        <v>154</v>
      </c>
      <c r="S38" s="17" t="s">
        <v>154</v>
      </c>
      <c r="T38" s="18" t="s">
        <v>154</v>
      </c>
    </row>
    <row r="39" spans="1:20" x14ac:dyDescent="0.25">
      <c r="A39" s="11" t="s">
        <v>172</v>
      </c>
      <c r="B39" s="13">
        <v>5895</v>
      </c>
      <c r="C39" s="14">
        <f>(4863/B39*100)</f>
        <v>82.493638676844782</v>
      </c>
      <c r="D39" s="15">
        <v>1032</v>
      </c>
      <c r="E39" s="14">
        <v>56.344175079999999</v>
      </c>
      <c r="F39" s="16">
        <v>1.6673866100000001</v>
      </c>
      <c r="G39" s="14">
        <v>12.285691780000001</v>
      </c>
      <c r="H39" s="16">
        <v>0.88187225000000002</v>
      </c>
      <c r="I39" s="14">
        <v>31.370133150000001</v>
      </c>
      <c r="J39" s="16">
        <v>1.5132321900000001</v>
      </c>
      <c r="K39" s="14" t="s">
        <v>139</v>
      </c>
      <c r="L39" s="16" t="s">
        <v>139</v>
      </c>
      <c r="M39" s="14">
        <v>0</v>
      </c>
      <c r="N39" s="16">
        <v>0</v>
      </c>
      <c r="O39" s="14">
        <v>0</v>
      </c>
      <c r="P39" s="16">
        <v>0</v>
      </c>
      <c r="Q39" s="14">
        <v>0</v>
      </c>
      <c r="R39" s="16">
        <v>0</v>
      </c>
      <c r="S39" s="14">
        <v>0</v>
      </c>
      <c r="T39" s="16">
        <v>0</v>
      </c>
    </row>
    <row r="40" spans="1:20" x14ac:dyDescent="0.25">
      <c r="A40" s="11" t="s">
        <v>173</v>
      </c>
      <c r="B40" s="13">
        <v>14157</v>
      </c>
      <c r="C40" s="14">
        <f>(11750/B40*100)</f>
        <v>82.997810270537542</v>
      </c>
      <c r="D40" s="15">
        <v>2407</v>
      </c>
      <c r="E40" s="14">
        <v>31.092890529999998</v>
      </c>
      <c r="F40" s="16">
        <v>1.5270784500000001</v>
      </c>
      <c r="G40" s="14">
        <v>10.337876019999999</v>
      </c>
      <c r="H40" s="16">
        <v>0.87722823000000005</v>
      </c>
      <c r="I40" s="14">
        <v>58.569233449999999</v>
      </c>
      <c r="J40" s="16">
        <v>1.47464317</v>
      </c>
      <c r="K40" s="14" t="s">
        <v>139</v>
      </c>
      <c r="L40" s="16" t="s">
        <v>139</v>
      </c>
      <c r="M40" s="14">
        <v>0</v>
      </c>
      <c r="N40" s="16">
        <v>0</v>
      </c>
      <c r="O40" s="14">
        <v>0</v>
      </c>
      <c r="P40" s="16">
        <v>0</v>
      </c>
      <c r="Q40" s="14">
        <v>0</v>
      </c>
      <c r="R40" s="16">
        <v>0</v>
      </c>
      <c r="S40" s="14">
        <v>0</v>
      </c>
      <c r="T40" s="16">
        <v>0</v>
      </c>
    </row>
    <row r="41" spans="1:20" x14ac:dyDescent="0.25">
      <c r="A41" s="11" t="s">
        <v>174</v>
      </c>
      <c r="B41" s="13">
        <v>5712</v>
      </c>
      <c r="C41" s="14">
        <f>(4743/B41*100)</f>
        <v>83.035714285714292</v>
      </c>
      <c r="D41" s="15">
        <v>969</v>
      </c>
      <c r="E41" s="14">
        <v>32.08831404</v>
      </c>
      <c r="F41" s="16">
        <v>1.44063356</v>
      </c>
      <c r="G41" s="14">
        <v>10.424478280000001</v>
      </c>
      <c r="H41" s="16">
        <v>0.99326091999999999</v>
      </c>
      <c r="I41" s="14">
        <v>57.487207679999997</v>
      </c>
      <c r="J41" s="16">
        <v>1.6169697999999999</v>
      </c>
      <c r="K41" s="14" t="s">
        <v>139</v>
      </c>
      <c r="L41" s="16" t="s">
        <v>139</v>
      </c>
      <c r="M41" s="14">
        <v>0</v>
      </c>
      <c r="N41" s="16">
        <v>0</v>
      </c>
      <c r="O41" s="14">
        <v>0</v>
      </c>
      <c r="P41" s="16">
        <v>0</v>
      </c>
      <c r="Q41" s="14">
        <v>0</v>
      </c>
      <c r="R41" s="16">
        <v>0</v>
      </c>
      <c r="S41" s="14">
        <v>0</v>
      </c>
      <c r="T41" s="16">
        <v>0</v>
      </c>
    </row>
    <row r="42" spans="1:20" x14ac:dyDescent="0.25">
      <c r="A42" s="11" t="s">
        <v>175</v>
      </c>
      <c r="B42" s="13">
        <f>IF(COUNT(B7:B41) &gt; 0, AVERAGE(B7:B41), "\u2014")</f>
        <v>7266.90625</v>
      </c>
      <c r="C42" s="14">
        <f>IF(COUNT(C7:C41) &gt; 0, AVERAGE(C7:C41), "—")</f>
        <v>83.320585805480079</v>
      </c>
      <c r="D42" s="15">
        <f>IF(COUNT(D7:D41) &gt; 0, AVERAGE(D7:D41), "—")</f>
        <v>1213.1875</v>
      </c>
      <c r="E42" s="14">
        <f>IF(COUNT(E7:E41) &gt; 0, AVERAGE(E7:E41), "—")</f>
        <v>42.056157229062492</v>
      </c>
      <c r="F42" s="16">
        <f>IF(COUNT(F7:F41) &gt; 0, SQRT(SUMSQ(F7:F41)/(COUNT(F7:F41)*COUNT(F7:F41)) ), "—")</f>
        <v>0.29201268433264227</v>
      </c>
      <c r="G42" s="14">
        <f>IF(COUNT(G7:G41) &gt; 0, AVERAGE(G7:G41), "—")</f>
        <v>12.202023199687499</v>
      </c>
      <c r="H42" s="16">
        <f>IF(COUNT(H7:H41) &gt; 0, SQRT(SUMSQ(H7:H41)/(COUNT(H7:H41)*COUNT(H7:H41)) ), "—")</f>
        <v>0.19525038108135362</v>
      </c>
      <c r="I42" s="14">
        <f>IF(COUNT(I7:I41) &gt; 0, AVERAGE(I7:I41), "—")</f>
        <v>45.741819570624983</v>
      </c>
      <c r="J42" s="16">
        <f>IF(COUNT(J7:J41) &gt; 0, SQRT(SUMSQ(J7:J41)/(COUNT(J7:J41)*COUNT(J7:J41)) ), "—")</f>
        <v>0.28350665204664166</v>
      </c>
      <c r="K42" s="14" t="str">
        <f>IF(COUNT(K7:K41) &gt; 0, AVERAGE(K7:K41), "—")</f>
        <v>—</v>
      </c>
      <c r="L42" s="16" t="str">
        <f>IF(COUNT(L7:L41) &gt; 0, SQRT(SUMSQ(L7:L41)/(COUNT(L7:L41)*COUNT(L7:L41)) ), "—")</f>
        <v>—</v>
      </c>
      <c r="M42" s="14">
        <f>IF(COUNT(M7:M41) &gt; 0, AVERAGE(M7:M41), "—")</f>
        <v>0</v>
      </c>
      <c r="N42" s="16">
        <f>IF(COUNT(N7:N41) &gt; 0, SQRT(SUMSQ(N7:N41)/(COUNT(N7:N41)*COUNT(N7:N41)) ), "—")</f>
        <v>0</v>
      </c>
      <c r="O42" s="14">
        <f>IF(COUNT(O7:O41) &gt; 0, AVERAGE(O7:O41), "—")</f>
        <v>0</v>
      </c>
      <c r="P42" s="16">
        <f>IF(COUNT(P7:P41) &gt; 0, SQRT(SUMSQ(P7:P41)/(COUNT(P7:P41)*COUNT(P7:P41)) ), "—")</f>
        <v>0</v>
      </c>
      <c r="Q42" s="14">
        <f>IF(COUNT(Q7:Q41) &gt; 0, AVERAGE(Q7:Q41), "—")</f>
        <v>0</v>
      </c>
      <c r="R42" s="16">
        <f>IF(COUNT(R7:R41) &gt; 0, SQRT(SUMSQ(R7:R41)/(COUNT(R7:R41)*COUNT(R7:R41)) ), "—")</f>
        <v>0</v>
      </c>
      <c r="S42" s="14">
        <f>IF(COUNT(S7:S41) &gt; 0, AVERAGE(S7:S41), "—")</f>
        <v>0</v>
      </c>
      <c r="T42" s="16">
        <f>IF(COUNT(T7:T41) &gt; 0, SQRT(SUMSQ(T7:T41)/(COUNT(T7:T41)*COUNT(T7:T41)) ), "—")</f>
        <v>0</v>
      </c>
    </row>
    <row r="43" spans="1:20" x14ac:dyDescent="0.25">
      <c r="A43" s="9" t="s">
        <v>176</v>
      </c>
      <c r="B43" s="10"/>
      <c r="C43" s="10"/>
      <c r="D43" s="11"/>
      <c r="E43" s="10"/>
      <c r="F43" s="11"/>
      <c r="G43" s="10"/>
      <c r="H43" s="11"/>
      <c r="I43" s="10"/>
      <c r="J43" s="11"/>
      <c r="K43" s="10"/>
      <c r="L43" s="11"/>
      <c r="M43" s="10"/>
      <c r="N43" s="11"/>
      <c r="O43" s="10"/>
      <c r="P43" s="11"/>
      <c r="Q43" s="10"/>
      <c r="R43" s="11"/>
      <c r="S43" s="10"/>
      <c r="T43" s="12"/>
    </row>
    <row r="44" spans="1:20" x14ac:dyDescent="0.25">
      <c r="A44" s="11" t="s">
        <v>177</v>
      </c>
      <c r="B44" s="17" t="s">
        <v>154</v>
      </c>
      <c r="C44" s="17" t="s">
        <v>154</v>
      </c>
      <c r="D44" s="18" t="s">
        <v>154</v>
      </c>
      <c r="E44" s="17" t="s">
        <v>154</v>
      </c>
      <c r="F44" s="18" t="s">
        <v>154</v>
      </c>
      <c r="G44" s="17" t="s">
        <v>154</v>
      </c>
      <c r="H44" s="18" t="s">
        <v>154</v>
      </c>
      <c r="I44" s="17" t="s">
        <v>154</v>
      </c>
      <c r="J44" s="18" t="s">
        <v>154</v>
      </c>
      <c r="K44" s="17" t="s">
        <v>154</v>
      </c>
      <c r="L44" s="18" t="s">
        <v>154</v>
      </c>
      <c r="M44" s="17" t="s">
        <v>154</v>
      </c>
      <c r="N44" s="18" t="s">
        <v>154</v>
      </c>
      <c r="O44" s="17" t="s">
        <v>154</v>
      </c>
      <c r="P44" s="18" t="s">
        <v>154</v>
      </c>
      <c r="Q44" s="17" t="s">
        <v>154</v>
      </c>
      <c r="R44" s="18" t="s">
        <v>154</v>
      </c>
      <c r="S44" s="17" t="s">
        <v>154</v>
      </c>
      <c r="T44" s="18" t="s">
        <v>154</v>
      </c>
    </row>
    <row r="45" spans="1:20" x14ac:dyDescent="0.25">
      <c r="A45" s="11" t="s">
        <v>178</v>
      </c>
      <c r="B45" s="17" t="s">
        <v>154</v>
      </c>
      <c r="C45" s="17" t="s">
        <v>154</v>
      </c>
      <c r="D45" s="18" t="s">
        <v>154</v>
      </c>
      <c r="E45" s="17" t="s">
        <v>154</v>
      </c>
      <c r="F45" s="18" t="s">
        <v>154</v>
      </c>
      <c r="G45" s="17" t="s">
        <v>154</v>
      </c>
      <c r="H45" s="18" t="s">
        <v>154</v>
      </c>
      <c r="I45" s="17" t="s">
        <v>154</v>
      </c>
      <c r="J45" s="18" t="s">
        <v>154</v>
      </c>
      <c r="K45" s="17" t="s">
        <v>154</v>
      </c>
      <c r="L45" s="18" t="s">
        <v>154</v>
      </c>
      <c r="M45" s="17" t="s">
        <v>154</v>
      </c>
      <c r="N45" s="18" t="s">
        <v>154</v>
      </c>
      <c r="O45" s="17" t="s">
        <v>154</v>
      </c>
      <c r="P45" s="18" t="s">
        <v>154</v>
      </c>
      <c r="Q45" s="17" t="s">
        <v>154</v>
      </c>
      <c r="R45" s="18" t="s">
        <v>154</v>
      </c>
      <c r="S45" s="17" t="s">
        <v>154</v>
      </c>
      <c r="T45" s="18" t="s">
        <v>154</v>
      </c>
    </row>
    <row r="46" spans="1:20" x14ac:dyDescent="0.25">
      <c r="A46" s="11" t="s">
        <v>179</v>
      </c>
      <c r="B46" s="13">
        <v>23141</v>
      </c>
      <c r="C46" s="14">
        <f>(20147/B46*100)</f>
        <v>87.061924722354263</v>
      </c>
      <c r="D46" s="15">
        <v>2994</v>
      </c>
      <c r="E46" s="14">
        <v>61.152876419999998</v>
      </c>
      <c r="F46" s="16">
        <v>1.2173419999999999</v>
      </c>
      <c r="G46" s="14">
        <v>12.599351609999999</v>
      </c>
      <c r="H46" s="16">
        <v>0.81672027000000003</v>
      </c>
      <c r="I46" s="14">
        <v>26.24777198</v>
      </c>
      <c r="J46" s="16">
        <v>1.1805701</v>
      </c>
      <c r="K46" s="14" t="s">
        <v>139</v>
      </c>
      <c r="L46" s="16" t="s">
        <v>139</v>
      </c>
      <c r="M46" s="14">
        <v>0</v>
      </c>
      <c r="N46" s="16">
        <v>0</v>
      </c>
      <c r="O46" s="14">
        <v>0</v>
      </c>
      <c r="P46" s="16">
        <v>0</v>
      </c>
      <c r="Q46" s="14">
        <v>0</v>
      </c>
      <c r="R46" s="16">
        <v>0</v>
      </c>
      <c r="S46" s="14">
        <v>0</v>
      </c>
      <c r="T46" s="16">
        <v>0</v>
      </c>
    </row>
    <row r="47" spans="1:20" x14ac:dyDescent="0.25">
      <c r="A47" s="11" t="s">
        <v>180</v>
      </c>
      <c r="B47" s="13">
        <v>5928</v>
      </c>
      <c r="C47" s="14">
        <f>(4966/B47*100)</f>
        <v>83.771929824561411</v>
      </c>
      <c r="D47" s="15">
        <v>962</v>
      </c>
      <c r="E47" s="14">
        <v>48.265511080000003</v>
      </c>
      <c r="F47" s="16">
        <v>1.6423738699999999</v>
      </c>
      <c r="G47" s="14">
        <v>12.980418999999999</v>
      </c>
      <c r="H47" s="16">
        <v>1.1338428199999999</v>
      </c>
      <c r="I47" s="14">
        <v>38.754069919999999</v>
      </c>
      <c r="J47" s="16">
        <v>1.5355116900000001</v>
      </c>
      <c r="K47" s="14" t="s">
        <v>139</v>
      </c>
      <c r="L47" s="16" t="s">
        <v>139</v>
      </c>
      <c r="M47" s="14">
        <v>0</v>
      </c>
      <c r="N47" s="16">
        <v>0</v>
      </c>
      <c r="O47" s="14">
        <v>0</v>
      </c>
      <c r="P47" s="16">
        <v>0</v>
      </c>
      <c r="Q47" s="14">
        <v>0</v>
      </c>
      <c r="R47" s="16">
        <v>0</v>
      </c>
      <c r="S47" s="14">
        <v>0</v>
      </c>
      <c r="T47" s="16">
        <v>0</v>
      </c>
    </row>
    <row r="48" spans="1:20" x14ac:dyDescent="0.25">
      <c r="A48" s="11" t="s">
        <v>181</v>
      </c>
      <c r="B48" s="13">
        <v>9841</v>
      </c>
      <c r="C48" s="14">
        <f>(8178/B48*100)</f>
        <v>83.101310842394057</v>
      </c>
      <c r="D48" s="15">
        <v>1663</v>
      </c>
      <c r="E48" s="14">
        <v>25.84479632</v>
      </c>
      <c r="F48" s="16">
        <v>1.65185801</v>
      </c>
      <c r="G48" s="14">
        <v>6.70067346</v>
      </c>
      <c r="H48" s="16">
        <v>0.95171371999999999</v>
      </c>
      <c r="I48" s="14">
        <v>67.454530219999995</v>
      </c>
      <c r="J48" s="16">
        <v>1.88911732</v>
      </c>
      <c r="K48" s="14" t="s">
        <v>139</v>
      </c>
      <c r="L48" s="16" t="s">
        <v>139</v>
      </c>
      <c r="M48" s="14">
        <v>0</v>
      </c>
      <c r="N48" s="16">
        <v>0</v>
      </c>
      <c r="O48" s="14">
        <v>0</v>
      </c>
      <c r="P48" s="16">
        <v>0</v>
      </c>
      <c r="Q48" s="14">
        <v>0</v>
      </c>
      <c r="R48" s="16">
        <v>0</v>
      </c>
      <c r="S48" s="14">
        <v>0</v>
      </c>
      <c r="T48" s="16">
        <v>0</v>
      </c>
    </row>
    <row r="49" spans="1:20" x14ac:dyDescent="0.25">
      <c r="A49" s="11" t="s">
        <v>182</v>
      </c>
      <c r="B49" s="17" t="s">
        <v>154</v>
      </c>
      <c r="C49" s="17" t="s">
        <v>154</v>
      </c>
      <c r="D49" s="18" t="s">
        <v>154</v>
      </c>
      <c r="E49" s="17" t="s">
        <v>154</v>
      </c>
      <c r="F49" s="18" t="s">
        <v>154</v>
      </c>
      <c r="G49" s="17" t="s">
        <v>154</v>
      </c>
      <c r="H49" s="18" t="s">
        <v>154</v>
      </c>
      <c r="I49" s="17" t="s">
        <v>154</v>
      </c>
      <c r="J49" s="18" t="s">
        <v>154</v>
      </c>
      <c r="K49" s="17" t="s">
        <v>154</v>
      </c>
      <c r="L49" s="18" t="s">
        <v>154</v>
      </c>
      <c r="M49" s="17" t="s">
        <v>154</v>
      </c>
      <c r="N49" s="18" t="s">
        <v>154</v>
      </c>
      <c r="O49" s="17" t="s">
        <v>154</v>
      </c>
      <c r="P49" s="18" t="s">
        <v>154</v>
      </c>
      <c r="Q49" s="17" t="s">
        <v>154</v>
      </c>
      <c r="R49" s="18" t="s">
        <v>154</v>
      </c>
      <c r="S49" s="17" t="s">
        <v>154</v>
      </c>
      <c r="T49" s="18" t="s">
        <v>154</v>
      </c>
    </row>
    <row r="50" spans="1:20" x14ac:dyDescent="0.25">
      <c r="A50" s="11" t="s">
        <v>183</v>
      </c>
      <c r="B50" s="13">
        <v>11795</v>
      </c>
      <c r="C50" s="14">
        <f>(9867/B50*100)</f>
        <v>83.654090716405264</v>
      </c>
      <c r="D50" s="15">
        <v>1928</v>
      </c>
      <c r="E50" s="14">
        <v>69.779490749999994</v>
      </c>
      <c r="F50" s="16">
        <v>1.24521181</v>
      </c>
      <c r="G50" s="14">
        <v>10.12667283</v>
      </c>
      <c r="H50" s="16">
        <v>0.81243551000000003</v>
      </c>
      <c r="I50" s="14">
        <v>20.093836419999999</v>
      </c>
      <c r="J50" s="16">
        <v>1.1559558400000001</v>
      </c>
      <c r="K50" s="14" t="s">
        <v>139</v>
      </c>
      <c r="L50" s="16" t="s">
        <v>139</v>
      </c>
      <c r="M50" s="14">
        <v>0</v>
      </c>
      <c r="N50" s="16">
        <v>0</v>
      </c>
      <c r="O50" s="14">
        <v>0</v>
      </c>
      <c r="P50" s="16">
        <v>0</v>
      </c>
      <c r="Q50" s="14">
        <v>0</v>
      </c>
      <c r="R50" s="16">
        <v>0</v>
      </c>
      <c r="S50" s="14">
        <v>0</v>
      </c>
      <c r="T50" s="16">
        <v>0</v>
      </c>
    </row>
    <row r="51" spans="1:20" x14ac:dyDescent="0.25">
      <c r="A51" s="11" t="s">
        <v>184</v>
      </c>
      <c r="B51" s="13">
        <v>6866</v>
      </c>
      <c r="C51" s="14">
        <f>(5870/B51*100)</f>
        <v>85.493737256044284</v>
      </c>
      <c r="D51" s="15">
        <v>996</v>
      </c>
      <c r="E51" s="14">
        <v>67.915672540000003</v>
      </c>
      <c r="F51" s="16">
        <v>1.6932436500000001</v>
      </c>
      <c r="G51" s="14">
        <v>9.74947023</v>
      </c>
      <c r="H51" s="16">
        <v>1.0035483700000001</v>
      </c>
      <c r="I51" s="14">
        <v>22.334857230000001</v>
      </c>
      <c r="J51" s="16">
        <v>1.52362117</v>
      </c>
      <c r="K51" s="14" t="s">
        <v>139</v>
      </c>
      <c r="L51" s="16" t="s">
        <v>139</v>
      </c>
      <c r="M51" s="14">
        <v>0</v>
      </c>
      <c r="N51" s="16">
        <v>0</v>
      </c>
      <c r="O51" s="14">
        <v>0</v>
      </c>
      <c r="P51" s="16">
        <v>0</v>
      </c>
      <c r="Q51" s="14">
        <v>0</v>
      </c>
      <c r="R51" s="16">
        <v>0</v>
      </c>
      <c r="S51" s="14">
        <v>0</v>
      </c>
      <c r="T51" s="16">
        <v>0</v>
      </c>
    </row>
    <row r="52" spans="1:20" x14ac:dyDescent="0.25">
      <c r="A52" s="11" t="s">
        <v>185</v>
      </c>
      <c r="B52" s="13">
        <v>5809</v>
      </c>
      <c r="C52" s="14">
        <f>(4842/B52*100)</f>
        <v>83.353417111378889</v>
      </c>
      <c r="D52" s="15">
        <v>967</v>
      </c>
      <c r="E52" s="14">
        <v>46.042676129999997</v>
      </c>
      <c r="F52" s="16">
        <v>1.5979282400000001</v>
      </c>
      <c r="G52" s="14">
        <v>11.259258880000001</v>
      </c>
      <c r="H52" s="16">
        <v>1.07686379</v>
      </c>
      <c r="I52" s="14">
        <v>42.698064989999999</v>
      </c>
      <c r="J52" s="16">
        <v>1.6070046899999999</v>
      </c>
      <c r="K52" s="14" t="s">
        <v>139</v>
      </c>
      <c r="L52" s="16" t="s">
        <v>139</v>
      </c>
      <c r="M52" s="14">
        <v>0</v>
      </c>
      <c r="N52" s="16">
        <v>0</v>
      </c>
      <c r="O52" s="14">
        <v>0</v>
      </c>
      <c r="P52" s="16">
        <v>0</v>
      </c>
      <c r="Q52" s="14">
        <v>0</v>
      </c>
      <c r="R52" s="16">
        <v>0</v>
      </c>
      <c r="S52" s="14">
        <v>0</v>
      </c>
      <c r="T52" s="16">
        <v>0</v>
      </c>
    </row>
    <row r="53" spans="1:20" x14ac:dyDescent="0.25">
      <c r="A53" s="11" t="s">
        <v>186</v>
      </c>
      <c r="B53" s="13">
        <v>5571</v>
      </c>
      <c r="C53" s="14">
        <f>(4658/B53*100)</f>
        <v>83.611559863579259</v>
      </c>
      <c r="D53" s="15">
        <v>913</v>
      </c>
      <c r="E53" s="14">
        <v>47.848719019999997</v>
      </c>
      <c r="F53" s="16">
        <v>1.5508286</v>
      </c>
      <c r="G53" s="14">
        <v>16.01123999</v>
      </c>
      <c r="H53" s="16">
        <v>1.15627053</v>
      </c>
      <c r="I53" s="14">
        <v>36.140040990000003</v>
      </c>
      <c r="J53" s="16">
        <v>1.61599296</v>
      </c>
      <c r="K53" s="14" t="s">
        <v>139</v>
      </c>
      <c r="L53" s="16" t="s">
        <v>139</v>
      </c>
      <c r="M53" s="14">
        <v>0</v>
      </c>
      <c r="N53" s="16">
        <v>0</v>
      </c>
      <c r="O53" s="14">
        <v>0</v>
      </c>
      <c r="P53" s="16">
        <v>0</v>
      </c>
      <c r="Q53" s="14">
        <v>0</v>
      </c>
      <c r="R53" s="16">
        <v>0</v>
      </c>
      <c r="S53" s="14">
        <v>0</v>
      </c>
      <c r="T53" s="16">
        <v>0</v>
      </c>
    </row>
    <row r="54" spans="1:20" x14ac:dyDescent="0.25">
      <c r="A54" s="11" t="s">
        <v>187</v>
      </c>
      <c r="B54" s="17" t="s">
        <v>154</v>
      </c>
      <c r="C54" s="17" t="s">
        <v>154</v>
      </c>
      <c r="D54" s="18" t="s">
        <v>154</v>
      </c>
      <c r="E54" s="17" t="s">
        <v>154</v>
      </c>
      <c r="F54" s="18" t="s">
        <v>154</v>
      </c>
      <c r="G54" s="17" t="s">
        <v>154</v>
      </c>
      <c r="H54" s="18" t="s">
        <v>154</v>
      </c>
      <c r="I54" s="17" t="s">
        <v>154</v>
      </c>
      <c r="J54" s="18" t="s">
        <v>154</v>
      </c>
      <c r="K54" s="17" t="s">
        <v>154</v>
      </c>
      <c r="L54" s="18" t="s">
        <v>154</v>
      </c>
      <c r="M54" s="17" t="s">
        <v>154</v>
      </c>
      <c r="N54" s="18" t="s">
        <v>154</v>
      </c>
      <c r="O54" s="17" t="s">
        <v>154</v>
      </c>
      <c r="P54" s="18" t="s">
        <v>154</v>
      </c>
      <c r="Q54" s="17" t="s">
        <v>154</v>
      </c>
      <c r="R54" s="18" t="s">
        <v>154</v>
      </c>
      <c r="S54" s="17" t="s">
        <v>154</v>
      </c>
      <c r="T54" s="18" t="s">
        <v>154</v>
      </c>
    </row>
    <row r="55" spans="1:20" x14ac:dyDescent="0.25">
      <c r="A55" s="11" t="s">
        <v>188</v>
      </c>
      <c r="B55" s="17" t="s">
        <v>154</v>
      </c>
      <c r="C55" s="17" t="s">
        <v>154</v>
      </c>
      <c r="D55" s="18" t="s">
        <v>154</v>
      </c>
      <c r="E55" s="17" t="s">
        <v>154</v>
      </c>
      <c r="F55" s="18" t="s">
        <v>154</v>
      </c>
      <c r="G55" s="17" t="s">
        <v>154</v>
      </c>
      <c r="H55" s="18" t="s">
        <v>154</v>
      </c>
      <c r="I55" s="17" t="s">
        <v>154</v>
      </c>
      <c r="J55" s="18" t="s">
        <v>154</v>
      </c>
      <c r="K55" s="17" t="s">
        <v>154</v>
      </c>
      <c r="L55" s="18" t="s">
        <v>154</v>
      </c>
      <c r="M55" s="17" t="s">
        <v>154</v>
      </c>
      <c r="N55" s="18" t="s">
        <v>154</v>
      </c>
      <c r="O55" s="17" t="s">
        <v>154</v>
      </c>
      <c r="P55" s="18" t="s">
        <v>154</v>
      </c>
      <c r="Q55" s="17" t="s">
        <v>154</v>
      </c>
      <c r="R55" s="18" t="s">
        <v>154</v>
      </c>
      <c r="S55" s="17" t="s">
        <v>154</v>
      </c>
      <c r="T55" s="18" t="s">
        <v>154</v>
      </c>
    </row>
    <row r="56" spans="1:20" x14ac:dyDescent="0.25">
      <c r="A56" s="11" t="s">
        <v>189</v>
      </c>
      <c r="B56" s="13">
        <v>5359</v>
      </c>
      <c r="C56" s="14">
        <f>(4453/B56*100)</f>
        <v>83.093860794924424</v>
      </c>
      <c r="D56" s="15">
        <v>906</v>
      </c>
      <c r="E56" s="14">
        <v>12.9275132</v>
      </c>
      <c r="F56" s="16">
        <v>1.6268047699999999</v>
      </c>
      <c r="G56" s="14">
        <v>5.9423682199999996</v>
      </c>
      <c r="H56" s="16">
        <v>0.82674122000000005</v>
      </c>
      <c r="I56" s="14">
        <v>81.130118580000001</v>
      </c>
      <c r="J56" s="16">
        <v>1.9104859000000001</v>
      </c>
      <c r="K56" s="14" t="s">
        <v>139</v>
      </c>
      <c r="L56" s="16" t="s">
        <v>139</v>
      </c>
      <c r="M56" s="14">
        <v>0</v>
      </c>
      <c r="N56" s="16">
        <v>0</v>
      </c>
      <c r="O56" s="14">
        <v>0</v>
      </c>
      <c r="P56" s="16">
        <v>0</v>
      </c>
      <c r="Q56" s="14">
        <v>0</v>
      </c>
      <c r="R56" s="16">
        <v>0</v>
      </c>
      <c r="S56" s="14">
        <v>0</v>
      </c>
      <c r="T56" s="16">
        <v>0</v>
      </c>
    </row>
    <row r="57" spans="1:20" x14ac:dyDescent="0.25">
      <c r="A57" s="11" t="s">
        <v>190</v>
      </c>
      <c r="B57" s="17" t="s">
        <v>154</v>
      </c>
      <c r="C57" s="17" t="s">
        <v>154</v>
      </c>
      <c r="D57" s="18" t="s">
        <v>154</v>
      </c>
      <c r="E57" s="17" t="s">
        <v>154</v>
      </c>
      <c r="F57" s="18" t="s">
        <v>154</v>
      </c>
      <c r="G57" s="17" t="s">
        <v>154</v>
      </c>
      <c r="H57" s="18" t="s">
        <v>154</v>
      </c>
      <c r="I57" s="17" t="s">
        <v>154</v>
      </c>
      <c r="J57" s="18" t="s">
        <v>154</v>
      </c>
      <c r="K57" s="17" t="s">
        <v>154</v>
      </c>
      <c r="L57" s="18" t="s">
        <v>154</v>
      </c>
      <c r="M57" s="17" t="s">
        <v>154</v>
      </c>
      <c r="N57" s="18" t="s">
        <v>154</v>
      </c>
      <c r="O57" s="17" t="s">
        <v>154</v>
      </c>
      <c r="P57" s="18" t="s">
        <v>154</v>
      </c>
      <c r="Q57" s="17" t="s">
        <v>154</v>
      </c>
      <c r="R57" s="18" t="s">
        <v>154</v>
      </c>
      <c r="S57" s="17" t="s">
        <v>154</v>
      </c>
      <c r="T57" s="18" t="s">
        <v>154</v>
      </c>
    </row>
    <row r="58" spans="1:20" x14ac:dyDescent="0.25">
      <c r="A58" s="11" t="s">
        <v>191</v>
      </c>
      <c r="B58" s="17" t="s">
        <v>154</v>
      </c>
      <c r="C58" s="17" t="s">
        <v>154</v>
      </c>
      <c r="D58" s="18" t="s">
        <v>154</v>
      </c>
      <c r="E58" s="17" t="s">
        <v>154</v>
      </c>
      <c r="F58" s="18" t="s">
        <v>154</v>
      </c>
      <c r="G58" s="17" t="s">
        <v>154</v>
      </c>
      <c r="H58" s="18" t="s">
        <v>154</v>
      </c>
      <c r="I58" s="17" t="s">
        <v>154</v>
      </c>
      <c r="J58" s="18" t="s">
        <v>154</v>
      </c>
      <c r="K58" s="17" t="s">
        <v>154</v>
      </c>
      <c r="L58" s="18" t="s">
        <v>154</v>
      </c>
      <c r="M58" s="17" t="s">
        <v>154</v>
      </c>
      <c r="N58" s="18" t="s">
        <v>154</v>
      </c>
      <c r="O58" s="17" t="s">
        <v>154</v>
      </c>
      <c r="P58" s="18" t="s">
        <v>154</v>
      </c>
      <c r="Q58" s="17" t="s">
        <v>154</v>
      </c>
      <c r="R58" s="18" t="s">
        <v>154</v>
      </c>
      <c r="S58" s="17" t="s">
        <v>154</v>
      </c>
      <c r="T58" s="18" t="s">
        <v>154</v>
      </c>
    </row>
    <row r="59" spans="1:20" x14ac:dyDescent="0.25">
      <c r="A59" s="11" t="s">
        <v>192</v>
      </c>
      <c r="B59" s="17" t="s">
        <v>154</v>
      </c>
      <c r="C59" s="17" t="s">
        <v>154</v>
      </c>
      <c r="D59" s="18" t="s">
        <v>154</v>
      </c>
      <c r="E59" s="17" t="s">
        <v>154</v>
      </c>
      <c r="F59" s="18" t="s">
        <v>154</v>
      </c>
      <c r="G59" s="17" t="s">
        <v>154</v>
      </c>
      <c r="H59" s="18" t="s">
        <v>154</v>
      </c>
      <c r="I59" s="17" t="s">
        <v>154</v>
      </c>
      <c r="J59" s="18" t="s">
        <v>154</v>
      </c>
      <c r="K59" s="17" t="s">
        <v>154</v>
      </c>
      <c r="L59" s="18" t="s">
        <v>154</v>
      </c>
      <c r="M59" s="17" t="s">
        <v>154</v>
      </c>
      <c r="N59" s="18" t="s">
        <v>154</v>
      </c>
      <c r="O59" s="17" t="s">
        <v>154</v>
      </c>
      <c r="P59" s="18" t="s">
        <v>154</v>
      </c>
      <c r="Q59" s="17" t="s">
        <v>154</v>
      </c>
      <c r="R59" s="18" t="s">
        <v>154</v>
      </c>
      <c r="S59" s="17" t="s">
        <v>154</v>
      </c>
      <c r="T59" s="18" t="s">
        <v>154</v>
      </c>
    </row>
    <row r="60" spans="1:20" x14ac:dyDescent="0.25">
      <c r="A60" s="11" t="s">
        <v>193</v>
      </c>
      <c r="B60" s="17" t="s">
        <v>154</v>
      </c>
      <c r="C60" s="17" t="s">
        <v>154</v>
      </c>
      <c r="D60" s="18" t="s">
        <v>154</v>
      </c>
      <c r="E60" s="17" t="s">
        <v>154</v>
      </c>
      <c r="F60" s="18" t="s">
        <v>154</v>
      </c>
      <c r="G60" s="17" t="s">
        <v>154</v>
      </c>
      <c r="H60" s="18" t="s">
        <v>154</v>
      </c>
      <c r="I60" s="17" t="s">
        <v>154</v>
      </c>
      <c r="J60" s="18" t="s">
        <v>154</v>
      </c>
      <c r="K60" s="17" t="s">
        <v>154</v>
      </c>
      <c r="L60" s="18" t="s">
        <v>154</v>
      </c>
      <c r="M60" s="17" t="s">
        <v>154</v>
      </c>
      <c r="N60" s="18" t="s">
        <v>154</v>
      </c>
      <c r="O60" s="17" t="s">
        <v>154</v>
      </c>
      <c r="P60" s="18" t="s">
        <v>154</v>
      </c>
      <c r="Q60" s="17" t="s">
        <v>154</v>
      </c>
      <c r="R60" s="18" t="s">
        <v>154</v>
      </c>
      <c r="S60" s="17" t="s">
        <v>154</v>
      </c>
      <c r="T60" s="18" t="s">
        <v>154</v>
      </c>
    </row>
    <row r="61" spans="1:20" x14ac:dyDescent="0.25">
      <c r="A61" s="11" t="s">
        <v>194</v>
      </c>
      <c r="B61" s="13">
        <v>6525</v>
      </c>
      <c r="C61" s="14">
        <f>(5437/B61*100)</f>
        <v>83.325670498084293</v>
      </c>
      <c r="D61" s="15">
        <v>1088</v>
      </c>
      <c r="E61" s="14">
        <v>61.431650269999999</v>
      </c>
      <c r="F61" s="16">
        <v>1.7412766900000001</v>
      </c>
      <c r="G61" s="14">
        <v>12.98791275</v>
      </c>
      <c r="H61" s="16">
        <v>1.16068349</v>
      </c>
      <c r="I61" s="14">
        <v>25.580436980000002</v>
      </c>
      <c r="J61" s="16">
        <v>1.48373942</v>
      </c>
      <c r="K61" s="14" t="s">
        <v>139</v>
      </c>
      <c r="L61" s="16" t="s">
        <v>139</v>
      </c>
      <c r="M61" s="14">
        <v>0</v>
      </c>
      <c r="N61" s="16">
        <v>0</v>
      </c>
      <c r="O61" s="14">
        <v>0</v>
      </c>
      <c r="P61" s="16">
        <v>0</v>
      </c>
      <c r="Q61" s="14">
        <v>0</v>
      </c>
      <c r="R61" s="16">
        <v>0</v>
      </c>
      <c r="S61" s="14">
        <v>0</v>
      </c>
      <c r="T61" s="16">
        <v>0</v>
      </c>
    </row>
    <row r="62" spans="1:20" x14ac:dyDescent="0.25">
      <c r="A62" s="11" t="s">
        <v>195</v>
      </c>
      <c r="B62" s="13">
        <v>4476</v>
      </c>
      <c r="C62" s="14">
        <f>(3710/B62*100)</f>
        <v>82.886505808757818</v>
      </c>
      <c r="D62" s="15">
        <v>766</v>
      </c>
      <c r="E62" s="14">
        <v>22.495582330000001</v>
      </c>
      <c r="F62" s="16">
        <v>1.48635027</v>
      </c>
      <c r="G62" s="14">
        <v>4.0363992599999996</v>
      </c>
      <c r="H62" s="16">
        <v>0.70853487999999998</v>
      </c>
      <c r="I62" s="14">
        <v>73.468018409999999</v>
      </c>
      <c r="J62" s="16">
        <v>1.5135791199999999</v>
      </c>
      <c r="K62" s="14" t="s">
        <v>139</v>
      </c>
      <c r="L62" s="16" t="s">
        <v>139</v>
      </c>
      <c r="M62" s="14">
        <v>0</v>
      </c>
      <c r="N62" s="16">
        <v>0</v>
      </c>
      <c r="O62" s="14">
        <v>0</v>
      </c>
      <c r="P62" s="16">
        <v>0</v>
      </c>
      <c r="Q62" s="14">
        <v>0</v>
      </c>
      <c r="R62" s="16">
        <v>0</v>
      </c>
      <c r="S62" s="14">
        <v>0</v>
      </c>
      <c r="T62" s="16">
        <v>0</v>
      </c>
    </row>
    <row r="63" spans="1:20" x14ac:dyDescent="0.25">
      <c r="A63" s="11" t="s">
        <v>196</v>
      </c>
      <c r="B63" s="17" t="s">
        <v>154</v>
      </c>
      <c r="C63" s="17" t="s">
        <v>154</v>
      </c>
      <c r="D63" s="18" t="s">
        <v>154</v>
      </c>
      <c r="E63" s="17" t="s">
        <v>154</v>
      </c>
      <c r="F63" s="18" t="s">
        <v>154</v>
      </c>
      <c r="G63" s="17" t="s">
        <v>154</v>
      </c>
      <c r="H63" s="18" t="s">
        <v>154</v>
      </c>
      <c r="I63" s="17" t="s">
        <v>154</v>
      </c>
      <c r="J63" s="18" t="s">
        <v>154</v>
      </c>
      <c r="K63" s="17" t="s">
        <v>154</v>
      </c>
      <c r="L63" s="18" t="s">
        <v>154</v>
      </c>
      <c r="M63" s="17" t="s">
        <v>154</v>
      </c>
      <c r="N63" s="18" t="s">
        <v>154</v>
      </c>
      <c r="O63" s="17" t="s">
        <v>154</v>
      </c>
      <c r="P63" s="18" t="s">
        <v>154</v>
      </c>
      <c r="Q63" s="17" t="s">
        <v>154</v>
      </c>
      <c r="R63" s="18" t="s">
        <v>154</v>
      </c>
      <c r="S63" s="17" t="s">
        <v>154</v>
      </c>
      <c r="T63" s="18" t="s">
        <v>154</v>
      </c>
    </row>
    <row r="64" spans="1:20" x14ac:dyDescent="0.25">
      <c r="A64" s="11" t="s">
        <v>197</v>
      </c>
      <c r="B64" s="17" t="s">
        <v>154</v>
      </c>
      <c r="C64" s="17" t="s">
        <v>154</v>
      </c>
      <c r="D64" s="18" t="s">
        <v>154</v>
      </c>
      <c r="E64" s="17" t="s">
        <v>154</v>
      </c>
      <c r="F64" s="18" t="s">
        <v>154</v>
      </c>
      <c r="G64" s="17" t="s">
        <v>154</v>
      </c>
      <c r="H64" s="18" t="s">
        <v>154</v>
      </c>
      <c r="I64" s="17" t="s">
        <v>154</v>
      </c>
      <c r="J64" s="18" t="s">
        <v>154</v>
      </c>
      <c r="K64" s="17" t="s">
        <v>154</v>
      </c>
      <c r="L64" s="18" t="s">
        <v>154</v>
      </c>
      <c r="M64" s="17" t="s">
        <v>154</v>
      </c>
      <c r="N64" s="18" t="s">
        <v>154</v>
      </c>
      <c r="O64" s="17" t="s">
        <v>154</v>
      </c>
      <c r="P64" s="18" t="s">
        <v>154</v>
      </c>
      <c r="Q64" s="17" t="s">
        <v>154</v>
      </c>
      <c r="R64" s="18" t="s">
        <v>154</v>
      </c>
      <c r="S64" s="17" t="s">
        <v>154</v>
      </c>
      <c r="T64" s="18" t="s">
        <v>154</v>
      </c>
    </row>
    <row r="65" spans="1:20" x14ac:dyDescent="0.25">
      <c r="A65" s="11" t="s">
        <v>198</v>
      </c>
      <c r="B65" s="17" t="s">
        <v>154</v>
      </c>
      <c r="C65" s="17" t="s">
        <v>154</v>
      </c>
      <c r="D65" s="18" t="s">
        <v>154</v>
      </c>
      <c r="E65" s="17" t="s">
        <v>154</v>
      </c>
      <c r="F65" s="18" t="s">
        <v>154</v>
      </c>
      <c r="G65" s="17" t="s">
        <v>154</v>
      </c>
      <c r="H65" s="18" t="s">
        <v>154</v>
      </c>
      <c r="I65" s="17" t="s">
        <v>154</v>
      </c>
      <c r="J65" s="18" t="s">
        <v>154</v>
      </c>
      <c r="K65" s="17" t="s">
        <v>154</v>
      </c>
      <c r="L65" s="18" t="s">
        <v>154</v>
      </c>
      <c r="M65" s="17" t="s">
        <v>154</v>
      </c>
      <c r="N65" s="18" t="s">
        <v>154</v>
      </c>
      <c r="O65" s="17" t="s">
        <v>154</v>
      </c>
      <c r="P65" s="18" t="s">
        <v>154</v>
      </c>
      <c r="Q65" s="17" t="s">
        <v>154</v>
      </c>
      <c r="R65" s="18" t="s">
        <v>154</v>
      </c>
      <c r="S65" s="17" t="s">
        <v>154</v>
      </c>
      <c r="T65" s="18" t="s">
        <v>154</v>
      </c>
    </row>
    <row r="66" spans="1:20" x14ac:dyDescent="0.25">
      <c r="A66" s="11" t="s">
        <v>199</v>
      </c>
      <c r="B66" s="13">
        <v>5665</v>
      </c>
      <c r="C66" s="14">
        <f>(4745/B66*100)</f>
        <v>83.759929390997357</v>
      </c>
      <c r="D66" s="15">
        <v>920</v>
      </c>
      <c r="E66" s="14">
        <v>63.534599419999999</v>
      </c>
      <c r="F66" s="16">
        <v>1.56272089</v>
      </c>
      <c r="G66" s="14">
        <v>10.37562052</v>
      </c>
      <c r="H66" s="16">
        <v>1.01454775</v>
      </c>
      <c r="I66" s="14">
        <v>26.089780059999999</v>
      </c>
      <c r="J66" s="16">
        <v>1.49264511</v>
      </c>
      <c r="K66" s="14" t="s">
        <v>139</v>
      </c>
      <c r="L66" s="16" t="s">
        <v>139</v>
      </c>
      <c r="M66" s="14">
        <v>0</v>
      </c>
      <c r="N66" s="16">
        <v>0</v>
      </c>
      <c r="O66" s="14">
        <v>0</v>
      </c>
      <c r="P66" s="16">
        <v>0</v>
      </c>
      <c r="Q66" s="14">
        <v>0</v>
      </c>
      <c r="R66" s="16">
        <v>0</v>
      </c>
      <c r="S66" s="14">
        <v>0</v>
      </c>
      <c r="T66" s="16">
        <v>0</v>
      </c>
    </row>
    <row r="67" spans="1:20" x14ac:dyDescent="0.25">
      <c r="A67" s="11" t="s">
        <v>200</v>
      </c>
      <c r="B67" s="13">
        <v>6971</v>
      </c>
      <c r="C67" s="14">
        <f>(5950/B67*100)</f>
        <v>85.353607803758422</v>
      </c>
      <c r="D67" s="15">
        <v>1021</v>
      </c>
      <c r="E67" s="14">
        <v>66.297689129999995</v>
      </c>
      <c r="F67" s="16">
        <v>1.52534847</v>
      </c>
      <c r="G67" s="14">
        <v>10.85186322</v>
      </c>
      <c r="H67" s="16">
        <v>0.90585568000000005</v>
      </c>
      <c r="I67" s="14">
        <v>22.85044766</v>
      </c>
      <c r="J67" s="16">
        <v>1.4037478699999999</v>
      </c>
      <c r="K67" s="14" t="s">
        <v>139</v>
      </c>
      <c r="L67" s="16" t="s">
        <v>139</v>
      </c>
      <c r="M67" s="14">
        <v>0</v>
      </c>
      <c r="N67" s="16">
        <v>0</v>
      </c>
      <c r="O67" s="14">
        <v>0</v>
      </c>
      <c r="P67" s="16">
        <v>0</v>
      </c>
      <c r="Q67" s="14">
        <v>0</v>
      </c>
      <c r="R67" s="16">
        <v>0</v>
      </c>
      <c r="S67" s="14">
        <v>0</v>
      </c>
      <c r="T67" s="16">
        <v>0</v>
      </c>
    </row>
    <row r="68" spans="1:20" x14ac:dyDescent="0.25">
      <c r="A68" s="11" t="s">
        <v>201</v>
      </c>
      <c r="B68" s="17" t="s">
        <v>154</v>
      </c>
      <c r="C68" s="17" t="s">
        <v>154</v>
      </c>
      <c r="D68" s="18" t="s">
        <v>154</v>
      </c>
      <c r="E68" s="17" t="s">
        <v>154</v>
      </c>
      <c r="F68" s="18" t="s">
        <v>154</v>
      </c>
      <c r="G68" s="17" t="s">
        <v>154</v>
      </c>
      <c r="H68" s="18" t="s">
        <v>154</v>
      </c>
      <c r="I68" s="17" t="s">
        <v>154</v>
      </c>
      <c r="J68" s="18" t="s">
        <v>154</v>
      </c>
      <c r="K68" s="17" t="s">
        <v>154</v>
      </c>
      <c r="L68" s="18" t="s">
        <v>154</v>
      </c>
      <c r="M68" s="17" t="s">
        <v>154</v>
      </c>
      <c r="N68" s="18" t="s">
        <v>154</v>
      </c>
      <c r="O68" s="17" t="s">
        <v>154</v>
      </c>
      <c r="P68" s="18" t="s">
        <v>154</v>
      </c>
      <c r="Q68" s="17" t="s">
        <v>154</v>
      </c>
      <c r="R68" s="18" t="s">
        <v>154</v>
      </c>
      <c r="S68" s="17" t="s">
        <v>154</v>
      </c>
      <c r="T68" s="18" t="s">
        <v>154</v>
      </c>
    </row>
    <row r="69" spans="1:20" x14ac:dyDescent="0.25">
      <c r="A69" s="11" t="s">
        <v>202</v>
      </c>
      <c r="B69" s="17" t="s">
        <v>154</v>
      </c>
      <c r="C69" s="17" t="s">
        <v>154</v>
      </c>
      <c r="D69" s="18" t="s">
        <v>154</v>
      </c>
      <c r="E69" s="17" t="s">
        <v>154</v>
      </c>
      <c r="F69" s="18" t="s">
        <v>154</v>
      </c>
      <c r="G69" s="17" t="s">
        <v>154</v>
      </c>
      <c r="H69" s="18" t="s">
        <v>154</v>
      </c>
      <c r="I69" s="17" t="s">
        <v>154</v>
      </c>
      <c r="J69" s="18" t="s">
        <v>154</v>
      </c>
      <c r="K69" s="17" t="s">
        <v>154</v>
      </c>
      <c r="L69" s="18" t="s">
        <v>154</v>
      </c>
      <c r="M69" s="17" t="s">
        <v>154</v>
      </c>
      <c r="N69" s="18" t="s">
        <v>154</v>
      </c>
      <c r="O69" s="17" t="s">
        <v>154</v>
      </c>
      <c r="P69" s="18" t="s">
        <v>154</v>
      </c>
      <c r="Q69" s="17" t="s">
        <v>154</v>
      </c>
      <c r="R69" s="18" t="s">
        <v>154</v>
      </c>
      <c r="S69" s="17" t="s">
        <v>154</v>
      </c>
      <c r="T69" s="18" t="s">
        <v>154</v>
      </c>
    </row>
    <row r="70" spans="1:20" x14ac:dyDescent="0.25">
      <c r="A70" s="11" t="s">
        <v>203</v>
      </c>
      <c r="B70" s="13">
        <v>6036</v>
      </c>
      <c r="C70" s="14">
        <f>(5024/B70*100)</f>
        <v>83.233929754804507</v>
      </c>
      <c r="D70" s="15">
        <v>1012</v>
      </c>
      <c r="E70" s="14">
        <v>47.888484570000003</v>
      </c>
      <c r="F70" s="16">
        <v>1.5598015999999999</v>
      </c>
      <c r="G70" s="14">
        <v>5.4371275199999998</v>
      </c>
      <c r="H70" s="16">
        <v>0.72840795000000003</v>
      </c>
      <c r="I70" s="14">
        <v>46.67438791</v>
      </c>
      <c r="J70" s="16">
        <v>1.65059336</v>
      </c>
      <c r="K70" s="14" t="s">
        <v>139</v>
      </c>
      <c r="L70" s="16" t="s">
        <v>139</v>
      </c>
      <c r="M70" s="14">
        <v>0</v>
      </c>
      <c r="N70" s="16">
        <v>0</v>
      </c>
      <c r="O70" s="14">
        <v>0</v>
      </c>
      <c r="P70" s="16">
        <v>0</v>
      </c>
      <c r="Q70" s="14">
        <v>0</v>
      </c>
      <c r="R70" s="16">
        <v>0</v>
      </c>
      <c r="S70" s="14">
        <v>0</v>
      </c>
      <c r="T70" s="16">
        <v>0</v>
      </c>
    </row>
    <row r="71" spans="1:20" x14ac:dyDescent="0.25">
      <c r="A71" s="11" t="s">
        <v>204</v>
      </c>
      <c r="B71" s="17" t="s">
        <v>154</v>
      </c>
      <c r="C71" s="17" t="s">
        <v>154</v>
      </c>
      <c r="D71" s="18" t="s">
        <v>154</v>
      </c>
      <c r="E71" s="17" t="s">
        <v>154</v>
      </c>
      <c r="F71" s="18" t="s">
        <v>154</v>
      </c>
      <c r="G71" s="17" t="s">
        <v>154</v>
      </c>
      <c r="H71" s="18" t="s">
        <v>154</v>
      </c>
      <c r="I71" s="17" t="s">
        <v>154</v>
      </c>
      <c r="J71" s="18" t="s">
        <v>154</v>
      </c>
      <c r="K71" s="17" t="s">
        <v>154</v>
      </c>
      <c r="L71" s="18" t="s">
        <v>154</v>
      </c>
      <c r="M71" s="17" t="s">
        <v>154</v>
      </c>
      <c r="N71" s="18" t="s">
        <v>154</v>
      </c>
      <c r="O71" s="17" t="s">
        <v>154</v>
      </c>
      <c r="P71" s="18" t="s">
        <v>154</v>
      </c>
      <c r="Q71" s="17" t="s">
        <v>154</v>
      </c>
      <c r="R71" s="18" t="s">
        <v>154</v>
      </c>
      <c r="S71" s="17" t="s">
        <v>154</v>
      </c>
      <c r="T71" s="18" t="s">
        <v>154</v>
      </c>
    </row>
    <row r="72" spans="1:20" x14ac:dyDescent="0.25">
      <c r="A72" s="11" t="s">
        <v>205</v>
      </c>
      <c r="B72" s="13">
        <v>7708</v>
      </c>
      <c r="C72" s="14">
        <f>(6366/B72*100)</f>
        <v>82.589517384535554</v>
      </c>
      <c r="D72" s="15">
        <v>1342</v>
      </c>
      <c r="E72" s="14">
        <v>23.498882420000001</v>
      </c>
      <c r="F72" s="16">
        <v>1.2490020799999999</v>
      </c>
      <c r="G72" s="14">
        <v>5.1153770600000001</v>
      </c>
      <c r="H72" s="16">
        <v>0.66769254</v>
      </c>
      <c r="I72" s="14">
        <v>71.385740510000005</v>
      </c>
      <c r="J72" s="16">
        <v>1.33474834</v>
      </c>
      <c r="K72" s="14" t="s">
        <v>139</v>
      </c>
      <c r="L72" s="16" t="s">
        <v>139</v>
      </c>
      <c r="M72" s="14">
        <v>0</v>
      </c>
      <c r="N72" s="16">
        <v>0</v>
      </c>
      <c r="O72" s="14">
        <v>0</v>
      </c>
      <c r="P72" s="16">
        <v>0</v>
      </c>
      <c r="Q72" s="14">
        <v>0</v>
      </c>
      <c r="R72" s="16">
        <v>0</v>
      </c>
      <c r="S72" s="14">
        <v>0</v>
      </c>
      <c r="T72" s="16">
        <v>0</v>
      </c>
    </row>
    <row r="73" spans="1:20" x14ac:dyDescent="0.25">
      <c r="A73" s="11" t="s">
        <v>206</v>
      </c>
      <c r="B73" s="13">
        <v>8249</v>
      </c>
      <c r="C73" s="14">
        <f>(6930/B73*100)</f>
        <v>84.010183052491215</v>
      </c>
      <c r="D73" s="15">
        <v>1319</v>
      </c>
      <c r="E73" s="14">
        <v>48.789369430000001</v>
      </c>
      <c r="F73" s="16">
        <v>1.76403479</v>
      </c>
      <c r="G73" s="14">
        <v>20.960477579999999</v>
      </c>
      <c r="H73" s="16">
        <v>1.27003738</v>
      </c>
      <c r="I73" s="14">
        <v>30.25015299</v>
      </c>
      <c r="J73" s="16">
        <v>1.65840615</v>
      </c>
      <c r="K73" s="14" t="s">
        <v>139</v>
      </c>
      <c r="L73" s="16" t="s">
        <v>139</v>
      </c>
      <c r="M73" s="14">
        <v>0</v>
      </c>
      <c r="N73" s="16">
        <v>0</v>
      </c>
      <c r="O73" s="14">
        <v>0</v>
      </c>
      <c r="P73" s="16">
        <v>0</v>
      </c>
      <c r="Q73" s="14">
        <v>0</v>
      </c>
      <c r="R73" s="16">
        <v>0</v>
      </c>
      <c r="S73" s="14">
        <v>0</v>
      </c>
      <c r="T73" s="16">
        <v>0</v>
      </c>
    </row>
    <row r="74" spans="1:20" x14ac:dyDescent="0.25">
      <c r="A74" s="11" t="s">
        <v>207</v>
      </c>
      <c r="B74" s="17" t="s">
        <v>154</v>
      </c>
      <c r="C74" s="17" t="s">
        <v>154</v>
      </c>
      <c r="D74" s="18" t="s">
        <v>154</v>
      </c>
      <c r="E74" s="17" t="s">
        <v>154</v>
      </c>
      <c r="F74" s="18" t="s">
        <v>154</v>
      </c>
      <c r="G74" s="17" t="s">
        <v>154</v>
      </c>
      <c r="H74" s="18" t="s">
        <v>154</v>
      </c>
      <c r="I74" s="17" t="s">
        <v>154</v>
      </c>
      <c r="J74" s="18" t="s">
        <v>154</v>
      </c>
      <c r="K74" s="17" t="s">
        <v>154</v>
      </c>
      <c r="L74" s="18" t="s">
        <v>154</v>
      </c>
      <c r="M74" s="17" t="s">
        <v>154</v>
      </c>
      <c r="N74" s="18" t="s">
        <v>154</v>
      </c>
      <c r="O74" s="17" t="s">
        <v>154</v>
      </c>
      <c r="P74" s="18" t="s">
        <v>154</v>
      </c>
      <c r="Q74" s="17" t="s">
        <v>154</v>
      </c>
      <c r="R74" s="18" t="s">
        <v>154</v>
      </c>
      <c r="S74" s="17" t="s">
        <v>154</v>
      </c>
      <c r="T74" s="18" t="s">
        <v>154</v>
      </c>
    </row>
    <row r="75" spans="1:20" x14ac:dyDescent="0.25">
      <c r="A75" s="11" t="s">
        <v>208</v>
      </c>
      <c r="B75" s="13">
        <v>5375</v>
      </c>
      <c r="C75" s="14">
        <f>(4570/B75*100)</f>
        <v>85.023255813953497</v>
      </c>
      <c r="D75" s="15">
        <v>805</v>
      </c>
      <c r="E75" s="14">
        <v>71.253212469999994</v>
      </c>
      <c r="F75" s="16">
        <v>1.7358509099999999</v>
      </c>
      <c r="G75" s="14">
        <v>9.2983634199999994</v>
      </c>
      <c r="H75" s="16">
        <v>1.1344689800000001</v>
      </c>
      <c r="I75" s="14">
        <v>19.448424119999999</v>
      </c>
      <c r="J75" s="16">
        <v>1.4381309200000001</v>
      </c>
      <c r="K75" s="14" t="s">
        <v>139</v>
      </c>
      <c r="L75" s="16" t="s">
        <v>139</v>
      </c>
      <c r="M75" s="14">
        <v>0</v>
      </c>
      <c r="N75" s="16">
        <v>0</v>
      </c>
      <c r="O75" s="14">
        <v>0</v>
      </c>
      <c r="P75" s="16">
        <v>0</v>
      </c>
      <c r="Q75" s="14">
        <v>0</v>
      </c>
      <c r="R75" s="16">
        <v>0</v>
      </c>
      <c r="S75" s="14">
        <v>0</v>
      </c>
      <c r="T75" s="16">
        <v>0</v>
      </c>
    </row>
    <row r="76" spans="1:20" x14ac:dyDescent="0.25">
      <c r="A76" s="11" t="s">
        <v>209</v>
      </c>
      <c r="B76" s="13">
        <v>14167</v>
      </c>
      <c r="C76" s="14">
        <f>(11781/B76*100)</f>
        <v>83.158043340156709</v>
      </c>
      <c r="D76" s="15">
        <v>2386</v>
      </c>
      <c r="E76" s="14">
        <v>47.64531324</v>
      </c>
      <c r="F76" s="16">
        <v>1.2664550000000001</v>
      </c>
      <c r="G76" s="14">
        <v>10.640352289999999</v>
      </c>
      <c r="H76" s="16">
        <v>0.75728351999999999</v>
      </c>
      <c r="I76" s="14">
        <v>41.714334469999997</v>
      </c>
      <c r="J76" s="16">
        <v>1.2679102</v>
      </c>
      <c r="K76" s="14" t="s">
        <v>139</v>
      </c>
      <c r="L76" s="16" t="s">
        <v>139</v>
      </c>
      <c r="M76" s="14">
        <v>0</v>
      </c>
      <c r="N76" s="16">
        <v>0</v>
      </c>
      <c r="O76" s="14">
        <v>0</v>
      </c>
      <c r="P76" s="16">
        <v>0</v>
      </c>
      <c r="Q76" s="14">
        <v>0</v>
      </c>
      <c r="R76" s="16">
        <v>0</v>
      </c>
      <c r="S76" s="14">
        <v>0</v>
      </c>
      <c r="T76" s="16">
        <v>0</v>
      </c>
    </row>
    <row r="77" spans="1:20" x14ac:dyDescent="0.25">
      <c r="A77" s="11" t="s">
        <v>210</v>
      </c>
      <c r="B77" s="13">
        <v>6062</v>
      </c>
      <c r="C77" s="14">
        <f>(5104/B77*100)</f>
        <v>84.196634774001978</v>
      </c>
      <c r="D77" s="15">
        <v>958</v>
      </c>
      <c r="E77" s="14">
        <v>63.930673159999998</v>
      </c>
      <c r="F77" s="16">
        <v>1.9801530000000001</v>
      </c>
      <c r="G77" s="14">
        <v>12.72287627</v>
      </c>
      <c r="H77" s="16">
        <v>1.29027731</v>
      </c>
      <c r="I77" s="14">
        <v>23.346450569999998</v>
      </c>
      <c r="J77" s="16">
        <v>1.57901552</v>
      </c>
      <c r="K77" s="14" t="s">
        <v>139</v>
      </c>
      <c r="L77" s="16" t="s">
        <v>139</v>
      </c>
      <c r="M77" s="14">
        <v>0</v>
      </c>
      <c r="N77" s="16">
        <v>0</v>
      </c>
      <c r="O77" s="14">
        <v>0</v>
      </c>
      <c r="P77" s="16">
        <v>0</v>
      </c>
      <c r="Q77" s="14">
        <v>0</v>
      </c>
      <c r="R77" s="16">
        <v>0</v>
      </c>
      <c r="S77" s="14">
        <v>0</v>
      </c>
      <c r="T77" s="16">
        <v>0</v>
      </c>
    </row>
    <row r="78" spans="1:20" x14ac:dyDescent="0.25">
      <c r="A78" s="11" t="s">
        <v>211</v>
      </c>
      <c r="B78" s="17" t="s">
        <v>154</v>
      </c>
      <c r="C78" s="17" t="s">
        <v>154</v>
      </c>
      <c r="D78" s="18" t="s">
        <v>154</v>
      </c>
      <c r="E78" s="17" t="s">
        <v>154</v>
      </c>
      <c r="F78" s="18" t="s">
        <v>154</v>
      </c>
      <c r="G78" s="17" t="s">
        <v>154</v>
      </c>
      <c r="H78" s="18" t="s">
        <v>154</v>
      </c>
      <c r="I78" s="17" t="s">
        <v>154</v>
      </c>
      <c r="J78" s="18" t="s">
        <v>154</v>
      </c>
      <c r="K78" s="17" t="s">
        <v>154</v>
      </c>
      <c r="L78" s="18" t="s">
        <v>154</v>
      </c>
      <c r="M78" s="17" t="s">
        <v>154</v>
      </c>
      <c r="N78" s="18" t="s">
        <v>154</v>
      </c>
      <c r="O78" s="17" t="s">
        <v>154</v>
      </c>
      <c r="P78" s="18" t="s">
        <v>154</v>
      </c>
      <c r="Q78" s="17" t="s">
        <v>154</v>
      </c>
      <c r="R78" s="18" t="s">
        <v>154</v>
      </c>
      <c r="S78" s="17" t="s">
        <v>154</v>
      </c>
      <c r="T78" s="18" t="s">
        <v>154</v>
      </c>
    </row>
    <row r="79" spans="1:20" ht="24.95" customHeight="1" x14ac:dyDescent="0.25">
      <c r="A79" s="11" t="s">
        <v>212</v>
      </c>
      <c r="B79" s="17" t="s">
        <v>154</v>
      </c>
      <c r="C79" s="17" t="s">
        <v>154</v>
      </c>
      <c r="D79" s="18" t="s">
        <v>154</v>
      </c>
      <c r="E79" s="17" t="s">
        <v>154</v>
      </c>
      <c r="F79" s="18" t="s">
        <v>154</v>
      </c>
      <c r="G79" s="17" t="s">
        <v>154</v>
      </c>
      <c r="H79" s="18" t="s">
        <v>154</v>
      </c>
      <c r="I79" s="17" t="s">
        <v>154</v>
      </c>
      <c r="J79" s="18" t="s">
        <v>154</v>
      </c>
      <c r="K79" s="17" t="s">
        <v>154</v>
      </c>
      <c r="L79" s="18" t="s">
        <v>154</v>
      </c>
      <c r="M79" s="17" t="s">
        <v>154</v>
      </c>
      <c r="N79" s="18" t="s">
        <v>154</v>
      </c>
      <c r="O79" s="17" t="s">
        <v>154</v>
      </c>
      <c r="P79" s="18" t="s">
        <v>154</v>
      </c>
      <c r="Q79" s="17" t="s">
        <v>154</v>
      </c>
      <c r="R79" s="18" t="s">
        <v>154</v>
      </c>
      <c r="S79" s="17" t="s">
        <v>154</v>
      </c>
      <c r="T79" s="18" t="s">
        <v>154</v>
      </c>
    </row>
    <row r="80" spans="1:20" x14ac:dyDescent="0.25">
      <c r="A80" s="11" t="s">
        <v>213</v>
      </c>
      <c r="B80" s="17" t="s">
        <v>154</v>
      </c>
      <c r="C80" s="17" t="s">
        <v>154</v>
      </c>
      <c r="D80" s="18" t="s">
        <v>154</v>
      </c>
      <c r="E80" s="17" t="s">
        <v>154</v>
      </c>
      <c r="F80" s="18" t="s">
        <v>154</v>
      </c>
      <c r="G80" s="17" t="s">
        <v>154</v>
      </c>
      <c r="H80" s="18" t="s">
        <v>154</v>
      </c>
      <c r="I80" s="17" t="s">
        <v>154</v>
      </c>
      <c r="J80" s="18" t="s">
        <v>154</v>
      </c>
      <c r="K80" s="17" t="s">
        <v>154</v>
      </c>
      <c r="L80" s="18" t="s">
        <v>154</v>
      </c>
      <c r="M80" s="17" t="s">
        <v>154</v>
      </c>
      <c r="N80" s="18" t="s">
        <v>154</v>
      </c>
      <c r="O80" s="17" t="s">
        <v>154</v>
      </c>
      <c r="P80" s="18" t="s">
        <v>154</v>
      </c>
      <c r="Q80" s="17" t="s">
        <v>154</v>
      </c>
      <c r="R80" s="18" t="s">
        <v>154</v>
      </c>
      <c r="S80" s="17" t="s">
        <v>154</v>
      </c>
      <c r="T80" s="18" t="s">
        <v>154</v>
      </c>
    </row>
    <row r="81" spans="1:20" x14ac:dyDescent="0.25">
      <c r="A81" s="19" t="s">
        <v>214</v>
      </c>
      <c r="B81" s="13">
        <v>8861</v>
      </c>
      <c r="C81" s="14">
        <f>(7356/B81*100)</f>
        <v>83.015461008915466</v>
      </c>
      <c r="D81" s="15">
        <v>1505</v>
      </c>
      <c r="E81" s="14">
        <v>40.60281749</v>
      </c>
      <c r="F81" s="16">
        <v>1.56855459</v>
      </c>
      <c r="G81" s="14">
        <v>7.3959107499999996</v>
      </c>
      <c r="H81" s="16">
        <v>0.79497077999999999</v>
      </c>
      <c r="I81" s="14">
        <v>52.001271760000002</v>
      </c>
      <c r="J81" s="16">
        <v>1.6789622500000001</v>
      </c>
      <c r="K81" s="14" t="s">
        <v>139</v>
      </c>
      <c r="L81" s="16" t="s">
        <v>139</v>
      </c>
      <c r="M81" s="14">
        <v>0</v>
      </c>
      <c r="N81" s="16">
        <v>0</v>
      </c>
      <c r="O81" s="14">
        <v>0</v>
      </c>
      <c r="P81" s="16">
        <v>0</v>
      </c>
      <c r="Q81" s="14">
        <v>0</v>
      </c>
      <c r="R81" s="16">
        <v>0</v>
      </c>
      <c r="S81" s="14">
        <v>0</v>
      </c>
      <c r="T81" s="16">
        <v>0</v>
      </c>
    </row>
    <row r="82" spans="1:20" x14ac:dyDescent="0.25">
      <c r="A82" s="20"/>
      <c r="B82" s="20" t="s">
        <v>215</v>
      </c>
      <c r="C82" s="20" t="s">
        <v>215</v>
      </c>
      <c r="D82" s="20" t="s">
        <v>215</v>
      </c>
      <c r="E82" s="20" t="s">
        <v>215</v>
      </c>
      <c r="F82" s="20" t="s">
        <v>215</v>
      </c>
      <c r="G82" s="20" t="s">
        <v>215</v>
      </c>
      <c r="H82" s="20" t="s">
        <v>215</v>
      </c>
      <c r="I82" s="20" t="s">
        <v>215</v>
      </c>
      <c r="J82" s="20" t="s">
        <v>215</v>
      </c>
      <c r="K82" s="20" t="s">
        <v>215</v>
      </c>
      <c r="L82" s="20" t="s">
        <v>215</v>
      </c>
      <c r="M82" s="20" t="s">
        <v>215</v>
      </c>
      <c r="N82" s="20" t="s">
        <v>215</v>
      </c>
      <c r="O82" s="20" t="s">
        <v>215</v>
      </c>
      <c r="P82" s="20" t="s">
        <v>215</v>
      </c>
      <c r="Q82" s="20" t="s">
        <v>215</v>
      </c>
      <c r="R82" s="20" t="s">
        <v>215</v>
      </c>
      <c r="S82" s="20" t="s">
        <v>215</v>
      </c>
      <c r="T82" s="20" t="s">
        <v>215</v>
      </c>
    </row>
    <row r="83" spans="1:20" x14ac:dyDescent="0.25">
      <c r="A83" s="3" t="s">
        <v>216</v>
      </c>
    </row>
    <row r="84" spans="1:20" x14ac:dyDescent="0.25">
      <c r="A84" s="22" t="s">
        <v>217</v>
      </c>
      <c r="B84" s="23"/>
      <c r="C84" s="23"/>
      <c r="D84" s="23"/>
      <c r="E84" s="23"/>
      <c r="F84" s="23"/>
      <c r="G84" s="23"/>
      <c r="H84" s="23"/>
      <c r="I84" s="23"/>
      <c r="J84" s="23"/>
      <c r="K84" s="23"/>
      <c r="L84" s="23"/>
      <c r="M84" s="23"/>
      <c r="N84" s="23"/>
      <c r="O84" s="23"/>
      <c r="P84" s="23"/>
      <c r="Q84" s="23"/>
      <c r="R84" s="23"/>
      <c r="S84" s="23"/>
      <c r="T84" s="23"/>
    </row>
    <row r="85" spans="1:20" x14ac:dyDescent="0.25">
      <c r="A85" s="22" t="s">
        <v>218</v>
      </c>
      <c r="B85" s="23"/>
      <c r="C85" s="23"/>
      <c r="D85" s="23"/>
      <c r="E85" s="23"/>
      <c r="F85" s="23"/>
      <c r="G85" s="23"/>
      <c r="H85" s="23"/>
      <c r="I85" s="23"/>
      <c r="J85" s="23"/>
      <c r="K85" s="23"/>
      <c r="L85" s="23"/>
      <c r="M85" s="23"/>
      <c r="N85" s="23"/>
      <c r="O85" s="23"/>
      <c r="P85" s="23"/>
      <c r="Q85" s="23"/>
      <c r="R85" s="23"/>
      <c r="S85" s="23"/>
      <c r="T85" s="23"/>
    </row>
    <row r="86" spans="1:20" ht="30" customHeight="1" x14ac:dyDescent="0.25">
      <c r="A86" s="22" t="s">
        <v>219</v>
      </c>
      <c r="B86" s="23"/>
      <c r="C86" s="23"/>
      <c r="D86" s="23"/>
      <c r="E86" s="23"/>
      <c r="F86" s="23"/>
      <c r="G86" s="23"/>
      <c r="H86" s="23"/>
      <c r="I86" s="23"/>
      <c r="J86" s="23"/>
      <c r="K86" s="23"/>
      <c r="L86" s="23"/>
      <c r="M86" s="23"/>
      <c r="N86" s="23"/>
      <c r="O86" s="23"/>
      <c r="P86" s="23"/>
      <c r="Q86" s="23"/>
      <c r="R86" s="23"/>
      <c r="S86" s="23"/>
      <c r="T86" s="23"/>
    </row>
    <row r="87" spans="1:20" ht="30" customHeight="1" x14ac:dyDescent="0.25">
      <c r="A87" s="22" t="s">
        <v>215</v>
      </c>
      <c r="B87" s="23"/>
      <c r="C87" s="23"/>
      <c r="D87" s="23"/>
      <c r="E87" s="23"/>
      <c r="F87" s="23"/>
      <c r="G87" s="23"/>
      <c r="H87" s="23"/>
      <c r="I87" s="23"/>
      <c r="J87" s="23"/>
      <c r="K87" s="23"/>
      <c r="L87" s="23"/>
      <c r="M87" s="23"/>
      <c r="N87" s="23"/>
      <c r="O87" s="23"/>
      <c r="P87" s="23"/>
      <c r="Q87" s="23"/>
      <c r="R87" s="23"/>
      <c r="S87" s="23"/>
      <c r="T87" s="23"/>
    </row>
    <row r="88" spans="1:20" ht="30" customHeight="1" x14ac:dyDescent="0.25">
      <c r="A88" s="22" t="s">
        <v>220</v>
      </c>
      <c r="B88" s="23"/>
      <c r="C88" s="23"/>
      <c r="D88" s="23"/>
      <c r="E88" s="23"/>
      <c r="F88" s="23"/>
      <c r="G88" s="23"/>
      <c r="H88" s="23"/>
      <c r="I88" s="23"/>
      <c r="J88" s="23"/>
      <c r="K88" s="23"/>
      <c r="L88" s="23"/>
      <c r="M88" s="23"/>
      <c r="N88" s="23"/>
      <c r="O88" s="23"/>
      <c r="P88" s="23"/>
      <c r="Q88" s="23"/>
      <c r="R88" s="23"/>
      <c r="S88" s="23"/>
      <c r="T88" s="23"/>
    </row>
    <row r="89" spans="1:20" ht="30" customHeight="1" x14ac:dyDescent="0.25">
      <c r="A89" s="22" t="s">
        <v>221</v>
      </c>
      <c r="B89" s="23"/>
      <c r="C89" s="23"/>
      <c r="D89" s="23"/>
      <c r="E89" s="23"/>
      <c r="F89" s="23"/>
      <c r="G89" s="23"/>
      <c r="H89" s="23"/>
      <c r="I89" s="23"/>
      <c r="J89" s="23"/>
      <c r="K89" s="23"/>
      <c r="L89" s="23"/>
      <c r="M89" s="23"/>
      <c r="N89" s="23"/>
      <c r="O89" s="23"/>
      <c r="P89" s="23"/>
      <c r="Q89" s="23"/>
      <c r="R89" s="23"/>
      <c r="S89" s="23"/>
      <c r="T89" s="23"/>
    </row>
    <row r="90" spans="1:20" ht="30" customHeight="1" x14ac:dyDescent="0.25">
      <c r="A90" s="22" t="s">
        <v>222</v>
      </c>
      <c r="B90" s="23"/>
      <c r="C90" s="23"/>
      <c r="D90" s="23"/>
      <c r="E90" s="23"/>
      <c r="F90" s="23"/>
      <c r="G90" s="23"/>
      <c r="H90" s="23"/>
      <c r="I90" s="23"/>
      <c r="J90" s="23"/>
      <c r="K90" s="23"/>
      <c r="L90" s="23"/>
      <c r="M90" s="23"/>
      <c r="N90" s="23"/>
      <c r="O90" s="23"/>
      <c r="P90" s="23"/>
      <c r="Q90" s="23"/>
      <c r="R90" s="23"/>
      <c r="S90" s="23"/>
      <c r="T90" s="23"/>
    </row>
    <row r="91" spans="1:20" ht="30" customHeight="1" x14ac:dyDescent="0.25">
      <c r="A91" s="22" t="s">
        <v>223</v>
      </c>
      <c r="B91" s="23"/>
      <c r="C91" s="23"/>
      <c r="D91" s="23"/>
      <c r="E91" s="23"/>
      <c r="F91" s="23"/>
      <c r="G91" s="23"/>
      <c r="H91" s="23"/>
      <c r="I91" s="23"/>
      <c r="J91" s="23"/>
      <c r="K91" s="23"/>
      <c r="L91" s="23"/>
      <c r="M91" s="23"/>
      <c r="N91" s="23"/>
      <c r="O91" s="23"/>
      <c r="P91" s="23"/>
      <c r="Q91" s="23"/>
      <c r="R91" s="23"/>
      <c r="S91" s="23"/>
      <c r="T91" s="23"/>
    </row>
    <row r="92" spans="1:20" ht="30" customHeight="1" x14ac:dyDescent="0.25">
      <c r="A92" s="22" t="s">
        <v>224</v>
      </c>
      <c r="B92" s="23"/>
      <c r="C92" s="23"/>
      <c r="D92" s="23"/>
      <c r="E92" s="23"/>
      <c r="F92" s="23"/>
      <c r="G92" s="23"/>
      <c r="H92" s="23"/>
      <c r="I92" s="23"/>
      <c r="J92" s="23"/>
      <c r="K92" s="23"/>
      <c r="L92" s="23"/>
      <c r="M92" s="23"/>
      <c r="N92" s="23"/>
      <c r="O92" s="23"/>
      <c r="P92" s="23"/>
      <c r="Q92" s="23"/>
      <c r="R92" s="23"/>
      <c r="S92" s="23"/>
      <c r="T92" s="23"/>
    </row>
    <row r="93" spans="1:20" ht="30" customHeight="1" x14ac:dyDescent="0.25">
      <c r="A93" s="22" t="s">
        <v>225</v>
      </c>
      <c r="B93" s="23"/>
      <c r="C93" s="23"/>
      <c r="D93" s="23"/>
      <c r="E93" s="23"/>
      <c r="F93" s="23"/>
      <c r="G93" s="23"/>
      <c r="H93" s="23"/>
      <c r="I93" s="23"/>
      <c r="J93" s="23"/>
      <c r="K93" s="23"/>
      <c r="L93" s="23"/>
      <c r="M93" s="23"/>
      <c r="N93" s="23"/>
      <c r="O93" s="23"/>
      <c r="P93" s="23"/>
      <c r="Q93" s="23"/>
      <c r="R93" s="23"/>
      <c r="S93" s="23"/>
      <c r="T93" s="23"/>
    </row>
    <row r="94" spans="1:20" ht="30" customHeight="1" x14ac:dyDescent="0.25">
      <c r="A94" s="22" t="s">
        <v>226</v>
      </c>
      <c r="B94" s="23"/>
      <c r="C94" s="23"/>
      <c r="D94" s="23"/>
      <c r="E94" s="23"/>
      <c r="F94" s="23"/>
      <c r="G94" s="23"/>
      <c r="H94" s="23"/>
      <c r="I94" s="23"/>
      <c r="J94" s="23"/>
      <c r="K94" s="23"/>
      <c r="L94" s="23"/>
      <c r="M94" s="23"/>
      <c r="N94" s="23"/>
      <c r="O94" s="23"/>
      <c r="P94" s="23"/>
      <c r="Q94" s="23"/>
      <c r="R94" s="23"/>
      <c r="S94" s="23"/>
      <c r="T94" s="23"/>
    </row>
    <row r="95" spans="1:20" ht="30" customHeight="1" x14ac:dyDescent="0.25">
      <c r="A95" s="22" t="s">
        <v>227</v>
      </c>
      <c r="B95" s="23"/>
      <c r="C95" s="23"/>
      <c r="D95" s="23"/>
      <c r="E95" s="23"/>
      <c r="F95" s="23"/>
      <c r="G95" s="23"/>
      <c r="H95" s="23"/>
      <c r="I95" s="23"/>
      <c r="J95" s="23"/>
      <c r="K95" s="23"/>
      <c r="L95" s="23"/>
      <c r="M95" s="23"/>
      <c r="N95" s="23"/>
      <c r="O95" s="23"/>
      <c r="P95" s="23"/>
      <c r="Q95" s="23"/>
      <c r="R95" s="23"/>
      <c r="S95" s="23"/>
      <c r="T95" s="23"/>
    </row>
    <row r="96" spans="1:20" ht="30" customHeight="1" x14ac:dyDescent="0.25">
      <c r="A96" s="22" t="s">
        <v>228</v>
      </c>
      <c r="B96" s="23"/>
      <c r="C96" s="23"/>
      <c r="D96" s="23"/>
      <c r="E96" s="23"/>
      <c r="F96" s="23"/>
      <c r="G96" s="23"/>
      <c r="H96" s="23"/>
      <c r="I96" s="23"/>
      <c r="J96" s="23"/>
      <c r="K96" s="23"/>
      <c r="L96" s="23"/>
      <c r="M96" s="23"/>
      <c r="N96" s="23"/>
      <c r="O96" s="23"/>
      <c r="P96" s="23"/>
      <c r="Q96" s="23"/>
      <c r="R96" s="23"/>
      <c r="S96" s="23"/>
      <c r="T96" s="23"/>
    </row>
  </sheetData>
  <mergeCells count="23">
    <mergeCell ref="O4:P4"/>
    <mergeCell ref="Q4:R4"/>
    <mergeCell ref="S4:T4"/>
    <mergeCell ref="A1:T1"/>
    <mergeCell ref="A2:T2"/>
    <mergeCell ref="E4:F4"/>
    <mergeCell ref="G4:H4"/>
    <mergeCell ref="I4:J4"/>
    <mergeCell ref="K4:L4"/>
    <mergeCell ref="M4:N4"/>
    <mergeCell ref="A84:T84"/>
    <mergeCell ref="A85:T85"/>
    <mergeCell ref="A86:T86"/>
    <mergeCell ref="A87:T87"/>
    <mergeCell ref="A88:T88"/>
    <mergeCell ref="A94:T94"/>
    <mergeCell ref="A95:T95"/>
    <mergeCell ref="A96:T96"/>
    <mergeCell ref="A89:T89"/>
    <mergeCell ref="A90:T90"/>
    <mergeCell ref="A91:T91"/>
    <mergeCell ref="A92:T92"/>
    <mergeCell ref="A93:T93"/>
  </mergeCells>
  <pageMargins left="0.75" right="0.75" top="1" bottom="1" header="0.5" footer="0.5"/>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0"/>
  <dimension ref="A1:V96"/>
  <sheetViews>
    <sheetView zoomScale="80" workbookViewId="0">
      <pane xSplit="4" topLeftCell="E1" activePane="topRight" state="frozen"/>
      <selection sqref="A1:R1"/>
      <selection pane="topRight" sqref="A1:V1"/>
    </sheetView>
  </sheetViews>
  <sheetFormatPr defaultColWidth="11.42578125" defaultRowHeight="15" x14ac:dyDescent="0.25"/>
  <cols>
    <col min="1" max="1" width="50" customWidth="1"/>
  </cols>
  <sheetData>
    <row r="1" spans="1:22" x14ac:dyDescent="0.25">
      <c r="A1" s="26" t="s">
        <v>122</v>
      </c>
      <c r="B1" s="23"/>
      <c r="C1" s="23"/>
      <c r="D1" s="23"/>
      <c r="E1" s="23"/>
      <c r="F1" s="23"/>
      <c r="G1" s="23"/>
      <c r="H1" s="23"/>
      <c r="I1" s="23"/>
      <c r="J1" s="23"/>
      <c r="K1" s="23"/>
      <c r="L1" s="23"/>
      <c r="M1" s="23"/>
      <c r="N1" s="23"/>
      <c r="O1" s="23"/>
      <c r="P1" s="23"/>
      <c r="Q1" s="23"/>
      <c r="R1" s="23"/>
      <c r="S1" s="23"/>
      <c r="T1" s="23"/>
      <c r="U1" s="23"/>
      <c r="V1" s="23"/>
    </row>
    <row r="2" spans="1:22" x14ac:dyDescent="0.25">
      <c r="A2" s="27" t="s">
        <v>336</v>
      </c>
      <c r="B2" s="23"/>
      <c r="C2" s="23"/>
      <c r="D2" s="23"/>
      <c r="E2" s="23"/>
      <c r="F2" s="23"/>
      <c r="G2" s="23"/>
      <c r="H2" s="23"/>
      <c r="I2" s="23"/>
      <c r="J2" s="23"/>
      <c r="K2" s="23"/>
      <c r="L2" s="23"/>
      <c r="M2" s="23"/>
      <c r="N2" s="23"/>
      <c r="O2" s="23"/>
      <c r="P2" s="23"/>
      <c r="Q2" s="23"/>
      <c r="R2" s="23"/>
      <c r="S2" s="23"/>
      <c r="T2" s="23"/>
      <c r="U2" s="23"/>
      <c r="V2" s="23"/>
    </row>
    <row r="4" spans="1:22" ht="30" customHeight="1" x14ac:dyDescent="0.25">
      <c r="A4" s="4"/>
      <c r="B4" s="5" t="s">
        <v>123</v>
      </c>
      <c r="C4" s="5" t="s">
        <v>124</v>
      </c>
      <c r="D4" s="6" t="s">
        <v>123</v>
      </c>
      <c r="E4" s="24" t="s">
        <v>229</v>
      </c>
      <c r="F4" s="25"/>
      <c r="G4" s="24" t="s">
        <v>230</v>
      </c>
      <c r="H4" s="25"/>
      <c r="I4" s="24" t="s">
        <v>231</v>
      </c>
      <c r="J4" s="25"/>
      <c r="K4" s="24" t="s">
        <v>232</v>
      </c>
      <c r="L4" s="25"/>
      <c r="M4" s="24" t="s">
        <v>127</v>
      </c>
      <c r="N4" s="25"/>
      <c r="O4" s="24" t="s">
        <v>128</v>
      </c>
      <c r="P4" s="25"/>
      <c r="Q4" s="24" t="s">
        <v>129</v>
      </c>
      <c r="R4" s="25"/>
      <c r="S4" s="24" t="s">
        <v>130</v>
      </c>
      <c r="T4" s="25"/>
      <c r="U4" s="24" t="s">
        <v>131</v>
      </c>
      <c r="V4" s="25"/>
    </row>
    <row r="5" spans="1:22" x14ac:dyDescent="0.25">
      <c r="A5" s="7"/>
      <c r="B5" s="8" t="s">
        <v>132</v>
      </c>
      <c r="C5" s="8" t="s">
        <v>133</v>
      </c>
      <c r="D5" s="7" t="s">
        <v>134</v>
      </c>
      <c r="E5" s="8" t="s">
        <v>135</v>
      </c>
      <c r="F5" s="7" t="s">
        <v>136</v>
      </c>
      <c r="G5" s="8" t="s">
        <v>135</v>
      </c>
      <c r="H5" s="7" t="s">
        <v>136</v>
      </c>
      <c r="I5" s="8" t="s">
        <v>135</v>
      </c>
      <c r="J5" s="7" t="s">
        <v>136</v>
      </c>
      <c r="K5" s="8" t="s">
        <v>135</v>
      </c>
      <c r="L5" s="7" t="s">
        <v>136</v>
      </c>
      <c r="M5" s="8" t="s">
        <v>135</v>
      </c>
      <c r="N5" s="7" t="s">
        <v>136</v>
      </c>
      <c r="O5" s="8" t="s">
        <v>135</v>
      </c>
      <c r="P5" s="7" t="s">
        <v>136</v>
      </c>
      <c r="Q5" s="8" t="s">
        <v>135</v>
      </c>
      <c r="R5" s="7" t="s">
        <v>136</v>
      </c>
      <c r="S5" s="8" t="s">
        <v>135</v>
      </c>
      <c r="T5" s="7" t="s">
        <v>136</v>
      </c>
      <c r="U5" s="8" t="s">
        <v>135</v>
      </c>
      <c r="V5" s="7" t="s">
        <v>136</v>
      </c>
    </row>
    <row r="6" spans="1:22" x14ac:dyDescent="0.25">
      <c r="A6" s="9" t="s">
        <v>137</v>
      </c>
      <c r="B6" s="10"/>
      <c r="C6" s="10"/>
      <c r="D6" s="11"/>
      <c r="E6" s="10"/>
      <c r="F6" s="11"/>
      <c r="G6" s="10"/>
      <c r="H6" s="11"/>
      <c r="I6" s="10"/>
      <c r="J6" s="11"/>
      <c r="K6" s="10"/>
      <c r="L6" s="11"/>
      <c r="M6" s="10"/>
      <c r="N6" s="11"/>
      <c r="O6" s="10"/>
      <c r="P6" s="11"/>
      <c r="Q6" s="10"/>
      <c r="R6" s="11"/>
      <c r="S6" s="10"/>
      <c r="T6" s="11"/>
      <c r="U6" s="10"/>
      <c r="V6" s="12"/>
    </row>
    <row r="7" spans="1:22" x14ac:dyDescent="0.25">
      <c r="A7" s="11" t="s">
        <v>138</v>
      </c>
      <c r="B7" s="13">
        <v>14530</v>
      </c>
      <c r="C7" s="14">
        <f>(12104/B7*100)</f>
        <v>83.303509979353066</v>
      </c>
      <c r="D7" s="15">
        <v>2426</v>
      </c>
      <c r="E7" s="14">
        <v>30.026204140000001</v>
      </c>
      <c r="F7" s="16">
        <v>0.96379387000000005</v>
      </c>
      <c r="G7" s="14">
        <v>16.99444394</v>
      </c>
      <c r="H7" s="16">
        <v>0.83709880000000003</v>
      </c>
      <c r="I7" s="14">
        <v>29.02652346</v>
      </c>
      <c r="J7" s="16">
        <v>1.04325556</v>
      </c>
      <c r="K7" s="14">
        <v>23.952828459999999</v>
      </c>
      <c r="L7" s="16">
        <v>1.0291737400000001</v>
      </c>
      <c r="M7" s="14" t="s">
        <v>139</v>
      </c>
      <c r="N7" s="16" t="s">
        <v>139</v>
      </c>
      <c r="O7" s="14">
        <v>0</v>
      </c>
      <c r="P7" s="16">
        <v>0</v>
      </c>
      <c r="Q7" s="14">
        <v>0</v>
      </c>
      <c r="R7" s="16">
        <v>0</v>
      </c>
      <c r="S7" s="14">
        <v>0</v>
      </c>
      <c r="T7" s="16">
        <v>0</v>
      </c>
      <c r="U7" s="14">
        <v>0</v>
      </c>
      <c r="V7" s="16">
        <v>0</v>
      </c>
    </row>
    <row r="8" spans="1:22" x14ac:dyDescent="0.25">
      <c r="A8" s="11" t="s">
        <v>140</v>
      </c>
      <c r="B8" s="13">
        <v>7007</v>
      </c>
      <c r="C8" s="14">
        <f>(5788/B8*100)</f>
        <v>82.603111174539748</v>
      </c>
      <c r="D8" s="15">
        <v>1219</v>
      </c>
      <c r="E8" s="14">
        <v>27.781821910000001</v>
      </c>
      <c r="F8" s="16">
        <v>1.3778574100000001</v>
      </c>
      <c r="G8" s="14">
        <v>20.436718299999999</v>
      </c>
      <c r="H8" s="16">
        <v>1.2790976000000001</v>
      </c>
      <c r="I8" s="14">
        <v>30.560537740000001</v>
      </c>
      <c r="J8" s="16">
        <v>1.5240989</v>
      </c>
      <c r="K8" s="14">
        <v>21.220922049999999</v>
      </c>
      <c r="L8" s="16">
        <v>1.34160324</v>
      </c>
      <c r="M8" s="14" t="s">
        <v>139</v>
      </c>
      <c r="N8" s="16" t="s">
        <v>139</v>
      </c>
      <c r="O8" s="14">
        <v>0</v>
      </c>
      <c r="P8" s="16">
        <v>0</v>
      </c>
      <c r="Q8" s="14">
        <v>0</v>
      </c>
      <c r="R8" s="16">
        <v>0</v>
      </c>
      <c r="S8" s="14">
        <v>0</v>
      </c>
      <c r="T8" s="16">
        <v>0</v>
      </c>
      <c r="U8" s="14">
        <v>0</v>
      </c>
      <c r="V8" s="16">
        <v>0</v>
      </c>
    </row>
    <row r="9" spans="1:22" x14ac:dyDescent="0.25">
      <c r="A9" s="11" t="s">
        <v>141</v>
      </c>
      <c r="B9" s="13">
        <v>9651</v>
      </c>
      <c r="C9" s="14">
        <f>(8085/B9*100)</f>
        <v>83.773702207025181</v>
      </c>
      <c r="D9" s="15">
        <v>1566</v>
      </c>
      <c r="E9" s="14">
        <v>37.390630960000003</v>
      </c>
      <c r="F9" s="16">
        <v>1.3718722800000001</v>
      </c>
      <c r="G9" s="14">
        <v>15.42586346</v>
      </c>
      <c r="H9" s="16">
        <v>0.87379684000000002</v>
      </c>
      <c r="I9" s="14">
        <v>31.497452030000002</v>
      </c>
      <c r="J9" s="16">
        <v>1.26185408</v>
      </c>
      <c r="K9" s="14">
        <v>15.68605356</v>
      </c>
      <c r="L9" s="16">
        <v>0.91254435</v>
      </c>
      <c r="M9" s="14" t="s">
        <v>139</v>
      </c>
      <c r="N9" s="16" t="s">
        <v>139</v>
      </c>
      <c r="O9" s="14">
        <v>0</v>
      </c>
      <c r="P9" s="16">
        <v>0</v>
      </c>
      <c r="Q9" s="14">
        <v>0</v>
      </c>
      <c r="R9" s="16">
        <v>0</v>
      </c>
      <c r="S9" s="14">
        <v>0</v>
      </c>
      <c r="T9" s="16">
        <v>0</v>
      </c>
      <c r="U9" s="14">
        <v>0</v>
      </c>
      <c r="V9" s="16">
        <v>0</v>
      </c>
    </row>
    <row r="10" spans="1:22" x14ac:dyDescent="0.25">
      <c r="A10" s="11" t="s">
        <v>142</v>
      </c>
      <c r="B10" s="13">
        <v>20058</v>
      </c>
      <c r="C10" s="14">
        <f>(16682/B10*100)</f>
        <v>83.168810449695883</v>
      </c>
      <c r="D10" s="15">
        <v>3376</v>
      </c>
      <c r="E10" s="14">
        <v>30.909802079999999</v>
      </c>
      <c r="F10" s="16">
        <v>0.89871643999999995</v>
      </c>
      <c r="G10" s="14">
        <v>17.215886340000001</v>
      </c>
      <c r="H10" s="16">
        <v>0.73752373999999998</v>
      </c>
      <c r="I10" s="14">
        <v>30.147204519999999</v>
      </c>
      <c r="J10" s="16">
        <v>1.1710219799999999</v>
      </c>
      <c r="K10" s="14">
        <v>21.727107069999999</v>
      </c>
      <c r="L10" s="16">
        <v>1.0783790499999999</v>
      </c>
      <c r="M10" s="14" t="s">
        <v>139</v>
      </c>
      <c r="N10" s="16" t="s">
        <v>139</v>
      </c>
      <c r="O10" s="14">
        <v>0</v>
      </c>
      <c r="P10" s="16">
        <v>0</v>
      </c>
      <c r="Q10" s="14">
        <v>0</v>
      </c>
      <c r="R10" s="16">
        <v>0</v>
      </c>
      <c r="S10" s="14">
        <v>0</v>
      </c>
      <c r="T10" s="16">
        <v>0</v>
      </c>
      <c r="U10" s="14">
        <v>0</v>
      </c>
      <c r="V10" s="16">
        <v>0</v>
      </c>
    </row>
    <row r="11" spans="1:22" x14ac:dyDescent="0.25">
      <c r="A11" s="11" t="s">
        <v>143</v>
      </c>
      <c r="B11" s="13">
        <v>7053</v>
      </c>
      <c r="C11" s="14">
        <f>(5879/B11*100)</f>
        <v>83.354600879058566</v>
      </c>
      <c r="D11" s="15">
        <v>1174</v>
      </c>
      <c r="E11" s="14">
        <v>67.981596440000004</v>
      </c>
      <c r="F11" s="16">
        <v>1.58330858</v>
      </c>
      <c r="G11" s="14">
        <v>10.73830787</v>
      </c>
      <c r="H11" s="16">
        <v>1.12052599</v>
      </c>
      <c r="I11" s="14">
        <v>13.05578899</v>
      </c>
      <c r="J11" s="16">
        <v>0.94383178000000001</v>
      </c>
      <c r="K11" s="14">
        <v>8.2243066999999996</v>
      </c>
      <c r="L11" s="16">
        <v>0.86469233000000001</v>
      </c>
      <c r="M11" s="14" t="s">
        <v>139</v>
      </c>
      <c r="N11" s="16" t="s">
        <v>139</v>
      </c>
      <c r="O11" s="14">
        <v>0</v>
      </c>
      <c r="P11" s="16">
        <v>0</v>
      </c>
      <c r="Q11" s="14">
        <v>0</v>
      </c>
      <c r="R11" s="16">
        <v>0</v>
      </c>
      <c r="S11" s="14">
        <v>0</v>
      </c>
      <c r="T11" s="16">
        <v>0</v>
      </c>
      <c r="U11" s="14">
        <v>0</v>
      </c>
      <c r="V11" s="16">
        <v>0</v>
      </c>
    </row>
    <row r="12" spans="1:22" x14ac:dyDescent="0.25">
      <c r="A12" s="11" t="s">
        <v>144</v>
      </c>
      <c r="B12" s="13">
        <v>6894</v>
      </c>
      <c r="C12" s="14">
        <f>(5739/B12*100)</f>
        <v>83.246301131418619</v>
      </c>
      <c r="D12" s="15">
        <v>1155</v>
      </c>
      <c r="E12" s="14">
        <v>39.030938280000001</v>
      </c>
      <c r="F12" s="16">
        <v>1.7211043500000001</v>
      </c>
      <c r="G12" s="14">
        <v>17.33838888</v>
      </c>
      <c r="H12" s="16">
        <v>0.99627557</v>
      </c>
      <c r="I12" s="14">
        <v>27.478058780000001</v>
      </c>
      <c r="J12" s="16">
        <v>1.5351392100000001</v>
      </c>
      <c r="K12" s="14">
        <v>16.152614060000001</v>
      </c>
      <c r="L12" s="16">
        <v>1.1944224699999999</v>
      </c>
      <c r="M12" s="14" t="s">
        <v>139</v>
      </c>
      <c r="N12" s="16" t="s">
        <v>139</v>
      </c>
      <c r="O12" s="14">
        <v>0</v>
      </c>
      <c r="P12" s="16">
        <v>0</v>
      </c>
      <c r="Q12" s="14">
        <v>0</v>
      </c>
      <c r="R12" s="16">
        <v>0</v>
      </c>
      <c r="S12" s="14">
        <v>0</v>
      </c>
      <c r="T12" s="16">
        <v>0</v>
      </c>
      <c r="U12" s="14">
        <v>0</v>
      </c>
      <c r="V12" s="16">
        <v>0</v>
      </c>
    </row>
    <row r="13" spans="1:22" x14ac:dyDescent="0.25">
      <c r="A13" s="11" t="s">
        <v>145</v>
      </c>
      <c r="B13" s="13">
        <v>7161</v>
      </c>
      <c r="C13" s="14">
        <f>(6014/B13*100)</f>
        <v>83.98268398268398</v>
      </c>
      <c r="D13" s="15">
        <v>1147</v>
      </c>
      <c r="E13" s="14">
        <v>44.357597730000002</v>
      </c>
      <c r="F13" s="16">
        <v>1.8979590200000001</v>
      </c>
      <c r="G13" s="14">
        <v>18.86679449</v>
      </c>
      <c r="H13" s="16">
        <v>1.37429943</v>
      </c>
      <c r="I13" s="14">
        <v>25.963456470000001</v>
      </c>
      <c r="J13" s="16">
        <v>1.37500731</v>
      </c>
      <c r="K13" s="14">
        <v>10.812151310000001</v>
      </c>
      <c r="L13" s="16">
        <v>1.0744597600000001</v>
      </c>
      <c r="M13" s="14" t="s">
        <v>139</v>
      </c>
      <c r="N13" s="16" t="s">
        <v>139</v>
      </c>
      <c r="O13" s="14">
        <v>0</v>
      </c>
      <c r="P13" s="16">
        <v>0</v>
      </c>
      <c r="Q13" s="14">
        <v>0</v>
      </c>
      <c r="R13" s="16">
        <v>0</v>
      </c>
      <c r="S13" s="14">
        <v>0</v>
      </c>
      <c r="T13" s="16">
        <v>0</v>
      </c>
      <c r="U13" s="14">
        <v>0</v>
      </c>
      <c r="V13" s="16">
        <v>0</v>
      </c>
    </row>
    <row r="14" spans="1:22" x14ac:dyDescent="0.25">
      <c r="A14" s="11" t="s">
        <v>146</v>
      </c>
      <c r="B14" s="13">
        <v>5587</v>
      </c>
      <c r="C14" s="14">
        <f>(4630/B14*100)</f>
        <v>82.870950420619295</v>
      </c>
      <c r="D14" s="15">
        <v>957</v>
      </c>
      <c r="E14" s="14">
        <v>28.031449930000001</v>
      </c>
      <c r="F14" s="16">
        <v>1.63451696</v>
      </c>
      <c r="G14" s="14">
        <v>20.374340669999999</v>
      </c>
      <c r="H14" s="16">
        <v>1.53309973</v>
      </c>
      <c r="I14" s="14">
        <v>30.765888690000001</v>
      </c>
      <c r="J14" s="16">
        <v>1.6809467600000001</v>
      </c>
      <c r="K14" s="14">
        <v>20.82832071</v>
      </c>
      <c r="L14" s="16">
        <v>1.2333276099999999</v>
      </c>
      <c r="M14" s="14" t="s">
        <v>139</v>
      </c>
      <c r="N14" s="16" t="s">
        <v>139</v>
      </c>
      <c r="O14" s="14">
        <v>0</v>
      </c>
      <c r="P14" s="16">
        <v>0</v>
      </c>
      <c r="Q14" s="14">
        <v>0</v>
      </c>
      <c r="R14" s="16">
        <v>0</v>
      </c>
      <c r="S14" s="14">
        <v>0</v>
      </c>
      <c r="T14" s="16">
        <v>0</v>
      </c>
      <c r="U14" s="14">
        <v>0</v>
      </c>
      <c r="V14" s="16">
        <v>0</v>
      </c>
    </row>
    <row r="15" spans="1:22" x14ac:dyDescent="0.25">
      <c r="A15" s="11" t="s">
        <v>147</v>
      </c>
      <c r="B15" s="13">
        <v>5882</v>
      </c>
      <c r="C15" s="14">
        <f>(4876/B15*100)</f>
        <v>82.896973818429103</v>
      </c>
      <c r="D15" s="15">
        <v>1006</v>
      </c>
      <c r="E15" s="14">
        <v>22.682117609999999</v>
      </c>
      <c r="F15" s="16">
        <v>1.4245075700000001</v>
      </c>
      <c r="G15" s="14">
        <v>16.68794389</v>
      </c>
      <c r="H15" s="16">
        <v>1.17611719</v>
      </c>
      <c r="I15" s="14">
        <v>25.651170459999999</v>
      </c>
      <c r="J15" s="16">
        <v>1.3061326</v>
      </c>
      <c r="K15" s="14">
        <v>34.978768039999999</v>
      </c>
      <c r="L15" s="16">
        <v>1.7117095499999999</v>
      </c>
      <c r="M15" s="14" t="s">
        <v>139</v>
      </c>
      <c r="N15" s="16" t="s">
        <v>139</v>
      </c>
      <c r="O15" s="14">
        <v>0</v>
      </c>
      <c r="P15" s="16">
        <v>0</v>
      </c>
      <c r="Q15" s="14">
        <v>0</v>
      </c>
      <c r="R15" s="16">
        <v>0</v>
      </c>
      <c r="S15" s="14">
        <v>0</v>
      </c>
      <c r="T15" s="16">
        <v>0</v>
      </c>
      <c r="U15" s="14">
        <v>0</v>
      </c>
      <c r="V15" s="16">
        <v>0</v>
      </c>
    </row>
    <row r="16" spans="1:22" x14ac:dyDescent="0.25">
      <c r="A16" s="11" t="s">
        <v>148</v>
      </c>
      <c r="B16" s="13">
        <v>6108</v>
      </c>
      <c r="C16" s="14">
        <f>(5090/B16*100)</f>
        <v>83.333333333333343</v>
      </c>
      <c r="D16" s="15">
        <v>1018</v>
      </c>
      <c r="E16" s="14">
        <v>44.77397027</v>
      </c>
      <c r="F16" s="16">
        <v>1.63216761</v>
      </c>
      <c r="G16" s="14">
        <v>15.333444099999999</v>
      </c>
      <c r="H16" s="16">
        <v>1.05693218</v>
      </c>
      <c r="I16" s="14">
        <v>25.61030826</v>
      </c>
      <c r="J16" s="16">
        <v>1.2256845999999999</v>
      </c>
      <c r="K16" s="14">
        <v>14.28227736</v>
      </c>
      <c r="L16" s="16">
        <v>1.1158969299999999</v>
      </c>
      <c r="M16" s="14" t="s">
        <v>139</v>
      </c>
      <c r="N16" s="16" t="s">
        <v>139</v>
      </c>
      <c r="O16" s="14">
        <v>0</v>
      </c>
      <c r="P16" s="16">
        <v>0</v>
      </c>
      <c r="Q16" s="14">
        <v>0</v>
      </c>
      <c r="R16" s="16">
        <v>0</v>
      </c>
      <c r="S16" s="14">
        <v>0</v>
      </c>
      <c r="T16" s="16">
        <v>0</v>
      </c>
      <c r="U16" s="14">
        <v>0</v>
      </c>
      <c r="V16" s="16">
        <v>0</v>
      </c>
    </row>
    <row r="17" spans="1:22" x14ac:dyDescent="0.25">
      <c r="A17" s="11" t="s">
        <v>149</v>
      </c>
      <c r="B17" s="13">
        <v>6504</v>
      </c>
      <c r="C17" s="14">
        <f>(5420/B17*100)</f>
        <v>83.333333333333343</v>
      </c>
      <c r="D17" s="15">
        <v>1084</v>
      </c>
      <c r="E17" s="14">
        <v>26.43907725</v>
      </c>
      <c r="F17" s="16">
        <v>1.47779818</v>
      </c>
      <c r="G17" s="14">
        <v>20.69392654</v>
      </c>
      <c r="H17" s="16">
        <v>1.3332565199999999</v>
      </c>
      <c r="I17" s="14">
        <v>31.718354250000001</v>
      </c>
      <c r="J17" s="16">
        <v>1.7276943600000001</v>
      </c>
      <c r="K17" s="14">
        <v>21.148641959999999</v>
      </c>
      <c r="L17" s="16">
        <v>1.2231086200000001</v>
      </c>
      <c r="M17" s="14" t="s">
        <v>139</v>
      </c>
      <c r="N17" s="16" t="s">
        <v>139</v>
      </c>
      <c r="O17" s="14">
        <v>0</v>
      </c>
      <c r="P17" s="16">
        <v>0</v>
      </c>
      <c r="Q17" s="14">
        <v>0</v>
      </c>
      <c r="R17" s="16">
        <v>0</v>
      </c>
      <c r="S17" s="14">
        <v>0</v>
      </c>
      <c r="T17" s="16">
        <v>0</v>
      </c>
      <c r="U17" s="14">
        <v>0</v>
      </c>
      <c r="V17" s="16">
        <v>0</v>
      </c>
    </row>
    <row r="18" spans="1:22" x14ac:dyDescent="0.25">
      <c r="A18" s="11" t="s">
        <v>150</v>
      </c>
      <c r="B18" s="13">
        <v>5532</v>
      </c>
      <c r="C18" s="14">
        <f>(4585/B18*100)</f>
        <v>82.881417208966013</v>
      </c>
      <c r="D18" s="15">
        <v>947</v>
      </c>
      <c r="E18" s="14">
        <v>49.664696759999998</v>
      </c>
      <c r="F18" s="16">
        <v>2.0816745800000001</v>
      </c>
      <c r="G18" s="14">
        <v>15.722020819999999</v>
      </c>
      <c r="H18" s="16">
        <v>1.1486184699999999</v>
      </c>
      <c r="I18" s="14">
        <v>23.050183069999999</v>
      </c>
      <c r="J18" s="16">
        <v>1.5406548600000001</v>
      </c>
      <c r="K18" s="14">
        <v>11.563099340000001</v>
      </c>
      <c r="L18" s="16">
        <v>1.1340473499999999</v>
      </c>
      <c r="M18" s="14" t="s">
        <v>139</v>
      </c>
      <c r="N18" s="16" t="s">
        <v>139</v>
      </c>
      <c r="O18" s="14">
        <v>0</v>
      </c>
      <c r="P18" s="16">
        <v>0</v>
      </c>
      <c r="Q18" s="14">
        <v>0</v>
      </c>
      <c r="R18" s="16">
        <v>0</v>
      </c>
      <c r="S18" s="14">
        <v>0</v>
      </c>
      <c r="T18" s="16">
        <v>0</v>
      </c>
      <c r="U18" s="14">
        <v>0</v>
      </c>
      <c r="V18" s="16">
        <v>0</v>
      </c>
    </row>
    <row r="19" spans="1:22" x14ac:dyDescent="0.25">
      <c r="A19" s="11" t="s">
        <v>151</v>
      </c>
      <c r="B19" s="13">
        <v>5658</v>
      </c>
      <c r="C19" s="14">
        <f>(4718/B19*100)</f>
        <v>83.38635560268645</v>
      </c>
      <c r="D19" s="15">
        <v>940</v>
      </c>
      <c r="E19" s="14">
        <v>36.670752720000003</v>
      </c>
      <c r="F19" s="16">
        <v>1.9331218299999999</v>
      </c>
      <c r="G19" s="14">
        <v>18.415849250000001</v>
      </c>
      <c r="H19" s="16">
        <v>1.30540115</v>
      </c>
      <c r="I19" s="14">
        <v>27.381688359999998</v>
      </c>
      <c r="J19" s="16">
        <v>1.3944130299999999</v>
      </c>
      <c r="K19" s="14">
        <v>17.531709679999999</v>
      </c>
      <c r="L19" s="16">
        <v>1.3340647800000001</v>
      </c>
      <c r="M19" s="14" t="s">
        <v>139</v>
      </c>
      <c r="N19" s="16" t="s">
        <v>139</v>
      </c>
      <c r="O19" s="14">
        <v>0</v>
      </c>
      <c r="P19" s="16">
        <v>0</v>
      </c>
      <c r="Q19" s="14">
        <v>0</v>
      </c>
      <c r="R19" s="16">
        <v>0</v>
      </c>
      <c r="S19" s="14">
        <v>0</v>
      </c>
      <c r="T19" s="16">
        <v>0</v>
      </c>
      <c r="U19" s="14">
        <v>0</v>
      </c>
      <c r="V19" s="16">
        <v>0</v>
      </c>
    </row>
    <row r="20" spans="1:22" x14ac:dyDescent="0.25">
      <c r="A20" s="11" t="s">
        <v>152</v>
      </c>
      <c r="B20" s="13">
        <v>3371</v>
      </c>
      <c r="C20" s="14">
        <f>(2807/B20*100)</f>
        <v>83.26905962622368</v>
      </c>
      <c r="D20" s="15">
        <v>564</v>
      </c>
      <c r="E20" s="14">
        <v>49.363240089999998</v>
      </c>
      <c r="F20" s="16">
        <v>2.0810462900000002</v>
      </c>
      <c r="G20" s="14">
        <v>14.09164327</v>
      </c>
      <c r="H20" s="16">
        <v>1.5052452999999999</v>
      </c>
      <c r="I20" s="14">
        <v>22.69922369</v>
      </c>
      <c r="J20" s="16">
        <v>1.8320630499999999</v>
      </c>
      <c r="K20" s="14">
        <v>13.845892940000001</v>
      </c>
      <c r="L20" s="16">
        <v>1.4740665799999999</v>
      </c>
      <c r="M20" s="14" t="s">
        <v>139</v>
      </c>
      <c r="N20" s="16" t="s">
        <v>139</v>
      </c>
      <c r="O20" s="14">
        <v>0</v>
      </c>
      <c r="P20" s="16">
        <v>0</v>
      </c>
      <c r="Q20" s="14">
        <v>0</v>
      </c>
      <c r="R20" s="16">
        <v>0</v>
      </c>
      <c r="S20" s="14">
        <v>0</v>
      </c>
      <c r="T20" s="16">
        <v>0</v>
      </c>
      <c r="U20" s="14">
        <v>0</v>
      </c>
      <c r="V20" s="16">
        <v>0</v>
      </c>
    </row>
    <row r="21" spans="1:22" x14ac:dyDescent="0.25">
      <c r="A21" s="11" t="s">
        <v>153</v>
      </c>
      <c r="B21" s="17" t="s">
        <v>154</v>
      </c>
      <c r="C21" s="17" t="s">
        <v>154</v>
      </c>
      <c r="D21" s="18" t="s">
        <v>154</v>
      </c>
      <c r="E21" s="17" t="s">
        <v>154</v>
      </c>
      <c r="F21" s="18" t="s">
        <v>154</v>
      </c>
      <c r="G21" s="17" t="s">
        <v>154</v>
      </c>
      <c r="H21" s="18" t="s">
        <v>154</v>
      </c>
      <c r="I21" s="17" t="s">
        <v>154</v>
      </c>
      <c r="J21" s="18" t="s">
        <v>154</v>
      </c>
      <c r="K21" s="17" t="s">
        <v>154</v>
      </c>
      <c r="L21" s="18" t="s">
        <v>154</v>
      </c>
      <c r="M21" s="17" t="s">
        <v>154</v>
      </c>
      <c r="N21" s="18" t="s">
        <v>154</v>
      </c>
      <c r="O21" s="17" t="s">
        <v>154</v>
      </c>
      <c r="P21" s="18" t="s">
        <v>154</v>
      </c>
      <c r="Q21" s="17" t="s">
        <v>154</v>
      </c>
      <c r="R21" s="18" t="s">
        <v>154</v>
      </c>
      <c r="S21" s="17" t="s">
        <v>154</v>
      </c>
      <c r="T21" s="18" t="s">
        <v>154</v>
      </c>
      <c r="U21" s="17" t="s">
        <v>154</v>
      </c>
      <c r="V21" s="18" t="s">
        <v>154</v>
      </c>
    </row>
    <row r="22" spans="1:22" x14ac:dyDescent="0.25">
      <c r="A22" s="11" t="s">
        <v>155</v>
      </c>
      <c r="B22" s="13">
        <v>6598</v>
      </c>
      <c r="C22" s="14">
        <f>(5584/B22*100)</f>
        <v>84.631706577750833</v>
      </c>
      <c r="D22" s="15">
        <v>1014</v>
      </c>
      <c r="E22" s="14">
        <v>41.873239480000002</v>
      </c>
      <c r="F22" s="16">
        <v>1.7050700700000001</v>
      </c>
      <c r="G22" s="14">
        <v>15.66965815</v>
      </c>
      <c r="H22" s="16">
        <v>1.15928882</v>
      </c>
      <c r="I22" s="14">
        <v>27.798138130000002</v>
      </c>
      <c r="J22" s="16">
        <v>1.27062724</v>
      </c>
      <c r="K22" s="14">
        <v>14.65896425</v>
      </c>
      <c r="L22" s="16">
        <v>1.2563010800000001</v>
      </c>
      <c r="M22" s="14" t="s">
        <v>139</v>
      </c>
      <c r="N22" s="16" t="s">
        <v>139</v>
      </c>
      <c r="O22" s="14">
        <v>0</v>
      </c>
      <c r="P22" s="16">
        <v>0</v>
      </c>
      <c r="Q22" s="14">
        <v>0</v>
      </c>
      <c r="R22" s="16">
        <v>0</v>
      </c>
      <c r="S22" s="14">
        <v>0</v>
      </c>
      <c r="T22" s="16">
        <v>0</v>
      </c>
      <c r="U22" s="14">
        <v>0</v>
      </c>
      <c r="V22" s="16">
        <v>0</v>
      </c>
    </row>
    <row r="23" spans="1:22" x14ac:dyDescent="0.25">
      <c r="A23" s="11" t="s">
        <v>156</v>
      </c>
      <c r="B23" s="13">
        <v>11583</v>
      </c>
      <c r="C23" s="14">
        <f>(9600/B23*100)</f>
        <v>82.880082880082881</v>
      </c>
      <c r="D23" s="15">
        <v>1983</v>
      </c>
      <c r="E23" s="14">
        <v>39.148007999999997</v>
      </c>
      <c r="F23" s="16">
        <v>1.6195088</v>
      </c>
      <c r="G23" s="14">
        <v>19.12024607</v>
      </c>
      <c r="H23" s="16">
        <v>1.26163073</v>
      </c>
      <c r="I23" s="14">
        <v>25.740867739999999</v>
      </c>
      <c r="J23" s="16">
        <v>1.1774357499999999</v>
      </c>
      <c r="K23" s="14">
        <v>15.99087819</v>
      </c>
      <c r="L23" s="16">
        <v>1.31215313</v>
      </c>
      <c r="M23" s="14" t="s">
        <v>139</v>
      </c>
      <c r="N23" s="16" t="s">
        <v>139</v>
      </c>
      <c r="O23" s="14">
        <v>0</v>
      </c>
      <c r="P23" s="16">
        <v>0</v>
      </c>
      <c r="Q23" s="14">
        <v>0</v>
      </c>
      <c r="R23" s="16">
        <v>0</v>
      </c>
      <c r="S23" s="14">
        <v>0</v>
      </c>
      <c r="T23" s="16">
        <v>0</v>
      </c>
      <c r="U23" s="14">
        <v>0</v>
      </c>
      <c r="V23" s="16">
        <v>0</v>
      </c>
    </row>
    <row r="24" spans="1:22" x14ac:dyDescent="0.25">
      <c r="A24" s="11" t="s">
        <v>157</v>
      </c>
      <c r="B24" s="13">
        <v>6647</v>
      </c>
      <c r="C24" s="14">
        <f>(5501/B24*100)</f>
        <v>82.759139461411152</v>
      </c>
      <c r="D24" s="15">
        <v>1146</v>
      </c>
      <c r="E24" s="14">
        <v>15.993146449999999</v>
      </c>
      <c r="F24" s="16">
        <v>1.2042268199999999</v>
      </c>
      <c r="G24" s="14">
        <v>18.037620390000001</v>
      </c>
      <c r="H24" s="16">
        <v>1.1903602799999999</v>
      </c>
      <c r="I24" s="14">
        <v>24.884228790000002</v>
      </c>
      <c r="J24" s="16">
        <v>1.37271111</v>
      </c>
      <c r="K24" s="14">
        <v>41.085004380000001</v>
      </c>
      <c r="L24" s="16">
        <v>1.4253291800000001</v>
      </c>
      <c r="M24" s="14" t="s">
        <v>139</v>
      </c>
      <c r="N24" s="16" t="s">
        <v>139</v>
      </c>
      <c r="O24" s="14">
        <v>0</v>
      </c>
      <c r="P24" s="16">
        <v>0</v>
      </c>
      <c r="Q24" s="14">
        <v>0</v>
      </c>
      <c r="R24" s="16">
        <v>0</v>
      </c>
      <c r="S24" s="14">
        <v>0</v>
      </c>
      <c r="T24" s="16">
        <v>0</v>
      </c>
      <c r="U24" s="14">
        <v>0</v>
      </c>
      <c r="V24" s="16">
        <v>0</v>
      </c>
    </row>
    <row r="25" spans="1:22" x14ac:dyDescent="0.25">
      <c r="A25" s="11" t="s">
        <v>158</v>
      </c>
      <c r="B25" s="13">
        <v>5581</v>
      </c>
      <c r="C25" s="14">
        <f>(4615/B25*100)</f>
        <v>82.691273965239205</v>
      </c>
      <c r="D25" s="15">
        <v>966</v>
      </c>
      <c r="E25" s="14">
        <v>13.745851439999999</v>
      </c>
      <c r="F25" s="16">
        <v>0.97502655999999999</v>
      </c>
      <c r="G25" s="14">
        <v>17.00605736</v>
      </c>
      <c r="H25" s="16">
        <v>1.1434072900000001</v>
      </c>
      <c r="I25" s="14">
        <v>44.768079649999997</v>
      </c>
      <c r="J25" s="16">
        <v>1.2900411599999999</v>
      </c>
      <c r="K25" s="14">
        <v>24.48001154</v>
      </c>
      <c r="L25" s="16">
        <v>1.3564505</v>
      </c>
      <c r="M25" s="14" t="s">
        <v>139</v>
      </c>
      <c r="N25" s="16" t="s">
        <v>139</v>
      </c>
      <c r="O25" s="14">
        <v>0</v>
      </c>
      <c r="P25" s="16">
        <v>0</v>
      </c>
      <c r="Q25" s="14">
        <v>0</v>
      </c>
      <c r="R25" s="16">
        <v>0</v>
      </c>
      <c r="S25" s="14">
        <v>0</v>
      </c>
      <c r="T25" s="16">
        <v>0</v>
      </c>
      <c r="U25" s="14">
        <v>0</v>
      </c>
      <c r="V25" s="16">
        <v>0</v>
      </c>
    </row>
    <row r="26" spans="1:22" x14ac:dyDescent="0.25">
      <c r="A26" s="11" t="s">
        <v>159</v>
      </c>
      <c r="B26" s="13">
        <v>4869</v>
      </c>
      <c r="C26" s="14">
        <f>(4038/B26*100)</f>
        <v>82.932840418977207</v>
      </c>
      <c r="D26" s="15">
        <v>831</v>
      </c>
      <c r="E26" s="14">
        <v>39.083492870000001</v>
      </c>
      <c r="F26" s="16">
        <v>1.72911847</v>
      </c>
      <c r="G26" s="14">
        <v>15.2563481</v>
      </c>
      <c r="H26" s="16">
        <v>1.2166407299999999</v>
      </c>
      <c r="I26" s="14">
        <v>23.235344749999999</v>
      </c>
      <c r="J26" s="16">
        <v>1.4153623399999999</v>
      </c>
      <c r="K26" s="14">
        <v>22.42481428</v>
      </c>
      <c r="L26" s="16">
        <v>1.49843682</v>
      </c>
      <c r="M26" s="14" t="s">
        <v>139</v>
      </c>
      <c r="N26" s="16" t="s">
        <v>139</v>
      </c>
      <c r="O26" s="14">
        <v>0</v>
      </c>
      <c r="P26" s="16">
        <v>0</v>
      </c>
      <c r="Q26" s="14">
        <v>0</v>
      </c>
      <c r="R26" s="16">
        <v>0</v>
      </c>
      <c r="S26" s="14">
        <v>0</v>
      </c>
      <c r="T26" s="16">
        <v>0</v>
      </c>
      <c r="U26" s="14">
        <v>0</v>
      </c>
      <c r="V26" s="16">
        <v>0</v>
      </c>
    </row>
    <row r="27" spans="1:22" x14ac:dyDescent="0.25">
      <c r="A27" s="11" t="s">
        <v>160</v>
      </c>
      <c r="B27" s="13">
        <v>5299</v>
      </c>
      <c r="C27" s="14">
        <f>(4417/B27*100)</f>
        <v>83.355350066050192</v>
      </c>
      <c r="D27" s="15">
        <v>882</v>
      </c>
      <c r="E27" s="14">
        <v>37.72985645</v>
      </c>
      <c r="F27" s="16">
        <v>1.67829031</v>
      </c>
      <c r="G27" s="14">
        <v>20.554777300000001</v>
      </c>
      <c r="H27" s="16">
        <v>1.3498458200000001</v>
      </c>
      <c r="I27" s="14">
        <v>27.222281779999999</v>
      </c>
      <c r="J27" s="16">
        <v>1.3827204399999999</v>
      </c>
      <c r="K27" s="14">
        <v>14.493084469999999</v>
      </c>
      <c r="L27" s="16">
        <v>1.0651407100000001</v>
      </c>
      <c r="M27" s="14" t="s">
        <v>139</v>
      </c>
      <c r="N27" s="16" t="s">
        <v>139</v>
      </c>
      <c r="O27" s="14">
        <v>0</v>
      </c>
      <c r="P27" s="16">
        <v>0</v>
      </c>
      <c r="Q27" s="14">
        <v>0</v>
      </c>
      <c r="R27" s="16">
        <v>0</v>
      </c>
      <c r="S27" s="14">
        <v>0</v>
      </c>
      <c r="T27" s="16">
        <v>0</v>
      </c>
      <c r="U27" s="14">
        <v>0</v>
      </c>
      <c r="V27" s="16">
        <v>0</v>
      </c>
    </row>
    <row r="28" spans="1:22" x14ac:dyDescent="0.25">
      <c r="A28" s="11" t="s">
        <v>161</v>
      </c>
      <c r="B28" s="13">
        <v>7568</v>
      </c>
      <c r="C28" s="14">
        <f>(6373/B28*100)</f>
        <v>84.209830866807607</v>
      </c>
      <c r="D28" s="15">
        <v>1195</v>
      </c>
      <c r="E28" s="14">
        <v>58.722222309999999</v>
      </c>
      <c r="F28" s="16">
        <v>1.67096114</v>
      </c>
      <c r="G28" s="14">
        <v>10.534360769999999</v>
      </c>
      <c r="H28" s="16">
        <v>0.98444368000000004</v>
      </c>
      <c r="I28" s="14">
        <v>24.355432069999999</v>
      </c>
      <c r="J28" s="16">
        <v>1.36056398</v>
      </c>
      <c r="K28" s="14">
        <v>6.3879848600000004</v>
      </c>
      <c r="L28" s="16">
        <v>0.80102203999999999</v>
      </c>
      <c r="M28" s="14" t="s">
        <v>139</v>
      </c>
      <c r="N28" s="16" t="s">
        <v>139</v>
      </c>
      <c r="O28" s="14">
        <v>0</v>
      </c>
      <c r="P28" s="16">
        <v>0</v>
      </c>
      <c r="Q28" s="14">
        <v>0</v>
      </c>
      <c r="R28" s="16">
        <v>0</v>
      </c>
      <c r="S28" s="14">
        <v>0</v>
      </c>
      <c r="T28" s="16">
        <v>0</v>
      </c>
      <c r="U28" s="14">
        <v>0</v>
      </c>
      <c r="V28" s="16">
        <v>0</v>
      </c>
    </row>
    <row r="29" spans="1:22" x14ac:dyDescent="0.25">
      <c r="A29" s="11" t="s">
        <v>162</v>
      </c>
      <c r="B29" s="13">
        <v>5385</v>
      </c>
      <c r="C29" s="14">
        <f>(4500/B29*100)</f>
        <v>83.565459610027858</v>
      </c>
      <c r="D29" s="15">
        <v>885</v>
      </c>
      <c r="E29" s="14">
        <v>26.75281438</v>
      </c>
      <c r="F29" s="16">
        <v>1.3789216200000001</v>
      </c>
      <c r="G29" s="14">
        <v>16.8133786</v>
      </c>
      <c r="H29" s="16">
        <v>1.3856879600000001</v>
      </c>
      <c r="I29" s="14">
        <v>37.618713139999997</v>
      </c>
      <c r="J29" s="16">
        <v>1.5960357300000001</v>
      </c>
      <c r="K29" s="14">
        <v>18.815093879999999</v>
      </c>
      <c r="L29" s="16">
        <v>1.5270466300000001</v>
      </c>
      <c r="M29" s="14" t="s">
        <v>139</v>
      </c>
      <c r="N29" s="16" t="s">
        <v>139</v>
      </c>
      <c r="O29" s="14">
        <v>0</v>
      </c>
      <c r="P29" s="16">
        <v>0</v>
      </c>
      <c r="Q29" s="14">
        <v>0</v>
      </c>
      <c r="R29" s="16">
        <v>0</v>
      </c>
      <c r="S29" s="14">
        <v>0</v>
      </c>
      <c r="T29" s="16">
        <v>0</v>
      </c>
      <c r="U29" s="14">
        <v>0</v>
      </c>
      <c r="V29" s="16">
        <v>0</v>
      </c>
    </row>
    <row r="30" spans="1:22" x14ac:dyDescent="0.25">
      <c r="A30" s="11" t="s">
        <v>163</v>
      </c>
      <c r="B30" s="13">
        <v>4520</v>
      </c>
      <c r="C30" s="14">
        <f>(3802/B30*100)</f>
        <v>84.115044247787608</v>
      </c>
      <c r="D30" s="15">
        <v>718</v>
      </c>
      <c r="E30" s="14">
        <v>34.493358649999998</v>
      </c>
      <c r="F30" s="16">
        <v>1.8260110300000001</v>
      </c>
      <c r="G30" s="14">
        <v>18.08267961</v>
      </c>
      <c r="H30" s="16">
        <v>1.5583983400000001</v>
      </c>
      <c r="I30" s="14">
        <v>25.234137929999999</v>
      </c>
      <c r="J30" s="16">
        <v>1.60727767</v>
      </c>
      <c r="K30" s="14">
        <v>22.18982381</v>
      </c>
      <c r="L30" s="16">
        <v>1.4596444799999999</v>
      </c>
      <c r="M30" s="14" t="s">
        <v>139</v>
      </c>
      <c r="N30" s="16" t="s">
        <v>139</v>
      </c>
      <c r="O30" s="14">
        <v>0</v>
      </c>
      <c r="P30" s="16">
        <v>0</v>
      </c>
      <c r="Q30" s="14">
        <v>0</v>
      </c>
      <c r="R30" s="16">
        <v>0</v>
      </c>
      <c r="S30" s="14">
        <v>0</v>
      </c>
      <c r="T30" s="16">
        <v>0</v>
      </c>
      <c r="U30" s="14">
        <v>0</v>
      </c>
      <c r="V30" s="16">
        <v>0</v>
      </c>
    </row>
    <row r="31" spans="1:22" x14ac:dyDescent="0.25">
      <c r="A31" s="11" t="s">
        <v>164</v>
      </c>
      <c r="B31" s="13">
        <v>5456</v>
      </c>
      <c r="C31" s="14">
        <f>(4547/B31*100)</f>
        <v>83.339442815249271</v>
      </c>
      <c r="D31" s="15">
        <v>909</v>
      </c>
      <c r="E31" s="14">
        <v>34.668481589999999</v>
      </c>
      <c r="F31" s="16">
        <v>1.51646693</v>
      </c>
      <c r="G31" s="14">
        <v>18.34956369</v>
      </c>
      <c r="H31" s="16">
        <v>1.1705382</v>
      </c>
      <c r="I31" s="14">
        <v>24.171254179999998</v>
      </c>
      <c r="J31" s="16">
        <v>1.2020129500000001</v>
      </c>
      <c r="K31" s="14">
        <v>22.81070055</v>
      </c>
      <c r="L31" s="16">
        <v>1.46049502</v>
      </c>
      <c r="M31" s="14" t="s">
        <v>139</v>
      </c>
      <c r="N31" s="16" t="s">
        <v>139</v>
      </c>
      <c r="O31" s="14">
        <v>0</v>
      </c>
      <c r="P31" s="16">
        <v>0</v>
      </c>
      <c r="Q31" s="14">
        <v>0</v>
      </c>
      <c r="R31" s="16">
        <v>0</v>
      </c>
      <c r="S31" s="14">
        <v>0</v>
      </c>
      <c r="T31" s="16">
        <v>0</v>
      </c>
      <c r="U31" s="14">
        <v>0</v>
      </c>
      <c r="V31" s="16">
        <v>0</v>
      </c>
    </row>
    <row r="32" spans="1:22" x14ac:dyDescent="0.25">
      <c r="A32" s="11" t="s">
        <v>165</v>
      </c>
      <c r="B32" s="17" t="s">
        <v>154</v>
      </c>
      <c r="C32" s="17" t="s">
        <v>154</v>
      </c>
      <c r="D32" s="18" t="s">
        <v>154</v>
      </c>
      <c r="E32" s="17" t="s">
        <v>154</v>
      </c>
      <c r="F32" s="18" t="s">
        <v>154</v>
      </c>
      <c r="G32" s="17" t="s">
        <v>154</v>
      </c>
      <c r="H32" s="18" t="s">
        <v>154</v>
      </c>
      <c r="I32" s="17" t="s">
        <v>154</v>
      </c>
      <c r="J32" s="18" t="s">
        <v>154</v>
      </c>
      <c r="K32" s="17" t="s">
        <v>154</v>
      </c>
      <c r="L32" s="18" t="s">
        <v>154</v>
      </c>
      <c r="M32" s="17" t="s">
        <v>154</v>
      </c>
      <c r="N32" s="18" t="s">
        <v>154</v>
      </c>
      <c r="O32" s="17" t="s">
        <v>154</v>
      </c>
      <c r="P32" s="18" t="s">
        <v>154</v>
      </c>
      <c r="Q32" s="17" t="s">
        <v>154</v>
      </c>
      <c r="R32" s="18" t="s">
        <v>154</v>
      </c>
      <c r="S32" s="17" t="s">
        <v>154</v>
      </c>
      <c r="T32" s="18" t="s">
        <v>154</v>
      </c>
      <c r="U32" s="17" t="s">
        <v>154</v>
      </c>
      <c r="V32" s="18" t="s">
        <v>154</v>
      </c>
    </row>
    <row r="33" spans="1:22" x14ac:dyDescent="0.25">
      <c r="A33" s="11" t="s">
        <v>166</v>
      </c>
      <c r="B33" s="13">
        <v>7325</v>
      </c>
      <c r="C33" s="14">
        <f>(6119/B33*100)</f>
        <v>83.535836177474394</v>
      </c>
      <c r="D33" s="15">
        <v>1206</v>
      </c>
      <c r="E33" s="14">
        <v>41.706597530000003</v>
      </c>
      <c r="F33" s="16">
        <v>1.51784027</v>
      </c>
      <c r="G33" s="14">
        <v>17.40373627</v>
      </c>
      <c r="H33" s="16">
        <v>1.3156770799999999</v>
      </c>
      <c r="I33" s="14">
        <v>26.12675479</v>
      </c>
      <c r="J33" s="16">
        <v>1.4509976099999999</v>
      </c>
      <c r="K33" s="14">
        <v>14.762911409999999</v>
      </c>
      <c r="L33" s="16">
        <v>1.3255164399999999</v>
      </c>
      <c r="M33" s="14" t="s">
        <v>139</v>
      </c>
      <c r="N33" s="16" t="s">
        <v>139</v>
      </c>
      <c r="O33" s="14">
        <v>0</v>
      </c>
      <c r="P33" s="16">
        <v>0</v>
      </c>
      <c r="Q33" s="14">
        <v>0</v>
      </c>
      <c r="R33" s="16">
        <v>0</v>
      </c>
      <c r="S33" s="14">
        <v>0</v>
      </c>
      <c r="T33" s="16">
        <v>0</v>
      </c>
      <c r="U33" s="14">
        <v>0</v>
      </c>
      <c r="V33" s="16">
        <v>0</v>
      </c>
    </row>
    <row r="34" spans="1:22" x14ac:dyDescent="0.25">
      <c r="A34" s="11" t="s">
        <v>167</v>
      </c>
      <c r="B34" s="13">
        <v>6350</v>
      </c>
      <c r="C34" s="14">
        <f>(5317/B34*100)</f>
        <v>83.732283464566919</v>
      </c>
      <c r="D34" s="15">
        <v>1033</v>
      </c>
      <c r="E34" s="14">
        <v>51.966193820000001</v>
      </c>
      <c r="F34" s="16">
        <v>1.52372945</v>
      </c>
      <c r="G34" s="14">
        <v>16.278494869999999</v>
      </c>
      <c r="H34" s="16">
        <v>1.0683676200000001</v>
      </c>
      <c r="I34" s="14">
        <v>18.896885050000002</v>
      </c>
      <c r="J34" s="16">
        <v>1.29065487</v>
      </c>
      <c r="K34" s="14">
        <v>12.858426250000001</v>
      </c>
      <c r="L34" s="16">
        <v>1.1878066599999999</v>
      </c>
      <c r="M34" s="14" t="s">
        <v>139</v>
      </c>
      <c r="N34" s="16" t="s">
        <v>139</v>
      </c>
      <c r="O34" s="14">
        <v>0</v>
      </c>
      <c r="P34" s="16">
        <v>0</v>
      </c>
      <c r="Q34" s="14">
        <v>0</v>
      </c>
      <c r="R34" s="16">
        <v>0</v>
      </c>
      <c r="S34" s="14">
        <v>0</v>
      </c>
      <c r="T34" s="16">
        <v>0</v>
      </c>
      <c r="U34" s="14">
        <v>0</v>
      </c>
      <c r="V34" s="16">
        <v>0</v>
      </c>
    </row>
    <row r="35" spans="1:22" x14ac:dyDescent="0.25">
      <c r="A35" s="11" t="s">
        <v>168</v>
      </c>
      <c r="B35" s="13">
        <v>6406</v>
      </c>
      <c r="C35" s="14">
        <f>(5352/B35*100)</f>
        <v>83.546674992194809</v>
      </c>
      <c r="D35" s="15">
        <v>1054</v>
      </c>
      <c r="E35" s="14">
        <v>38.048673610000002</v>
      </c>
      <c r="F35" s="16">
        <v>2.0031760599999999</v>
      </c>
      <c r="G35" s="14">
        <v>18.374996020000001</v>
      </c>
      <c r="H35" s="16">
        <v>1.5129440300000001</v>
      </c>
      <c r="I35" s="14">
        <v>31.846692789999999</v>
      </c>
      <c r="J35" s="16">
        <v>1.63108735</v>
      </c>
      <c r="K35" s="14">
        <v>11.729637589999999</v>
      </c>
      <c r="L35" s="16">
        <v>1.1229040299999999</v>
      </c>
      <c r="M35" s="14" t="s">
        <v>139</v>
      </c>
      <c r="N35" s="16" t="s">
        <v>139</v>
      </c>
      <c r="O35" s="14">
        <v>0</v>
      </c>
      <c r="P35" s="16">
        <v>0</v>
      </c>
      <c r="Q35" s="14">
        <v>0</v>
      </c>
      <c r="R35" s="16">
        <v>0</v>
      </c>
      <c r="S35" s="14">
        <v>0</v>
      </c>
      <c r="T35" s="16">
        <v>0</v>
      </c>
      <c r="U35" s="14">
        <v>0</v>
      </c>
      <c r="V35" s="16">
        <v>0</v>
      </c>
    </row>
    <row r="36" spans="1:22" x14ac:dyDescent="0.25">
      <c r="A36" s="11" t="s">
        <v>169</v>
      </c>
      <c r="B36" s="13">
        <v>6736</v>
      </c>
      <c r="C36" s="14">
        <f>(5610/B36*100)</f>
        <v>83.283847980997621</v>
      </c>
      <c r="D36" s="15">
        <v>1126</v>
      </c>
      <c r="E36" s="14">
        <v>49.806477000000001</v>
      </c>
      <c r="F36" s="16">
        <v>1.6999905200000001</v>
      </c>
      <c r="G36" s="14">
        <v>12.74480159</v>
      </c>
      <c r="H36" s="16">
        <v>1.1831828900000001</v>
      </c>
      <c r="I36" s="14">
        <v>21.166029139999999</v>
      </c>
      <c r="J36" s="16">
        <v>1.3978489199999999</v>
      </c>
      <c r="K36" s="14">
        <v>16.282692269999998</v>
      </c>
      <c r="L36" s="16">
        <v>1.26905767</v>
      </c>
      <c r="M36" s="14" t="s">
        <v>139</v>
      </c>
      <c r="N36" s="16" t="s">
        <v>139</v>
      </c>
      <c r="O36" s="14">
        <v>0</v>
      </c>
      <c r="P36" s="16">
        <v>0</v>
      </c>
      <c r="Q36" s="14">
        <v>0</v>
      </c>
      <c r="R36" s="16">
        <v>0</v>
      </c>
      <c r="S36" s="14">
        <v>0</v>
      </c>
      <c r="T36" s="16">
        <v>0</v>
      </c>
      <c r="U36" s="14">
        <v>0</v>
      </c>
      <c r="V36" s="16">
        <v>0</v>
      </c>
    </row>
    <row r="37" spans="1:22" x14ac:dyDescent="0.25">
      <c r="A37" s="11" t="s">
        <v>170</v>
      </c>
      <c r="B37" s="13">
        <v>5458</v>
      </c>
      <c r="C37" s="14">
        <f>(4571/B37*100)</f>
        <v>83.748625870282154</v>
      </c>
      <c r="D37" s="15">
        <v>887</v>
      </c>
      <c r="E37" s="14">
        <v>23.27226911</v>
      </c>
      <c r="F37" s="16">
        <v>1.5155836300000001</v>
      </c>
      <c r="G37" s="14">
        <v>21.02119918</v>
      </c>
      <c r="H37" s="16">
        <v>1.26219254</v>
      </c>
      <c r="I37" s="14">
        <v>37.9717731</v>
      </c>
      <c r="J37" s="16">
        <v>1.6587603</v>
      </c>
      <c r="K37" s="14">
        <v>17.73475861</v>
      </c>
      <c r="L37" s="16">
        <v>1.2223822200000001</v>
      </c>
      <c r="M37" s="14" t="s">
        <v>139</v>
      </c>
      <c r="N37" s="16" t="s">
        <v>139</v>
      </c>
      <c r="O37" s="14">
        <v>0</v>
      </c>
      <c r="P37" s="16">
        <v>0</v>
      </c>
      <c r="Q37" s="14">
        <v>0</v>
      </c>
      <c r="R37" s="16">
        <v>0</v>
      </c>
      <c r="S37" s="14">
        <v>0</v>
      </c>
      <c r="T37" s="16">
        <v>0</v>
      </c>
      <c r="U37" s="14">
        <v>0</v>
      </c>
      <c r="V37" s="16">
        <v>0</v>
      </c>
    </row>
    <row r="38" spans="1:22" x14ac:dyDescent="0.25">
      <c r="A38" s="11" t="s">
        <v>171</v>
      </c>
      <c r="B38" s="17" t="s">
        <v>154</v>
      </c>
      <c r="C38" s="17" t="s">
        <v>154</v>
      </c>
      <c r="D38" s="18" t="s">
        <v>154</v>
      </c>
      <c r="E38" s="17" t="s">
        <v>154</v>
      </c>
      <c r="F38" s="18" t="s">
        <v>154</v>
      </c>
      <c r="G38" s="17" t="s">
        <v>154</v>
      </c>
      <c r="H38" s="18" t="s">
        <v>154</v>
      </c>
      <c r="I38" s="17" t="s">
        <v>154</v>
      </c>
      <c r="J38" s="18" t="s">
        <v>154</v>
      </c>
      <c r="K38" s="17" t="s">
        <v>154</v>
      </c>
      <c r="L38" s="18" t="s">
        <v>154</v>
      </c>
      <c r="M38" s="17" t="s">
        <v>154</v>
      </c>
      <c r="N38" s="18" t="s">
        <v>154</v>
      </c>
      <c r="O38" s="17" t="s">
        <v>154</v>
      </c>
      <c r="P38" s="18" t="s">
        <v>154</v>
      </c>
      <c r="Q38" s="17" t="s">
        <v>154</v>
      </c>
      <c r="R38" s="18" t="s">
        <v>154</v>
      </c>
      <c r="S38" s="17" t="s">
        <v>154</v>
      </c>
      <c r="T38" s="18" t="s">
        <v>154</v>
      </c>
      <c r="U38" s="17" t="s">
        <v>154</v>
      </c>
      <c r="V38" s="18" t="s">
        <v>154</v>
      </c>
    </row>
    <row r="39" spans="1:22" x14ac:dyDescent="0.25">
      <c r="A39" s="11" t="s">
        <v>172</v>
      </c>
      <c r="B39" s="13">
        <v>5895</v>
      </c>
      <c r="C39" s="14">
        <f>(4863/B39*100)</f>
        <v>82.493638676844782</v>
      </c>
      <c r="D39" s="15">
        <v>1032</v>
      </c>
      <c r="E39" s="14">
        <v>54.63533245</v>
      </c>
      <c r="F39" s="16">
        <v>1.6075720899999999</v>
      </c>
      <c r="G39" s="14">
        <v>9.5241328200000002</v>
      </c>
      <c r="H39" s="16">
        <v>1.0808106</v>
      </c>
      <c r="I39" s="14">
        <v>18.74271478</v>
      </c>
      <c r="J39" s="16">
        <v>1.44089168</v>
      </c>
      <c r="K39" s="14">
        <v>17.097819950000002</v>
      </c>
      <c r="L39" s="16">
        <v>1.6004000599999999</v>
      </c>
      <c r="M39" s="14" t="s">
        <v>139</v>
      </c>
      <c r="N39" s="16" t="s">
        <v>139</v>
      </c>
      <c r="O39" s="14">
        <v>0</v>
      </c>
      <c r="P39" s="16">
        <v>0</v>
      </c>
      <c r="Q39" s="14">
        <v>0</v>
      </c>
      <c r="R39" s="16">
        <v>0</v>
      </c>
      <c r="S39" s="14">
        <v>0</v>
      </c>
      <c r="T39" s="16">
        <v>0</v>
      </c>
      <c r="U39" s="14">
        <v>0</v>
      </c>
      <c r="V39" s="16">
        <v>0</v>
      </c>
    </row>
    <row r="40" spans="1:22" x14ac:dyDescent="0.25">
      <c r="A40" s="11" t="s">
        <v>173</v>
      </c>
      <c r="B40" s="13">
        <v>14157</v>
      </c>
      <c r="C40" s="14">
        <f>(11750/B40*100)</f>
        <v>82.997810270537542</v>
      </c>
      <c r="D40" s="15">
        <v>2407</v>
      </c>
      <c r="E40" s="14">
        <v>33.397512560000003</v>
      </c>
      <c r="F40" s="16">
        <v>1.1869105799999999</v>
      </c>
      <c r="G40" s="14">
        <v>19.2798494</v>
      </c>
      <c r="H40" s="16">
        <v>1.2134323300000001</v>
      </c>
      <c r="I40" s="14">
        <v>28.699647479999999</v>
      </c>
      <c r="J40" s="16">
        <v>1.30809782</v>
      </c>
      <c r="K40" s="14">
        <v>18.622990569999999</v>
      </c>
      <c r="L40" s="16">
        <v>1.18811603</v>
      </c>
      <c r="M40" s="14" t="s">
        <v>139</v>
      </c>
      <c r="N40" s="16" t="s">
        <v>139</v>
      </c>
      <c r="O40" s="14">
        <v>0</v>
      </c>
      <c r="P40" s="16">
        <v>0</v>
      </c>
      <c r="Q40" s="14">
        <v>0</v>
      </c>
      <c r="R40" s="16">
        <v>0</v>
      </c>
      <c r="S40" s="14">
        <v>0</v>
      </c>
      <c r="T40" s="16">
        <v>0</v>
      </c>
      <c r="U40" s="14">
        <v>0</v>
      </c>
      <c r="V40" s="16">
        <v>0</v>
      </c>
    </row>
    <row r="41" spans="1:22" x14ac:dyDescent="0.25">
      <c r="A41" s="11" t="s">
        <v>174</v>
      </c>
      <c r="B41" s="13">
        <v>5712</v>
      </c>
      <c r="C41" s="14">
        <f>(4743/B41*100)</f>
        <v>83.035714285714292</v>
      </c>
      <c r="D41" s="15">
        <v>969</v>
      </c>
      <c r="E41" s="14">
        <v>36.087102479999999</v>
      </c>
      <c r="F41" s="16">
        <v>1.5969378000000001</v>
      </c>
      <c r="G41" s="14">
        <v>17.305169769999999</v>
      </c>
      <c r="H41" s="16">
        <v>1.24004527</v>
      </c>
      <c r="I41" s="14">
        <v>25.86844181</v>
      </c>
      <c r="J41" s="16">
        <v>1.42529656</v>
      </c>
      <c r="K41" s="14">
        <v>20.739285939999998</v>
      </c>
      <c r="L41" s="16">
        <v>1.49795057</v>
      </c>
      <c r="M41" s="14" t="s">
        <v>139</v>
      </c>
      <c r="N41" s="16" t="s">
        <v>139</v>
      </c>
      <c r="O41" s="14">
        <v>0</v>
      </c>
      <c r="P41" s="16">
        <v>0</v>
      </c>
      <c r="Q41" s="14">
        <v>0</v>
      </c>
      <c r="R41" s="16">
        <v>0</v>
      </c>
      <c r="S41" s="14">
        <v>0</v>
      </c>
      <c r="T41" s="16">
        <v>0</v>
      </c>
      <c r="U41" s="14">
        <v>0</v>
      </c>
      <c r="V41" s="16">
        <v>0</v>
      </c>
    </row>
    <row r="42" spans="1:22" x14ac:dyDescent="0.25">
      <c r="A42" s="11" t="s">
        <v>175</v>
      </c>
      <c r="B42" s="13">
        <f>IF(COUNT(B7:B41) &gt; 0, AVERAGE(B7:B41), "\u2014")</f>
        <v>7266.90625</v>
      </c>
      <c r="C42" s="14">
        <f>IF(COUNT(C7:C41) &gt; 0, AVERAGE(C7:C41), "—")</f>
        <v>83.320585805480079</v>
      </c>
      <c r="D42" s="15">
        <f>IF(COUNT(D7:D41) &gt; 0, AVERAGE(D7:D41), "—")</f>
        <v>1213.1875</v>
      </c>
      <c r="E42" s="14">
        <f>IF(COUNT(E7:E41) &gt; 0, AVERAGE(E7:E41), "—")</f>
        <v>37.694828948437504</v>
      </c>
      <c r="F42" s="16">
        <f>IF(COUNT(F7:F41) &gt; 0, SQRT(SUMSQ(F7:F41)/(COUNT(F7:F41)*COUNT(F7:F41)) ), "—")</f>
        <v>0.28120087133452715</v>
      </c>
      <c r="G42" s="14">
        <f>IF(COUNT(G7:G41) &gt; 0, AVERAGE(G7:G41), "—")</f>
        <v>16.865395055625005</v>
      </c>
      <c r="H42" s="16">
        <f>IF(COUNT(H7:H41) &gt; 0, SQRT(SUMSQ(H7:H41)/(COUNT(H7:H41)*COUNT(H7:H41)) ), "—")</f>
        <v>0.21578727565092995</v>
      </c>
      <c r="I42" s="14">
        <f>IF(COUNT(I7:I41) &gt; 0, AVERAGE(I7:I41), "—")</f>
        <v>27.154789245937497</v>
      </c>
      <c r="J42" s="16">
        <f>IF(COUNT(J7:J41) &gt; 0, SQRT(SUMSQ(J7:J41)/(COUNT(J7:J41)*COUNT(J7:J41)) ), "—")</f>
        <v>0.25010398824930069</v>
      </c>
      <c r="K42" s="14">
        <f>IF(COUNT(K7:K41) &gt; 0, AVERAGE(K7:K41), "—")</f>
        <v>18.284986751249999</v>
      </c>
      <c r="L42" s="16">
        <f>IF(COUNT(L7:L41) &gt; 0, SQRT(SUMSQ(L7:L41)/(COUNT(L7:L41)*COUNT(L7:L41)) ), "—")</f>
        <v>0.22567878493327564</v>
      </c>
      <c r="M42" s="14" t="str">
        <f>IF(COUNT(M7:M41) &gt; 0, AVERAGE(M7:M41), "—")</f>
        <v>—</v>
      </c>
      <c r="N42" s="16" t="str">
        <f>IF(COUNT(N7:N41) &gt; 0, SQRT(SUMSQ(N7:N41)/(COUNT(N7:N41)*COUNT(N7:N41)) ), "—")</f>
        <v>—</v>
      </c>
      <c r="O42" s="14">
        <f>IF(COUNT(O7:O41) &gt; 0, AVERAGE(O7:O41), "—")</f>
        <v>0</v>
      </c>
      <c r="P42" s="16">
        <f>IF(COUNT(P7:P41) &gt; 0, SQRT(SUMSQ(P7:P41)/(COUNT(P7:P41)*COUNT(P7:P41)) ), "—")</f>
        <v>0</v>
      </c>
      <c r="Q42" s="14">
        <f>IF(COUNT(Q7:Q41) &gt; 0, AVERAGE(Q7:Q41), "—")</f>
        <v>0</v>
      </c>
      <c r="R42" s="16">
        <f>IF(COUNT(R7:R41) &gt; 0, SQRT(SUMSQ(R7:R41)/(COUNT(R7:R41)*COUNT(R7:R41)) ), "—")</f>
        <v>0</v>
      </c>
      <c r="S42" s="14">
        <f>IF(COUNT(S7:S41) &gt; 0, AVERAGE(S7:S41), "—")</f>
        <v>0</v>
      </c>
      <c r="T42" s="16">
        <f>IF(COUNT(T7:T41) &gt; 0, SQRT(SUMSQ(T7:T41)/(COUNT(T7:T41)*COUNT(T7:T41)) ), "—")</f>
        <v>0</v>
      </c>
      <c r="U42" s="14">
        <f>IF(COUNT(U7:U41) &gt; 0, AVERAGE(U7:U41), "—")</f>
        <v>0</v>
      </c>
      <c r="V42" s="16">
        <f>IF(COUNT(V7:V41) &gt; 0, SQRT(SUMSQ(V7:V41)/(COUNT(V7:V41)*COUNT(V7:V41)) ), "—")</f>
        <v>0</v>
      </c>
    </row>
    <row r="43" spans="1:22" x14ac:dyDescent="0.25">
      <c r="A43" s="9" t="s">
        <v>176</v>
      </c>
      <c r="B43" s="10"/>
      <c r="C43" s="10"/>
      <c r="D43" s="11"/>
      <c r="E43" s="10"/>
      <c r="F43" s="11"/>
      <c r="G43" s="10"/>
      <c r="H43" s="11"/>
      <c r="I43" s="10"/>
      <c r="J43" s="11"/>
      <c r="K43" s="10"/>
      <c r="L43" s="11"/>
      <c r="M43" s="10"/>
      <c r="N43" s="11"/>
      <c r="O43" s="10"/>
      <c r="P43" s="11"/>
      <c r="Q43" s="10"/>
      <c r="R43" s="11"/>
      <c r="S43" s="10"/>
      <c r="T43" s="11"/>
      <c r="U43" s="10"/>
      <c r="V43" s="12"/>
    </row>
    <row r="44" spans="1:22" x14ac:dyDescent="0.25">
      <c r="A44" s="11" t="s">
        <v>177</v>
      </c>
      <c r="B44" s="17" t="s">
        <v>154</v>
      </c>
      <c r="C44" s="17" t="s">
        <v>154</v>
      </c>
      <c r="D44" s="18" t="s">
        <v>154</v>
      </c>
      <c r="E44" s="17" t="s">
        <v>154</v>
      </c>
      <c r="F44" s="18" t="s">
        <v>154</v>
      </c>
      <c r="G44" s="17" t="s">
        <v>154</v>
      </c>
      <c r="H44" s="18" t="s">
        <v>154</v>
      </c>
      <c r="I44" s="17" t="s">
        <v>154</v>
      </c>
      <c r="J44" s="18" t="s">
        <v>154</v>
      </c>
      <c r="K44" s="17" t="s">
        <v>154</v>
      </c>
      <c r="L44" s="18" t="s">
        <v>154</v>
      </c>
      <c r="M44" s="17" t="s">
        <v>154</v>
      </c>
      <c r="N44" s="18" t="s">
        <v>154</v>
      </c>
      <c r="O44" s="17" t="s">
        <v>154</v>
      </c>
      <c r="P44" s="18" t="s">
        <v>154</v>
      </c>
      <c r="Q44" s="17" t="s">
        <v>154</v>
      </c>
      <c r="R44" s="18" t="s">
        <v>154</v>
      </c>
      <c r="S44" s="17" t="s">
        <v>154</v>
      </c>
      <c r="T44" s="18" t="s">
        <v>154</v>
      </c>
      <c r="U44" s="17" t="s">
        <v>154</v>
      </c>
      <c r="V44" s="18" t="s">
        <v>154</v>
      </c>
    </row>
    <row r="45" spans="1:22" x14ac:dyDescent="0.25">
      <c r="A45" s="11" t="s">
        <v>178</v>
      </c>
      <c r="B45" s="17" t="s">
        <v>154</v>
      </c>
      <c r="C45" s="17" t="s">
        <v>154</v>
      </c>
      <c r="D45" s="18" t="s">
        <v>154</v>
      </c>
      <c r="E45" s="17" t="s">
        <v>154</v>
      </c>
      <c r="F45" s="18" t="s">
        <v>154</v>
      </c>
      <c r="G45" s="17" t="s">
        <v>154</v>
      </c>
      <c r="H45" s="18" t="s">
        <v>154</v>
      </c>
      <c r="I45" s="17" t="s">
        <v>154</v>
      </c>
      <c r="J45" s="18" t="s">
        <v>154</v>
      </c>
      <c r="K45" s="17" t="s">
        <v>154</v>
      </c>
      <c r="L45" s="18" t="s">
        <v>154</v>
      </c>
      <c r="M45" s="17" t="s">
        <v>154</v>
      </c>
      <c r="N45" s="18" t="s">
        <v>154</v>
      </c>
      <c r="O45" s="17" t="s">
        <v>154</v>
      </c>
      <c r="P45" s="18" t="s">
        <v>154</v>
      </c>
      <c r="Q45" s="17" t="s">
        <v>154</v>
      </c>
      <c r="R45" s="18" t="s">
        <v>154</v>
      </c>
      <c r="S45" s="17" t="s">
        <v>154</v>
      </c>
      <c r="T45" s="18" t="s">
        <v>154</v>
      </c>
      <c r="U45" s="17" t="s">
        <v>154</v>
      </c>
      <c r="V45" s="18" t="s">
        <v>154</v>
      </c>
    </row>
    <row r="46" spans="1:22" x14ac:dyDescent="0.25">
      <c r="A46" s="11" t="s">
        <v>179</v>
      </c>
      <c r="B46" s="13">
        <v>23141</v>
      </c>
      <c r="C46" s="14">
        <f>(20147/B46*100)</f>
        <v>87.061924722354263</v>
      </c>
      <c r="D46" s="15">
        <v>2994</v>
      </c>
      <c r="E46" s="14">
        <v>67.871835770000004</v>
      </c>
      <c r="F46" s="16">
        <v>1.1475837099999999</v>
      </c>
      <c r="G46" s="14">
        <v>12.07710408</v>
      </c>
      <c r="H46" s="16">
        <v>0.82202123000000005</v>
      </c>
      <c r="I46" s="14">
        <v>14.13866307</v>
      </c>
      <c r="J46" s="16">
        <v>0.82718530000000001</v>
      </c>
      <c r="K46" s="14">
        <v>5.9123970699999999</v>
      </c>
      <c r="L46" s="16">
        <v>0.57036377000000005</v>
      </c>
      <c r="M46" s="14" t="s">
        <v>139</v>
      </c>
      <c r="N46" s="16" t="s">
        <v>139</v>
      </c>
      <c r="O46" s="14">
        <v>0</v>
      </c>
      <c r="P46" s="16">
        <v>0</v>
      </c>
      <c r="Q46" s="14">
        <v>0</v>
      </c>
      <c r="R46" s="16">
        <v>0</v>
      </c>
      <c r="S46" s="14">
        <v>0</v>
      </c>
      <c r="T46" s="16">
        <v>0</v>
      </c>
      <c r="U46" s="14">
        <v>0</v>
      </c>
      <c r="V46" s="16">
        <v>0</v>
      </c>
    </row>
    <row r="47" spans="1:22" x14ac:dyDescent="0.25">
      <c r="A47" s="11" t="s">
        <v>180</v>
      </c>
      <c r="B47" s="13">
        <v>5928</v>
      </c>
      <c r="C47" s="14">
        <f>(4966/B47*100)</f>
        <v>83.771929824561411</v>
      </c>
      <c r="D47" s="15">
        <v>962</v>
      </c>
      <c r="E47" s="14">
        <v>47.042366299999998</v>
      </c>
      <c r="F47" s="16">
        <v>1.99580976</v>
      </c>
      <c r="G47" s="14">
        <v>15.753167100000001</v>
      </c>
      <c r="H47" s="16">
        <v>1.06581134</v>
      </c>
      <c r="I47" s="14">
        <v>24.675449530000002</v>
      </c>
      <c r="J47" s="16">
        <v>1.5977920699999999</v>
      </c>
      <c r="K47" s="14">
        <v>12.529017079999999</v>
      </c>
      <c r="L47" s="16">
        <v>1.1539267099999999</v>
      </c>
      <c r="M47" s="14" t="s">
        <v>139</v>
      </c>
      <c r="N47" s="16" t="s">
        <v>139</v>
      </c>
      <c r="O47" s="14">
        <v>0</v>
      </c>
      <c r="P47" s="16">
        <v>0</v>
      </c>
      <c r="Q47" s="14">
        <v>0</v>
      </c>
      <c r="R47" s="16">
        <v>0</v>
      </c>
      <c r="S47" s="14">
        <v>0</v>
      </c>
      <c r="T47" s="16">
        <v>0</v>
      </c>
      <c r="U47" s="14">
        <v>0</v>
      </c>
      <c r="V47" s="16">
        <v>0</v>
      </c>
    </row>
    <row r="48" spans="1:22" x14ac:dyDescent="0.25">
      <c r="A48" s="11" t="s">
        <v>181</v>
      </c>
      <c r="B48" s="13">
        <v>9841</v>
      </c>
      <c r="C48" s="14">
        <f>(8178/B48*100)</f>
        <v>83.101310842394057</v>
      </c>
      <c r="D48" s="15">
        <v>1663</v>
      </c>
      <c r="E48" s="14">
        <v>37.775432719999998</v>
      </c>
      <c r="F48" s="16">
        <v>1.72942354</v>
      </c>
      <c r="G48" s="14">
        <v>11.31190599</v>
      </c>
      <c r="H48" s="16">
        <v>1.15839285</v>
      </c>
      <c r="I48" s="14">
        <v>24.247294</v>
      </c>
      <c r="J48" s="16">
        <v>1.3186788</v>
      </c>
      <c r="K48" s="14">
        <v>26.665367289999999</v>
      </c>
      <c r="L48" s="16">
        <v>1.7100871499999999</v>
      </c>
      <c r="M48" s="14" t="s">
        <v>139</v>
      </c>
      <c r="N48" s="16" t="s">
        <v>139</v>
      </c>
      <c r="O48" s="14">
        <v>0</v>
      </c>
      <c r="P48" s="16">
        <v>0</v>
      </c>
      <c r="Q48" s="14">
        <v>0</v>
      </c>
      <c r="R48" s="16">
        <v>0</v>
      </c>
      <c r="S48" s="14">
        <v>0</v>
      </c>
      <c r="T48" s="16">
        <v>0</v>
      </c>
      <c r="U48" s="14">
        <v>0</v>
      </c>
      <c r="V48" s="16">
        <v>0</v>
      </c>
    </row>
    <row r="49" spans="1:22" x14ac:dyDescent="0.25">
      <c r="A49" s="11" t="s">
        <v>182</v>
      </c>
      <c r="B49" s="17" t="s">
        <v>154</v>
      </c>
      <c r="C49" s="17" t="s">
        <v>154</v>
      </c>
      <c r="D49" s="18" t="s">
        <v>154</v>
      </c>
      <c r="E49" s="17" t="s">
        <v>154</v>
      </c>
      <c r="F49" s="18" t="s">
        <v>154</v>
      </c>
      <c r="G49" s="17" t="s">
        <v>154</v>
      </c>
      <c r="H49" s="18" t="s">
        <v>154</v>
      </c>
      <c r="I49" s="17" t="s">
        <v>154</v>
      </c>
      <c r="J49" s="18" t="s">
        <v>154</v>
      </c>
      <c r="K49" s="17" t="s">
        <v>154</v>
      </c>
      <c r="L49" s="18" t="s">
        <v>154</v>
      </c>
      <c r="M49" s="17" t="s">
        <v>154</v>
      </c>
      <c r="N49" s="18" t="s">
        <v>154</v>
      </c>
      <c r="O49" s="17" t="s">
        <v>154</v>
      </c>
      <c r="P49" s="18" t="s">
        <v>154</v>
      </c>
      <c r="Q49" s="17" t="s">
        <v>154</v>
      </c>
      <c r="R49" s="18" t="s">
        <v>154</v>
      </c>
      <c r="S49" s="17" t="s">
        <v>154</v>
      </c>
      <c r="T49" s="18" t="s">
        <v>154</v>
      </c>
      <c r="U49" s="17" t="s">
        <v>154</v>
      </c>
      <c r="V49" s="18" t="s">
        <v>154</v>
      </c>
    </row>
    <row r="50" spans="1:22" x14ac:dyDescent="0.25">
      <c r="A50" s="11" t="s">
        <v>183</v>
      </c>
      <c r="B50" s="13">
        <v>11795</v>
      </c>
      <c r="C50" s="14">
        <f>(9867/B50*100)</f>
        <v>83.654090716405264</v>
      </c>
      <c r="D50" s="15">
        <v>1928</v>
      </c>
      <c r="E50" s="14">
        <v>65.155719419999997</v>
      </c>
      <c r="F50" s="16">
        <v>1.4163288599999999</v>
      </c>
      <c r="G50" s="14">
        <v>8.2063639599999991</v>
      </c>
      <c r="H50" s="16">
        <v>0.77362255999999996</v>
      </c>
      <c r="I50" s="14">
        <v>18.889560769999999</v>
      </c>
      <c r="J50" s="16">
        <v>1.1714277399999999</v>
      </c>
      <c r="K50" s="14">
        <v>7.7483558600000002</v>
      </c>
      <c r="L50" s="16">
        <v>0.69127291000000002</v>
      </c>
      <c r="M50" s="14" t="s">
        <v>139</v>
      </c>
      <c r="N50" s="16" t="s">
        <v>139</v>
      </c>
      <c r="O50" s="14">
        <v>0</v>
      </c>
      <c r="P50" s="16">
        <v>0</v>
      </c>
      <c r="Q50" s="14">
        <v>0</v>
      </c>
      <c r="R50" s="16">
        <v>0</v>
      </c>
      <c r="S50" s="14">
        <v>0</v>
      </c>
      <c r="T50" s="16">
        <v>0</v>
      </c>
      <c r="U50" s="14">
        <v>0</v>
      </c>
      <c r="V50" s="16">
        <v>0</v>
      </c>
    </row>
    <row r="51" spans="1:22" x14ac:dyDescent="0.25">
      <c r="A51" s="11" t="s">
        <v>184</v>
      </c>
      <c r="B51" s="13">
        <v>6866</v>
      </c>
      <c r="C51" s="14">
        <f>(5870/B51*100)</f>
        <v>85.493737256044284</v>
      </c>
      <c r="D51" s="15">
        <v>996</v>
      </c>
      <c r="E51" s="14">
        <v>70.022972060000001</v>
      </c>
      <c r="F51" s="16">
        <v>1.5149691999999999</v>
      </c>
      <c r="G51" s="14">
        <v>9.7856289000000007</v>
      </c>
      <c r="H51" s="16">
        <v>0.92245511999999996</v>
      </c>
      <c r="I51" s="14">
        <v>12.3659698</v>
      </c>
      <c r="J51" s="16">
        <v>1.09472971</v>
      </c>
      <c r="K51" s="14">
        <v>7.8254292400000001</v>
      </c>
      <c r="L51" s="16">
        <v>1.0144249000000001</v>
      </c>
      <c r="M51" s="14" t="s">
        <v>139</v>
      </c>
      <c r="N51" s="16" t="s">
        <v>139</v>
      </c>
      <c r="O51" s="14">
        <v>0</v>
      </c>
      <c r="P51" s="16">
        <v>0</v>
      </c>
      <c r="Q51" s="14">
        <v>0</v>
      </c>
      <c r="R51" s="16">
        <v>0</v>
      </c>
      <c r="S51" s="14">
        <v>0</v>
      </c>
      <c r="T51" s="16">
        <v>0</v>
      </c>
      <c r="U51" s="14">
        <v>0</v>
      </c>
      <c r="V51" s="16">
        <v>0</v>
      </c>
    </row>
    <row r="52" spans="1:22" x14ac:dyDescent="0.25">
      <c r="A52" s="11" t="s">
        <v>185</v>
      </c>
      <c r="B52" s="13">
        <v>5809</v>
      </c>
      <c r="C52" s="14">
        <f>(4842/B52*100)</f>
        <v>83.353417111378889</v>
      </c>
      <c r="D52" s="15">
        <v>967</v>
      </c>
      <c r="E52" s="14">
        <v>40.595596499999999</v>
      </c>
      <c r="F52" s="16">
        <v>1.7311972900000001</v>
      </c>
      <c r="G52" s="14">
        <v>21.30724545</v>
      </c>
      <c r="H52" s="16">
        <v>1.31231835</v>
      </c>
      <c r="I52" s="14">
        <v>26.807994369999999</v>
      </c>
      <c r="J52" s="16">
        <v>1.6183918500000001</v>
      </c>
      <c r="K52" s="14">
        <v>11.28916368</v>
      </c>
      <c r="L52" s="16">
        <v>1.14749816</v>
      </c>
      <c r="M52" s="14" t="s">
        <v>139</v>
      </c>
      <c r="N52" s="16" t="s">
        <v>139</v>
      </c>
      <c r="O52" s="14">
        <v>0</v>
      </c>
      <c r="P52" s="16">
        <v>0</v>
      </c>
      <c r="Q52" s="14">
        <v>0</v>
      </c>
      <c r="R52" s="16">
        <v>0</v>
      </c>
      <c r="S52" s="14">
        <v>0</v>
      </c>
      <c r="T52" s="16">
        <v>0</v>
      </c>
      <c r="U52" s="14">
        <v>0</v>
      </c>
      <c r="V52" s="16">
        <v>0</v>
      </c>
    </row>
    <row r="53" spans="1:22" x14ac:dyDescent="0.25">
      <c r="A53" s="11" t="s">
        <v>186</v>
      </c>
      <c r="B53" s="13">
        <v>5571</v>
      </c>
      <c r="C53" s="14">
        <f>(4658/B53*100)</f>
        <v>83.611559863579259</v>
      </c>
      <c r="D53" s="15">
        <v>913</v>
      </c>
      <c r="E53" s="14">
        <v>48.640047969999998</v>
      </c>
      <c r="F53" s="16">
        <v>1.99857299</v>
      </c>
      <c r="G53" s="14">
        <v>13.919955979999999</v>
      </c>
      <c r="H53" s="16">
        <v>1.06050716</v>
      </c>
      <c r="I53" s="14">
        <v>23.38159031</v>
      </c>
      <c r="J53" s="16">
        <v>1.6431321000000001</v>
      </c>
      <c r="K53" s="14">
        <v>14.05840574</v>
      </c>
      <c r="L53" s="16">
        <v>1.18457868</v>
      </c>
      <c r="M53" s="14" t="s">
        <v>139</v>
      </c>
      <c r="N53" s="16" t="s">
        <v>139</v>
      </c>
      <c r="O53" s="14">
        <v>0</v>
      </c>
      <c r="P53" s="16">
        <v>0</v>
      </c>
      <c r="Q53" s="14">
        <v>0</v>
      </c>
      <c r="R53" s="16">
        <v>0</v>
      </c>
      <c r="S53" s="14">
        <v>0</v>
      </c>
      <c r="T53" s="16">
        <v>0</v>
      </c>
      <c r="U53" s="14">
        <v>0</v>
      </c>
      <c r="V53" s="16">
        <v>0</v>
      </c>
    </row>
    <row r="54" spans="1:22" x14ac:dyDescent="0.25">
      <c r="A54" s="11" t="s">
        <v>187</v>
      </c>
      <c r="B54" s="17" t="s">
        <v>154</v>
      </c>
      <c r="C54" s="17" t="s">
        <v>154</v>
      </c>
      <c r="D54" s="18" t="s">
        <v>154</v>
      </c>
      <c r="E54" s="17" t="s">
        <v>154</v>
      </c>
      <c r="F54" s="18" t="s">
        <v>154</v>
      </c>
      <c r="G54" s="17" t="s">
        <v>154</v>
      </c>
      <c r="H54" s="18" t="s">
        <v>154</v>
      </c>
      <c r="I54" s="17" t="s">
        <v>154</v>
      </c>
      <c r="J54" s="18" t="s">
        <v>154</v>
      </c>
      <c r="K54" s="17" t="s">
        <v>154</v>
      </c>
      <c r="L54" s="18" t="s">
        <v>154</v>
      </c>
      <c r="M54" s="17" t="s">
        <v>154</v>
      </c>
      <c r="N54" s="18" t="s">
        <v>154</v>
      </c>
      <c r="O54" s="17" t="s">
        <v>154</v>
      </c>
      <c r="P54" s="18" t="s">
        <v>154</v>
      </c>
      <c r="Q54" s="17" t="s">
        <v>154</v>
      </c>
      <c r="R54" s="18" t="s">
        <v>154</v>
      </c>
      <c r="S54" s="17" t="s">
        <v>154</v>
      </c>
      <c r="T54" s="18" t="s">
        <v>154</v>
      </c>
      <c r="U54" s="17" t="s">
        <v>154</v>
      </c>
      <c r="V54" s="18" t="s">
        <v>154</v>
      </c>
    </row>
    <row r="55" spans="1:22" x14ac:dyDescent="0.25">
      <c r="A55" s="11" t="s">
        <v>188</v>
      </c>
      <c r="B55" s="17" t="s">
        <v>154</v>
      </c>
      <c r="C55" s="17" t="s">
        <v>154</v>
      </c>
      <c r="D55" s="18" t="s">
        <v>154</v>
      </c>
      <c r="E55" s="17" t="s">
        <v>154</v>
      </c>
      <c r="F55" s="18" t="s">
        <v>154</v>
      </c>
      <c r="G55" s="17" t="s">
        <v>154</v>
      </c>
      <c r="H55" s="18" t="s">
        <v>154</v>
      </c>
      <c r="I55" s="17" t="s">
        <v>154</v>
      </c>
      <c r="J55" s="18" t="s">
        <v>154</v>
      </c>
      <c r="K55" s="17" t="s">
        <v>154</v>
      </c>
      <c r="L55" s="18" t="s">
        <v>154</v>
      </c>
      <c r="M55" s="17" t="s">
        <v>154</v>
      </c>
      <c r="N55" s="18" t="s">
        <v>154</v>
      </c>
      <c r="O55" s="17" t="s">
        <v>154</v>
      </c>
      <c r="P55" s="18" t="s">
        <v>154</v>
      </c>
      <c r="Q55" s="17" t="s">
        <v>154</v>
      </c>
      <c r="R55" s="18" t="s">
        <v>154</v>
      </c>
      <c r="S55" s="17" t="s">
        <v>154</v>
      </c>
      <c r="T55" s="18" t="s">
        <v>154</v>
      </c>
      <c r="U55" s="17" t="s">
        <v>154</v>
      </c>
      <c r="V55" s="18" t="s">
        <v>154</v>
      </c>
    </row>
    <row r="56" spans="1:22" x14ac:dyDescent="0.25">
      <c r="A56" s="11" t="s">
        <v>189</v>
      </c>
      <c r="B56" s="13">
        <v>5359</v>
      </c>
      <c r="C56" s="14">
        <f>(4453/B56*100)</f>
        <v>83.093860794924424</v>
      </c>
      <c r="D56" s="15">
        <v>906</v>
      </c>
      <c r="E56" s="14">
        <v>23.350161809999999</v>
      </c>
      <c r="F56" s="16">
        <v>1.6155778599999999</v>
      </c>
      <c r="G56" s="14">
        <v>14.508434680000001</v>
      </c>
      <c r="H56" s="16">
        <v>1.1976363299999999</v>
      </c>
      <c r="I56" s="14">
        <v>28.01251353</v>
      </c>
      <c r="J56" s="16">
        <v>1.45516293</v>
      </c>
      <c r="K56" s="14">
        <v>34.128889979999997</v>
      </c>
      <c r="L56" s="16">
        <v>1.9904597500000001</v>
      </c>
      <c r="M56" s="14" t="s">
        <v>139</v>
      </c>
      <c r="N56" s="16" t="s">
        <v>139</v>
      </c>
      <c r="O56" s="14">
        <v>0</v>
      </c>
      <c r="P56" s="16">
        <v>0</v>
      </c>
      <c r="Q56" s="14">
        <v>0</v>
      </c>
      <c r="R56" s="16">
        <v>0</v>
      </c>
      <c r="S56" s="14">
        <v>0</v>
      </c>
      <c r="T56" s="16">
        <v>0</v>
      </c>
      <c r="U56" s="14">
        <v>0</v>
      </c>
      <c r="V56" s="16">
        <v>0</v>
      </c>
    </row>
    <row r="57" spans="1:22" x14ac:dyDescent="0.25">
      <c r="A57" s="11" t="s">
        <v>190</v>
      </c>
      <c r="B57" s="17" t="s">
        <v>154</v>
      </c>
      <c r="C57" s="17" t="s">
        <v>154</v>
      </c>
      <c r="D57" s="18" t="s">
        <v>154</v>
      </c>
      <c r="E57" s="17" t="s">
        <v>154</v>
      </c>
      <c r="F57" s="18" t="s">
        <v>154</v>
      </c>
      <c r="G57" s="17" t="s">
        <v>154</v>
      </c>
      <c r="H57" s="18" t="s">
        <v>154</v>
      </c>
      <c r="I57" s="17" t="s">
        <v>154</v>
      </c>
      <c r="J57" s="18" t="s">
        <v>154</v>
      </c>
      <c r="K57" s="17" t="s">
        <v>154</v>
      </c>
      <c r="L57" s="18" t="s">
        <v>154</v>
      </c>
      <c r="M57" s="17" t="s">
        <v>154</v>
      </c>
      <c r="N57" s="18" t="s">
        <v>154</v>
      </c>
      <c r="O57" s="17" t="s">
        <v>154</v>
      </c>
      <c r="P57" s="18" t="s">
        <v>154</v>
      </c>
      <c r="Q57" s="17" t="s">
        <v>154</v>
      </c>
      <c r="R57" s="18" t="s">
        <v>154</v>
      </c>
      <c r="S57" s="17" t="s">
        <v>154</v>
      </c>
      <c r="T57" s="18" t="s">
        <v>154</v>
      </c>
      <c r="U57" s="17" t="s">
        <v>154</v>
      </c>
      <c r="V57" s="18" t="s">
        <v>154</v>
      </c>
    </row>
    <row r="58" spans="1:22" x14ac:dyDescent="0.25">
      <c r="A58" s="11" t="s">
        <v>191</v>
      </c>
      <c r="B58" s="17" t="s">
        <v>154</v>
      </c>
      <c r="C58" s="17" t="s">
        <v>154</v>
      </c>
      <c r="D58" s="18" t="s">
        <v>154</v>
      </c>
      <c r="E58" s="17" t="s">
        <v>154</v>
      </c>
      <c r="F58" s="18" t="s">
        <v>154</v>
      </c>
      <c r="G58" s="17" t="s">
        <v>154</v>
      </c>
      <c r="H58" s="18" t="s">
        <v>154</v>
      </c>
      <c r="I58" s="17" t="s">
        <v>154</v>
      </c>
      <c r="J58" s="18" t="s">
        <v>154</v>
      </c>
      <c r="K58" s="17" t="s">
        <v>154</v>
      </c>
      <c r="L58" s="18" t="s">
        <v>154</v>
      </c>
      <c r="M58" s="17" t="s">
        <v>154</v>
      </c>
      <c r="N58" s="18" t="s">
        <v>154</v>
      </c>
      <c r="O58" s="17" t="s">
        <v>154</v>
      </c>
      <c r="P58" s="18" t="s">
        <v>154</v>
      </c>
      <c r="Q58" s="17" t="s">
        <v>154</v>
      </c>
      <c r="R58" s="18" t="s">
        <v>154</v>
      </c>
      <c r="S58" s="17" t="s">
        <v>154</v>
      </c>
      <c r="T58" s="18" t="s">
        <v>154</v>
      </c>
      <c r="U58" s="17" t="s">
        <v>154</v>
      </c>
      <c r="V58" s="18" t="s">
        <v>154</v>
      </c>
    </row>
    <row r="59" spans="1:22" x14ac:dyDescent="0.25">
      <c r="A59" s="11" t="s">
        <v>192</v>
      </c>
      <c r="B59" s="17" t="s">
        <v>154</v>
      </c>
      <c r="C59" s="17" t="s">
        <v>154</v>
      </c>
      <c r="D59" s="18" t="s">
        <v>154</v>
      </c>
      <c r="E59" s="17" t="s">
        <v>154</v>
      </c>
      <c r="F59" s="18" t="s">
        <v>154</v>
      </c>
      <c r="G59" s="17" t="s">
        <v>154</v>
      </c>
      <c r="H59" s="18" t="s">
        <v>154</v>
      </c>
      <c r="I59" s="17" t="s">
        <v>154</v>
      </c>
      <c r="J59" s="18" t="s">
        <v>154</v>
      </c>
      <c r="K59" s="17" t="s">
        <v>154</v>
      </c>
      <c r="L59" s="18" t="s">
        <v>154</v>
      </c>
      <c r="M59" s="17" t="s">
        <v>154</v>
      </c>
      <c r="N59" s="18" t="s">
        <v>154</v>
      </c>
      <c r="O59" s="17" t="s">
        <v>154</v>
      </c>
      <c r="P59" s="18" t="s">
        <v>154</v>
      </c>
      <c r="Q59" s="17" t="s">
        <v>154</v>
      </c>
      <c r="R59" s="18" t="s">
        <v>154</v>
      </c>
      <c r="S59" s="17" t="s">
        <v>154</v>
      </c>
      <c r="T59" s="18" t="s">
        <v>154</v>
      </c>
      <c r="U59" s="17" t="s">
        <v>154</v>
      </c>
      <c r="V59" s="18" t="s">
        <v>154</v>
      </c>
    </row>
    <row r="60" spans="1:22" x14ac:dyDescent="0.25">
      <c r="A60" s="11" t="s">
        <v>193</v>
      </c>
      <c r="B60" s="17" t="s">
        <v>154</v>
      </c>
      <c r="C60" s="17" t="s">
        <v>154</v>
      </c>
      <c r="D60" s="18" t="s">
        <v>154</v>
      </c>
      <c r="E60" s="17" t="s">
        <v>154</v>
      </c>
      <c r="F60" s="18" t="s">
        <v>154</v>
      </c>
      <c r="G60" s="17" t="s">
        <v>154</v>
      </c>
      <c r="H60" s="18" t="s">
        <v>154</v>
      </c>
      <c r="I60" s="17" t="s">
        <v>154</v>
      </c>
      <c r="J60" s="18" t="s">
        <v>154</v>
      </c>
      <c r="K60" s="17" t="s">
        <v>154</v>
      </c>
      <c r="L60" s="18" t="s">
        <v>154</v>
      </c>
      <c r="M60" s="17" t="s">
        <v>154</v>
      </c>
      <c r="N60" s="18" t="s">
        <v>154</v>
      </c>
      <c r="O60" s="17" t="s">
        <v>154</v>
      </c>
      <c r="P60" s="18" t="s">
        <v>154</v>
      </c>
      <c r="Q60" s="17" t="s">
        <v>154</v>
      </c>
      <c r="R60" s="18" t="s">
        <v>154</v>
      </c>
      <c r="S60" s="17" t="s">
        <v>154</v>
      </c>
      <c r="T60" s="18" t="s">
        <v>154</v>
      </c>
      <c r="U60" s="17" t="s">
        <v>154</v>
      </c>
      <c r="V60" s="18" t="s">
        <v>154</v>
      </c>
    </row>
    <row r="61" spans="1:22" x14ac:dyDescent="0.25">
      <c r="A61" s="11" t="s">
        <v>194</v>
      </c>
      <c r="B61" s="13">
        <v>6525</v>
      </c>
      <c r="C61" s="14">
        <f>(5437/B61*100)</f>
        <v>83.325670498084293</v>
      </c>
      <c r="D61" s="15">
        <v>1088</v>
      </c>
      <c r="E61" s="14">
        <v>44.419295630000001</v>
      </c>
      <c r="F61" s="16">
        <v>1.63690582</v>
      </c>
      <c r="G61" s="14">
        <v>12.86165701</v>
      </c>
      <c r="H61" s="16">
        <v>1.0284866500000001</v>
      </c>
      <c r="I61" s="14">
        <v>27.569762440000002</v>
      </c>
      <c r="J61" s="16">
        <v>1.5787189699999999</v>
      </c>
      <c r="K61" s="14">
        <v>15.149284919999999</v>
      </c>
      <c r="L61" s="16">
        <v>1.2713019299999999</v>
      </c>
      <c r="M61" s="14" t="s">
        <v>139</v>
      </c>
      <c r="N61" s="16" t="s">
        <v>139</v>
      </c>
      <c r="O61" s="14">
        <v>0</v>
      </c>
      <c r="P61" s="16">
        <v>0</v>
      </c>
      <c r="Q61" s="14">
        <v>0</v>
      </c>
      <c r="R61" s="16">
        <v>0</v>
      </c>
      <c r="S61" s="14">
        <v>0</v>
      </c>
      <c r="T61" s="16">
        <v>0</v>
      </c>
      <c r="U61" s="14">
        <v>0</v>
      </c>
      <c r="V61" s="16">
        <v>0</v>
      </c>
    </row>
    <row r="62" spans="1:22" x14ac:dyDescent="0.25">
      <c r="A62" s="11" t="s">
        <v>195</v>
      </c>
      <c r="B62" s="13">
        <v>4476</v>
      </c>
      <c r="C62" s="14">
        <f>(3710/B62*100)</f>
        <v>82.886505808757818</v>
      </c>
      <c r="D62" s="15">
        <v>766</v>
      </c>
      <c r="E62" s="14">
        <v>27.153074780000001</v>
      </c>
      <c r="F62" s="16">
        <v>1.4061915</v>
      </c>
      <c r="G62" s="14">
        <v>6.9280136499999996</v>
      </c>
      <c r="H62" s="16">
        <v>1.0163271300000001</v>
      </c>
      <c r="I62" s="14">
        <v>27.81625064</v>
      </c>
      <c r="J62" s="16">
        <v>1.3893542400000001</v>
      </c>
      <c r="K62" s="14">
        <v>38.102660929999999</v>
      </c>
      <c r="L62" s="16">
        <v>1.5279910400000001</v>
      </c>
      <c r="M62" s="14" t="s">
        <v>139</v>
      </c>
      <c r="N62" s="16" t="s">
        <v>139</v>
      </c>
      <c r="O62" s="14">
        <v>0</v>
      </c>
      <c r="P62" s="16">
        <v>0</v>
      </c>
      <c r="Q62" s="14">
        <v>0</v>
      </c>
      <c r="R62" s="16">
        <v>0</v>
      </c>
      <c r="S62" s="14">
        <v>0</v>
      </c>
      <c r="T62" s="16">
        <v>0</v>
      </c>
      <c r="U62" s="14">
        <v>0</v>
      </c>
      <c r="V62" s="16">
        <v>0</v>
      </c>
    </row>
    <row r="63" spans="1:22" x14ac:dyDescent="0.25">
      <c r="A63" s="11" t="s">
        <v>196</v>
      </c>
      <c r="B63" s="17" t="s">
        <v>154</v>
      </c>
      <c r="C63" s="17" t="s">
        <v>154</v>
      </c>
      <c r="D63" s="18" t="s">
        <v>154</v>
      </c>
      <c r="E63" s="17" t="s">
        <v>154</v>
      </c>
      <c r="F63" s="18" t="s">
        <v>154</v>
      </c>
      <c r="G63" s="17" t="s">
        <v>154</v>
      </c>
      <c r="H63" s="18" t="s">
        <v>154</v>
      </c>
      <c r="I63" s="17" t="s">
        <v>154</v>
      </c>
      <c r="J63" s="18" t="s">
        <v>154</v>
      </c>
      <c r="K63" s="17" t="s">
        <v>154</v>
      </c>
      <c r="L63" s="18" t="s">
        <v>154</v>
      </c>
      <c r="M63" s="17" t="s">
        <v>154</v>
      </c>
      <c r="N63" s="18" t="s">
        <v>154</v>
      </c>
      <c r="O63" s="17" t="s">
        <v>154</v>
      </c>
      <c r="P63" s="18" t="s">
        <v>154</v>
      </c>
      <c r="Q63" s="17" t="s">
        <v>154</v>
      </c>
      <c r="R63" s="18" t="s">
        <v>154</v>
      </c>
      <c r="S63" s="17" t="s">
        <v>154</v>
      </c>
      <c r="T63" s="18" t="s">
        <v>154</v>
      </c>
      <c r="U63" s="17" t="s">
        <v>154</v>
      </c>
      <c r="V63" s="18" t="s">
        <v>154</v>
      </c>
    </row>
    <row r="64" spans="1:22" x14ac:dyDescent="0.25">
      <c r="A64" s="11" t="s">
        <v>197</v>
      </c>
      <c r="B64" s="17" t="s">
        <v>154</v>
      </c>
      <c r="C64" s="17" t="s">
        <v>154</v>
      </c>
      <c r="D64" s="18" t="s">
        <v>154</v>
      </c>
      <c r="E64" s="17" t="s">
        <v>154</v>
      </c>
      <c r="F64" s="18" t="s">
        <v>154</v>
      </c>
      <c r="G64" s="17" t="s">
        <v>154</v>
      </c>
      <c r="H64" s="18" t="s">
        <v>154</v>
      </c>
      <c r="I64" s="17" t="s">
        <v>154</v>
      </c>
      <c r="J64" s="18" t="s">
        <v>154</v>
      </c>
      <c r="K64" s="17" t="s">
        <v>154</v>
      </c>
      <c r="L64" s="18" t="s">
        <v>154</v>
      </c>
      <c r="M64" s="17" t="s">
        <v>154</v>
      </c>
      <c r="N64" s="18" t="s">
        <v>154</v>
      </c>
      <c r="O64" s="17" t="s">
        <v>154</v>
      </c>
      <c r="P64" s="18" t="s">
        <v>154</v>
      </c>
      <c r="Q64" s="17" t="s">
        <v>154</v>
      </c>
      <c r="R64" s="18" t="s">
        <v>154</v>
      </c>
      <c r="S64" s="17" t="s">
        <v>154</v>
      </c>
      <c r="T64" s="18" t="s">
        <v>154</v>
      </c>
      <c r="U64" s="17" t="s">
        <v>154</v>
      </c>
      <c r="V64" s="18" t="s">
        <v>154</v>
      </c>
    </row>
    <row r="65" spans="1:22" x14ac:dyDescent="0.25">
      <c r="A65" s="11" t="s">
        <v>198</v>
      </c>
      <c r="B65" s="17" t="s">
        <v>154</v>
      </c>
      <c r="C65" s="17" t="s">
        <v>154</v>
      </c>
      <c r="D65" s="18" t="s">
        <v>154</v>
      </c>
      <c r="E65" s="17" t="s">
        <v>154</v>
      </c>
      <c r="F65" s="18" t="s">
        <v>154</v>
      </c>
      <c r="G65" s="17" t="s">
        <v>154</v>
      </c>
      <c r="H65" s="18" t="s">
        <v>154</v>
      </c>
      <c r="I65" s="17" t="s">
        <v>154</v>
      </c>
      <c r="J65" s="18" t="s">
        <v>154</v>
      </c>
      <c r="K65" s="17" t="s">
        <v>154</v>
      </c>
      <c r="L65" s="18" t="s">
        <v>154</v>
      </c>
      <c r="M65" s="17" t="s">
        <v>154</v>
      </c>
      <c r="N65" s="18" t="s">
        <v>154</v>
      </c>
      <c r="O65" s="17" t="s">
        <v>154</v>
      </c>
      <c r="P65" s="18" t="s">
        <v>154</v>
      </c>
      <c r="Q65" s="17" t="s">
        <v>154</v>
      </c>
      <c r="R65" s="18" t="s">
        <v>154</v>
      </c>
      <c r="S65" s="17" t="s">
        <v>154</v>
      </c>
      <c r="T65" s="18" t="s">
        <v>154</v>
      </c>
      <c r="U65" s="17" t="s">
        <v>154</v>
      </c>
      <c r="V65" s="18" t="s">
        <v>154</v>
      </c>
    </row>
    <row r="66" spans="1:22" x14ac:dyDescent="0.25">
      <c r="A66" s="11" t="s">
        <v>199</v>
      </c>
      <c r="B66" s="13">
        <v>5665</v>
      </c>
      <c r="C66" s="14">
        <f>(4745/B66*100)</f>
        <v>83.759929390997357</v>
      </c>
      <c r="D66" s="15">
        <v>920</v>
      </c>
      <c r="E66" s="14">
        <v>60.563994479999998</v>
      </c>
      <c r="F66" s="16">
        <v>1.3752536099999999</v>
      </c>
      <c r="G66" s="14">
        <v>14.80356471</v>
      </c>
      <c r="H66" s="16">
        <v>1.04484702</v>
      </c>
      <c r="I66" s="14">
        <v>13.63997767</v>
      </c>
      <c r="J66" s="16">
        <v>1.0954916699999999</v>
      </c>
      <c r="K66" s="14">
        <v>10.99246314</v>
      </c>
      <c r="L66" s="16">
        <v>0.95995366999999998</v>
      </c>
      <c r="M66" s="14" t="s">
        <v>139</v>
      </c>
      <c r="N66" s="16" t="s">
        <v>139</v>
      </c>
      <c r="O66" s="14">
        <v>0</v>
      </c>
      <c r="P66" s="16">
        <v>0</v>
      </c>
      <c r="Q66" s="14">
        <v>0</v>
      </c>
      <c r="R66" s="16">
        <v>0</v>
      </c>
      <c r="S66" s="14">
        <v>0</v>
      </c>
      <c r="T66" s="16">
        <v>0</v>
      </c>
      <c r="U66" s="14">
        <v>0</v>
      </c>
      <c r="V66" s="16">
        <v>0</v>
      </c>
    </row>
    <row r="67" spans="1:22" x14ac:dyDescent="0.25">
      <c r="A67" s="11" t="s">
        <v>200</v>
      </c>
      <c r="B67" s="13">
        <v>6971</v>
      </c>
      <c r="C67" s="14">
        <f>(5950/B67*100)</f>
        <v>85.353607803758422</v>
      </c>
      <c r="D67" s="15">
        <v>1021</v>
      </c>
      <c r="E67" s="14">
        <v>72.059687920000002</v>
      </c>
      <c r="F67" s="16">
        <v>1.67668656</v>
      </c>
      <c r="G67" s="14">
        <v>7.6653850600000002</v>
      </c>
      <c r="H67" s="16">
        <v>1.0500493799999999</v>
      </c>
      <c r="I67" s="14">
        <v>15.882168549999999</v>
      </c>
      <c r="J67" s="16">
        <v>1.27779741</v>
      </c>
      <c r="K67" s="14">
        <v>4.3927584700000004</v>
      </c>
      <c r="L67" s="16">
        <v>0.54668664</v>
      </c>
      <c r="M67" s="14" t="s">
        <v>139</v>
      </c>
      <c r="N67" s="16" t="s">
        <v>139</v>
      </c>
      <c r="O67" s="14">
        <v>0</v>
      </c>
      <c r="P67" s="16">
        <v>0</v>
      </c>
      <c r="Q67" s="14">
        <v>0</v>
      </c>
      <c r="R67" s="16">
        <v>0</v>
      </c>
      <c r="S67" s="14">
        <v>0</v>
      </c>
      <c r="T67" s="16">
        <v>0</v>
      </c>
      <c r="U67" s="14">
        <v>0</v>
      </c>
      <c r="V67" s="16">
        <v>0</v>
      </c>
    </row>
    <row r="68" spans="1:22" x14ac:dyDescent="0.25">
      <c r="A68" s="11" t="s">
        <v>201</v>
      </c>
      <c r="B68" s="17" t="s">
        <v>154</v>
      </c>
      <c r="C68" s="17" t="s">
        <v>154</v>
      </c>
      <c r="D68" s="18" t="s">
        <v>154</v>
      </c>
      <c r="E68" s="17" t="s">
        <v>154</v>
      </c>
      <c r="F68" s="18" t="s">
        <v>154</v>
      </c>
      <c r="G68" s="17" t="s">
        <v>154</v>
      </c>
      <c r="H68" s="18" t="s">
        <v>154</v>
      </c>
      <c r="I68" s="17" t="s">
        <v>154</v>
      </c>
      <c r="J68" s="18" t="s">
        <v>154</v>
      </c>
      <c r="K68" s="17" t="s">
        <v>154</v>
      </c>
      <c r="L68" s="18" t="s">
        <v>154</v>
      </c>
      <c r="M68" s="17" t="s">
        <v>154</v>
      </c>
      <c r="N68" s="18" t="s">
        <v>154</v>
      </c>
      <c r="O68" s="17" t="s">
        <v>154</v>
      </c>
      <c r="P68" s="18" t="s">
        <v>154</v>
      </c>
      <c r="Q68" s="17" t="s">
        <v>154</v>
      </c>
      <c r="R68" s="18" t="s">
        <v>154</v>
      </c>
      <c r="S68" s="17" t="s">
        <v>154</v>
      </c>
      <c r="T68" s="18" t="s">
        <v>154</v>
      </c>
      <c r="U68" s="17" t="s">
        <v>154</v>
      </c>
      <c r="V68" s="18" t="s">
        <v>154</v>
      </c>
    </row>
    <row r="69" spans="1:22" x14ac:dyDescent="0.25">
      <c r="A69" s="11" t="s">
        <v>202</v>
      </c>
      <c r="B69" s="17" t="s">
        <v>154</v>
      </c>
      <c r="C69" s="17" t="s">
        <v>154</v>
      </c>
      <c r="D69" s="18" t="s">
        <v>154</v>
      </c>
      <c r="E69" s="17" t="s">
        <v>154</v>
      </c>
      <c r="F69" s="18" t="s">
        <v>154</v>
      </c>
      <c r="G69" s="17" t="s">
        <v>154</v>
      </c>
      <c r="H69" s="18" t="s">
        <v>154</v>
      </c>
      <c r="I69" s="17" t="s">
        <v>154</v>
      </c>
      <c r="J69" s="18" t="s">
        <v>154</v>
      </c>
      <c r="K69" s="17" t="s">
        <v>154</v>
      </c>
      <c r="L69" s="18" t="s">
        <v>154</v>
      </c>
      <c r="M69" s="17" t="s">
        <v>154</v>
      </c>
      <c r="N69" s="18" t="s">
        <v>154</v>
      </c>
      <c r="O69" s="17" t="s">
        <v>154</v>
      </c>
      <c r="P69" s="18" t="s">
        <v>154</v>
      </c>
      <c r="Q69" s="17" t="s">
        <v>154</v>
      </c>
      <c r="R69" s="18" t="s">
        <v>154</v>
      </c>
      <c r="S69" s="17" t="s">
        <v>154</v>
      </c>
      <c r="T69" s="18" t="s">
        <v>154</v>
      </c>
      <c r="U69" s="17" t="s">
        <v>154</v>
      </c>
      <c r="V69" s="18" t="s">
        <v>154</v>
      </c>
    </row>
    <row r="70" spans="1:22" x14ac:dyDescent="0.25">
      <c r="A70" s="11" t="s">
        <v>203</v>
      </c>
      <c r="B70" s="13">
        <v>6036</v>
      </c>
      <c r="C70" s="14">
        <f>(5024/B70*100)</f>
        <v>83.233929754804507</v>
      </c>
      <c r="D70" s="15">
        <v>1012</v>
      </c>
      <c r="E70" s="14">
        <v>33.276304379999999</v>
      </c>
      <c r="F70" s="16">
        <v>2.00501766</v>
      </c>
      <c r="G70" s="14">
        <v>21.60665968</v>
      </c>
      <c r="H70" s="16">
        <v>1.4312491899999999</v>
      </c>
      <c r="I70" s="14">
        <v>17.715427550000001</v>
      </c>
      <c r="J70" s="16">
        <v>1.3087311399999999</v>
      </c>
      <c r="K70" s="14">
        <v>27.401608379999999</v>
      </c>
      <c r="L70" s="16">
        <v>1.66144493</v>
      </c>
      <c r="M70" s="14" t="s">
        <v>139</v>
      </c>
      <c r="N70" s="16" t="s">
        <v>139</v>
      </c>
      <c r="O70" s="14">
        <v>0</v>
      </c>
      <c r="P70" s="16">
        <v>0</v>
      </c>
      <c r="Q70" s="14">
        <v>0</v>
      </c>
      <c r="R70" s="16">
        <v>0</v>
      </c>
      <c r="S70" s="14">
        <v>0</v>
      </c>
      <c r="T70" s="16">
        <v>0</v>
      </c>
      <c r="U70" s="14">
        <v>0</v>
      </c>
      <c r="V70" s="16">
        <v>0</v>
      </c>
    </row>
    <row r="71" spans="1:22" x14ac:dyDescent="0.25">
      <c r="A71" s="11" t="s">
        <v>204</v>
      </c>
      <c r="B71" s="17" t="s">
        <v>154</v>
      </c>
      <c r="C71" s="17" t="s">
        <v>154</v>
      </c>
      <c r="D71" s="18" t="s">
        <v>154</v>
      </c>
      <c r="E71" s="17" t="s">
        <v>154</v>
      </c>
      <c r="F71" s="18" t="s">
        <v>154</v>
      </c>
      <c r="G71" s="17" t="s">
        <v>154</v>
      </c>
      <c r="H71" s="18" t="s">
        <v>154</v>
      </c>
      <c r="I71" s="17" t="s">
        <v>154</v>
      </c>
      <c r="J71" s="18" t="s">
        <v>154</v>
      </c>
      <c r="K71" s="17" t="s">
        <v>154</v>
      </c>
      <c r="L71" s="18" t="s">
        <v>154</v>
      </c>
      <c r="M71" s="17" t="s">
        <v>154</v>
      </c>
      <c r="N71" s="18" t="s">
        <v>154</v>
      </c>
      <c r="O71" s="17" t="s">
        <v>154</v>
      </c>
      <c r="P71" s="18" t="s">
        <v>154</v>
      </c>
      <c r="Q71" s="17" t="s">
        <v>154</v>
      </c>
      <c r="R71" s="18" t="s">
        <v>154</v>
      </c>
      <c r="S71" s="17" t="s">
        <v>154</v>
      </c>
      <c r="T71" s="18" t="s">
        <v>154</v>
      </c>
      <c r="U71" s="17" t="s">
        <v>154</v>
      </c>
      <c r="V71" s="18" t="s">
        <v>154</v>
      </c>
    </row>
    <row r="72" spans="1:22" x14ac:dyDescent="0.25">
      <c r="A72" s="11" t="s">
        <v>205</v>
      </c>
      <c r="B72" s="13">
        <v>7708</v>
      </c>
      <c r="C72" s="14">
        <f>(6366/B72*100)</f>
        <v>82.589517384535554</v>
      </c>
      <c r="D72" s="15">
        <v>1342</v>
      </c>
      <c r="E72" s="14">
        <v>37.855224100000001</v>
      </c>
      <c r="F72" s="16">
        <v>1.4720841200000001</v>
      </c>
      <c r="G72" s="14">
        <v>10.56548862</v>
      </c>
      <c r="H72" s="16">
        <v>0.83476174000000003</v>
      </c>
      <c r="I72" s="14">
        <v>32.60252998</v>
      </c>
      <c r="J72" s="16">
        <v>1.22835268</v>
      </c>
      <c r="K72" s="14">
        <v>18.97675731</v>
      </c>
      <c r="L72" s="16">
        <v>0.99625226</v>
      </c>
      <c r="M72" s="14" t="s">
        <v>139</v>
      </c>
      <c r="N72" s="16" t="s">
        <v>139</v>
      </c>
      <c r="O72" s="14">
        <v>0</v>
      </c>
      <c r="P72" s="16">
        <v>0</v>
      </c>
      <c r="Q72" s="14">
        <v>0</v>
      </c>
      <c r="R72" s="16">
        <v>0</v>
      </c>
      <c r="S72" s="14">
        <v>0</v>
      </c>
      <c r="T72" s="16">
        <v>0</v>
      </c>
      <c r="U72" s="14">
        <v>0</v>
      </c>
      <c r="V72" s="16">
        <v>0</v>
      </c>
    </row>
    <row r="73" spans="1:22" x14ac:dyDescent="0.25">
      <c r="A73" s="11" t="s">
        <v>206</v>
      </c>
      <c r="B73" s="13">
        <v>8249</v>
      </c>
      <c r="C73" s="14">
        <f>(6930/B73*100)</f>
        <v>84.010183052491215</v>
      </c>
      <c r="D73" s="15">
        <v>1319</v>
      </c>
      <c r="E73" s="14">
        <v>38.68665944</v>
      </c>
      <c r="F73" s="16">
        <v>1.70439261</v>
      </c>
      <c r="G73" s="14">
        <v>11.304951920000001</v>
      </c>
      <c r="H73" s="16">
        <v>0.93636123999999998</v>
      </c>
      <c r="I73" s="14">
        <v>27.353733070000001</v>
      </c>
      <c r="J73" s="16">
        <v>1.43372539</v>
      </c>
      <c r="K73" s="14">
        <v>22.654655569999999</v>
      </c>
      <c r="L73" s="16">
        <v>1.50181213</v>
      </c>
      <c r="M73" s="14" t="s">
        <v>139</v>
      </c>
      <c r="N73" s="16" t="s">
        <v>139</v>
      </c>
      <c r="O73" s="14">
        <v>0</v>
      </c>
      <c r="P73" s="16">
        <v>0</v>
      </c>
      <c r="Q73" s="14">
        <v>0</v>
      </c>
      <c r="R73" s="16">
        <v>0</v>
      </c>
      <c r="S73" s="14">
        <v>0</v>
      </c>
      <c r="T73" s="16">
        <v>0</v>
      </c>
      <c r="U73" s="14">
        <v>0</v>
      </c>
      <c r="V73" s="16">
        <v>0</v>
      </c>
    </row>
    <row r="74" spans="1:22" x14ac:dyDescent="0.25">
      <c r="A74" s="11" t="s">
        <v>207</v>
      </c>
      <c r="B74" s="17" t="s">
        <v>154</v>
      </c>
      <c r="C74" s="17" t="s">
        <v>154</v>
      </c>
      <c r="D74" s="18" t="s">
        <v>154</v>
      </c>
      <c r="E74" s="17" t="s">
        <v>154</v>
      </c>
      <c r="F74" s="18" t="s">
        <v>154</v>
      </c>
      <c r="G74" s="17" t="s">
        <v>154</v>
      </c>
      <c r="H74" s="18" t="s">
        <v>154</v>
      </c>
      <c r="I74" s="17" t="s">
        <v>154</v>
      </c>
      <c r="J74" s="18" t="s">
        <v>154</v>
      </c>
      <c r="K74" s="17" t="s">
        <v>154</v>
      </c>
      <c r="L74" s="18" t="s">
        <v>154</v>
      </c>
      <c r="M74" s="17" t="s">
        <v>154</v>
      </c>
      <c r="N74" s="18" t="s">
        <v>154</v>
      </c>
      <c r="O74" s="17" t="s">
        <v>154</v>
      </c>
      <c r="P74" s="18" t="s">
        <v>154</v>
      </c>
      <c r="Q74" s="17" t="s">
        <v>154</v>
      </c>
      <c r="R74" s="18" t="s">
        <v>154</v>
      </c>
      <c r="S74" s="17" t="s">
        <v>154</v>
      </c>
      <c r="T74" s="18" t="s">
        <v>154</v>
      </c>
      <c r="U74" s="17" t="s">
        <v>154</v>
      </c>
      <c r="V74" s="18" t="s">
        <v>154</v>
      </c>
    </row>
    <row r="75" spans="1:22" x14ac:dyDescent="0.25">
      <c r="A75" s="11" t="s">
        <v>208</v>
      </c>
      <c r="B75" s="13">
        <v>5375</v>
      </c>
      <c r="C75" s="14">
        <f>(4570/B75*100)</f>
        <v>85.023255813953497</v>
      </c>
      <c r="D75" s="15">
        <v>805</v>
      </c>
      <c r="E75" s="14">
        <v>68.623378220000006</v>
      </c>
      <c r="F75" s="16">
        <v>1.7672111399999999</v>
      </c>
      <c r="G75" s="14">
        <v>9.8573066800000007</v>
      </c>
      <c r="H75" s="16">
        <v>1.1397711800000001</v>
      </c>
      <c r="I75" s="14">
        <v>17.98220559</v>
      </c>
      <c r="J75" s="16">
        <v>1.4731831200000001</v>
      </c>
      <c r="K75" s="14">
        <v>3.5371095100000001</v>
      </c>
      <c r="L75" s="16">
        <v>0.57574723000000005</v>
      </c>
      <c r="M75" s="14" t="s">
        <v>139</v>
      </c>
      <c r="N75" s="16" t="s">
        <v>139</v>
      </c>
      <c r="O75" s="14">
        <v>0</v>
      </c>
      <c r="P75" s="16">
        <v>0</v>
      </c>
      <c r="Q75" s="14">
        <v>0</v>
      </c>
      <c r="R75" s="16">
        <v>0</v>
      </c>
      <c r="S75" s="14">
        <v>0</v>
      </c>
      <c r="T75" s="16">
        <v>0</v>
      </c>
      <c r="U75" s="14">
        <v>0</v>
      </c>
      <c r="V75" s="16">
        <v>0</v>
      </c>
    </row>
    <row r="76" spans="1:22" x14ac:dyDescent="0.25">
      <c r="A76" s="11" t="s">
        <v>209</v>
      </c>
      <c r="B76" s="13">
        <v>14167</v>
      </c>
      <c r="C76" s="14">
        <f>(11781/B76*100)</f>
        <v>83.158043340156709</v>
      </c>
      <c r="D76" s="15">
        <v>2386</v>
      </c>
      <c r="E76" s="14">
        <v>54.044837700000002</v>
      </c>
      <c r="F76" s="16">
        <v>1.1812200399999999</v>
      </c>
      <c r="G76" s="14">
        <v>14.36250735</v>
      </c>
      <c r="H76" s="16">
        <v>0.85649593999999996</v>
      </c>
      <c r="I76" s="14">
        <v>21.465165590000002</v>
      </c>
      <c r="J76" s="16">
        <v>0.99906896999999995</v>
      </c>
      <c r="K76" s="14">
        <v>10.12748936</v>
      </c>
      <c r="L76" s="16">
        <v>0.79666605000000001</v>
      </c>
      <c r="M76" s="14" t="s">
        <v>139</v>
      </c>
      <c r="N76" s="16" t="s">
        <v>139</v>
      </c>
      <c r="O76" s="14">
        <v>0</v>
      </c>
      <c r="P76" s="16">
        <v>0</v>
      </c>
      <c r="Q76" s="14">
        <v>0</v>
      </c>
      <c r="R76" s="16">
        <v>0</v>
      </c>
      <c r="S76" s="14">
        <v>0</v>
      </c>
      <c r="T76" s="16">
        <v>0</v>
      </c>
      <c r="U76" s="14">
        <v>0</v>
      </c>
      <c r="V76" s="16">
        <v>0</v>
      </c>
    </row>
    <row r="77" spans="1:22" x14ac:dyDescent="0.25">
      <c r="A77" s="11" t="s">
        <v>210</v>
      </c>
      <c r="B77" s="13">
        <v>6062</v>
      </c>
      <c r="C77" s="14">
        <f>(5104/B77*100)</f>
        <v>84.196634774001978</v>
      </c>
      <c r="D77" s="15">
        <v>958</v>
      </c>
      <c r="E77" s="14">
        <v>62.54615235</v>
      </c>
      <c r="F77" s="16">
        <v>1.5384351599999999</v>
      </c>
      <c r="G77" s="14">
        <v>13.453193539999999</v>
      </c>
      <c r="H77" s="16">
        <v>1.11474261</v>
      </c>
      <c r="I77" s="14">
        <v>18.00497781</v>
      </c>
      <c r="J77" s="16">
        <v>1.1754590700000001</v>
      </c>
      <c r="K77" s="14">
        <v>5.9956763000000004</v>
      </c>
      <c r="L77" s="16">
        <v>0.74084117000000005</v>
      </c>
      <c r="M77" s="14" t="s">
        <v>139</v>
      </c>
      <c r="N77" s="16" t="s">
        <v>139</v>
      </c>
      <c r="O77" s="14">
        <v>0</v>
      </c>
      <c r="P77" s="16">
        <v>0</v>
      </c>
      <c r="Q77" s="14">
        <v>0</v>
      </c>
      <c r="R77" s="16">
        <v>0</v>
      </c>
      <c r="S77" s="14">
        <v>0</v>
      </c>
      <c r="T77" s="16">
        <v>0</v>
      </c>
      <c r="U77" s="14">
        <v>0</v>
      </c>
      <c r="V77" s="16">
        <v>0</v>
      </c>
    </row>
    <row r="78" spans="1:22" x14ac:dyDescent="0.25">
      <c r="A78" s="11" t="s">
        <v>211</v>
      </c>
      <c r="B78" s="17" t="s">
        <v>154</v>
      </c>
      <c r="C78" s="17" t="s">
        <v>154</v>
      </c>
      <c r="D78" s="18" t="s">
        <v>154</v>
      </c>
      <c r="E78" s="17" t="s">
        <v>154</v>
      </c>
      <c r="F78" s="18" t="s">
        <v>154</v>
      </c>
      <c r="G78" s="17" t="s">
        <v>154</v>
      </c>
      <c r="H78" s="18" t="s">
        <v>154</v>
      </c>
      <c r="I78" s="17" t="s">
        <v>154</v>
      </c>
      <c r="J78" s="18" t="s">
        <v>154</v>
      </c>
      <c r="K78" s="17" t="s">
        <v>154</v>
      </c>
      <c r="L78" s="18" t="s">
        <v>154</v>
      </c>
      <c r="M78" s="17" t="s">
        <v>154</v>
      </c>
      <c r="N78" s="18" t="s">
        <v>154</v>
      </c>
      <c r="O78" s="17" t="s">
        <v>154</v>
      </c>
      <c r="P78" s="18" t="s">
        <v>154</v>
      </c>
      <c r="Q78" s="17" t="s">
        <v>154</v>
      </c>
      <c r="R78" s="18" t="s">
        <v>154</v>
      </c>
      <c r="S78" s="17" t="s">
        <v>154</v>
      </c>
      <c r="T78" s="18" t="s">
        <v>154</v>
      </c>
      <c r="U78" s="17" t="s">
        <v>154</v>
      </c>
      <c r="V78" s="18" t="s">
        <v>154</v>
      </c>
    </row>
    <row r="79" spans="1:22" ht="24.95" customHeight="1" x14ac:dyDescent="0.25">
      <c r="A79" s="11" t="s">
        <v>212</v>
      </c>
      <c r="B79" s="17" t="s">
        <v>154</v>
      </c>
      <c r="C79" s="17" t="s">
        <v>154</v>
      </c>
      <c r="D79" s="18" t="s">
        <v>154</v>
      </c>
      <c r="E79" s="17" t="s">
        <v>154</v>
      </c>
      <c r="F79" s="18" t="s">
        <v>154</v>
      </c>
      <c r="G79" s="17" t="s">
        <v>154</v>
      </c>
      <c r="H79" s="18" t="s">
        <v>154</v>
      </c>
      <c r="I79" s="17" t="s">
        <v>154</v>
      </c>
      <c r="J79" s="18" t="s">
        <v>154</v>
      </c>
      <c r="K79" s="17" t="s">
        <v>154</v>
      </c>
      <c r="L79" s="18" t="s">
        <v>154</v>
      </c>
      <c r="M79" s="17" t="s">
        <v>154</v>
      </c>
      <c r="N79" s="18" t="s">
        <v>154</v>
      </c>
      <c r="O79" s="17" t="s">
        <v>154</v>
      </c>
      <c r="P79" s="18" t="s">
        <v>154</v>
      </c>
      <c r="Q79" s="17" t="s">
        <v>154</v>
      </c>
      <c r="R79" s="18" t="s">
        <v>154</v>
      </c>
      <c r="S79" s="17" t="s">
        <v>154</v>
      </c>
      <c r="T79" s="18" t="s">
        <v>154</v>
      </c>
      <c r="U79" s="17" t="s">
        <v>154</v>
      </c>
      <c r="V79" s="18" t="s">
        <v>154</v>
      </c>
    </row>
    <row r="80" spans="1:22" x14ac:dyDescent="0.25">
      <c r="A80" s="11" t="s">
        <v>213</v>
      </c>
      <c r="B80" s="17" t="s">
        <v>154</v>
      </c>
      <c r="C80" s="17" t="s">
        <v>154</v>
      </c>
      <c r="D80" s="18" t="s">
        <v>154</v>
      </c>
      <c r="E80" s="17" t="s">
        <v>154</v>
      </c>
      <c r="F80" s="18" t="s">
        <v>154</v>
      </c>
      <c r="G80" s="17" t="s">
        <v>154</v>
      </c>
      <c r="H80" s="18" t="s">
        <v>154</v>
      </c>
      <c r="I80" s="17" t="s">
        <v>154</v>
      </c>
      <c r="J80" s="18" t="s">
        <v>154</v>
      </c>
      <c r="K80" s="17" t="s">
        <v>154</v>
      </c>
      <c r="L80" s="18" t="s">
        <v>154</v>
      </c>
      <c r="M80" s="17" t="s">
        <v>154</v>
      </c>
      <c r="N80" s="18" t="s">
        <v>154</v>
      </c>
      <c r="O80" s="17" t="s">
        <v>154</v>
      </c>
      <c r="P80" s="18" t="s">
        <v>154</v>
      </c>
      <c r="Q80" s="17" t="s">
        <v>154</v>
      </c>
      <c r="R80" s="18" t="s">
        <v>154</v>
      </c>
      <c r="S80" s="17" t="s">
        <v>154</v>
      </c>
      <c r="T80" s="18" t="s">
        <v>154</v>
      </c>
      <c r="U80" s="17" t="s">
        <v>154</v>
      </c>
      <c r="V80" s="18" t="s">
        <v>154</v>
      </c>
    </row>
    <row r="81" spans="1:22" x14ac:dyDescent="0.25">
      <c r="A81" s="19" t="s">
        <v>214</v>
      </c>
      <c r="B81" s="13">
        <v>8861</v>
      </c>
      <c r="C81" s="14">
        <f>(7356/B81*100)</f>
        <v>83.015461008915466</v>
      </c>
      <c r="D81" s="15">
        <v>1505</v>
      </c>
      <c r="E81" s="14">
        <v>45.672186709999998</v>
      </c>
      <c r="F81" s="16">
        <v>1.74505697</v>
      </c>
      <c r="G81" s="14">
        <v>11.81865904</v>
      </c>
      <c r="H81" s="16">
        <v>0.96643356999999996</v>
      </c>
      <c r="I81" s="14">
        <v>25.874943519999999</v>
      </c>
      <c r="J81" s="16">
        <v>1.36748414</v>
      </c>
      <c r="K81" s="14">
        <v>16.63421073</v>
      </c>
      <c r="L81" s="16">
        <v>1.12855916</v>
      </c>
      <c r="M81" s="14" t="s">
        <v>139</v>
      </c>
      <c r="N81" s="16" t="s">
        <v>139</v>
      </c>
      <c r="O81" s="14">
        <v>0</v>
      </c>
      <c r="P81" s="16">
        <v>0</v>
      </c>
      <c r="Q81" s="14">
        <v>0</v>
      </c>
      <c r="R81" s="16">
        <v>0</v>
      </c>
      <c r="S81" s="14">
        <v>0</v>
      </c>
      <c r="T81" s="16">
        <v>0</v>
      </c>
      <c r="U81" s="14">
        <v>0</v>
      </c>
      <c r="V81" s="16">
        <v>0</v>
      </c>
    </row>
    <row r="82" spans="1:22" x14ac:dyDescent="0.25">
      <c r="A82" s="20"/>
      <c r="B82" s="20" t="s">
        <v>215</v>
      </c>
      <c r="C82" s="20" t="s">
        <v>215</v>
      </c>
      <c r="D82" s="20" t="s">
        <v>215</v>
      </c>
      <c r="E82" s="20" t="s">
        <v>215</v>
      </c>
      <c r="F82" s="20" t="s">
        <v>215</v>
      </c>
      <c r="G82" s="20" t="s">
        <v>215</v>
      </c>
      <c r="H82" s="20" t="s">
        <v>215</v>
      </c>
      <c r="I82" s="20" t="s">
        <v>215</v>
      </c>
      <c r="J82" s="20" t="s">
        <v>215</v>
      </c>
      <c r="K82" s="20" t="s">
        <v>215</v>
      </c>
      <c r="L82" s="20" t="s">
        <v>215</v>
      </c>
      <c r="M82" s="20" t="s">
        <v>215</v>
      </c>
      <c r="N82" s="20" t="s">
        <v>215</v>
      </c>
      <c r="O82" s="20" t="s">
        <v>215</v>
      </c>
      <c r="P82" s="20" t="s">
        <v>215</v>
      </c>
      <c r="Q82" s="20" t="s">
        <v>215</v>
      </c>
      <c r="R82" s="20" t="s">
        <v>215</v>
      </c>
      <c r="S82" s="20" t="s">
        <v>215</v>
      </c>
      <c r="T82" s="20" t="s">
        <v>215</v>
      </c>
      <c r="U82" s="20" t="s">
        <v>215</v>
      </c>
      <c r="V82" s="20" t="s">
        <v>215</v>
      </c>
    </row>
    <row r="83" spans="1:22" x14ac:dyDescent="0.25">
      <c r="A83" s="3" t="s">
        <v>216</v>
      </c>
    </row>
    <row r="84" spans="1:22" x14ac:dyDescent="0.25">
      <c r="A84" s="22" t="s">
        <v>217</v>
      </c>
      <c r="B84" s="23"/>
      <c r="C84" s="23"/>
      <c r="D84" s="23"/>
      <c r="E84" s="23"/>
      <c r="F84" s="23"/>
      <c r="G84" s="23"/>
      <c r="H84" s="23"/>
      <c r="I84" s="23"/>
      <c r="J84" s="23"/>
      <c r="K84" s="23"/>
      <c r="L84" s="23"/>
      <c r="M84" s="23"/>
      <c r="N84" s="23"/>
      <c r="O84" s="23"/>
      <c r="P84" s="23"/>
      <c r="Q84" s="23"/>
      <c r="R84" s="23"/>
      <c r="S84" s="23"/>
      <c r="T84" s="23"/>
      <c r="U84" s="23"/>
      <c r="V84" s="23"/>
    </row>
    <row r="85" spans="1:22" x14ac:dyDescent="0.25">
      <c r="A85" s="22" t="s">
        <v>218</v>
      </c>
      <c r="B85" s="23"/>
      <c r="C85" s="23"/>
      <c r="D85" s="23"/>
      <c r="E85" s="23"/>
      <c r="F85" s="23"/>
      <c r="G85" s="23"/>
      <c r="H85" s="23"/>
      <c r="I85" s="23"/>
      <c r="J85" s="23"/>
      <c r="K85" s="23"/>
      <c r="L85" s="23"/>
      <c r="M85" s="23"/>
      <c r="N85" s="23"/>
      <c r="O85" s="23"/>
      <c r="P85" s="23"/>
      <c r="Q85" s="23"/>
      <c r="R85" s="23"/>
      <c r="S85" s="23"/>
      <c r="T85" s="23"/>
      <c r="U85" s="23"/>
      <c r="V85" s="23"/>
    </row>
    <row r="86" spans="1:22" ht="30" customHeight="1" x14ac:dyDescent="0.25">
      <c r="A86" s="22" t="s">
        <v>219</v>
      </c>
      <c r="B86" s="23"/>
      <c r="C86" s="23"/>
      <c r="D86" s="23"/>
      <c r="E86" s="23"/>
      <c r="F86" s="23"/>
      <c r="G86" s="23"/>
      <c r="H86" s="23"/>
      <c r="I86" s="23"/>
      <c r="J86" s="23"/>
      <c r="K86" s="23"/>
      <c r="L86" s="23"/>
      <c r="M86" s="23"/>
      <c r="N86" s="23"/>
      <c r="O86" s="23"/>
      <c r="P86" s="23"/>
      <c r="Q86" s="23"/>
      <c r="R86" s="23"/>
      <c r="S86" s="23"/>
      <c r="T86" s="23"/>
      <c r="U86" s="23"/>
      <c r="V86" s="23"/>
    </row>
    <row r="87" spans="1:22" ht="30" customHeight="1" x14ac:dyDescent="0.25">
      <c r="A87" s="22" t="s">
        <v>215</v>
      </c>
      <c r="B87" s="23"/>
      <c r="C87" s="23"/>
      <c r="D87" s="23"/>
      <c r="E87" s="23"/>
      <c r="F87" s="23"/>
      <c r="G87" s="23"/>
      <c r="H87" s="23"/>
      <c r="I87" s="23"/>
      <c r="J87" s="23"/>
      <c r="K87" s="23"/>
      <c r="L87" s="23"/>
      <c r="M87" s="23"/>
      <c r="N87" s="23"/>
      <c r="O87" s="23"/>
      <c r="P87" s="23"/>
      <c r="Q87" s="23"/>
      <c r="R87" s="23"/>
      <c r="S87" s="23"/>
      <c r="T87" s="23"/>
      <c r="U87" s="23"/>
      <c r="V87" s="23"/>
    </row>
    <row r="88" spans="1:22" ht="30" customHeight="1" x14ac:dyDescent="0.25">
      <c r="A88" s="22" t="s">
        <v>220</v>
      </c>
      <c r="B88" s="23"/>
      <c r="C88" s="23"/>
      <c r="D88" s="23"/>
      <c r="E88" s="23"/>
      <c r="F88" s="23"/>
      <c r="G88" s="23"/>
      <c r="H88" s="23"/>
      <c r="I88" s="23"/>
      <c r="J88" s="23"/>
      <c r="K88" s="23"/>
      <c r="L88" s="23"/>
      <c r="M88" s="23"/>
      <c r="N88" s="23"/>
      <c r="O88" s="23"/>
      <c r="P88" s="23"/>
      <c r="Q88" s="23"/>
      <c r="R88" s="23"/>
      <c r="S88" s="23"/>
      <c r="T88" s="23"/>
      <c r="U88" s="23"/>
      <c r="V88" s="23"/>
    </row>
    <row r="89" spans="1:22" ht="30" customHeight="1" x14ac:dyDescent="0.25">
      <c r="A89" s="22" t="s">
        <v>221</v>
      </c>
      <c r="B89" s="23"/>
      <c r="C89" s="23"/>
      <c r="D89" s="23"/>
      <c r="E89" s="23"/>
      <c r="F89" s="23"/>
      <c r="G89" s="23"/>
      <c r="H89" s="23"/>
      <c r="I89" s="23"/>
      <c r="J89" s="23"/>
      <c r="K89" s="23"/>
      <c r="L89" s="23"/>
      <c r="M89" s="23"/>
      <c r="N89" s="23"/>
      <c r="O89" s="23"/>
      <c r="P89" s="23"/>
      <c r="Q89" s="23"/>
      <c r="R89" s="23"/>
      <c r="S89" s="23"/>
      <c r="T89" s="23"/>
      <c r="U89" s="23"/>
      <c r="V89" s="23"/>
    </row>
    <row r="90" spans="1:22" ht="30" customHeight="1" x14ac:dyDescent="0.25">
      <c r="A90" s="22" t="s">
        <v>222</v>
      </c>
      <c r="B90" s="23"/>
      <c r="C90" s="23"/>
      <c r="D90" s="23"/>
      <c r="E90" s="23"/>
      <c r="F90" s="23"/>
      <c r="G90" s="23"/>
      <c r="H90" s="23"/>
      <c r="I90" s="23"/>
      <c r="J90" s="23"/>
      <c r="K90" s="23"/>
      <c r="L90" s="23"/>
      <c r="M90" s="23"/>
      <c r="N90" s="23"/>
      <c r="O90" s="23"/>
      <c r="P90" s="23"/>
      <c r="Q90" s="23"/>
      <c r="R90" s="23"/>
      <c r="S90" s="23"/>
      <c r="T90" s="23"/>
      <c r="U90" s="23"/>
      <c r="V90" s="23"/>
    </row>
    <row r="91" spans="1:22" ht="30" customHeight="1" x14ac:dyDescent="0.25">
      <c r="A91" s="22" t="s">
        <v>223</v>
      </c>
      <c r="B91" s="23"/>
      <c r="C91" s="23"/>
      <c r="D91" s="23"/>
      <c r="E91" s="23"/>
      <c r="F91" s="23"/>
      <c r="G91" s="23"/>
      <c r="H91" s="23"/>
      <c r="I91" s="23"/>
      <c r="J91" s="23"/>
      <c r="K91" s="23"/>
      <c r="L91" s="23"/>
      <c r="M91" s="23"/>
      <c r="N91" s="23"/>
      <c r="O91" s="23"/>
      <c r="P91" s="23"/>
      <c r="Q91" s="23"/>
      <c r="R91" s="23"/>
      <c r="S91" s="23"/>
      <c r="T91" s="23"/>
      <c r="U91" s="23"/>
      <c r="V91" s="23"/>
    </row>
    <row r="92" spans="1:22" ht="30" customHeight="1" x14ac:dyDescent="0.25">
      <c r="A92" s="22" t="s">
        <v>224</v>
      </c>
      <c r="B92" s="23"/>
      <c r="C92" s="23"/>
      <c r="D92" s="23"/>
      <c r="E92" s="23"/>
      <c r="F92" s="23"/>
      <c r="G92" s="23"/>
      <c r="H92" s="23"/>
      <c r="I92" s="23"/>
      <c r="J92" s="23"/>
      <c r="K92" s="23"/>
      <c r="L92" s="23"/>
      <c r="M92" s="23"/>
      <c r="N92" s="23"/>
      <c r="O92" s="23"/>
      <c r="P92" s="23"/>
      <c r="Q92" s="23"/>
      <c r="R92" s="23"/>
      <c r="S92" s="23"/>
      <c r="T92" s="23"/>
      <c r="U92" s="23"/>
      <c r="V92" s="23"/>
    </row>
    <row r="93" spans="1:22" ht="30" customHeight="1" x14ac:dyDescent="0.25">
      <c r="A93" s="22" t="s">
        <v>225</v>
      </c>
      <c r="B93" s="23"/>
      <c r="C93" s="23"/>
      <c r="D93" s="23"/>
      <c r="E93" s="23"/>
      <c r="F93" s="23"/>
      <c r="G93" s="23"/>
      <c r="H93" s="23"/>
      <c r="I93" s="23"/>
      <c r="J93" s="23"/>
      <c r="K93" s="23"/>
      <c r="L93" s="23"/>
      <c r="M93" s="23"/>
      <c r="N93" s="23"/>
      <c r="O93" s="23"/>
      <c r="P93" s="23"/>
      <c r="Q93" s="23"/>
      <c r="R93" s="23"/>
      <c r="S93" s="23"/>
      <c r="T93" s="23"/>
      <c r="U93" s="23"/>
      <c r="V93" s="23"/>
    </row>
    <row r="94" spans="1:22" ht="30" customHeight="1" x14ac:dyDescent="0.25">
      <c r="A94" s="22" t="s">
        <v>226</v>
      </c>
      <c r="B94" s="23"/>
      <c r="C94" s="23"/>
      <c r="D94" s="23"/>
      <c r="E94" s="23"/>
      <c r="F94" s="23"/>
      <c r="G94" s="23"/>
      <c r="H94" s="23"/>
      <c r="I94" s="23"/>
      <c r="J94" s="23"/>
      <c r="K94" s="23"/>
      <c r="L94" s="23"/>
      <c r="M94" s="23"/>
      <c r="N94" s="23"/>
      <c r="O94" s="23"/>
      <c r="P94" s="23"/>
      <c r="Q94" s="23"/>
      <c r="R94" s="23"/>
      <c r="S94" s="23"/>
      <c r="T94" s="23"/>
      <c r="U94" s="23"/>
      <c r="V94" s="23"/>
    </row>
    <row r="95" spans="1:22" ht="30" customHeight="1" x14ac:dyDescent="0.25">
      <c r="A95" s="22" t="s">
        <v>227</v>
      </c>
      <c r="B95" s="23"/>
      <c r="C95" s="23"/>
      <c r="D95" s="23"/>
      <c r="E95" s="23"/>
      <c r="F95" s="23"/>
      <c r="G95" s="23"/>
      <c r="H95" s="23"/>
      <c r="I95" s="23"/>
      <c r="J95" s="23"/>
      <c r="K95" s="23"/>
      <c r="L95" s="23"/>
      <c r="M95" s="23"/>
      <c r="N95" s="23"/>
      <c r="O95" s="23"/>
      <c r="P95" s="23"/>
      <c r="Q95" s="23"/>
      <c r="R95" s="23"/>
      <c r="S95" s="23"/>
      <c r="T95" s="23"/>
      <c r="U95" s="23"/>
      <c r="V95" s="23"/>
    </row>
    <row r="96" spans="1:22" ht="30" customHeight="1" x14ac:dyDescent="0.25">
      <c r="A96" s="22" t="s">
        <v>228</v>
      </c>
      <c r="B96" s="23"/>
      <c r="C96" s="23"/>
      <c r="D96" s="23"/>
      <c r="E96" s="23"/>
      <c r="F96" s="23"/>
      <c r="G96" s="23"/>
      <c r="H96" s="23"/>
      <c r="I96" s="23"/>
      <c r="J96" s="23"/>
      <c r="K96" s="23"/>
      <c r="L96" s="23"/>
      <c r="M96" s="23"/>
      <c r="N96" s="23"/>
      <c r="O96" s="23"/>
      <c r="P96" s="23"/>
      <c r="Q96" s="23"/>
      <c r="R96" s="23"/>
      <c r="S96" s="23"/>
      <c r="T96" s="23"/>
      <c r="U96" s="23"/>
      <c r="V96" s="23"/>
    </row>
  </sheetData>
  <mergeCells count="24">
    <mergeCell ref="O4:P4"/>
    <mergeCell ref="Q4:R4"/>
    <mergeCell ref="S4:T4"/>
    <mergeCell ref="U4:V4"/>
    <mergeCell ref="A1:V1"/>
    <mergeCell ref="A2:V2"/>
    <mergeCell ref="E4:F4"/>
    <mergeCell ref="G4:H4"/>
    <mergeCell ref="I4:J4"/>
    <mergeCell ref="K4:L4"/>
    <mergeCell ref="M4:N4"/>
    <mergeCell ref="A84:V84"/>
    <mergeCell ref="A85:V85"/>
    <mergeCell ref="A86:V86"/>
    <mergeCell ref="A87:V87"/>
    <mergeCell ref="A88:V88"/>
    <mergeCell ref="A94:V94"/>
    <mergeCell ref="A95:V95"/>
    <mergeCell ref="A96:V96"/>
    <mergeCell ref="A89:V89"/>
    <mergeCell ref="A90:V90"/>
    <mergeCell ref="A91:V91"/>
    <mergeCell ref="A92:V92"/>
    <mergeCell ref="A93:V93"/>
  </mergeCells>
  <pageMargins left="0.75" right="0.75" top="1" bottom="1" header="0.5" footer="0.5"/>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1"/>
  <dimension ref="A1:T96"/>
  <sheetViews>
    <sheetView zoomScale="80" workbookViewId="0">
      <pane xSplit="4" topLeftCell="E1" activePane="topRight" state="frozen"/>
      <selection sqref="A1:R1"/>
      <selection pane="topRight" sqref="A1:T1"/>
    </sheetView>
  </sheetViews>
  <sheetFormatPr defaultColWidth="11.42578125" defaultRowHeight="15" x14ac:dyDescent="0.25"/>
  <cols>
    <col min="1" max="1" width="50" customWidth="1"/>
  </cols>
  <sheetData>
    <row r="1" spans="1:20" x14ac:dyDescent="0.25">
      <c r="A1" s="26" t="s">
        <v>122</v>
      </c>
      <c r="B1" s="23"/>
      <c r="C1" s="23"/>
      <c r="D1" s="23"/>
      <c r="E1" s="23"/>
      <c r="F1" s="23"/>
      <c r="G1" s="23"/>
      <c r="H1" s="23"/>
      <c r="I1" s="23"/>
      <c r="J1" s="23"/>
      <c r="K1" s="23"/>
      <c r="L1" s="23"/>
      <c r="M1" s="23"/>
      <c r="N1" s="23"/>
      <c r="O1" s="23"/>
      <c r="P1" s="23"/>
      <c r="Q1" s="23"/>
      <c r="R1" s="23"/>
      <c r="S1" s="23"/>
      <c r="T1" s="23"/>
    </row>
    <row r="2" spans="1:20" x14ac:dyDescent="0.25">
      <c r="A2" s="27" t="s">
        <v>337</v>
      </c>
      <c r="B2" s="23"/>
      <c r="C2" s="23"/>
      <c r="D2" s="23"/>
      <c r="E2" s="23"/>
      <c r="F2" s="23"/>
      <c r="G2" s="23"/>
      <c r="H2" s="23"/>
      <c r="I2" s="23"/>
      <c r="J2" s="23"/>
      <c r="K2" s="23"/>
      <c r="L2" s="23"/>
      <c r="M2" s="23"/>
      <c r="N2" s="23"/>
      <c r="O2" s="23"/>
      <c r="P2" s="23"/>
      <c r="Q2" s="23"/>
      <c r="R2" s="23"/>
      <c r="S2" s="23"/>
      <c r="T2" s="23"/>
    </row>
    <row r="4" spans="1:20" ht="30" customHeight="1" x14ac:dyDescent="0.25">
      <c r="A4" s="4"/>
      <c r="B4" s="5" t="s">
        <v>123</v>
      </c>
      <c r="C4" s="5" t="s">
        <v>124</v>
      </c>
      <c r="D4" s="6" t="s">
        <v>123</v>
      </c>
      <c r="E4" s="24" t="s">
        <v>125</v>
      </c>
      <c r="F4" s="25"/>
      <c r="G4" s="24" t="s">
        <v>233</v>
      </c>
      <c r="H4" s="25"/>
      <c r="I4" s="24" t="s">
        <v>234</v>
      </c>
      <c r="J4" s="25"/>
      <c r="K4" s="24" t="s">
        <v>127</v>
      </c>
      <c r="L4" s="25"/>
      <c r="M4" s="24" t="s">
        <v>128</v>
      </c>
      <c r="N4" s="25"/>
      <c r="O4" s="24" t="s">
        <v>129</v>
      </c>
      <c r="P4" s="25"/>
      <c r="Q4" s="24" t="s">
        <v>130</v>
      </c>
      <c r="R4" s="25"/>
      <c r="S4" s="24" t="s">
        <v>131</v>
      </c>
      <c r="T4" s="25"/>
    </row>
    <row r="5" spans="1:20" x14ac:dyDescent="0.25">
      <c r="A5" s="7"/>
      <c r="B5" s="8" t="s">
        <v>132</v>
      </c>
      <c r="C5" s="8" t="s">
        <v>133</v>
      </c>
      <c r="D5" s="7" t="s">
        <v>134</v>
      </c>
      <c r="E5" s="8" t="s">
        <v>135</v>
      </c>
      <c r="F5" s="7" t="s">
        <v>136</v>
      </c>
      <c r="G5" s="8" t="s">
        <v>135</v>
      </c>
      <c r="H5" s="7" t="s">
        <v>136</v>
      </c>
      <c r="I5" s="8" t="s">
        <v>135</v>
      </c>
      <c r="J5" s="7" t="s">
        <v>136</v>
      </c>
      <c r="K5" s="8" t="s">
        <v>135</v>
      </c>
      <c r="L5" s="7" t="s">
        <v>136</v>
      </c>
      <c r="M5" s="8" t="s">
        <v>135</v>
      </c>
      <c r="N5" s="7" t="s">
        <v>136</v>
      </c>
      <c r="O5" s="8" t="s">
        <v>135</v>
      </c>
      <c r="P5" s="7" t="s">
        <v>136</v>
      </c>
      <c r="Q5" s="8" t="s">
        <v>135</v>
      </c>
      <c r="R5" s="7" t="s">
        <v>136</v>
      </c>
      <c r="S5" s="8" t="s">
        <v>135</v>
      </c>
      <c r="T5" s="7" t="s">
        <v>136</v>
      </c>
    </row>
    <row r="6" spans="1:20" x14ac:dyDescent="0.25">
      <c r="A6" s="9" t="s">
        <v>137</v>
      </c>
      <c r="B6" s="10"/>
      <c r="C6" s="10"/>
      <c r="D6" s="11"/>
      <c r="E6" s="10"/>
      <c r="F6" s="11"/>
      <c r="G6" s="10"/>
      <c r="H6" s="11"/>
      <c r="I6" s="10"/>
      <c r="J6" s="11"/>
      <c r="K6" s="10"/>
      <c r="L6" s="11"/>
      <c r="M6" s="10"/>
      <c r="N6" s="11"/>
      <c r="O6" s="10"/>
      <c r="P6" s="11"/>
      <c r="Q6" s="10"/>
      <c r="R6" s="11"/>
      <c r="S6" s="10"/>
      <c r="T6" s="12"/>
    </row>
    <row r="7" spans="1:20" x14ac:dyDescent="0.25">
      <c r="A7" s="11" t="s">
        <v>138</v>
      </c>
      <c r="B7" s="13">
        <v>14530</v>
      </c>
      <c r="C7" s="14">
        <f>(12104/B7*100)</f>
        <v>83.303509979353066</v>
      </c>
      <c r="D7" s="15">
        <v>2426</v>
      </c>
      <c r="E7" s="14">
        <v>7.27709268</v>
      </c>
      <c r="F7" s="16">
        <v>0.62146661999999997</v>
      </c>
      <c r="G7" s="14">
        <v>59.044423639999998</v>
      </c>
      <c r="H7" s="16">
        <v>1.15582929</v>
      </c>
      <c r="I7" s="14">
        <v>33.67848369</v>
      </c>
      <c r="J7" s="16">
        <v>0.95484268999999999</v>
      </c>
      <c r="K7" s="14" t="s">
        <v>139</v>
      </c>
      <c r="L7" s="16" t="s">
        <v>139</v>
      </c>
      <c r="M7" s="14">
        <v>0</v>
      </c>
      <c r="N7" s="16">
        <v>0</v>
      </c>
      <c r="O7" s="14">
        <v>0</v>
      </c>
      <c r="P7" s="16">
        <v>0</v>
      </c>
      <c r="Q7" s="14">
        <v>0</v>
      </c>
      <c r="R7" s="16">
        <v>0</v>
      </c>
      <c r="S7" s="14">
        <v>0</v>
      </c>
      <c r="T7" s="16">
        <v>0</v>
      </c>
    </row>
    <row r="8" spans="1:20" x14ac:dyDescent="0.25">
      <c r="A8" s="11" t="s">
        <v>140</v>
      </c>
      <c r="B8" s="13">
        <v>7007</v>
      </c>
      <c r="C8" s="14">
        <f>(5788/B8*100)</f>
        <v>82.603111174539748</v>
      </c>
      <c r="D8" s="15">
        <v>1219</v>
      </c>
      <c r="E8" s="14">
        <v>4.7749534799999998</v>
      </c>
      <c r="F8" s="16">
        <v>0.70701219000000004</v>
      </c>
      <c r="G8" s="14">
        <v>69.921631579999996</v>
      </c>
      <c r="H8" s="16">
        <v>1.48527371</v>
      </c>
      <c r="I8" s="14">
        <v>25.30341494</v>
      </c>
      <c r="J8" s="16">
        <v>1.5157438000000001</v>
      </c>
      <c r="K8" s="14" t="s">
        <v>139</v>
      </c>
      <c r="L8" s="16" t="s">
        <v>139</v>
      </c>
      <c r="M8" s="14">
        <v>0</v>
      </c>
      <c r="N8" s="16">
        <v>0</v>
      </c>
      <c r="O8" s="14">
        <v>0</v>
      </c>
      <c r="P8" s="16">
        <v>0</v>
      </c>
      <c r="Q8" s="14">
        <v>0</v>
      </c>
      <c r="R8" s="16">
        <v>0</v>
      </c>
      <c r="S8" s="14">
        <v>0</v>
      </c>
      <c r="T8" s="16">
        <v>0</v>
      </c>
    </row>
    <row r="9" spans="1:20" x14ac:dyDescent="0.25">
      <c r="A9" s="11" t="s">
        <v>141</v>
      </c>
      <c r="B9" s="13">
        <v>9651</v>
      </c>
      <c r="C9" s="14">
        <f>(8085/B9*100)</f>
        <v>83.773702207025181</v>
      </c>
      <c r="D9" s="15">
        <v>1566</v>
      </c>
      <c r="E9" s="14">
        <v>4.8125776699999996</v>
      </c>
      <c r="F9" s="16">
        <v>0.53083714999999998</v>
      </c>
      <c r="G9" s="14">
        <v>73.745465089999996</v>
      </c>
      <c r="H9" s="16">
        <v>1.2448041999999999</v>
      </c>
      <c r="I9" s="14">
        <v>21.441957240000001</v>
      </c>
      <c r="J9" s="16">
        <v>1.2381104999999999</v>
      </c>
      <c r="K9" s="14" t="s">
        <v>139</v>
      </c>
      <c r="L9" s="16" t="s">
        <v>139</v>
      </c>
      <c r="M9" s="14">
        <v>0</v>
      </c>
      <c r="N9" s="16">
        <v>0</v>
      </c>
      <c r="O9" s="14">
        <v>0</v>
      </c>
      <c r="P9" s="16">
        <v>0</v>
      </c>
      <c r="Q9" s="14">
        <v>0</v>
      </c>
      <c r="R9" s="16">
        <v>0</v>
      </c>
      <c r="S9" s="14">
        <v>0</v>
      </c>
      <c r="T9" s="16">
        <v>0</v>
      </c>
    </row>
    <row r="10" spans="1:20" x14ac:dyDescent="0.25">
      <c r="A10" s="11" t="s">
        <v>142</v>
      </c>
      <c r="B10" s="13">
        <v>20058</v>
      </c>
      <c r="C10" s="14">
        <f>(16682/B10*100)</f>
        <v>83.168810449695883</v>
      </c>
      <c r="D10" s="15">
        <v>3376</v>
      </c>
      <c r="E10" s="14">
        <v>6.4108415499999998</v>
      </c>
      <c r="F10" s="16">
        <v>0.62775574999999995</v>
      </c>
      <c r="G10" s="14">
        <v>60.801318000000002</v>
      </c>
      <c r="H10" s="16">
        <v>1.11340569</v>
      </c>
      <c r="I10" s="14">
        <v>32.787840449999997</v>
      </c>
      <c r="J10" s="16">
        <v>1.0521559700000001</v>
      </c>
      <c r="K10" s="14" t="s">
        <v>139</v>
      </c>
      <c r="L10" s="16" t="s">
        <v>139</v>
      </c>
      <c r="M10" s="14">
        <v>0</v>
      </c>
      <c r="N10" s="16">
        <v>0</v>
      </c>
      <c r="O10" s="14">
        <v>0</v>
      </c>
      <c r="P10" s="16">
        <v>0</v>
      </c>
      <c r="Q10" s="14">
        <v>0</v>
      </c>
      <c r="R10" s="16">
        <v>0</v>
      </c>
      <c r="S10" s="14">
        <v>0</v>
      </c>
      <c r="T10" s="16">
        <v>0</v>
      </c>
    </row>
    <row r="11" spans="1:20" x14ac:dyDescent="0.25">
      <c r="A11" s="11" t="s">
        <v>143</v>
      </c>
      <c r="B11" s="13">
        <v>7053</v>
      </c>
      <c r="C11" s="14">
        <f>(5879/B11*100)</f>
        <v>83.354600879058566</v>
      </c>
      <c r="D11" s="15">
        <v>1174</v>
      </c>
      <c r="E11" s="14">
        <v>6.6469378700000004</v>
      </c>
      <c r="F11" s="16">
        <v>0.94387589999999999</v>
      </c>
      <c r="G11" s="14">
        <v>70.737548799999999</v>
      </c>
      <c r="H11" s="16">
        <v>1.47619023</v>
      </c>
      <c r="I11" s="14">
        <v>22.615513329999999</v>
      </c>
      <c r="J11" s="16">
        <v>1.1680832800000001</v>
      </c>
      <c r="K11" s="14" t="s">
        <v>139</v>
      </c>
      <c r="L11" s="16" t="s">
        <v>139</v>
      </c>
      <c r="M11" s="14">
        <v>0</v>
      </c>
      <c r="N11" s="16">
        <v>0</v>
      </c>
      <c r="O11" s="14">
        <v>0</v>
      </c>
      <c r="P11" s="16">
        <v>0</v>
      </c>
      <c r="Q11" s="14">
        <v>0</v>
      </c>
      <c r="R11" s="16">
        <v>0</v>
      </c>
      <c r="S11" s="14">
        <v>0</v>
      </c>
      <c r="T11" s="16">
        <v>0</v>
      </c>
    </row>
    <row r="12" spans="1:20" x14ac:dyDescent="0.25">
      <c r="A12" s="11" t="s">
        <v>144</v>
      </c>
      <c r="B12" s="13">
        <v>6894</v>
      </c>
      <c r="C12" s="14">
        <f>(5739/B12*100)</f>
        <v>83.246301131418619</v>
      </c>
      <c r="D12" s="15">
        <v>1155</v>
      </c>
      <c r="E12" s="14">
        <v>5.69625146</v>
      </c>
      <c r="F12" s="16">
        <v>0.57767716999999996</v>
      </c>
      <c r="G12" s="14">
        <v>72.316106329999997</v>
      </c>
      <c r="H12" s="16">
        <v>1.11415658</v>
      </c>
      <c r="I12" s="14">
        <v>21.987642210000001</v>
      </c>
      <c r="J12" s="16">
        <v>1.0562378299999999</v>
      </c>
      <c r="K12" s="14" t="s">
        <v>139</v>
      </c>
      <c r="L12" s="16" t="s">
        <v>139</v>
      </c>
      <c r="M12" s="14">
        <v>0</v>
      </c>
      <c r="N12" s="16">
        <v>0</v>
      </c>
      <c r="O12" s="14">
        <v>0</v>
      </c>
      <c r="P12" s="16">
        <v>0</v>
      </c>
      <c r="Q12" s="14">
        <v>0</v>
      </c>
      <c r="R12" s="16">
        <v>0</v>
      </c>
      <c r="S12" s="14">
        <v>0</v>
      </c>
      <c r="T12" s="16">
        <v>0</v>
      </c>
    </row>
    <row r="13" spans="1:20" x14ac:dyDescent="0.25">
      <c r="A13" s="11" t="s">
        <v>145</v>
      </c>
      <c r="B13" s="13">
        <v>7161</v>
      </c>
      <c r="C13" s="14">
        <f>(6014/B13*100)</f>
        <v>83.98268398268398</v>
      </c>
      <c r="D13" s="15">
        <v>1147</v>
      </c>
      <c r="E13" s="14">
        <v>4.3413264800000002</v>
      </c>
      <c r="F13" s="16">
        <v>0.67683629999999995</v>
      </c>
      <c r="G13" s="14">
        <v>67.131210409999994</v>
      </c>
      <c r="H13" s="16">
        <v>1.78103747</v>
      </c>
      <c r="I13" s="14">
        <v>28.527463109999999</v>
      </c>
      <c r="J13" s="16">
        <v>1.7122228900000001</v>
      </c>
      <c r="K13" s="14" t="s">
        <v>139</v>
      </c>
      <c r="L13" s="16" t="s">
        <v>139</v>
      </c>
      <c r="M13" s="14">
        <v>0</v>
      </c>
      <c r="N13" s="16">
        <v>0</v>
      </c>
      <c r="O13" s="14">
        <v>0</v>
      </c>
      <c r="P13" s="16">
        <v>0</v>
      </c>
      <c r="Q13" s="14">
        <v>0</v>
      </c>
      <c r="R13" s="16">
        <v>0</v>
      </c>
      <c r="S13" s="14">
        <v>0</v>
      </c>
      <c r="T13" s="16">
        <v>0</v>
      </c>
    </row>
    <row r="14" spans="1:20" x14ac:dyDescent="0.25">
      <c r="A14" s="11" t="s">
        <v>146</v>
      </c>
      <c r="B14" s="13">
        <v>5587</v>
      </c>
      <c r="C14" s="14">
        <f>(4630/B14*100)</f>
        <v>82.870950420619295</v>
      </c>
      <c r="D14" s="15">
        <v>957</v>
      </c>
      <c r="E14" s="14">
        <v>3.2362851099999999</v>
      </c>
      <c r="F14" s="16">
        <v>0.55454555000000005</v>
      </c>
      <c r="G14" s="14">
        <v>67.896610609999996</v>
      </c>
      <c r="H14" s="16">
        <v>1.44999623</v>
      </c>
      <c r="I14" s="14">
        <v>28.86710428</v>
      </c>
      <c r="J14" s="16">
        <v>1.4154887300000001</v>
      </c>
      <c r="K14" s="14" t="s">
        <v>139</v>
      </c>
      <c r="L14" s="16" t="s">
        <v>139</v>
      </c>
      <c r="M14" s="14">
        <v>0</v>
      </c>
      <c r="N14" s="16">
        <v>0</v>
      </c>
      <c r="O14" s="14">
        <v>0</v>
      </c>
      <c r="P14" s="16">
        <v>0</v>
      </c>
      <c r="Q14" s="14">
        <v>0</v>
      </c>
      <c r="R14" s="16">
        <v>0</v>
      </c>
      <c r="S14" s="14">
        <v>0</v>
      </c>
      <c r="T14" s="16">
        <v>0</v>
      </c>
    </row>
    <row r="15" spans="1:20" x14ac:dyDescent="0.25">
      <c r="A15" s="11" t="s">
        <v>147</v>
      </c>
      <c r="B15" s="13">
        <v>5882</v>
      </c>
      <c r="C15" s="14">
        <f>(4876/B15*100)</f>
        <v>82.896973818429103</v>
      </c>
      <c r="D15" s="15">
        <v>1006</v>
      </c>
      <c r="E15" s="14">
        <v>3.1830916299999998</v>
      </c>
      <c r="F15" s="16">
        <v>0.60181717000000001</v>
      </c>
      <c r="G15" s="14">
        <v>58.399757739999998</v>
      </c>
      <c r="H15" s="16">
        <v>1.48334867</v>
      </c>
      <c r="I15" s="14">
        <v>38.417150630000002</v>
      </c>
      <c r="J15" s="16">
        <v>1.64673453</v>
      </c>
      <c r="K15" s="14" t="s">
        <v>139</v>
      </c>
      <c r="L15" s="16" t="s">
        <v>139</v>
      </c>
      <c r="M15" s="14">
        <v>0</v>
      </c>
      <c r="N15" s="16">
        <v>0</v>
      </c>
      <c r="O15" s="14">
        <v>0</v>
      </c>
      <c r="P15" s="16">
        <v>0</v>
      </c>
      <c r="Q15" s="14">
        <v>0</v>
      </c>
      <c r="R15" s="16">
        <v>0</v>
      </c>
      <c r="S15" s="14">
        <v>0</v>
      </c>
      <c r="T15" s="16">
        <v>0</v>
      </c>
    </row>
    <row r="16" spans="1:20" x14ac:dyDescent="0.25">
      <c r="A16" s="11" t="s">
        <v>148</v>
      </c>
      <c r="B16" s="13">
        <v>6108</v>
      </c>
      <c r="C16" s="14">
        <f>(5090/B16*100)</f>
        <v>83.333333333333343</v>
      </c>
      <c r="D16" s="15">
        <v>1018</v>
      </c>
      <c r="E16" s="14">
        <v>6.0020820300000004</v>
      </c>
      <c r="F16" s="16">
        <v>0.76347588</v>
      </c>
      <c r="G16" s="14">
        <v>72.762602389999998</v>
      </c>
      <c r="H16" s="16">
        <v>1.57641985</v>
      </c>
      <c r="I16" s="14">
        <v>21.235315580000002</v>
      </c>
      <c r="J16" s="16">
        <v>1.37790156</v>
      </c>
      <c r="K16" s="14" t="s">
        <v>139</v>
      </c>
      <c r="L16" s="16" t="s">
        <v>139</v>
      </c>
      <c r="M16" s="14">
        <v>0</v>
      </c>
      <c r="N16" s="16">
        <v>0</v>
      </c>
      <c r="O16" s="14">
        <v>0</v>
      </c>
      <c r="P16" s="16">
        <v>0</v>
      </c>
      <c r="Q16" s="14">
        <v>0</v>
      </c>
      <c r="R16" s="16">
        <v>0</v>
      </c>
      <c r="S16" s="14">
        <v>0</v>
      </c>
      <c r="T16" s="16">
        <v>0</v>
      </c>
    </row>
    <row r="17" spans="1:20" x14ac:dyDescent="0.25">
      <c r="A17" s="11" t="s">
        <v>149</v>
      </c>
      <c r="B17" s="13">
        <v>6504</v>
      </c>
      <c r="C17" s="14">
        <f>(5420/B17*100)</f>
        <v>83.333333333333343</v>
      </c>
      <c r="D17" s="15">
        <v>1084</v>
      </c>
      <c r="E17" s="14">
        <v>4.2132424300000002</v>
      </c>
      <c r="F17" s="16">
        <v>0.60783737999999998</v>
      </c>
      <c r="G17" s="14">
        <v>71.212477719999995</v>
      </c>
      <c r="H17" s="16">
        <v>1.3054289299999999</v>
      </c>
      <c r="I17" s="14">
        <v>24.57427985</v>
      </c>
      <c r="J17" s="16">
        <v>1.20239579</v>
      </c>
      <c r="K17" s="14" t="s">
        <v>139</v>
      </c>
      <c r="L17" s="16" t="s">
        <v>139</v>
      </c>
      <c r="M17" s="14">
        <v>0</v>
      </c>
      <c r="N17" s="16">
        <v>0</v>
      </c>
      <c r="O17" s="14">
        <v>0</v>
      </c>
      <c r="P17" s="16">
        <v>0</v>
      </c>
      <c r="Q17" s="14">
        <v>0</v>
      </c>
      <c r="R17" s="16">
        <v>0</v>
      </c>
      <c r="S17" s="14">
        <v>0</v>
      </c>
      <c r="T17" s="16">
        <v>0</v>
      </c>
    </row>
    <row r="18" spans="1:20" x14ac:dyDescent="0.25">
      <c r="A18" s="11" t="s">
        <v>150</v>
      </c>
      <c r="B18" s="13">
        <v>5532</v>
      </c>
      <c r="C18" s="14">
        <f>(4585/B18*100)</f>
        <v>82.881417208966013</v>
      </c>
      <c r="D18" s="15">
        <v>947</v>
      </c>
      <c r="E18" s="14">
        <v>8.0038355699999997</v>
      </c>
      <c r="F18" s="16">
        <v>1.01784165</v>
      </c>
      <c r="G18" s="14">
        <v>77.01597649</v>
      </c>
      <c r="H18" s="16">
        <v>1.3912612200000001</v>
      </c>
      <c r="I18" s="14">
        <v>14.98018794</v>
      </c>
      <c r="J18" s="16">
        <v>1.2772997699999999</v>
      </c>
      <c r="K18" s="14" t="s">
        <v>139</v>
      </c>
      <c r="L18" s="16" t="s">
        <v>139</v>
      </c>
      <c r="M18" s="14">
        <v>0</v>
      </c>
      <c r="N18" s="16">
        <v>0</v>
      </c>
      <c r="O18" s="14">
        <v>0</v>
      </c>
      <c r="P18" s="16">
        <v>0</v>
      </c>
      <c r="Q18" s="14">
        <v>0</v>
      </c>
      <c r="R18" s="16">
        <v>0</v>
      </c>
      <c r="S18" s="14">
        <v>0</v>
      </c>
      <c r="T18" s="16">
        <v>0</v>
      </c>
    </row>
    <row r="19" spans="1:20" x14ac:dyDescent="0.25">
      <c r="A19" s="11" t="s">
        <v>151</v>
      </c>
      <c r="B19" s="13">
        <v>5658</v>
      </c>
      <c r="C19" s="14">
        <f>(4718/B19*100)</f>
        <v>83.38635560268645</v>
      </c>
      <c r="D19" s="15">
        <v>940</v>
      </c>
      <c r="E19" s="14">
        <v>5.1221236799999996</v>
      </c>
      <c r="F19" s="16">
        <v>0.81668211999999996</v>
      </c>
      <c r="G19" s="14">
        <v>77.434398450000003</v>
      </c>
      <c r="H19" s="16">
        <v>1.4278270099999999</v>
      </c>
      <c r="I19" s="14">
        <v>17.443477869999999</v>
      </c>
      <c r="J19" s="16">
        <v>1.26667902</v>
      </c>
      <c r="K19" s="14" t="s">
        <v>139</v>
      </c>
      <c r="L19" s="16" t="s">
        <v>139</v>
      </c>
      <c r="M19" s="14">
        <v>0</v>
      </c>
      <c r="N19" s="16">
        <v>0</v>
      </c>
      <c r="O19" s="14">
        <v>0</v>
      </c>
      <c r="P19" s="16">
        <v>0</v>
      </c>
      <c r="Q19" s="14">
        <v>0</v>
      </c>
      <c r="R19" s="16">
        <v>0</v>
      </c>
      <c r="S19" s="14">
        <v>0</v>
      </c>
      <c r="T19" s="16">
        <v>0</v>
      </c>
    </row>
    <row r="20" spans="1:20" x14ac:dyDescent="0.25">
      <c r="A20" s="11" t="s">
        <v>152</v>
      </c>
      <c r="B20" s="13">
        <v>3371</v>
      </c>
      <c r="C20" s="14">
        <f>(2807/B20*100)</f>
        <v>83.26905962622368</v>
      </c>
      <c r="D20" s="15">
        <v>564</v>
      </c>
      <c r="E20" s="14">
        <v>6.1579372299999999</v>
      </c>
      <c r="F20" s="16">
        <v>1.00998389</v>
      </c>
      <c r="G20" s="14">
        <v>69.320655340000002</v>
      </c>
      <c r="H20" s="16">
        <v>2.0042027899999999</v>
      </c>
      <c r="I20" s="14">
        <v>24.521407440000001</v>
      </c>
      <c r="J20" s="16">
        <v>2.0158572399999999</v>
      </c>
      <c r="K20" s="14" t="s">
        <v>139</v>
      </c>
      <c r="L20" s="16" t="s">
        <v>139</v>
      </c>
      <c r="M20" s="14">
        <v>0</v>
      </c>
      <c r="N20" s="16">
        <v>0</v>
      </c>
      <c r="O20" s="14">
        <v>0</v>
      </c>
      <c r="P20" s="16">
        <v>0</v>
      </c>
      <c r="Q20" s="14">
        <v>0</v>
      </c>
      <c r="R20" s="16">
        <v>0</v>
      </c>
      <c r="S20" s="14">
        <v>0</v>
      </c>
      <c r="T20" s="16">
        <v>0</v>
      </c>
    </row>
    <row r="21" spans="1:20" x14ac:dyDescent="0.25">
      <c r="A21" s="11" t="s">
        <v>153</v>
      </c>
      <c r="B21" s="17" t="s">
        <v>154</v>
      </c>
      <c r="C21" s="17" t="s">
        <v>154</v>
      </c>
      <c r="D21" s="18" t="s">
        <v>154</v>
      </c>
      <c r="E21" s="17" t="s">
        <v>154</v>
      </c>
      <c r="F21" s="18" t="s">
        <v>154</v>
      </c>
      <c r="G21" s="17" t="s">
        <v>154</v>
      </c>
      <c r="H21" s="18" t="s">
        <v>154</v>
      </c>
      <c r="I21" s="17" t="s">
        <v>154</v>
      </c>
      <c r="J21" s="18" t="s">
        <v>154</v>
      </c>
      <c r="K21" s="17" t="s">
        <v>154</v>
      </c>
      <c r="L21" s="18" t="s">
        <v>154</v>
      </c>
      <c r="M21" s="17" t="s">
        <v>154</v>
      </c>
      <c r="N21" s="18" t="s">
        <v>154</v>
      </c>
      <c r="O21" s="17" t="s">
        <v>154</v>
      </c>
      <c r="P21" s="18" t="s">
        <v>154</v>
      </c>
      <c r="Q21" s="17" t="s">
        <v>154</v>
      </c>
      <c r="R21" s="18" t="s">
        <v>154</v>
      </c>
      <c r="S21" s="17" t="s">
        <v>154</v>
      </c>
      <c r="T21" s="18" t="s">
        <v>154</v>
      </c>
    </row>
    <row r="22" spans="1:20" x14ac:dyDescent="0.25">
      <c r="A22" s="11" t="s">
        <v>155</v>
      </c>
      <c r="B22" s="13">
        <v>6598</v>
      </c>
      <c r="C22" s="14">
        <f>(5584/B22*100)</f>
        <v>84.631706577750833</v>
      </c>
      <c r="D22" s="15">
        <v>1014</v>
      </c>
      <c r="E22" s="14">
        <v>9.1014253000000007</v>
      </c>
      <c r="F22" s="16">
        <v>1.05329352</v>
      </c>
      <c r="G22" s="14">
        <v>66.496771980000005</v>
      </c>
      <c r="H22" s="16">
        <v>1.71845519</v>
      </c>
      <c r="I22" s="14">
        <v>24.401802719999999</v>
      </c>
      <c r="J22" s="16">
        <v>1.54939454</v>
      </c>
      <c r="K22" s="14" t="s">
        <v>139</v>
      </c>
      <c r="L22" s="16" t="s">
        <v>139</v>
      </c>
      <c r="M22" s="14">
        <v>0</v>
      </c>
      <c r="N22" s="16">
        <v>0</v>
      </c>
      <c r="O22" s="14">
        <v>0</v>
      </c>
      <c r="P22" s="16">
        <v>0</v>
      </c>
      <c r="Q22" s="14">
        <v>0</v>
      </c>
      <c r="R22" s="16">
        <v>0</v>
      </c>
      <c r="S22" s="14">
        <v>0</v>
      </c>
      <c r="T22" s="16">
        <v>0</v>
      </c>
    </row>
    <row r="23" spans="1:20" x14ac:dyDescent="0.25">
      <c r="A23" s="11" t="s">
        <v>156</v>
      </c>
      <c r="B23" s="13">
        <v>11583</v>
      </c>
      <c r="C23" s="14">
        <f>(9600/B23*100)</f>
        <v>82.880082880082881</v>
      </c>
      <c r="D23" s="15">
        <v>1983</v>
      </c>
      <c r="E23" s="14">
        <v>5.3079560600000004</v>
      </c>
      <c r="F23" s="16">
        <v>0.64799421000000001</v>
      </c>
      <c r="G23" s="14">
        <v>75.067649419999995</v>
      </c>
      <c r="H23" s="16">
        <v>1.3061548000000001</v>
      </c>
      <c r="I23" s="14">
        <v>19.624394519999999</v>
      </c>
      <c r="J23" s="16">
        <v>1.26543677</v>
      </c>
      <c r="K23" s="14" t="s">
        <v>139</v>
      </c>
      <c r="L23" s="16" t="s">
        <v>139</v>
      </c>
      <c r="M23" s="14">
        <v>0</v>
      </c>
      <c r="N23" s="16">
        <v>0</v>
      </c>
      <c r="O23" s="14">
        <v>0</v>
      </c>
      <c r="P23" s="16">
        <v>0</v>
      </c>
      <c r="Q23" s="14">
        <v>0</v>
      </c>
      <c r="R23" s="16">
        <v>0</v>
      </c>
      <c r="S23" s="14">
        <v>0</v>
      </c>
      <c r="T23" s="16">
        <v>0</v>
      </c>
    </row>
    <row r="24" spans="1:20" x14ac:dyDescent="0.25">
      <c r="A24" s="11" t="s">
        <v>157</v>
      </c>
      <c r="B24" s="13">
        <v>6647</v>
      </c>
      <c r="C24" s="14">
        <f>(5501/B24*100)</f>
        <v>82.759139461411152</v>
      </c>
      <c r="D24" s="15">
        <v>1146</v>
      </c>
      <c r="E24" s="14">
        <v>6.4806366999999998</v>
      </c>
      <c r="F24" s="16">
        <v>0.80596871000000003</v>
      </c>
      <c r="G24" s="14">
        <v>63.760149079999998</v>
      </c>
      <c r="H24" s="16">
        <v>1.7378162800000001</v>
      </c>
      <c r="I24" s="14">
        <v>29.75921422</v>
      </c>
      <c r="J24" s="16">
        <v>1.48145598</v>
      </c>
      <c r="K24" s="14" t="s">
        <v>139</v>
      </c>
      <c r="L24" s="16" t="s">
        <v>139</v>
      </c>
      <c r="M24" s="14">
        <v>0</v>
      </c>
      <c r="N24" s="16">
        <v>0</v>
      </c>
      <c r="O24" s="14">
        <v>0</v>
      </c>
      <c r="P24" s="16">
        <v>0</v>
      </c>
      <c r="Q24" s="14">
        <v>0</v>
      </c>
      <c r="R24" s="16">
        <v>0</v>
      </c>
      <c r="S24" s="14">
        <v>0</v>
      </c>
      <c r="T24" s="16">
        <v>0</v>
      </c>
    </row>
    <row r="25" spans="1:20" x14ac:dyDescent="0.25">
      <c r="A25" s="11" t="s">
        <v>158</v>
      </c>
      <c r="B25" s="13">
        <v>5581</v>
      </c>
      <c r="C25" s="14">
        <f>(4615/B25*100)</f>
        <v>82.691273965239205</v>
      </c>
      <c r="D25" s="15">
        <v>966</v>
      </c>
      <c r="E25" s="14">
        <v>10.57366753</v>
      </c>
      <c r="F25" s="16">
        <v>1.0727417400000001</v>
      </c>
      <c r="G25" s="14">
        <v>55.149017059999998</v>
      </c>
      <c r="H25" s="16">
        <v>1.43505086</v>
      </c>
      <c r="I25" s="14">
        <v>34.277315399999999</v>
      </c>
      <c r="J25" s="16">
        <v>1.5541990000000001</v>
      </c>
      <c r="K25" s="14" t="s">
        <v>139</v>
      </c>
      <c r="L25" s="16" t="s">
        <v>139</v>
      </c>
      <c r="M25" s="14">
        <v>0</v>
      </c>
      <c r="N25" s="16">
        <v>0</v>
      </c>
      <c r="O25" s="14">
        <v>0</v>
      </c>
      <c r="P25" s="16">
        <v>0</v>
      </c>
      <c r="Q25" s="14">
        <v>0</v>
      </c>
      <c r="R25" s="16">
        <v>0</v>
      </c>
      <c r="S25" s="14">
        <v>0</v>
      </c>
      <c r="T25" s="16">
        <v>0</v>
      </c>
    </row>
    <row r="26" spans="1:20" x14ac:dyDescent="0.25">
      <c r="A26" s="11" t="s">
        <v>159</v>
      </c>
      <c r="B26" s="13">
        <v>4869</v>
      </c>
      <c r="C26" s="14">
        <f>(4038/B26*100)</f>
        <v>82.932840418977207</v>
      </c>
      <c r="D26" s="15">
        <v>831</v>
      </c>
      <c r="E26" s="14">
        <v>3.7585896000000001</v>
      </c>
      <c r="F26" s="16">
        <v>0.80089668999999997</v>
      </c>
      <c r="G26" s="14">
        <v>77.306057100000004</v>
      </c>
      <c r="H26" s="16">
        <v>1.46423265</v>
      </c>
      <c r="I26" s="14">
        <v>18.935353299999999</v>
      </c>
      <c r="J26" s="16">
        <v>1.29435696</v>
      </c>
      <c r="K26" s="14" t="s">
        <v>139</v>
      </c>
      <c r="L26" s="16" t="s">
        <v>139</v>
      </c>
      <c r="M26" s="14">
        <v>0</v>
      </c>
      <c r="N26" s="16">
        <v>0</v>
      </c>
      <c r="O26" s="14">
        <v>0</v>
      </c>
      <c r="P26" s="16">
        <v>0</v>
      </c>
      <c r="Q26" s="14">
        <v>0</v>
      </c>
      <c r="R26" s="16">
        <v>0</v>
      </c>
      <c r="S26" s="14">
        <v>0</v>
      </c>
      <c r="T26" s="16">
        <v>0</v>
      </c>
    </row>
    <row r="27" spans="1:20" x14ac:dyDescent="0.25">
      <c r="A27" s="11" t="s">
        <v>160</v>
      </c>
      <c r="B27" s="13">
        <v>5299</v>
      </c>
      <c r="C27" s="14">
        <f>(4417/B27*100)</f>
        <v>83.355350066050192</v>
      </c>
      <c r="D27" s="15">
        <v>882</v>
      </c>
      <c r="E27" s="14">
        <v>6.5234612299999997</v>
      </c>
      <c r="F27" s="16">
        <v>0.80609481000000005</v>
      </c>
      <c r="G27" s="14">
        <v>75.424834720000007</v>
      </c>
      <c r="H27" s="16">
        <v>1.26736498</v>
      </c>
      <c r="I27" s="14">
        <v>18.051704050000001</v>
      </c>
      <c r="J27" s="16">
        <v>1.1427097399999999</v>
      </c>
      <c r="K27" s="14" t="s">
        <v>139</v>
      </c>
      <c r="L27" s="16" t="s">
        <v>139</v>
      </c>
      <c r="M27" s="14">
        <v>0</v>
      </c>
      <c r="N27" s="16">
        <v>0</v>
      </c>
      <c r="O27" s="14">
        <v>0</v>
      </c>
      <c r="P27" s="16">
        <v>0</v>
      </c>
      <c r="Q27" s="14">
        <v>0</v>
      </c>
      <c r="R27" s="16">
        <v>0</v>
      </c>
      <c r="S27" s="14">
        <v>0</v>
      </c>
      <c r="T27" s="16">
        <v>0</v>
      </c>
    </row>
    <row r="28" spans="1:20" x14ac:dyDescent="0.25">
      <c r="A28" s="11" t="s">
        <v>161</v>
      </c>
      <c r="B28" s="13">
        <v>7568</v>
      </c>
      <c r="C28" s="14">
        <f>(6373/B28*100)</f>
        <v>84.209830866807607</v>
      </c>
      <c r="D28" s="15">
        <v>1195</v>
      </c>
      <c r="E28" s="14">
        <v>7.7092203599999998</v>
      </c>
      <c r="F28" s="16">
        <v>0.75682077000000003</v>
      </c>
      <c r="G28" s="14">
        <v>77.77161049</v>
      </c>
      <c r="H28" s="16">
        <v>1.2566249599999999</v>
      </c>
      <c r="I28" s="14">
        <v>14.51916915</v>
      </c>
      <c r="J28" s="16">
        <v>1.18385556</v>
      </c>
      <c r="K28" s="14" t="s">
        <v>139</v>
      </c>
      <c r="L28" s="16" t="s">
        <v>139</v>
      </c>
      <c r="M28" s="14">
        <v>0</v>
      </c>
      <c r="N28" s="16">
        <v>0</v>
      </c>
      <c r="O28" s="14">
        <v>0</v>
      </c>
      <c r="P28" s="16">
        <v>0</v>
      </c>
      <c r="Q28" s="14">
        <v>0</v>
      </c>
      <c r="R28" s="16">
        <v>0</v>
      </c>
      <c r="S28" s="14">
        <v>0</v>
      </c>
      <c r="T28" s="16">
        <v>0</v>
      </c>
    </row>
    <row r="29" spans="1:20" x14ac:dyDescent="0.25">
      <c r="A29" s="11" t="s">
        <v>162</v>
      </c>
      <c r="B29" s="13">
        <v>5385</v>
      </c>
      <c r="C29" s="14">
        <f>(4500/B29*100)</f>
        <v>83.565459610027858</v>
      </c>
      <c r="D29" s="15">
        <v>885</v>
      </c>
      <c r="E29" s="14">
        <v>4.0853423400000004</v>
      </c>
      <c r="F29" s="16">
        <v>0.76661884000000002</v>
      </c>
      <c r="G29" s="14">
        <v>69.443610379999996</v>
      </c>
      <c r="H29" s="16">
        <v>1.66542009</v>
      </c>
      <c r="I29" s="14">
        <v>26.471047280000001</v>
      </c>
      <c r="J29" s="16">
        <v>1.5213870599999999</v>
      </c>
      <c r="K29" s="14" t="s">
        <v>139</v>
      </c>
      <c r="L29" s="16" t="s">
        <v>139</v>
      </c>
      <c r="M29" s="14">
        <v>0</v>
      </c>
      <c r="N29" s="16">
        <v>0</v>
      </c>
      <c r="O29" s="14">
        <v>0</v>
      </c>
      <c r="P29" s="16">
        <v>0</v>
      </c>
      <c r="Q29" s="14">
        <v>0</v>
      </c>
      <c r="R29" s="16">
        <v>0</v>
      </c>
      <c r="S29" s="14">
        <v>0</v>
      </c>
      <c r="T29" s="16">
        <v>0</v>
      </c>
    </row>
    <row r="30" spans="1:20" x14ac:dyDescent="0.25">
      <c r="A30" s="11" t="s">
        <v>163</v>
      </c>
      <c r="B30" s="13">
        <v>4520</v>
      </c>
      <c r="C30" s="14">
        <f>(3802/B30*100)</f>
        <v>84.115044247787608</v>
      </c>
      <c r="D30" s="15">
        <v>718</v>
      </c>
      <c r="E30" s="14">
        <v>7.7083107200000001</v>
      </c>
      <c r="F30" s="16">
        <v>0.92994701999999996</v>
      </c>
      <c r="G30" s="14">
        <v>62.49926439</v>
      </c>
      <c r="H30" s="16">
        <v>1.94908291</v>
      </c>
      <c r="I30" s="14">
        <v>29.792424889999999</v>
      </c>
      <c r="J30" s="16">
        <v>1.7499687399999999</v>
      </c>
      <c r="K30" s="14" t="s">
        <v>139</v>
      </c>
      <c r="L30" s="16" t="s">
        <v>139</v>
      </c>
      <c r="M30" s="14">
        <v>0</v>
      </c>
      <c r="N30" s="16">
        <v>0</v>
      </c>
      <c r="O30" s="14">
        <v>0</v>
      </c>
      <c r="P30" s="16">
        <v>0</v>
      </c>
      <c r="Q30" s="14">
        <v>0</v>
      </c>
      <c r="R30" s="16">
        <v>0</v>
      </c>
      <c r="S30" s="14">
        <v>0</v>
      </c>
      <c r="T30" s="16">
        <v>0</v>
      </c>
    </row>
    <row r="31" spans="1:20" x14ac:dyDescent="0.25">
      <c r="A31" s="11" t="s">
        <v>164</v>
      </c>
      <c r="B31" s="13">
        <v>5456</v>
      </c>
      <c r="C31" s="14">
        <f>(4547/B31*100)</f>
        <v>83.339442815249271</v>
      </c>
      <c r="D31" s="15">
        <v>909</v>
      </c>
      <c r="E31" s="14">
        <v>2.6693863100000002</v>
      </c>
      <c r="F31" s="16">
        <v>0.51265616000000003</v>
      </c>
      <c r="G31" s="14">
        <v>69.798308050000003</v>
      </c>
      <c r="H31" s="16">
        <v>1.6977576700000001</v>
      </c>
      <c r="I31" s="14">
        <v>27.532305640000001</v>
      </c>
      <c r="J31" s="16">
        <v>1.6188447500000001</v>
      </c>
      <c r="K31" s="14" t="s">
        <v>139</v>
      </c>
      <c r="L31" s="16" t="s">
        <v>139</v>
      </c>
      <c r="M31" s="14">
        <v>0</v>
      </c>
      <c r="N31" s="16">
        <v>0</v>
      </c>
      <c r="O31" s="14">
        <v>0</v>
      </c>
      <c r="P31" s="16">
        <v>0</v>
      </c>
      <c r="Q31" s="14">
        <v>0</v>
      </c>
      <c r="R31" s="16">
        <v>0</v>
      </c>
      <c r="S31" s="14">
        <v>0</v>
      </c>
      <c r="T31" s="16">
        <v>0</v>
      </c>
    </row>
    <row r="32" spans="1:20" x14ac:dyDescent="0.25">
      <c r="A32" s="11" t="s">
        <v>165</v>
      </c>
      <c r="B32" s="17" t="s">
        <v>154</v>
      </c>
      <c r="C32" s="17" t="s">
        <v>154</v>
      </c>
      <c r="D32" s="18" t="s">
        <v>154</v>
      </c>
      <c r="E32" s="17" t="s">
        <v>154</v>
      </c>
      <c r="F32" s="18" t="s">
        <v>154</v>
      </c>
      <c r="G32" s="17" t="s">
        <v>154</v>
      </c>
      <c r="H32" s="18" t="s">
        <v>154</v>
      </c>
      <c r="I32" s="17" t="s">
        <v>154</v>
      </c>
      <c r="J32" s="18" t="s">
        <v>154</v>
      </c>
      <c r="K32" s="17" t="s">
        <v>154</v>
      </c>
      <c r="L32" s="18" t="s">
        <v>154</v>
      </c>
      <c r="M32" s="17" t="s">
        <v>154</v>
      </c>
      <c r="N32" s="18" t="s">
        <v>154</v>
      </c>
      <c r="O32" s="17" t="s">
        <v>154</v>
      </c>
      <c r="P32" s="18" t="s">
        <v>154</v>
      </c>
      <c r="Q32" s="17" t="s">
        <v>154</v>
      </c>
      <c r="R32" s="18" t="s">
        <v>154</v>
      </c>
      <c r="S32" s="17" t="s">
        <v>154</v>
      </c>
      <c r="T32" s="18" t="s">
        <v>154</v>
      </c>
    </row>
    <row r="33" spans="1:20" x14ac:dyDescent="0.25">
      <c r="A33" s="11" t="s">
        <v>166</v>
      </c>
      <c r="B33" s="13">
        <v>7325</v>
      </c>
      <c r="C33" s="14">
        <f>(6119/B33*100)</f>
        <v>83.535836177474394</v>
      </c>
      <c r="D33" s="15">
        <v>1206</v>
      </c>
      <c r="E33" s="14">
        <v>5.1456328300000003</v>
      </c>
      <c r="F33" s="16">
        <v>0.66093628999999998</v>
      </c>
      <c r="G33" s="14">
        <v>73.87463769</v>
      </c>
      <c r="H33" s="16">
        <v>1.1325485399999999</v>
      </c>
      <c r="I33" s="14">
        <v>20.97972948</v>
      </c>
      <c r="J33" s="16">
        <v>1.1707808799999999</v>
      </c>
      <c r="K33" s="14" t="s">
        <v>139</v>
      </c>
      <c r="L33" s="16" t="s">
        <v>139</v>
      </c>
      <c r="M33" s="14">
        <v>0</v>
      </c>
      <c r="N33" s="16">
        <v>0</v>
      </c>
      <c r="O33" s="14">
        <v>0</v>
      </c>
      <c r="P33" s="16">
        <v>0</v>
      </c>
      <c r="Q33" s="14">
        <v>0</v>
      </c>
      <c r="R33" s="16">
        <v>0</v>
      </c>
      <c r="S33" s="14">
        <v>0</v>
      </c>
      <c r="T33" s="16">
        <v>0</v>
      </c>
    </row>
    <row r="34" spans="1:20" x14ac:dyDescent="0.25">
      <c r="A34" s="11" t="s">
        <v>167</v>
      </c>
      <c r="B34" s="13">
        <v>6350</v>
      </c>
      <c r="C34" s="14">
        <f>(5317/B34*100)</f>
        <v>83.732283464566919</v>
      </c>
      <c r="D34" s="15">
        <v>1033</v>
      </c>
      <c r="E34" s="14">
        <v>7.2754198399999996</v>
      </c>
      <c r="F34" s="16">
        <v>0.75661626000000004</v>
      </c>
      <c r="G34" s="14">
        <v>80.445739720000006</v>
      </c>
      <c r="H34" s="16">
        <v>1.2820467</v>
      </c>
      <c r="I34" s="14">
        <v>12.27884044</v>
      </c>
      <c r="J34" s="16">
        <v>1.02356669</v>
      </c>
      <c r="K34" s="14" t="s">
        <v>139</v>
      </c>
      <c r="L34" s="16" t="s">
        <v>139</v>
      </c>
      <c r="M34" s="14">
        <v>0</v>
      </c>
      <c r="N34" s="16">
        <v>0</v>
      </c>
      <c r="O34" s="14">
        <v>0</v>
      </c>
      <c r="P34" s="16">
        <v>0</v>
      </c>
      <c r="Q34" s="14">
        <v>0</v>
      </c>
      <c r="R34" s="16">
        <v>0</v>
      </c>
      <c r="S34" s="14">
        <v>0</v>
      </c>
      <c r="T34" s="16">
        <v>0</v>
      </c>
    </row>
    <row r="35" spans="1:20" x14ac:dyDescent="0.25">
      <c r="A35" s="11" t="s">
        <v>168</v>
      </c>
      <c r="B35" s="13">
        <v>6406</v>
      </c>
      <c r="C35" s="14">
        <f>(5352/B35*100)</f>
        <v>83.546674992194809</v>
      </c>
      <c r="D35" s="15">
        <v>1054</v>
      </c>
      <c r="E35" s="14">
        <v>7.0647590899999999</v>
      </c>
      <c r="F35" s="16">
        <v>0.96060215999999998</v>
      </c>
      <c r="G35" s="14">
        <v>70.052221610000004</v>
      </c>
      <c r="H35" s="16">
        <v>1.6091411799999999</v>
      </c>
      <c r="I35" s="14">
        <v>22.883019300000001</v>
      </c>
      <c r="J35" s="16">
        <v>1.5425518199999999</v>
      </c>
      <c r="K35" s="14" t="s">
        <v>139</v>
      </c>
      <c r="L35" s="16" t="s">
        <v>139</v>
      </c>
      <c r="M35" s="14">
        <v>0</v>
      </c>
      <c r="N35" s="16">
        <v>0</v>
      </c>
      <c r="O35" s="14">
        <v>0</v>
      </c>
      <c r="P35" s="16">
        <v>0</v>
      </c>
      <c r="Q35" s="14">
        <v>0</v>
      </c>
      <c r="R35" s="16">
        <v>0</v>
      </c>
      <c r="S35" s="14">
        <v>0</v>
      </c>
      <c r="T35" s="16">
        <v>0</v>
      </c>
    </row>
    <row r="36" spans="1:20" x14ac:dyDescent="0.25">
      <c r="A36" s="11" t="s">
        <v>169</v>
      </c>
      <c r="B36" s="13">
        <v>6736</v>
      </c>
      <c r="C36" s="14">
        <f>(5610/B36*100)</f>
        <v>83.283847980997621</v>
      </c>
      <c r="D36" s="15">
        <v>1126</v>
      </c>
      <c r="E36" s="14">
        <v>4.7760344799999999</v>
      </c>
      <c r="F36" s="16">
        <v>0.72313592999999998</v>
      </c>
      <c r="G36" s="14">
        <v>64.106846860000005</v>
      </c>
      <c r="H36" s="16">
        <v>1.4543485199999999</v>
      </c>
      <c r="I36" s="14">
        <v>31.117118659999999</v>
      </c>
      <c r="J36" s="16">
        <v>1.3940364700000001</v>
      </c>
      <c r="K36" s="14" t="s">
        <v>139</v>
      </c>
      <c r="L36" s="16" t="s">
        <v>139</v>
      </c>
      <c r="M36" s="14">
        <v>0</v>
      </c>
      <c r="N36" s="16">
        <v>0</v>
      </c>
      <c r="O36" s="14">
        <v>0</v>
      </c>
      <c r="P36" s="16">
        <v>0</v>
      </c>
      <c r="Q36" s="14">
        <v>0</v>
      </c>
      <c r="R36" s="16">
        <v>0</v>
      </c>
      <c r="S36" s="14">
        <v>0</v>
      </c>
      <c r="T36" s="16">
        <v>0</v>
      </c>
    </row>
    <row r="37" spans="1:20" x14ac:dyDescent="0.25">
      <c r="A37" s="11" t="s">
        <v>170</v>
      </c>
      <c r="B37" s="13">
        <v>5458</v>
      </c>
      <c r="C37" s="14">
        <f>(4571/B37*100)</f>
        <v>83.748625870282154</v>
      </c>
      <c r="D37" s="15">
        <v>887</v>
      </c>
      <c r="E37" s="14">
        <v>5.6364804499999996</v>
      </c>
      <c r="F37" s="16">
        <v>0.86735059000000003</v>
      </c>
      <c r="G37" s="14">
        <v>65.327627100000001</v>
      </c>
      <c r="H37" s="16">
        <v>1.66466531</v>
      </c>
      <c r="I37" s="14">
        <v>29.035892449999999</v>
      </c>
      <c r="J37" s="16">
        <v>1.60672646</v>
      </c>
      <c r="K37" s="14" t="s">
        <v>139</v>
      </c>
      <c r="L37" s="16" t="s">
        <v>139</v>
      </c>
      <c r="M37" s="14">
        <v>0</v>
      </c>
      <c r="N37" s="16">
        <v>0</v>
      </c>
      <c r="O37" s="14">
        <v>0</v>
      </c>
      <c r="P37" s="16">
        <v>0</v>
      </c>
      <c r="Q37" s="14">
        <v>0</v>
      </c>
      <c r="R37" s="16">
        <v>0</v>
      </c>
      <c r="S37" s="14">
        <v>0</v>
      </c>
      <c r="T37" s="16">
        <v>0</v>
      </c>
    </row>
    <row r="38" spans="1:20" x14ac:dyDescent="0.25">
      <c r="A38" s="11" t="s">
        <v>171</v>
      </c>
      <c r="B38" s="17" t="s">
        <v>154</v>
      </c>
      <c r="C38" s="17" t="s">
        <v>154</v>
      </c>
      <c r="D38" s="18" t="s">
        <v>154</v>
      </c>
      <c r="E38" s="17" t="s">
        <v>154</v>
      </c>
      <c r="F38" s="18" t="s">
        <v>154</v>
      </c>
      <c r="G38" s="17" t="s">
        <v>154</v>
      </c>
      <c r="H38" s="18" t="s">
        <v>154</v>
      </c>
      <c r="I38" s="17" t="s">
        <v>154</v>
      </c>
      <c r="J38" s="18" t="s">
        <v>154</v>
      </c>
      <c r="K38" s="17" t="s">
        <v>154</v>
      </c>
      <c r="L38" s="18" t="s">
        <v>154</v>
      </c>
      <c r="M38" s="17" t="s">
        <v>154</v>
      </c>
      <c r="N38" s="18" t="s">
        <v>154</v>
      </c>
      <c r="O38" s="17" t="s">
        <v>154</v>
      </c>
      <c r="P38" s="18" t="s">
        <v>154</v>
      </c>
      <c r="Q38" s="17" t="s">
        <v>154</v>
      </c>
      <c r="R38" s="18" t="s">
        <v>154</v>
      </c>
      <c r="S38" s="17" t="s">
        <v>154</v>
      </c>
      <c r="T38" s="18" t="s">
        <v>154</v>
      </c>
    </row>
    <row r="39" spans="1:20" x14ac:dyDescent="0.25">
      <c r="A39" s="11" t="s">
        <v>172</v>
      </c>
      <c r="B39" s="13">
        <v>5895</v>
      </c>
      <c r="C39" s="14">
        <f>(4863/B39*100)</f>
        <v>82.493638676844782</v>
      </c>
      <c r="D39" s="15">
        <v>1032</v>
      </c>
      <c r="E39" s="14">
        <v>8.9163685699999995</v>
      </c>
      <c r="F39" s="16">
        <v>1.10016307</v>
      </c>
      <c r="G39" s="14">
        <v>78.611200609999997</v>
      </c>
      <c r="H39" s="16">
        <v>1.6823475800000001</v>
      </c>
      <c r="I39" s="14">
        <v>12.47243082</v>
      </c>
      <c r="J39" s="16">
        <v>1.20218209</v>
      </c>
      <c r="K39" s="14" t="s">
        <v>139</v>
      </c>
      <c r="L39" s="16" t="s">
        <v>139</v>
      </c>
      <c r="M39" s="14">
        <v>0</v>
      </c>
      <c r="N39" s="16">
        <v>0</v>
      </c>
      <c r="O39" s="14">
        <v>0</v>
      </c>
      <c r="P39" s="16">
        <v>0</v>
      </c>
      <c r="Q39" s="14">
        <v>0</v>
      </c>
      <c r="R39" s="16">
        <v>0</v>
      </c>
      <c r="S39" s="14">
        <v>0</v>
      </c>
      <c r="T39" s="16">
        <v>0</v>
      </c>
    </row>
    <row r="40" spans="1:20" x14ac:dyDescent="0.25">
      <c r="A40" s="11" t="s">
        <v>173</v>
      </c>
      <c r="B40" s="13">
        <v>14157</v>
      </c>
      <c r="C40" s="14">
        <f>(11750/B40*100)</f>
        <v>82.997810270537542</v>
      </c>
      <c r="D40" s="15">
        <v>2407</v>
      </c>
      <c r="E40" s="14">
        <v>9.2565238000000001</v>
      </c>
      <c r="F40" s="16">
        <v>0.96268827000000001</v>
      </c>
      <c r="G40" s="14">
        <v>58.442356519999997</v>
      </c>
      <c r="H40" s="16">
        <v>1.7540514199999999</v>
      </c>
      <c r="I40" s="14">
        <v>32.301119679999999</v>
      </c>
      <c r="J40" s="16">
        <v>1.69027189</v>
      </c>
      <c r="K40" s="14" t="s">
        <v>139</v>
      </c>
      <c r="L40" s="16" t="s">
        <v>139</v>
      </c>
      <c r="M40" s="14">
        <v>0</v>
      </c>
      <c r="N40" s="16">
        <v>0</v>
      </c>
      <c r="O40" s="14">
        <v>0</v>
      </c>
      <c r="P40" s="16">
        <v>0</v>
      </c>
      <c r="Q40" s="14">
        <v>0</v>
      </c>
      <c r="R40" s="16">
        <v>0</v>
      </c>
      <c r="S40" s="14">
        <v>0</v>
      </c>
      <c r="T40" s="16">
        <v>0</v>
      </c>
    </row>
    <row r="41" spans="1:20" x14ac:dyDescent="0.25">
      <c r="A41" s="11" t="s">
        <v>174</v>
      </c>
      <c r="B41" s="13">
        <v>5712</v>
      </c>
      <c r="C41" s="14">
        <f>(4743/B41*100)</f>
        <v>83.035714285714292</v>
      </c>
      <c r="D41" s="15">
        <v>969</v>
      </c>
      <c r="E41" s="14">
        <v>10.97412958</v>
      </c>
      <c r="F41" s="16">
        <v>1.11039526</v>
      </c>
      <c r="G41" s="14">
        <v>62.682854720000002</v>
      </c>
      <c r="H41" s="16">
        <v>1.6699737699999999</v>
      </c>
      <c r="I41" s="14">
        <v>26.343015699999999</v>
      </c>
      <c r="J41" s="16">
        <v>1.6713116800000001</v>
      </c>
      <c r="K41" s="14" t="s">
        <v>139</v>
      </c>
      <c r="L41" s="16" t="s">
        <v>139</v>
      </c>
      <c r="M41" s="14">
        <v>0</v>
      </c>
      <c r="N41" s="16">
        <v>0</v>
      </c>
      <c r="O41" s="14">
        <v>0</v>
      </c>
      <c r="P41" s="16">
        <v>0</v>
      </c>
      <c r="Q41" s="14">
        <v>0</v>
      </c>
      <c r="R41" s="16">
        <v>0</v>
      </c>
      <c r="S41" s="14">
        <v>0</v>
      </c>
      <c r="T41" s="16">
        <v>0</v>
      </c>
    </row>
    <row r="42" spans="1:20" x14ac:dyDescent="0.25">
      <c r="A42" s="11" t="s">
        <v>175</v>
      </c>
      <c r="B42" s="13">
        <f>IF(COUNT(B7:B41) &gt; 0, AVERAGE(B7:B41), "\u2014")</f>
        <v>7266.90625</v>
      </c>
      <c r="C42" s="14">
        <f>IF(COUNT(C7:C41) &gt; 0, AVERAGE(C7:C41), "—")</f>
        <v>83.320585805480079</v>
      </c>
      <c r="D42" s="15">
        <f>IF(COUNT(D7:D41) &gt; 0, AVERAGE(D7:D41), "—")</f>
        <v>1213.1875</v>
      </c>
      <c r="E42" s="14">
        <f>IF(COUNT(E7:E41) &gt; 0, AVERAGE(E7:E41), "—")</f>
        <v>6.2138101143749997</v>
      </c>
      <c r="F42" s="16">
        <f>IF(COUNT(F7:F41) &gt; 0, SQRT(SUMSQ(F7:F41)/(COUNT(F7:F41)*COUNT(F7:F41)) ), "—")</f>
        <v>0.14346498615408837</v>
      </c>
      <c r="G42" s="14">
        <f>IF(COUNT(G7:G41) &gt; 0, AVERAGE(G7:G41), "—")</f>
        <v>69.18752937781251</v>
      </c>
      <c r="H42" s="16">
        <f>IF(COUNT(H7:H41) &gt; 0, SQRT(SUMSQ(H7:H41)/(COUNT(H7:H41)*COUNT(H7:H41)) ), "—")</f>
        <v>0.26705016338435428</v>
      </c>
      <c r="I42" s="14">
        <f>IF(COUNT(I7:I41) &gt; 0, AVERAGE(I7:I41), "—")</f>
        <v>24.598660508125</v>
      </c>
      <c r="J42" s="16">
        <f>IF(COUNT(J7:J41) &gt; 0, SQRT(SUMSQ(J7:J41)/(COUNT(J7:J41)*COUNT(J7:J41)) ), "—")</f>
        <v>0.25006081452294648</v>
      </c>
      <c r="K42" s="14" t="str">
        <f>IF(COUNT(K7:K41) &gt; 0, AVERAGE(K7:K41), "—")</f>
        <v>—</v>
      </c>
      <c r="L42" s="16" t="str">
        <f>IF(COUNT(L7:L41) &gt; 0, SQRT(SUMSQ(L7:L41)/(COUNT(L7:L41)*COUNT(L7:L41)) ), "—")</f>
        <v>—</v>
      </c>
      <c r="M42" s="14">
        <f>IF(COUNT(M7:M41) &gt; 0, AVERAGE(M7:M41), "—")</f>
        <v>0</v>
      </c>
      <c r="N42" s="16">
        <f>IF(COUNT(N7:N41) &gt; 0, SQRT(SUMSQ(N7:N41)/(COUNT(N7:N41)*COUNT(N7:N41)) ), "—")</f>
        <v>0</v>
      </c>
      <c r="O42" s="14">
        <f>IF(COUNT(O7:O41) &gt; 0, AVERAGE(O7:O41), "—")</f>
        <v>0</v>
      </c>
      <c r="P42" s="16">
        <f>IF(COUNT(P7:P41) &gt; 0, SQRT(SUMSQ(P7:P41)/(COUNT(P7:P41)*COUNT(P7:P41)) ), "—")</f>
        <v>0</v>
      </c>
      <c r="Q42" s="14">
        <f>IF(COUNT(Q7:Q41) &gt; 0, AVERAGE(Q7:Q41), "—")</f>
        <v>0</v>
      </c>
      <c r="R42" s="16">
        <f>IF(COUNT(R7:R41) &gt; 0, SQRT(SUMSQ(R7:R41)/(COUNT(R7:R41)*COUNT(R7:R41)) ), "—")</f>
        <v>0</v>
      </c>
      <c r="S42" s="14">
        <f>IF(COUNT(S7:S41) &gt; 0, AVERAGE(S7:S41), "—")</f>
        <v>0</v>
      </c>
      <c r="T42" s="16">
        <f>IF(COUNT(T7:T41) &gt; 0, SQRT(SUMSQ(T7:T41)/(COUNT(T7:T41)*COUNT(T7:T41)) ), "—")</f>
        <v>0</v>
      </c>
    </row>
    <row r="43" spans="1:20" x14ac:dyDescent="0.25">
      <c r="A43" s="9" t="s">
        <v>176</v>
      </c>
      <c r="B43" s="10"/>
      <c r="C43" s="10"/>
      <c r="D43" s="11"/>
      <c r="E43" s="10"/>
      <c r="F43" s="11"/>
      <c r="G43" s="10"/>
      <c r="H43" s="11"/>
      <c r="I43" s="10"/>
      <c r="J43" s="11"/>
      <c r="K43" s="10"/>
      <c r="L43" s="11"/>
      <c r="M43" s="10"/>
      <c r="N43" s="11"/>
      <c r="O43" s="10"/>
      <c r="P43" s="11"/>
      <c r="Q43" s="10"/>
      <c r="R43" s="11"/>
      <c r="S43" s="10"/>
      <c r="T43" s="12"/>
    </row>
    <row r="44" spans="1:20" x14ac:dyDescent="0.25">
      <c r="A44" s="11" t="s">
        <v>177</v>
      </c>
      <c r="B44" s="17" t="s">
        <v>154</v>
      </c>
      <c r="C44" s="17" t="s">
        <v>154</v>
      </c>
      <c r="D44" s="18" t="s">
        <v>154</v>
      </c>
      <c r="E44" s="17" t="s">
        <v>154</v>
      </c>
      <c r="F44" s="18" t="s">
        <v>154</v>
      </c>
      <c r="G44" s="17" t="s">
        <v>154</v>
      </c>
      <c r="H44" s="18" t="s">
        <v>154</v>
      </c>
      <c r="I44" s="17" t="s">
        <v>154</v>
      </c>
      <c r="J44" s="18" t="s">
        <v>154</v>
      </c>
      <c r="K44" s="17" t="s">
        <v>154</v>
      </c>
      <c r="L44" s="18" t="s">
        <v>154</v>
      </c>
      <c r="M44" s="17" t="s">
        <v>154</v>
      </c>
      <c r="N44" s="18" t="s">
        <v>154</v>
      </c>
      <c r="O44" s="17" t="s">
        <v>154</v>
      </c>
      <c r="P44" s="18" t="s">
        <v>154</v>
      </c>
      <c r="Q44" s="17" t="s">
        <v>154</v>
      </c>
      <c r="R44" s="18" t="s">
        <v>154</v>
      </c>
      <c r="S44" s="17" t="s">
        <v>154</v>
      </c>
      <c r="T44" s="18" t="s">
        <v>154</v>
      </c>
    </row>
    <row r="45" spans="1:20" x14ac:dyDescent="0.25">
      <c r="A45" s="11" t="s">
        <v>178</v>
      </c>
      <c r="B45" s="17" t="s">
        <v>154</v>
      </c>
      <c r="C45" s="17" t="s">
        <v>154</v>
      </c>
      <c r="D45" s="18" t="s">
        <v>154</v>
      </c>
      <c r="E45" s="17" t="s">
        <v>154</v>
      </c>
      <c r="F45" s="18" t="s">
        <v>154</v>
      </c>
      <c r="G45" s="17" t="s">
        <v>154</v>
      </c>
      <c r="H45" s="18" t="s">
        <v>154</v>
      </c>
      <c r="I45" s="17" t="s">
        <v>154</v>
      </c>
      <c r="J45" s="18" t="s">
        <v>154</v>
      </c>
      <c r="K45" s="17" t="s">
        <v>154</v>
      </c>
      <c r="L45" s="18" t="s">
        <v>154</v>
      </c>
      <c r="M45" s="17" t="s">
        <v>154</v>
      </c>
      <c r="N45" s="18" t="s">
        <v>154</v>
      </c>
      <c r="O45" s="17" t="s">
        <v>154</v>
      </c>
      <c r="P45" s="18" t="s">
        <v>154</v>
      </c>
      <c r="Q45" s="17" t="s">
        <v>154</v>
      </c>
      <c r="R45" s="18" t="s">
        <v>154</v>
      </c>
      <c r="S45" s="17" t="s">
        <v>154</v>
      </c>
      <c r="T45" s="18" t="s">
        <v>154</v>
      </c>
    </row>
    <row r="46" spans="1:20" x14ac:dyDescent="0.25">
      <c r="A46" s="11" t="s">
        <v>179</v>
      </c>
      <c r="B46" s="13">
        <v>23141</v>
      </c>
      <c r="C46" s="14">
        <f>(20147/B46*100)</f>
        <v>87.061924722354263</v>
      </c>
      <c r="D46" s="15">
        <v>2994</v>
      </c>
      <c r="E46" s="14">
        <v>8.9048846000000008</v>
      </c>
      <c r="F46" s="16">
        <v>0.61072691000000001</v>
      </c>
      <c r="G46" s="14">
        <v>83.122429310000001</v>
      </c>
      <c r="H46" s="16">
        <v>0.94505952999999998</v>
      </c>
      <c r="I46" s="14">
        <v>7.9726860899999998</v>
      </c>
      <c r="J46" s="16">
        <v>0.73760501000000001</v>
      </c>
      <c r="K46" s="14" t="s">
        <v>139</v>
      </c>
      <c r="L46" s="16" t="s">
        <v>139</v>
      </c>
      <c r="M46" s="14">
        <v>0</v>
      </c>
      <c r="N46" s="16">
        <v>0</v>
      </c>
      <c r="O46" s="14">
        <v>0</v>
      </c>
      <c r="P46" s="16">
        <v>0</v>
      </c>
      <c r="Q46" s="14">
        <v>0</v>
      </c>
      <c r="R46" s="16">
        <v>0</v>
      </c>
      <c r="S46" s="14">
        <v>0</v>
      </c>
      <c r="T46" s="16">
        <v>0</v>
      </c>
    </row>
    <row r="47" spans="1:20" x14ac:dyDescent="0.25">
      <c r="A47" s="11" t="s">
        <v>180</v>
      </c>
      <c r="B47" s="13">
        <v>5928</v>
      </c>
      <c r="C47" s="14">
        <f>(4966/B47*100)</f>
        <v>83.771929824561411</v>
      </c>
      <c r="D47" s="15">
        <v>962</v>
      </c>
      <c r="E47" s="14">
        <v>7.6504748600000001</v>
      </c>
      <c r="F47" s="16">
        <v>1.0032611199999999</v>
      </c>
      <c r="G47" s="14">
        <v>75.448610610000003</v>
      </c>
      <c r="H47" s="16">
        <v>1.6816912100000001</v>
      </c>
      <c r="I47" s="14">
        <v>16.900914520000001</v>
      </c>
      <c r="J47" s="16">
        <v>1.32924581</v>
      </c>
      <c r="K47" s="14" t="s">
        <v>139</v>
      </c>
      <c r="L47" s="16" t="s">
        <v>139</v>
      </c>
      <c r="M47" s="14">
        <v>0</v>
      </c>
      <c r="N47" s="16">
        <v>0</v>
      </c>
      <c r="O47" s="14">
        <v>0</v>
      </c>
      <c r="P47" s="16">
        <v>0</v>
      </c>
      <c r="Q47" s="14">
        <v>0</v>
      </c>
      <c r="R47" s="16">
        <v>0</v>
      </c>
      <c r="S47" s="14">
        <v>0</v>
      </c>
      <c r="T47" s="16">
        <v>0</v>
      </c>
    </row>
    <row r="48" spans="1:20" x14ac:dyDescent="0.25">
      <c r="A48" s="11" t="s">
        <v>181</v>
      </c>
      <c r="B48" s="13">
        <v>9841</v>
      </c>
      <c r="C48" s="14">
        <f>(8178/B48*100)</f>
        <v>83.101310842394057</v>
      </c>
      <c r="D48" s="15">
        <v>1663</v>
      </c>
      <c r="E48" s="14">
        <v>6.9476769899999997</v>
      </c>
      <c r="F48" s="16">
        <v>0.74797689999999994</v>
      </c>
      <c r="G48" s="14">
        <v>57.399010910000001</v>
      </c>
      <c r="H48" s="16">
        <v>1.5171740300000001</v>
      </c>
      <c r="I48" s="14">
        <v>35.65331209</v>
      </c>
      <c r="J48" s="16">
        <v>1.53010318</v>
      </c>
      <c r="K48" s="14" t="s">
        <v>139</v>
      </c>
      <c r="L48" s="16" t="s">
        <v>139</v>
      </c>
      <c r="M48" s="14">
        <v>0</v>
      </c>
      <c r="N48" s="16">
        <v>0</v>
      </c>
      <c r="O48" s="14">
        <v>0</v>
      </c>
      <c r="P48" s="16">
        <v>0</v>
      </c>
      <c r="Q48" s="14">
        <v>0</v>
      </c>
      <c r="R48" s="16">
        <v>0</v>
      </c>
      <c r="S48" s="14">
        <v>0</v>
      </c>
      <c r="T48" s="16">
        <v>0</v>
      </c>
    </row>
    <row r="49" spans="1:20" x14ac:dyDescent="0.25">
      <c r="A49" s="11" t="s">
        <v>182</v>
      </c>
      <c r="B49" s="17" t="s">
        <v>154</v>
      </c>
      <c r="C49" s="17" t="s">
        <v>154</v>
      </c>
      <c r="D49" s="18" t="s">
        <v>154</v>
      </c>
      <c r="E49" s="17" t="s">
        <v>154</v>
      </c>
      <c r="F49" s="18" t="s">
        <v>154</v>
      </c>
      <c r="G49" s="17" t="s">
        <v>154</v>
      </c>
      <c r="H49" s="18" t="s">
        <v>154</v>
      </c>
      <c r="I49" s="17" t="s">
        <v>154</v>
      </c>
      <c r="J49" s="18" t="s">
        <v>154</v>
      </c>
      <c r="K49" s="17" t="s">
        <v>154</v>
      </c>
      <c r="L49" s="18" t="s">
        <v>154</v>
      </c>
      <c r="M49" s="17" t="s">
        <v>154</v>
      </c>
      <c r="N49" s="18" t="s">
        <v>154</v>
      </c>
      <c r="O49" s="17" t="s">
        <v>154</v>
      </c>
      <c r="P49" s="18" t="s">
        <v>154</v>
      </c>
      <c r="Q49" s="17" t="s">
        <v>154</v>
      </c>
      <c r="R49" s="18" t="s">
        <v>154</v>
      </c>
      <c r="S49" s="17" t="s">
        <v>154</v>
      </c>
      <c r="T49" s="18" t="s">
        <v>154</v>
      </c>
    </row>
    <row r="50" spans="1:20" x14ac:dyDescent="0.25">
      <c r="A50" s="11" t="s">
        <v>183</v>
      </c>
      <c r="B50" s="13">
        <v>11795</v>
      </c>
      <c r="C50" s="14">
        <f>(9867/B50*100)</f>
        <v>83.654090716405264</v>
      </c>
      <c r="D50" s="15">
        <v>1928</v>
      </c>
      <c r="E50" s="14">
        <v>8.5808368000000002</v>
      </c>
      <c r="F50" s="16">
        <v>0.79477481999999999</v>
      </c>
      <c r="G50" s="14">
        <v>71.764285630000003</v>
      </c>
      <c r="H50" s="16">
        <v>1.22647902</v>
      </c>
      <c r="I50" s="14">
        <v>19.65487757</v>
      </c>
      <c r="J50" s="16">
        <v>1.11971175</v>
      </c>
      <c r="K50" s="14" t="s">
        <v>139</v>
      </c>
      <c r="L50" s="16" t="s">
        <v>139</v>
      </c>
      <c r="M50" s="14">
        <v>0</v>
      </c>
      <c r="N50" s="16">
        <v>0</v>
      </c>
      <c r="O50" s="14">
        <v>0</v>
      </c>
      <c r="P50" s="16">
        <v>0</v>
      </c>
      <c r="Q50" s="14">
        <v>0</v>
      </c>
      <c r="R50" s="16">
        <v>0</v>
      </c>
      <c r="S50" s="14">
        <v>0</v>
      </c>
      <c r="T50" s="16">
        <v>0</v>
      </c>
    </row>
    <row r="51" spans="1:20" x14ac:dyDescent="0.25">
      <c r="A51" s="11" t="s">
        <v>184</v>
      </c>
      <c r="B51" s="13">
        <v>6866</v>
      </c>
      <c r="C51" s="14">
        <f>(5870/B51*100)</f>
        <v>85.493737256044284</v>
      </c>
      <c r="D51" s="15">
        <v>996</v>
      </c>
      <c r="E51" s="14">
        <v>4.5937725499999997</v>
      </c>
      <c r="F51" s="16">
        <v>0.72375252999999995</v>
      </c>
      <c r="G51" s="14">
        <v>76.827164170000003</v>
      </c>
      <c r="H51" s="16">
        <v>1.45699274</v>
      </c>
      <c r="I51" s="14">
        <v>18.579063290000001</v>
      </c>
      <c r="J51" s="16">
        <v>1.2870705200000001</v>
      </c>
      <c r="K51" s="14" t="s">
        <v>139</v>
      </c>
      <c r="L51" s="16" t="s">
        <v>139</v>
      </c>
      <c r="M51" s="14">
        <v>0</v>
      </c>
      <c r="N51" s="16">
        <v>0</v>
      </c>
      <c r="O51" s="14">
        <v>0</v>
      </c>
      <c r="P51" s="16">
        <v>0</v>
      </c>
      <c r="Q51" s="14">
        <v>0</v>
      </c>
      <c r="R51" s="16">
        <v>0</v>
      </c>
      <c r="S51" s="14">
        <v>0</v>
      </c>
      <c r="T51" s="16">
        <v>0</v>
      </c>
    </row>
    <row r="52" spans="1:20" x14ac:dyDescent="0.25">
      <c r="A52" s="11" t="s">
        <v>185</v>
      </c>
      <c r="B52" s="13">
        <v>5809</v>
      </c>
      <c r="C52" s="14">
        <f>(4842/B52*100)</f>
        <v>83.353417111378889</v>
      </c>
      <c r="D52" s="15">
        <v>967</v>
      </c>
      <c r="E52" s="14">
        <v>4.3849258300000002</v>
      </c>
      <c r="F52" s="16">
        <v>0.78228284000000003</v>
      </c>
      <c r="G52" s="14">
        <v>78.939101059999999</v>
      </c>
      <c r="H52" s="16">
        <v>1.5908329699999999</v>
      </c>
      <c r="I52" s="14">
        <v>16.675973110000001</v>
      </c>
      <c r="J52" s="16">
        <v>1.3440100500000001</v>
      </c>
      <c r="K52" s="14" t="s">
        <v>139</v>
      </c>
      <c r="L52" s="16" t="s">
        <v>139</v>
      </c>
      <c r="M52" s="14">
        <v>0</v>
      </c>
      <c r="N52" s="16">
        <v>0</v>
      </c>
      <c r="O52" s="14">
        <v>0</v>
      </c>
      <c r="P52" s="16">
        <v>0</v>
      </c>
      <c r="Q52" s="14">
        <v>0</v>
      </c>
      <c r="R52" s="16">
        <v>0</v>
      </c>
      <c r="S52" s="14">
        <v>0</v>
      </c>
      <c r="T52" s="16">
        <v>0</v>
      </c>
    </row>
    <row r="53" spans="1:20" x14ac:dyDescent="0.25">
      <c r="A53" s="11" t="s">
        <v>186</v>
      </c>
      <c r="B53" s="13">
        <v>5571</v>
      </c>
      <c r="C53" s="14">
        <f>(4658/B53*100)</f>
        <v>83.611559863579259</v>
      </c>
      <c r="D53" s="15">
        <v>913</v>
      </c>
      <c r="E53" s="14">
        <v>11.917403090000001</v>
      </c>
      <c r="F53" s="16">
        <v>0.94242099000000001</v>
      </c>
      <c r="G53" s="14">
        <v>69.911772260000006</v>
      </c>
      <c r="H53" s="16">
        <v>1.4084736600000001</v>
      </c>
      <c r="I53" s="14">
        <v>18.17082465</v>
      </c>
      <c r="J53" s="16">
        <v>1.32951073</v>
      </c>
      <c r="K53" s="14" t="s">
        <v>139</v>
      </c>
      <c r="L53" s="16" t="s">
        <v>139</v>
      </c>
      <c r="M53" s="14">
        <v>0</v>
      </c>
      <c r="N53" s="16">
        <v>0</v>
      </c>
      <c r="O53" s="14">
        <v>0</v>
      </c>
      <c r="P53" s="16">
        <v>0</v>
      </c>
      <c r="Q53" s="14">
        <v>0</v>
      </c>
      <c r="R53" s="16">
        <v>0</v>
      </c>
      <c r="S53" s="14">
        <v>0</v>
      </c>
      <c r="T53" s="16">
        <v>0</v>
      </c>
    </row>
    <row r="54" spans="1:20" x14ac:dyDescent="0.25">
      <c r="A54" s="11" t="s">
        <v>187</v>
      </c>
      <c r="B54" s="17" t="s">
        <v>154</v>
      </c>
      <c r="C54" s="17" t="s">
        <v>154</v>
      </c>
      <c r="D54" s="18" t="s">
        <v>154</v>
      </c>
      <c r="E54" s="17" t="s">
        <v>154</v>
      </c>
      <c r="F54" s="18" t="s">
        <v>154</v>
      </c>
      <c r="G54" s="17" t="s">
        <v>154</v>
      </c>
      <c r="H54" s="18" t="s">
        <v>154</v>
      </c>
      <c r="I54" s="17" t="s">
        <v>154</v>
      </c>
      <c r="J54" s="18" t="s">
        <v>154</v>
      </c>
      <c r="K54" s="17" t="s">
        <v>154</v>
      </c>
      <c r="L54" s="18" t="s">
        <v>154</v>
      </c>
      <c r="M54" s="17" t="s">
        <v>154</v>
      </c>
      <c r="N54" s="18" t="s">
        <v>154</v>
      </c>
      <c r="O54" s="17" t="s">
        <v>154</v>
      </c>
      <c r="P54" s="18" t="s">
        <v>154</v>
      </c>
      <c r="Q54" s="17" t="s">
        <v>154</v>
      </c>
      <c r="R54" s="18" t="s">
        <v>154</v>
      </c>
      <c r="S54" s="17" t="s">
        <v>154</v>
      </c>
      <c r="T54" s="18" t="s">
        <v>154</v>
      </c>
    </row>
    <row r="55" spans="1:20" x14ac:dyDescent="0.25">
      <c r="A55" s="11" t="s">
        <v>188</v>
      </c>
      <c r="B55" s="17" t="s">
        <v>154</v>
      </c>
      <c r="C55" s="17" t="s">
        <v>154</v>
      </c>
      <c r="D55" s="18" t="s">
        <v>154</v>
      </c>
      <c r="E55" s="17" t="s">
        <v>154</v>
      </c>
      <c r="F55" s="18" t="s">
        <v>154</v>
      </c>
      <c r="G55" s="17" t="s">
        <v>154</v>
      </c>
      <c r="H55" s="18" t="s">
        <v>154</v>
      </c>
      <c r="I55" s="17" t="s">
        <v>154</v>
      </c>
      <c r="J55" s="18" t="s">
        <v>154</v>
      </c>
      <c r="K55" s="17" t="s">
        <v>154</v>
      </c>
      <c r="L55" s="18" t="s">
        <v>154</v>
      </c>
      <c r="M55" s="17" t="s">
        <v>154</v>
      </c>
      <c r="N55" s="18" t="s">
        <v>154</v>
      </c>
      <c r="O55" s="17" t="s">
        <v>154</v>
      </c>
      <c r="P55" s="18" t="s">
        <v>154</v>
      </c>
      <c r="Q55" s="17" t="s">
        <v>154</v>
      </c>
      <c r="R55" s="18" t="s">
        <v>154</v>
      </c>
      <c r="S55" s="17" t="s">
        <v>154</v>
      </c>
      <c r="T55" s="18" t="s">
        <v>154</v>
      </c>
    </row>
    <row r="56" spans="1:20" x14ac:dyDescent="0.25">
      <c r="A56" s="11" t="s">
        <v>189</v>
      </c>
      <c r="B56" s="13">
        <v>5359</v>
      </c>
      <c r="C56" s="14">
        <f>(4453/B56*100)</f>
        <v>83.093860794924424</v>
      </c>
      <c r="D56" s="15">
        <v>906</v>
      </c>
      <c r="E56" s="14">
        <v>8.0690364399999996</v>
      </c>
      <c r="F56" s="16">
        <v>0.90638967000000004</v>
      </c>
      <c r="G56" s="14">
        <v>53.958966169999997</v>
      </c>
      <c r="H56" s="16">
        <v>1.6029092199999999</v>
      </c>
      <c r="I56" s="14">
        <v>37.971997389999999</v>
      </c>
      <c r="J56" s="16">
        <v>1.6386354400000001</v>
      </c>
      <c r="K56" s="14" t="s">
        <v>139</v>
      </c>
      <c r="L56" s="16" t="s">
        <v>139</v>
      </c>
      <c r="M56" s="14">
        <v>0</v>
      </c>
      <c r="N56" s="16">
        <v>0</v>
      </c>
      <c r="O56" s="14">
        <v>0</v>
      </c>
      <c r="P56" s="16">
        <v>0</v>
      </c>
      <c r="Q56" s="14">
        <v>0</v>
      </c>
      <c r="R56" s="16">
        <v>0</v>
      </c>
      <c r="S56" s="14">
        <v>0</v>
      </c>
      <c r="T56" s="16">
        <v>0</v>
      </c>
    </row>
    <row r="57" spans="1:20" x14ac:dyDescent="0.25">
      <c r="A57" s="11" t="s">
        <v>190</v>
      </c>
      <c r="B57" s="17" t="s">
        <v>154</v>
      </c>
      <c r="C57" s="17" t="s">
        <v>154</v>
      </c>
      <c r="D57" s="18" t="s">
        <v>154</v>
      </c>
      <c r="E57" s="17" t="s">
        <v>154</v>
      </c>
      <c r="F57" s="18" t="s">
        <v>154</v>
      </c>
      <c r="G57" s="17" t="s">
        <v>154</v>
      </c>
      <c r="H57" s="18" t="s">
        <v>154</v>
      </c>
      <c r="I57" s="17" t="s">
        <v>154</v>
      </c>
      <c r="J57" s="18" t="s">
        <v>154</v>
      </c>
      <c r="K57" s="17" t="s">
        <v>154</v>
      </c>
      <c r="L57" s="18" t="s">
        <v>154</v>
      </c>
      <c r="M57" s="17" t="s">
        <v>154</v>
      </c>
      <c r="N57" s="18" t="s">
        <v>154</v>
      </c>
      <c r="O57" s="17" t="s">
        <v>154</v>
      </c>
      <c r="P57" s="18" t="s">
        <v>154</v>
      </c>
      <c r="Q57" s="17" t="s">
        <v>154</v>
      </c>
      <c r="R57" s="18" t="s">
        <v>154</v>
      </c>
      <c r="S57" s="17" t="s">
        <v>154</v>
      </c>
      <c r="T57" s="18" t="s">
        <v>154</v>
      </c>
    </row>
    <row r="58" spans="1:20" x14ac:dyDescent="0.25">
      <c r="A58" s="11" t="s">
        <v>191</v>
      </c>
      <c r="B58" s="17" t="s">
        <v>154</v>
      </c>
      <c r="C58" s="17" t="s">
        <v>154</v>
      </c>
      <c r="D58" s="18" t="s">
        <v>154</v>
      </c>
      <c r="E58" s="17" t="s">
        <v>154</v>
      </c>
      <c r="F58" s="18" t="s">
        <v>154</v>
      </c>
      <c r="G58" s="17" t="s">
        <v>154</v>
      </c>
      <c r="H58" s="18" t="s">
        <v>154</v>
      </c>
      <c r="I58" s="17" t="s">
        <v>154</v>
      </c>
      <c r="J58" s="18" t="s">
        <v>154</v>
      </c>
      <c r="K58" s="17" t="s">
        <v>154</v>
      </c>
      <c r="L58" s="18" t="s">
        <v>154</v>
      </c>
      <c r="M58" s="17" t="s">
        <v>154</v>
      </c>
      <c r="N58" s="18" t="s">
        <v>154</v>
      </c>
      <c r="O58" s="17" t="s">
        <v>154</v>
      </c>
      <c r="P58" s="18" t="s">
        <v>154</v>
      </c>
      <c r="Q58" s="17" t="s">
        <v>154</v>
      </c>
      <c r="R58" s="18" t="s">
        <v>154</v>
      </c>
      <c r="S58" s="17" t="s">
        <v>154</v>
      </c>
      <c r="T58" s="18" t="s">
        <v>154</v>
      </c>
    </row>
    <row r="59" spans="1:20" x14ac:dyDescent="0.25">
      <c r="A59" s="11" t="s">
        <v>192</v>
      </c>
      <c r="B59" s="17" t="s">
        <v>154</v>
      </c>
      <c r="C59" s="17" t="s">
        <v>154</v>
      </c>
      <c r="D59" s="18" t="s">
        <v>154</v>
      </c>
      <c r="E59" s="17" t="s">
        <v>154</v>
      </c>
      <c r="F59" s="18" t="s">
        <v>154</v>
      </c>
      <c r="G59" s="17" t="s">
        <v>154</v>
      </c>
      <c r="H59" s="18" t="s">
        <v>154</v>
      </c>
      <c r="I59" s="17" t="s">
        <v>154</v>
      </c>
      <c r="J59" s="18" t="s">
        <v>154</v>
      </c>
      <c r="K59" s="17" t="s">
        <v>154</v>
      </c>
      <c r="L59" s="18" t="s">
        <v>154</v>
      </c>
      <c r="M59" s="17" t="s">
        <v>154</v>
      </c>
      <c r="N59" s="18" t="s">
        <v>154</v>
      </c>
      <c r="O59" s="17" t="s">
        <v>154</v>
      </c>
      <c r="P59" s="18" t="s">
        <v>154</v>
      </c>
      <c r="Q59" s="17" t="s">
        <v>154</v>
      </c>
      <c r="R59" s="18" t="s">
        <v>154</v>
      </c>
      <c r="S59" s="17" t="s">
        <v>154</v>
      </c>
      <c r="T59" s="18" t="s">
        <v>154</v>
      </c>
    </row>
    <row r="60" spans="1:20" x14ac:dyDescent="0.25">
      <c r="A60" s="11" t="s">
        <v>193</v>
      </c>
      <c r="B60" s="17" t="s">
        <v>154</v>
      </c>
      <c r="C60" s="17" t="s">
        <v>154</v>
      </c>
      <c r="D60" s="18" t="s">
        <v>154</v>
      </c>
      <c r="E60" s="17" t="s">
        <v>154</v>
      </c>
      <c r="F60" s="18" t="s">
        <v>154</v>
      </c>
      <c r="G60" s="17" t="s">
        <v>154</v>
      </c>
      <c r="H60" s="18" t="s">
        <v>154</v>
      </c>
      <c r="I60" s="17" t="s">
        <v>154</v>
      </c>
      <c r="J60" s="18" t="s">
        <v>154</v>
      </c>
      <c r="K60" s="17" t="s">
        <v>154</v>
      </c>
      <c r="L60" s="18" t="s">
        <v>154</v>
      </c>
      <c r="M60" s="17" t="s">
        <v>154</v>
      </c>
      <c r="N60" s="18" t="s">
        <v>154</v>
      </c>
      <c r="O60" s="17" t="s">
        <v>154</v>
      </c>
      <c r="P60" s="18" t="s">
        <v>154</v>
      </c>
      <c r="Q60" s="17" t="s">
        <v>154</v>
      </c>
      <c r="R60" s="18" t="s">
        <v>154</v>
      </c>
      <c r="S60" s="17" t="s">
        <v>154</v>
      </c>
      <c r="T60" s="18" t="s">
        <v>154</v>
      </c>
    </row>
    <row r="61" spans="1:20" x14ac:dyDescent="0.25">
      <c r="A61" s="11" t="s">
        <v>194</v>
      </c>
      <c r="B61" s="13">
        <v>6525</v>
      </c>
      <c r="C61" s="14">
        <f>(5437/B61*100)</f>
        <v>83.325670498084293</v>
      </c>
      <c r="D61" s="15">
        <v>1088</v>
      </c>
      <c r="E61" s="14">
        <v>4.7687358700000004</v>
      </c>
      <c r="F61" s="16">
        <v>0.74728455999999999</v>
      </c>
      <c r="G61" s="14">
        <v>79.462904039999998</v>
      </c>
      <c r="H61" s="16">
        <v>1.2365669800000001</v>
      </c>
      <c r="I61" s="14">
        <v>15.76836009</v>
      </c>
      <c r="J61" s="16">
        <v>1.1827824600000001</v>
      </c>
      <c r="K61" s="14" t="s">
        <v>139</v>
      </c>
      <c r="L61" s="16" t="s">
        <v>139</v>
      </c>
      <c r="M61" s="14">
        <v>0</v>
      </c>
      <c r="N61" s="16">
        <v>0</v>
      </c>
      <c r="O61" s="14">
        <v>0</v>
      </c>
      <c r="P61" s="16">
        <v>0</v>
      </c>
      <c r="Q61" s="14">
        <v>0</v>
      </c>
      <c r="R61" s="16">
        <v>0</v>
      </c>
      <c r="S61" s="14">
        <v>0</v>
      </c>
      <c r="T61" s="16">
        <v>0</v>
      </c>
    </row>
    <row r="62" spans="1:20" x14ac:dyDescent="0.25">
      <c r="A62" s="11" t="s">
        <v>195</v>
      </c>
      <c r="B62" s="13">
        <v>4476</v>
      </c>
      <c r="C62" s="14">
        <f>(3710/B62*100)</f>
        <v>82.886505808757818</v>
      </c>
      <c r="D62" s="15">
        <v>766</v>
      </c>
      <c r="E62" s="14">
        <v>8.7434215000000002</v>
      </c>
      <c r="F62" s="16">
        <v>1.00747663</v>
      </c>
      <c r="G62" s="14">
        <v>50.555258879999997</v>
      </c>
      <c r="H62" s="16">
        <v>1.90354819</v>
      </c>
      <c r="I62" s="14">
        <v>40.70131962</v>
      </c>
      <c r="J62" s="16">
        <v>1.9157786699999999</v>
      </c>
      <c r="K62" s="14" t="s">
        <v>139</v>
      </c>
      <c r="L62" s="16" t="s">
        <v>139</v>
      </c>
      <c r="M62" s="14">
        <v>0</v>
      </c>
      <c r="N62" s="16">
        <v>0</v>
      </c>
      <c r="O62" s="14">
        <v>0</v>
      </c>
      <c r="P62" s="16">
        <v>0</v>
      </c>
      <c r="Q62" s="14">
        <v>0</v>
      </c>
      <c r="R62" s="16">
        <v>0</v>
      </c>
      <c r="S62" s="14">
        <v>0</v>
      </c>
      <c r="T62" s="16">
        <v>0</v>
      </c>
    </row>
    <row r="63" spans="1:20" x14ac:dyDescent="0.25">
      <c r="A63" s="11" t="s">
        <v>196</v>
      </c>
      <c r="B63" s="17" t="s">
        <v>154</v>
      </c>
      <c r="C63" s="17" t="s">
        <v>154</v>
      </c>
      <c r="D63" s="18" t="s">
        <v>154</v>
      </c>
      <c r="E63" s="17" t="s">
        <v>154</v>
      </c>
      <c r="F63" s="18" t="s">
        <v>154</v>
      </c>
      <c r="G63" s="17" t="s">
        <v>154</v>
      </c>
      <c r="H63" s="18" t="s">
        <v>154</v>
      </c>
      <c r="I63" s="17" t="s">
        <v>154</v>
      </c>
      <c r="J63" s="18" t="s">
        <v>154</v>
      </c>
      <c r="K63" s="17" t="s">
        <v>154</v>
      </c>
      <c r="L63" s="18" t="s">
        <v>154</v>
      </c>
      <c r="M63" s="17" t="s">
        <v>154</v>
      </c>
      <c r="N63" s="18" t="s">
        <v>154</v>
      </c>
      <c r="O63" s="17" t="s">
        <v>154</v>
      </c>
      <c r="P63" s="18" t="s">
        <v>154</v>
      </c>
      <c r="Q63" s="17" t="s">
        <v>154</v>
      </c>
      <c r="R63" s="18" t="s">
        <v>154</v>
      </c>
      <c r="S63" s="17" t="s">
        <v>154</v>
      </c>
      <c r="T63" s="18" t="s">
        <v>154</v>
      </c>
    </row>
    <row r="64" spans="1:20" x14ac:dyDescent="0.25">
      <c r="A64" s="11" t="s">
        <v>197</v>
      </c>
      <c r="B64" s="17" t="s">
        <v>154</v>
      </c>
      <c r="C64" s="17" t="s">
        <v>154</v>
      </c>
      <c r="D64" s="18" t="s">
        <v>154</v>
      </c>
      <c r="E64" s="17" t="s">
        <v>154</v>
      </c>
      <c r="F64" s="18" t="s">
        <v>154</v>
      </c>
      <c r="G64" s="17" t="s">
        <v>154</v>
      </c>
      <c r="H64" s="18" t="s">
        <v>154</v>
      </c>
      <c r="I64" s="17" t="s">
        <v>154</v>
      </c>
      <c r="J64" s="18" t="s">
        <v>154</v>
      </c>
      <c r="K64" s="17" t="s">
        <v>154</v>
      </c>
      <c r="L64" s="18" t="s">
        <v>154</v>
      </c>
      <c r="M64" s="17" t="s">
        <v>154</v>
      </c>
      <c r="N64" s="18" t="s">
        <v>154</v>
      </c>
      <c r="O64" s="17" t="s">
        <v>154</v>
      </c>
      <c r="P64" s="18" t="s">
        <v>154</v>
      </c>
      <c r="Q64" s="17" t="s">
        <v>154</v>
      </c>
      <c r="R64" s="18" t="s">
        <v>154</v>
      </c>
      <c r="S64" s="17" t="s">
        <v>154</v>
      </c>
      <c r="T64" s="18" t="s">
        <v>154</v>
      </c>
    </row>
    <row r="65" spans="1:20" x14ac:dyDescent="0.25">
      <c r="A65" s="11" t="s">
        <v>198</v>
      </c>
      <c r="B65" s="17" t="s">
        <v>154</v>
      </c>
      <c r="C65" s="17" t="s">
        <v>154</v>
      </c>
      <c r="D65" s="18" t="s">
        <v>154</v>
      </c>
      <c r="E65" s="17" t="s">
        <v>154</v>
      </c>
      <c r="F65" s="18" t="s">
        <v>154</v>
      </c>
      <c r="G65" s="17" t="s">
        <v>154</v>
      </c>
      <c r="H65" s="18" t="s">
        <v>154</v>
      </c>
      <c r="I65" s="17" t="s">
        <v>154</v>
      </c>
      <c r="J65" s="18" t="s">
        <v>154</v>
      </c>
      <c r="K65" s="17" t="s">
        <v>154</v>
      </c>
      <c r="L65" s="18" t="s">
        <v>154</v>
      </c>
      <c r="M65" s="17" t="s">
        <v>154</v>
      </c>
      <c r="N65" s="18" t="s">
        <v>154</v>
      </c>
      <c r="O65" s="17" t="s">
        <v>154</v>
      </c>
      <c r="P65" s="18" t="s">
        <v>154</v>
      </c>
      <c r="Q65" s="17" t="s">
        <v>154</v>
      </c>
      <c r="R65" s="18" t="s">
        <v>154</v>
      </c>
      <c r="S65" s="17" t="s">
        <v>154</v>
      </c>
      <c r="T65" s="18" t="s">
        <v>154</v>
      </c>
    </row>
    <row r="66" spans="1:20" x14ac:dyDescent="0.25">
      <c r="A66" s="11" t="s">
        <v>199</v>
      </c>
      <c r="B66" s="13">
        <v>5665</v>
      </c>
      <c r="C66" s="14">
        <f>(4745/B66*100)</f>
        <v>83.759929390997357</v>
      </c>
      <c r="D66" s="15">
        <v>920</v>
      </c>
      <c r="E66" s="14">
        <v>8.3630909800000008</v>
      </c>
      <c r="F66" s="16">
        <v>0.91724022000000005</v>
      </c>
      <c r="G66" s="14">
        <v>77.548928099999998</v>
      </c>
      <c r="H66" s="16">
        <v>1.4072358300000001</v>
      </c>
      <c r="I66" s="14">
        <v>14.08798092</v>
      </c>
      <c r="J66" s="16">
        <v>1.1236819300000001</v>
      </c>
      <c r="K66" s="14" t="s">
        <v>139</v>
      </c>
      <c r="L66" s="16" t="s">
        <v>139</v>
      </c>
      <c r="M66" s="14">
        <v>0</v>
      </c>
      <c r="N66" s="16">
        <v>0</v>
      </c>
      <c r="O66" s="14">
        <v>0</v>
      </c>
      <c r="P66" s="16">
        <v>0</v>
      </c>
      <c r="Q66" s="14">
        <v>0</v>
      </c>
      <c r="R66" s="16">
        <v>0</v>
      </c>
      <c r="S66" s="14">
        <v>0</v>
      </c>
      <c r="T66" s="16">
        <v>0</v>
      </c>
    </row>
    <row r="67" spans="1:20" x14ac:dyDescent="0.25">
      <c r="A67" s="11" t="s">
        <v>200</v>
      </c>
      <c r="B67" s="13">
        <v>6971</v>
      </c>
      <c r="C67" s="14">
        <f>(5950/B67*100)</f>
        <v>85.353607803758422</v>
      </c>
      <c r="D67" s="15">
        <v>1021</v>
      </c>
      <c r="E67" s="14">
        <v>10.72563643</v>
      </c>
      <c r="F67" s="16">
        <v>0.97690688000000003</v>
      </c>
      <c r="G67" s="14">
        <v>70.490357309999993</v>
      </c>
      <c r="H67" s="16">
        <v>1.5050302099999999</v>
      </c>
      <c r="I67" s="14">
        <v>18.784006250000001</v>
      </c>
      <c r="J67" s="16">
        <v>1.22624891</v>
      </c>
      <c r="K67" s="14" t="s">
        <v>139</v>
      </c>
      <c r="L67" s="16" t="s">
        <v>139</v>
      </c>
      <c r="M67" s="14">
        <v>0</v>
      </c>
      <c r="N67" s="16">
        <v>0</v>
      </c>
      <c r="O67" s="14">
        <v>0</v>
      </c>
      <c r="P67" s="16">
        <v>0</v>
      </c>
      <c r="Q67" s="14">
        <v>0</v>
      </c>
      <c r="R67" s="16">
        <v>0</v>
      </c>
      <c r="S67" s="14">
        <v>0</v>
      </c>
      <c r="T67" s="16">
        <v>0</v>
      </c>
    </row>
    <row r="68" spans="1:20" x14ac:dyDescent="0.25">
      <c r="A68" s="11" t="s">
        <v>201</v>
      </c>
      <c r="B68" s="17" t="s">
        <v>154</v>
      </c>
      <c r="C68" s="17" t="s">
        <v>154</v>
      </c>
      <c r="D68" s="18" t="s">
        <v>154</v>
      </c>
      <c r="E68" s="17" t="s">
        <v>154</v>
      </c>
      <c r="F68" s="18" t="s">
        <v>154</v>
      </c>
      <c r="G68" s="17" t="s">
        <v>154</v>
      </c>
      <c r="H68" s="18" t="s">
        <v>154</v>
      </c>
      <c r="I68" s="17" t="s">
        <v>154</v>
      </c>
      <c r="J68" s="18" t="s">
        <v>154</v>
      </c>
      <c r="K68" s="17" t="s">
        <v>154</v>
      </c>
      <c r="L68" s="18" t="s">
        <v>154</v>
      </c>
      <c r="M68" s="17" t="s">
        <v>154</v>
      </c>
      <c r="N68" s="18" t="s">
        <v>154</v>
      </c>
      <c r="O68" s="17" t="s">
        <v>154</v>
      </c>
      <c r="P68" s="18" t="s">
        <v>154</v>
      </c>
      <c r="Q68" s="17" t="s">
        <v>154</v>
      </c>
      <c r="R68" s="18" t="s">
        <v>154</v>
      </c>
      <c r="S68" s="17" t="s">
        <v>154</v>
      </c>
      <c r="T68" s="18" t="s">
        <v>154</v>
      </c>
    </row>
    <row r="69" spans="1:20" x14ac:dyDescent="0.25">
      <c r="A69" s="11" t="s">
        <v>202</v>
      </c>
      <c r="B69" s="17" t="s">
        <v>154</v>
      </c>
      <c r="C69" s="17" t="s">
        <v>154</v>
      </c>
      <c r="D69" s="18" t="s">
        <v>154</v>
      </c>
      <c r="E69" s="17" t="s">
        <v>154</v>
      </c>
      <c r="F69" s="18" t="s">
        <v>154</v>
      </c>
      <c r="G69" s="17" t="s">
        <v>154</v>
      </c>
      <c r="H69" s="18" t="s">
        <v>154</v>
      </c>
      <c r="I69" s="17" t="s">
        <v>154</v>
      </c>
      <c r="J69" s="18" t="s">
        <v>154</v>
      </c>
      <c r="K69" s="17" t="s">
        <v>154</v>
      </c>
      <c r="L69" s="18" t="s">
        <v>154</v>
      </c>
      <c r="M69" s="17" t="s">
        <v>154</v>
      </c>
      <c r="N69" s="18" t="s">
        <v>154</v>
      </c>
      <c r="O69" s="17" t="s">
        <v>154</v>
      </c>
      <c r="P69" s="18" t="s">
        <v>154</v>
      </c>
      <c r="Q69" s="17" t="s">
        <v>154</v>
      </c>
      <c r="R69" s="18" t="s">
        <v>154</v>
      </c>
      <c r="S69" s="17" t="s">
        <v>154</v>
      </c>
      <c r="T69" s="18" t="s">
        <v>154</v>
      </c>
    </row>
    <row r="70" spans="1:20" x14ac:dyDescent="0.25">
      <c r="A70" s="11" t="s">
        <v>203</v>
      </c>
      <c r="B70" s="13">
        <v>6036</v>
      </c>
      <c r="C70" s="14">
        <f>(5024/B70*100)</f>
        <v>83.233929754804507</v>
      </c>
      <c r="D70" s="15">
        <v>1012</v>
      </c>
      <c r="E70" s="14">
        <v>6.35959392</v>
      </c>
      <c r="F70" s="16">
        <v>0.83839213000000001</v>
      </c>
      <c r="G70" s="14">
        <v>78.947343070000002</v>
      </c>
      <c r="H70" s="16">
        <v>1.5661684</v>
      </c>
      <c r="I70" s="14">
        <v>14.693063009999999</v>
      </c>
      <c r="J70" s="16">
        <v>1.5253920000000001</v>
      </c>
      <c r="K70" s="14" t="s">
        <v>139</v>
      </c>
      <c r="L70" s="16" t="s">
        <v>139</v>
      </c>
      <c r="M70" s="14">
        <v>0</v>
      </c>
      <c r="N70" s="16">
        <v>0</v>
      </c>
      <c r="O70" s="14">
        <v>0</v>
      </c>
      <c r="P70" s="16">
        <v>0</v>
      </c>
      <c r="Q70" s="14">
        <v>0</v>
      </c>
      <c r="R70" s="16">
        <v>0</v>
      </c>
      <c r="S70" s="14">
        <v>0</v>
      </c>
      <c r="T70" s="16">
        <v>0</v>
      </c>
    </row>
    <row r="71" spans="1:20" x14ac:dyDescent="0.25">
      <c r="A71" s="11" t="s">
        <v>204</v>
      </c>
      <c r="B71" s="17" t="s">
        <v>154</v>
      </c>
      <c r="C71" s="17" t="s">
        <v>154</v>
      </c>
      <c r="D71" s="18" t="s">
        <v>154</v>
      </c>
      <c r="E71" s="17" t="s">
        <v>154</v>
      </c>
      <c r="F71" s="18" t="s">
        <v>154</v>
      </c>
      <c r="G71" s="17" t="s">
        <v>154</v>
      </c>
      <c r="H71" s="18" t="s">
        <v>154</v>
      </c>
      <c r="I71" s="17" t="s">
        <v>154</v>
      </c>
      <c r="J71" s="18" t="s">
        <v>154</v>
      </c>
      <c r="K71" s="17" t="s">
        <v>154</v>
      </c>
      <c r="L71" s="18" t="s">
        <v>154</v>
      </c>
      <c r="M71" s="17" t="s">
        <v>154</v>
      </c>
      <c r="N71" s="18" t="s">
        <v>154</v>
      </c>
      <c r="O71" s="17" t="s">
        <v>154</v>
      </c>
      <c r="P71" s="18" t="s">
        <v>154</v>
      </c>
      <c r="Q71" s="17" t="s">
        <v>154</v>
      </c>
      <c r="R71" s="18" t="s">
        <v>154</v>
      </c>
      <c r="S71" s="17" t="s">
        <v>154</v>
      </c>
      <c r="T71" s="18" t="s">
        <v>154</v>
      </c>
    </row>
    <row r="72" spans="1:20" x14ac:dyDescent="0.25">
      <c r="A72" s="11" t="s">
        <v>205</v>
      </c>
      <c r="B72" s="13">
        <v>7708</v>
      </c>
      <c r="C72" s="14">
        <f>(6366/B72*100)</f>
        <v>82.589517384535554</v>
      </c>
      <c r="D72" s="15">
        <v>1342</v>
      </c>
      <c r="E72" s="14">
        <v>7.0357870800000004</v>
      </c>
      <c r="F72" s="16">
        <v>0.68140864999999995</v>
      </c>
      <c r="G72" s="14">
        <v>60.552874289999998</v>
      </c>
      <c r="H72" s="16">
        <v>1.28852568</v>
      </c>
      <c r="I72" s="14">
        <v>32.411338639999997</v>
      </c>
      <c r="J72" s="16">
        <v>1.3158973199999999</v>
      </c>
      <c r="K72" s="14" t="s">
        <v>139</v>
      </c>
      <c r="L72" s="16" t="s">
        <v>139</v>
      </c>
      <c r="M72" s="14">
        <v>0</v>
      </c>
      <c r="N72" s="16">
        <v>0</v>
      </c>
      <c r="O72" s="14">
        <v>0</v>
      </c>
      <c r="P72" s="16">
        <v>0</v>
      </c>
      <c r="Q72" s="14">
        <v>0</v>
      </c>
      <c r="R72" s="16">
        <v>0</v>
      </c>
      <c r="S72" s="14">
        <v>0</v>
      </c>
      <c r="T72" s="16">
        <v>0</v>
      </c>
    </row>
    <row r="73" spans="1:20" x14ac:dyDescent="0.25">
      <c r="A73" s="11" t="s">
        <v>206</v>
      </c>
      <c r="B73" s="13">
        <v>8249</v>
      </c>
      <c r="C73" s="14">
        <f>(6930/B73*100)</f>
        <v>84.010183052491215</v>
      </c>
      <c r="D73" s="15">
        <v>1319</v>
      </c>
      <c r="E73" s="14">
        <v>20.248858290000001</v>
      </c>
      <c r="F73" s="16">
        <v>1.54052985</v>
      </c>
      <c r="G73" s="14">
        <v>58.374720969999998</v>
      </c>
      <c r="H73" s="16">
        <v>1.6208571599999999</v>
      </c>
      <c r="I73" s="14">
        <v>21.37642073</v>
      </c>
      <c r="J73" s="16">
        <v>1.49000584</v>
      </c>
      <c r="K73" s="14" t="s">
        <v>139</v>
      </c>
      <c r="L73" s="16" t="s">
        <v>139</v>
      </c>
      <c r="M73" s="14">
        <v>0</v>
      </c>
      <c r="N73" s="16">
        <v>0</v>
      </c>
      <c r="O73" s="14">
        <v>0</v>
      </c>
      <c r="P73" s="16">
        <v>0</v>
      </c>
      <c r="Q73" s="14">
        <v>0</v>
      </c>
      <c r="R73" s="16">
        <v>0</v>
      </c>
      <c r="S73" s="14">
        <v>0</v>
      </c>
      <c r="T73" s="16">
        <v>0</v>
      </c>
    </row>
    <row r="74" spans="1:20" x14ac:dyDescent="0.25">
      <c r="A74" s="11" t="s">
        <v>207</v>
      </c>
      <c r="B74" s="17" t="s">
        <v>154</v>
      </c>
      <c r="C74" s="17" t="s">
        <v>154</v>
      </c>
      <c r="D74" s="18" t="s">
        <v>154</v>
      </c>
      <c r="E74" s="17" t="s">
        <v>154</v>
      </c>
      <c r="F74" s="18" t="s">
        <v>154</v>
      </c>
      <c r="G74" s="17" t="s">
        <v>154</v>
      </c>
      <c r="H74" s="18" t="s">
        <v>154</v>
      </c>
      <c r="I74" s="17" t="s">
        <v>154</v>
      </c>
      <c r="J74" s="18" t="s">
        <v>154</v>
      </c>
      <c r="K74" s="17" t="s">
        <v>154</v>
      </c>
      <c r="L74" s="18" t="s">
        <v>154</v>
      </c>
      <c r="M74" s="17" t="s">
        <v>154</v>
      </c>
      <c r="N74" s="18" t="s">
        <v>154</v>
      </c>
      <c r="O74" s="17" t="s">
        <v>154</v>
      </c>
      <c r="P74" s="18" t="s">
        <v>154</v>
      </c>
      <c r="Q74" s="17" t="s">
        <v>154</v>
      </c>
      <c r="R74" s="18" t="s">
        <v>154</v>
      </c>
      <c r="S74" s="17" t="s">
        <v>154</v>
      </c>
      <c r="T74" s="18" t="s">
        <v>154</v>
      </c>
    </row>
    <row r="75" spans="1:20" x14ac:dyDescent="0.25">
      <c r="A75" s="11" t="s">
        <v>208</v>
      </c>
      <c r="B75" s="13">
        <v>5375</v>
      </c>
      <c r="C75" s="14">
        <f>(4570/B75*100)</f>
        <v>85.023255813953497</v>
      </c>
      <c r="D75" s="15">
        <v>805</v>
      </c>
      <c r="E75" s="14">
        <v>16.134403429999999</v>
      </c>
      <c r="F75" s="16">
        <v>1.23657018</v>
      </c>
      <c r="G75" s="14">
        <v>69.958745489999998</v>
      </c>
      <c r="H75" s="16">
        <v>1.7597493099999999</v>
      </c>
      <c r="I75" s="14">
        <v>13.906851079999999</v>
      </c>
      <c r="J75" s="16">
        <v>1.3107008200000001</v>
      </c>
      <c r="K75" s="14" t="s">
        <v>139</v>
      </c>
      <c r="L75" s="16" t="s">
        <v>139</v>
      </c>
      <c r="M75" s="14">
        <v>0</v>
      </c>
      <c r="N75" s="16">
        <v>0</v>
      </c>
      <c r="O75" s="14">
        <v>0</v>
      </c>
      <c r="P75" s="16">
        <v>0</v>
      </c>
      <c r="Q75" s="14">
        <v>0</v>
      </c>
      <c r="R75" s="16">
        <v>0</v>
      </c>
      <c r="S75" s="14">
        <v>0</v>
      </c>
      <c r="T75" s="16">
        <v>0</v>
      </c>
    </row>
    <row r="76" spans="1:20" x14ac:dyDescent="0.25">
      <c r="A76" s="11" t="s">
        <v>209</v>
      </c>
      <c r="B76" s="13">
        <v>14167</v>
      </c>
      <c r="C76" s="14">
        <f>(11781/B76*100)</f>
        <v>83.158043340156709</v>
      </c>
      <c r="D76" s="15">
        <v>2386</v>
      </c>
      <c r="E76" s="14">
        <v>10.12992618</v>
      </c>
      <c r="F76" s="16">
        <v>0.71266335000000003</v>
      </c>
      <c r="G76" s="14">
        <v>71.680007649999993</v>
      </c>
      <c r="H76" s="16">
        <v>1.17121414</v>
      </c>
      <c r="I76" s="14">
        <v>18.190066170000001</v>
      </c>
      <c r="J76" s="16">
        <v>1.0141523400000001</v>
      </c>
      <c r="K76" s="14" t="s">
        <v>139</v>
      </c>
      <c r="L76" s="16" t="s">
        <v>139</v>
      </c>
      <c r="M76" s="14">
        <v>0</v>
      </c>
      <c r="N76" s="16">
        <v>0</v>
      </c>
      <c r="O76" s="14">
        <v>0</v>
      </c>
      <c r="P76" s="16">
        <v>0</v>
      </c>
      <c r="Q76" s="14">
        <v>0</v>
      </c>
      <c r="R76" s="16">
        <v>0</v>
      </c>
      <c r="S76" s="14">
        <v>0</v>
      </c>
      <c r="T76" s="16">
        <v>0</v>
      </c>
    </row>
    <row r="77" spans="1:20" x14ac:dyDescent="0.25">
      <c r="A77" s="11" t="s">
        <v>210</v>
      </c>
      <c r="B77" s="13">
        <v>6062</v>
      </c>
      <c r="C77" s="14">
        <f>(5104/B77*100)</f>
        <v>84.196634774001978</v>
      </c>
      <c r="D77" s="15">
        <v>958</v>
      </c>
      <c r="E77" s="14">
        <v>6.75991461</v>
      </c>
      <c r="F77" s="16">
        <v>0.91027729000000002</v>
      </c>
      <c r="G77" s="14">
        <v>74.091688540000007</v>
      </c>
      <c r="H77" s="16">
        <v>1.4315343199999999</v>
      </c>
      <c r="I77" s="14">
        <v>19.148396850000001</v>
      </c>
      <c r="J77" s="16">
        <v>1.2495177399999999</v>
      </c>
      <c r="K77" s="14" t="s">
        <v>139</v>
      </c>
      <c r="L77" s="16" t="s">
        <v>139</v>
      </c>
      <c r="M77" s="14">
        <v>0</v>
      </c>
      <c r="N77" s="16">
        <v>0</v>
      </c>
      <c r="O77" s="14">
        <v>0</v>
      </c>
      <c r="P77" s="16">
        <v>0</v>
      </c>
      <c r="Q77" s="14">
        <v>0</v>
      </c>
      <c r="R77" s="16">
        <v>0</v>
      </c>
      <c r="S77" s="14">
        <v>0</v>
      </c>
      <c r="T77" s="16">
        <v>0</v>
      </c>
    </row>
    <row r="78" spans="1:20" x14ac:dyDescent="0.25">
      <c r="A78" s="11" t="s">
        <v>211</v>
      </c>
      <c r="B78" s="17" t="s">
        <v>154</v>
      </c>
      <c r="C78" s="17" t="s">
        <v>154</v>
      </c>
      <c r="D78" s="18" t="s">
        <v>154</v>
      </c>
      <c r="E78" s="17" t="s">
        <v>154</v>
      </c>
      <c r="F78" s="18" t="s">
        <v>154</v>
      </c>
      <c r="G78" s="17" t="s">
        <v>154</v>
      </c>
      <c r="H78" s="18" t="s">
        <v>154</v>
      </c>
      <c r="I78" s="17" t="s">
        <v>154</v>
      </c>
      <c r="J78" s="18" t="s">
        <v>154</v>
      </c>
      <c r="K78" s="17" t="s">
        <v>154</v>
      </c>
      <c r="L78" s="18" t="s">
        <v>154</v>
      </c>
      <c r="M78" s="17" t="s">
        <v>154</v>
      </c>
      <c r="N78" s="18" t="s">
        <v>154</v>
      </c>
      <c r="O78" s="17" t="s">
        <v>154</v>
      </c>
      <c r="P78" s="18" t="s">
        <v>154</v>
      </c>
      <c r="Q78" s="17" t="s">
        <v>154</v>
      </c>
      <c r="R78" s="18" t="s">
        <v>154</v>
      </c>
      <c r="S78" s="17" t="s">
        <v>154</v>
      </c>
      <c r="T78" s="18" t="s">
        <v>154</v>
      </c>
    </row>
    <row r="79" spans="1:20" ht="24.95" customHeight="1" x14ac:dyDescent="0.25">
      <c r="A79" s="11" t="s">
        <v>212</v>
      </c>
      <c r="B79" s="17" t="s">
        <v>154</v>
      </c>
      <c r="C79" s="17" t="s">
        <v>154</v>
      </c>
      <c r="D79" s="18" t="s">
        <v>154</v>
      </c>
      <c r="E79" s="17" t="s">
        <v>154</v>
      </c>
      <c r="F79" s="18" t="s">
        <v>154</v>
      </c>
      <c r="G79" s="17" t="s">
        <v>154</v>
      </c>
      <c r="H79" s="18" t="s">
        <v>154</v>
      </c>
      <c r="I79" s="17" t="s">
        <v>154</v>
      </c>
      <c r="J79" s="18" t="s">
        <v>154</v>
      </c>
      <c r="K79" s="17" t="s">
        <v>154</v>
      </c>
      <c r="L79" s="18" t="s">
        <v>154</v>
      </c>
      <c r="M79" s="17" t="s">
        <v>154</v>
      </c>
      <c r="N79" s="18" t="s">
        <v>154</v>
      </c>
      <c r="O79" s="17" t="s">
        <v>154</v>
      </c>
      <c r="P79" s="18" t="s">
        <v>154</v>
      </c>
      <c r="Q79" s="17" t="s">
        <v>154</v>
      </c>
      <c r="R79" s="18" t="s">
        <v>154</v>
      </c>
      <c r="S79" s="17" t="s">
        <v>154</v>
      </c>
      <c r="T79" s="18" t="s">
        <v>154</v>
      </c>
    </row>
    <row r="80" spans="1:20" x14ac:dyDescent="0.25">
      <c r="A80" s="11" t="s">
        <v>213</v>
      </c>
      <c r="B80" s="17" t="s">
        <v>154</v>
      </c>
      <c r="C80" s="17" t="s">
        <v>154</v>
      </c>
      <c r="D80" s="18" t="s">
        <v>154</v>
      </c>
      <c r="E80" s="17" t="s">
        <v>154</v>
      </c>
      <c r="F80" s="18" t="s">
        <v>154</v>
      </c>
      <c r="G80" s="17" t="s">
        <v>154</v>
      </c>
      <c r="H80" s="18" t="s">
        <v>154</v>
      </c>
      <c r="I80" s="17" t="s">
        <v>154</v>
      </c>
      <c r="J80" s="18" t="s">
        <v>154</v>
      </c>
      <c r="K80" s="17" t="s">
        <v>154</v>
      </c>
      <c r="L80" s="18" t="s">
        <v>154</v>
      </c>
      <c r="M80" s="17" t="s">
        <v>154</v>
      </c>
      <c r="N80" s="18" t="s">
        <v>154</v>
      </c>
      <c r="O80" s="17" t="s">
        <v>154</v>
      </c>
      <c r="P80" s="18" t="s">
        <v>154</v>
      </c>
      <c r="Q80" s="17" t="s">
        <v>154</v>
      </c>
      <c r="R80" s="18" t="s">
        <v>154</v>
      </c>
      <c r="S80" s="17" t="s">
        <v>154</v>
      </c>
      <c r="T80" s="18" t="s">
        <v>154</v>
      </c>
    </row>
    <row r="81" spans="1:20" x14ac:dyDescent="0.25">
      <c r="A81" s="19" t="s">
        <v>214</v>
      </c>
      <c r="B81" s="13">
        <v>8861</v>
      </c>
      <c r="C81" s="14">
        <f>(7356/B81*100)</f>
        <v>83.015461008915466</v>
      </c>
      <c r="D81" s="15">
        <v>1505</v>
      </c>
      <c r="E81" s="14">
        <v>10.53329132</v>
      </c>
      <c r="F81" s="16">
        <v>1.1266430999999999</v>
      </c>
      <c r="G81" s="14">
        <v>68.89815308</v>
      </c>
      <c r="H81" s="16">
        <v>1.4600853</v>
      </c>
      <c r="I81" s="14">
        <v>20.568555610000001</v>
      </c>
      <c r="J81" s="16">
        <v>1.3716510200000001</v>
      </c>
      <c r="K81" s="14" t="s">
        <v>139</v>
      </c>
      <c r="L81" s="16" t="s">
        <v>139</v>
      </c>
      <c r="M81" s="14">
        <v>0</v>
      </c>
      <c r="N81" s="16">
        <v>0</v>
      </c>
      <c r="O81" s="14">
        <v>0</v>
      </c>
      <c r="P81" s="16">
        <v>0</v>
      </c>
      <c r="Q81" s="14">
        <v>0</v>
      </c>
      <c r="R81" s="16">
        <v>0</v>
      </c>
      <c r="S81" s="14">
        <v>0</v>
      </c>
      <c r="T81" s="16">
        <v>0</v>
      </c>
    </row>
    <row r="82" spans="1:20" x14ac:dyDescent="0.25">
      <c r="A82" s="20"/>
      <c r="B82" s="20" t="s">
        <v>215</v>
      </c>
      <c r="C82" s="20" t="s">
        <v>215</v>
      </c>
      <c r="D82" s="20" t="s">
        <v>215</v>
      </c>
      <c r="E82" s="20" t="s">
        <v>215</v>
      </c>
      <c r="F82" s="20" t="s">
        <v>215</v>
      </c>
      <c r="G82" s="20" t="s">
        <v>215</v>
      </c>
      <c r="H82" s="20" t="s">
        <v>215</v>
      </c>
      <c r="I82" s="20" t="s">
        <v>215</v>
      </c>
      <c r="J82" s="20" t="s">
        <v>215</v>
      </c>
      <c r="K82" s="20" t="s">
        <v>215</v>
      </c>
      <c r="L82" s="20" t="s">
        <v>215</v>
      </c>
      <c r="M82" s="20" t="s">
        <v>215</v>
      </c>
      <c r="N82" s="20" t="s">
        <v>215</v>
      </c>
      <c r="O82" s="20" t="s">
        <v>215</v>
      </c>
      <c r="P82" s="20" t="s">
        <v>215</v>
      </c>
      <c r="Q82" s="20" t="s">
        <v>215</v>
      </c>
      <c r="R82" s="20" t="s">
        <v>215</v>
      </c>
      <c r="S82" s="20" t="s">
        <v>215</v>
      </c>
      <c r="T82" s="20" t="s">
        <v>215</v>
      </c>
    </row>
    <row r="83" spans="1:20" x14ac:dyDescent="0.25">
      <c r="A83" s="3" t="s">
        <v>216</v>
      </c>
    </row>
    <row r="84" spans="1:20" x14ac:dyDescent="0.25">
      <c r="A84" s="22" t="s">
        <v>217</v>
      </c>
      <c r="B84" s="23"/>
      <c r="C84" s="23"/>
      <c r="D84" s="23"/>
      <c r="E84" s="23"/>
      <c r="F84" s="23"/>
      <c r="G84" s="23"/>
      <c r="H84" s="23"/>
      <c r="I84" s="23"/>
      <c r="J84" s="23"/>
      <c r="K84" s="23"/>
      <c r="L84" s="23"/>
      <c r="M84" s="23"/>
      <c r="N84" s="23"/>
      <c r="O84" s="23"/>
      <c r="P84" s="23"/>
      <c r="Q84" s="23"/>
      <c r="R84" s="23"/>
      <c r="S84" s="23"/>
      <c r="T84" s="23"/>
    </row>
    <row r="85" spans="1:20" x14ac:dyDescent="0.25">
      <c r="A85" s="22" t="s">
        <v>218</v>
      </c>
      <c r="B85" s="23"/>
      <c r="C85" s="23"/>
      <c r="D85" s="23"/>
      <c r="E85" s="23"/>
      <c r="F85" s="23"/>
      <c r="G85" s="23"/>
      <c r="H85" s="23"/>
      <c r="I85" s="23"/>
      <c r="J85" s="23"/>
      <c r="K85" s="23"/>
      <c r="L85" s="23"/>
      <c r="M85" s="23"/>
      <c r="N85" s="23"/>
      <c r="O85" s="23"/>
      <c r="P85" s="23"/>
      <c r="Q85" s="23"/>
      <c r="R85" s="23"/>
      <c r="S85" s="23"/>
      <c r="T85" s="23"/>
    </row>
    <row r="86" spans="1:20" ht="30" customHeight="1" x14ac:dyDescent="0.25">
      <c r="A86" s="22" t="s">
        <v>219</v>
      </c>
      <c r="B86" s="23"/>
      <c r="C86" s="23"/>
      <c r="D86" s="23"/>
      <c r="E86" s="23"/>
      <c r="F86" s="23"/>
      <c r="G86" s="23"/>
      <c r="H86" s="23"/>
      <c r="I86" s="23"/>
      <c r="J86" s="23"/>
      <c r="K86" s="23"/>
      <c r="L86" s="23"/>
      <c r="M86" s="23"/>
      <c r="N86" s="23"/>
      <c r="O86" s="23"/>
      <c r="P86" s="23"/>
      <c r="Q86" s="23"/>
      <c r="R86" s="23"/>
      <c r="S86" s="23"/>
      <c r="T86" s="23"/>
    </row>
    <row r="87" spans="1:20" ht="30" customHeight="1" x14ac:dyDescent="0.25">
      <c r="A87" s="22" t="s">
        <v>215</v>
      </c>
      <c r="B87" s="23"/>
      <c r="C87" s="23"/>
      <c r="D87" s="23"/>
      <c r="E87" s="23"/>
      <c r="F87" s="23"/>
      <c r="G87" s="23"/>
      <c r="H87" s="23"/>
      <c r="I87" s="23"/>
      <c r="J87" s="23"/>
      <c r="K87" s="23"/>
      <c r="L87" s="23"/>
      <c r="M87" s="23"/>
      <c r="N87" s="23"/>
      <c r="O87" s="23"/>
      <c r="P87" s="23"/>
      <c r="Q87" s="23"/>
      <c r="R87" s="23"/>
      <c r="S87" s="23"/>
      <c r="T87" s="23"/>
    </row>
    <row r="88" spans="1:20" ht="30" customHeight="1" x14ac:dyDescent="0.25">
      <c r="A88" s="22" t="s">
        <v>220</v>
      </c>
      <c r="B88" s="23"/>
      <c r="C88" s="23"/>
      <c r="D88" s="23"/>
      <c r="E88" s="23"/>
      <c r="F88" s="23"/>
      <c r="G88" s="23"/>
      <c r="H88" s="23"/>
      <c r="I88" s="23"/>
      <c r="J88" s="23"/>
      <c r="K88" s="23"/>
      <c r="L88" s="23"/>
      <c r="M88" s="23"/>
      <c r="N88" s="23"/>
      <c r="O88" s="23"/>
      <c r="P88" s="23"/>
      <c r="Q88" s="23"/>
      <c r="R88" s="23"/>
      <c r="S88" s="23"/>
      <c r="T88" s="23"/>
    </row>
    <row r="89" spans="1:20" ht="30" customHeight="1" x14ac:dyDescent="0.25">
      <c r="A89" s="22" t="s">
        <v>221</v>
      </c>
      <c r="B89" s="23"/>
      <c r="C89" s="23"/>
      <c r="D89" s="23"/>
      <c r="E89" s="23"/>
      <c r="F89" s="23"/>
      <c r="G89" s="23"/>
      <c r="H89" s="23"/>
      <c r="I89" s="23"/>
      <c r="J89" s="23"/>
      <c r="K89" s="23"/>
      <c r="L89" s="23"/>
      <c r="M89" s="23"/>
      <c r="N89" s="23"/>
      <c r="O89" s="23"/>
      <c r="P89" s="23"/>
      <c r="Q89" s="23"/>
      <c r="R89" s="23"/>
      <c r="S89" s="23"/>
      <c r="T89" s="23"/>
    </row>
    <row r="90" spans="1:20" ht="30" customHeight="1" x14ac:dyDescent="0.25">
      <c r="A90" s="22" t="s">
        <v>222</v>
      </c>
      <c r="B90" s="23"/>
      <c r="C90" s="23"/>
      <c r="D90" s="23"/>
      <c r="E90" s="23"/>
      <c r="F90" s="23"/>
      <c r="G90" s="23"/>
      <c r="H90" s="23"/>
      <c r="I90" s="23"/>
      <c r="J90" s="23"/>
      <c r="K90" s="23"/>
      <c r="L90" s="23"/>
      <c r="M90" s="23"/>
      <c r="N90" s="23"/>
      <c r="O90" s="23"/>
      <c r="P90" s="23"/>
      <c r="Q90" s="23"/>
      <c r="R90" s="23"/>
      <c r="S90" s="23"/>
      <c r="T90" s="23"/>
    </row>
    <row r="91" spans="1:20" ht="30" customHeight="1" x14ac:dyDescent="0.25">
      <c r="A91" s="22" t="s">
        <v>223</v>
      </c>
      <c r="B91" s="23"/>
      <c r="C91" s="23"/>
      <c r="D91" s="23"/>
      <c r="E91" s="23"/>
      <c r="F91" s="23"/>
      <c r="G91" s="23"/>
      <c r="H91" s="23"/>
      <c r="I91" s="23"/>
      <c r="J91" s="23"/>
      <c r="K91" s="23"/>
      <c r="L91" s="23"/>
      <c r="M91" s="23"/>
      <c r="N91" s="23"/>
      <c r="O91" s="23"/>
      <c r="P91" s="23"/>
      <c r="Q91" s="23"/>
      <c r="R91" s="23"/>
      <c r="S91" s="23"/>
      <c r="T91" s="23"/>
    </row>
    <row r="92" spans="1:20" ht="30" customHeight="1" x14ac:dyDescent="0.25">
      <c r="A92" s="22" t="s">
        <v>224</v>
      </c>
      <c r="B92" s="23"/>
      <c r="C92" s="23"/>
      <c r="D92" s="23"/>
      <c r="E92" s="23"/>
      <c r="F92" s="23"/>
      <c r="G92" s="23"/>
      <c r="H92" s="23"/>
      <c r="I92" s="23"/>
      <c r="J92" s="23"/>
      <c r="K92" s="23"/>
      <c r="L92" s="23"/>
      <c r="M92" s="23"/>
      <c r="N92" s="23"/>
      <c r="O92" s="23"/>
      <c r="P92" s="23"/>
      <c r="Q92" s="23"/>
      <c r="R92" s="23"/>
      <c r="S92" s="23"/>
      <c r="T92" s="23"/>
    </row>
    <row r="93" spans="1:20" ht="30" customHeight="1" x14ac:dyDescent="0.25">
      <c r="A93" s="22" t="s">
        <v>225</v>
      </c>
      <c r="B93" s="23"/>
      <c r="C93" s="23"/>
      <c r="D93" s="23"/>
      <c r="E93" s="23"/>
      <c r="F93" s="23"/>
      <c r="G93" s="23"/>
      <c r="H93" s="23"/>
      <c r="I93" s="23"/>
      <c r="J93" s="23"/>
      <c r="K93" s="23"/>
      <c r="L93" s="23"/>
      <c r="M93" s="23"/>
      <c r="N93" s="23"/>
      <c r="O93" s="23"/>
      <c r="P93" s="23"/>
      <c r="Q93" s="23"/>
      <c r="R93" s="23"/>
      <c r="S93" s="23"/>
      <c r="T93" s="23"/>
    </row>
    <row r="94" spans="1:20" ht="30" customHeight="1" x14ac:dyDescent="0.25">
      <c r="A94" s="22" t="s">
        <v>226</v>
      </c>
      <c r="B94" s="23"/>
      <c r="C94" s="23"/>
      <c r="D94" s="23"/>
      <c r="E94" s="23"/>
      <c r="F94" s="23"/>
      <c r="G94" s="23"/>
      <c r="H94" s="23"/>
      <c r="I94" s="23"/>
      <c r="J94" s="23"/>
      <c r="K94" s="23"/>
      <c r="L94" s="23"/>
      <c r="M94" s="23"/>
      <c r="N94" s="23"/>
      <c r="O94" s="23"/>
      <c r="P94" s="23"/>
      <c r="Q94" s="23"/>
      <c r="R94" s="23"/>
      <c r="S94" s="23"/>
      <c r="T94" s="23"/>
    </row>
    <row r="95" spans="1:20" ht="30" customHeight="1" x14ac:dyDescent="0.25">
      <c r="A95" s="22" t="s">
        <v>227</v>
      </c>
      <c r="B95" s="23"/>
      <c r="C95" s="23"/>
      <c r="D95" s="23"/>
      <c r="E95" s="23"/>
      <c r="F95" s="23"/>
      <c r="G95" s="23"/>
      <c r="H95" s="23"/>
      <c r="I95" s="23"/>
      <c r="J95" s="23"/>
      <c r="K95" s="23"/>
      <c r="L95" s="23"/>
      <c r="M95" s="23"/>
      <c r="N95" s="23"/>
      <c r="O95" s="23"/>
      <c r="P95" s="23"/>
      <c r="Q95" s="23"/>
      <c r="R95" s="23"/>
      <c r="S95" s="23"/>
      <c r="T95" s="23"/>
    </row>
    <row r="96" spans="1:20" ht="30" customHeight="1" x14ac:dyDescent="0.25">
      <c r="A96" s="22" t="s">
        <v>228</v>
      </c>
      <c r="B96" s="23"/>
      <c r="C96" s="23"/>
      <c r="D96" s="23"/>
      <c r="E96" s="23"/>
      <c r="F96" s="23"/>
      <c r="G96" s="23"/>
      <c r="H96" s="23"/>
      <c r="I96" s="23"/>
      <c r="J96" s="23"/>
      <c r="K96" s="23"/>
      <c r="L96" s="23"/>
      <c r="M96" s="23"/>
      <c r="N96" s="23"/>
      <c r="O96" s="23"/>
      <c r="P96" s="23"/>
      <c r="Q96" s="23"/>
      <c r="R96" s="23"/>
      <c r="S96" s="23"/>
      <c r="T96" s="23"/>
    </row>
  </sheetData>
  <mergeCells count="23">
    <mergeCell ref="O4:P4"/>
    <mergeCell ref="Q4:R4"/>
    <mergeCell ref="S4:T4"/>
    <mergeCell ref="A1:T1"/>
    <mergeCell ref="A2:T2"/>
    <mergeCell ref="E4:F4"/>
    <mergeCell ref="G4:H4"/>
    <mergeCell ref="I4:J4"/>
    <mergeCell ref="K4:L4"/>
    <mergeCell ref="M4:N4"/>
    <mergeCell ref="A84:T84"/>
    <mergeCell ref="A85:T85"/>
    <mergeCell ref="A86:T86"/>
    <mergeCell ref="A87:T87"/>
    <mergeCell ref="A88:T88"/>
    <mergeCell ref="A94:T94"/>
    <mergeCell ref="A95:T95"/>
    <mergeCell ref="A96:T96"/>
    <mergeCell ref="A89:T89"/>
    <mergeCell ref="A90:T90"/>
    <mergeCell ref="A91:T91"/>
    <mergeCell ref="A92:T92"/>
    <mergeCell ref="A93:T93"/>
  </mergeCells>
  <pageMargins left="0.75" right="0.75" top="1" bottom="1" header="0.5" footer="0.5"/>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2"/>
  <dimension ref="A1:R96"/>
  <sheetViews>
    <sheetView zoomScale="80" workbookViewId="0">
      <pane xSplit="4" topLeftCell="E1" activePane="topRight" state="frozen"/>
      <selection sqref="A1:R1"/>
      <selection pane="topRight" sqref="A1:R1"/>
    </sheetView>
  </sheetViews>
  <sheetFormatPr defaultColWidth="11.42578125" defaultRowHeight="15" x14ac:dyDescent="0.25"/>
  <cols>
    <col min="1" max="1" width="50" customWidth="1"/>
  </cols>
  <sheetData>
    <row r="1" spans="1:18" x14ac:dyDescent="0.25">
      <c r="A1" s="26" t="s">
        <v>122</v>
      </c>
      <c r="B1" s="23"/>
      <c r="C1" s="23"/>
      <c r="D1" s="23"/>
      <c r="E1" s="23"/>
      <c r="F1" s="23"/>
      <c r="G1" s="23"/>
      <c r="H1" s="23"/>
      <c r="I1" s="23"/>
      <c r="J1" s="23"/>
      <c r="K1" s="23"/>
      <c r="L1" s="23"/>
      <c r="M1" s="23"/>
      <c r="N1" s="23"/>
      <c r="O1" s="23"/>
      <c r="P1" s="23"/>
      <c r="Q1" s="23"/>
      <c r="R1" s="23"/>
    </row>
    <row r="2" spans="1:18" x14ac:dyDescent="0.25">
      <c r="A2" s="27" t="s">
        <v>338</v>
      </c>
      <c r="B2" s="23"/>
      <c r="C2" s="23"/>
      <c r="D2" s="23"/>
      <c r="E2" s="23"/>
      <c r="F2" s="23"/>
      <c r="G2" s="23"/>
      <c r="H2" s="23"/>
      <c r="I2" s="23"/>
      <c r="J2" s="23"/>
      <c r="K2" s="23"/>
      <c r="L2" s="23"/>
      <c r="M2" s="23"/>
      <c r="N2" s="23"/>
      <c r="O2" s="23"/>
      <c r="P2" s="23"/>
      <c r="Q2" s="23"/>
      <c r="R2" s="23"/>
    </row>
    <row r="4" spans="1:18" ht="30" customHeight="1" x14ac:dyDescent="0.25">
      <c r="A4" s="4"/>
      <c r="B4" s="5" t="s">
        <v>123</v>
      </c>
      <c r="C4" s="5" t="s">
        <v>124</v>
      </c>
      <c r="D4" s="6" t="s">
        <v>123</v>
      </c>
      <c r="E4" s="24" t="s">
        <v>125</v>
      </c>
      <c r="F4" s="25"/>
      <c r="G4" s="24" t="s">
        <v>126</v>
      </c>
      <c r="H4" s="25"/>
      <c r="I4" s="24" t="s">
        <v>127</v>
      </c>
      <c r="J4" s="25"/>
      <c r="K4" s="24" t="s">
        <v>128</v>
      </c>
      <c r="L4" s="25"/>
      <c r="M4" s="24" t="s">
        <v>129</v>
      </c>
      <c r="N4" s="25"/>
      <c r="O4" s="24" t="s">
        <v>130</v>
      </c>
      <c r="P4" s="25"/>
      <c r="Q4" s="24" t="s">
        <v>131</v>
      </c>
      <c r="R4" s="25"/>
    </row>
    <row r="5" spans="1:18" x14ac:dyDescent="0.25">
      <c r="A5" s="7"/>
      <c r="B5" s="8" t="s">
        <v>132</v>
      </c>
      <c r="C5" s="8" t="s">
        <v>133</v>
      </c>
      <c r="D5" s="7" t="s">
        <v>134</v>
      </c>
      <c r="E5" s="8" t="s">
        <v>135</v>
      </c>
      <c r="F5" s="7" t="s">
        <v>136</v>
      </c>
      <c r="G5" s="8" t="s">
        <v>135</v>
      </c>
      <c r="H5" s="7" t="s">
        <v>136</v>
      </c>
      <c r="I5" s="8" t="s">
        <v>135</v>
      </c>
      <c r="J5" s="7" t="s">
        <v>136</v>
      </c>
      <c r="K5" s="8" t="s">
        <v>135</v>
      </c>
      <c r="L5" s="7" t="s">
        <v>136</v>
      </c>
      <c r="M5" s="8" t="s">
        <v>135</v>
      </c>
      <c r="N5" s="7" t="s">
        <v>136</v>
      </c>
      <c r="O5" s="8" t="s">
        <v>135</v>
      </c>
      <c r="P5" s="7" t="s">
        <v>136</v>
      </c>
      <c r="Q5" s="8" t="s">
        <v>135</v>
      </c>
      <c r="R5" s="7" t="s">
        <v>136</v>
      </c>
    </row>
    <row r="6" spans="1:18" x14ac:dyDescent="0.25">
      <c r="A6" s="9" t="s">
        <v>137</v>
      </c>
      <c r="B6" s="10"/>
      <c r="C6" s="10"/>
      <c r="D6" s="11"/>
      <c r="E6" s="10"/>
      <c r="F6" s="11"/>
      <c r="G6" s="10"/>
      <c r="H6" s="11"/>
      <c r="I6" s="10"/>
      <c r="J6" s="11"/>
      <c r="K6" s="10"/>
      <c r="L6" s="11"/>
      <c r="M6" s="10"/>
      <c r="N6" s="11"/>
      <c r="O6" s="10"/>
      <c r="P6" s="11"/>
      <c r="Q6" s="10"/>
      <c r="R6" s="12"/>
    </row>
    <row r="7" spans="1:18" x14ac:dyDescent="0.25">
      <c r="A7" s="11" t="s">
        <v>138</v>
      </c>
      <c r="B7" s="13">
        <v>14530</v>
      </c>
      <c r="C7" s="14">
        <f>(12104/B7*100)</f>
        <v>83.303509979353066</v>
      </c>
      <c r="D7" s="15">
        <v>2426</v>
      </c>
      <c r="E7" s="14">
        <v>20.76377892</v>
      </c>
      <c r="F7" s="16">
        <v>0.93077942999999996</v>
      </c>
      <c r="G7" s="14">
        <v>79.236221080000007</v>
      </c>
      <c r="H7" s="16">
        <v>0.93077942999999996</v>
      </c>
      <c r="I7" s="14" t="s">
        <v>139</v>
      </c>
      <c r="J7" s="16" t="s">
        <v>139</v>
      </c>
      <c r="K7" s="14">
        <v>0</v>
      </c>
      <c r="L7" s="16">
        <v>0</v>
      </c>
      <c r="M7" s="14">
        <v>0</v>
      </c>
      <c r="N7" s="16">
        <v>0</v>
      </c>
      <c r="O7" s="14">
        <v>0</v>
      </c>
      <c r="P7" s="16">
        <v>0</v>
      </c>
      <c r="Q7" s="14">
        <v>0</v>
      </c>
      <c r="R7" s="16">
        <v>0</v>
      </c>
    </row>
    <row r="8" spans="1:18" x14ac:dyDescent="0.25">
      <c r="A8" s="11" t="s">
        <v>140</v>
      </c>
      <c r="B8" s="13">
        <v>7007</v>
      </c>
      <c r="C8" s="14">
        <f>(5788/B8*100)</f>
        <v>82.603111174539748</v>
      </c>
      <c r="D8" s="15">
        <v>1219</v>
      </c>
      <c r="E8" s="14">
        <v>23.399220540000002</v>
      </c>
      <c r="F8" s="16">
        <v>1.25094142</v>
      </c>
      <c r="G8" s="14">
        <v>76.600779459999998</v>
      </c>
      <c r="H8" s="16">
        <v>1.25094142</v>
      </c>
      <c r="I8" s="14" t="s">
        <v>139</v>
      </c>
      <c r="J8" s="16" t="s">
        <v>139</v>
      </c>
      <c r="K8" s="14">
        <v>0</v>
      </c>
      <c r="L8" s="16">
        <v>0</v>
      </c>
      <c r="M8" s="14">
        <v>0</v>
      </c>
      <c r="N8" s="16">
        <v>0</v>
      </c>
      <c r="O8" s="14">
        <v>0</v>
      </c>
      <c r="P8" s="16">
        <v>0</v>
      </c>
      <c r="Q8" s="14">
        <v>0</v>
      </c>
      <c r="R8" s="16">
        <v>0</v>
      </c>
    </row>
    <row r="9" spans="1:18" x14ac:dyDescent="0.25">
      <c r="A9" s="11" t="s">
        <v>141</v>
      </c>
      <c r="B9" s="13">
        <v>9651</v>
      </c>
      <c r="C9" s="14">
        <f>(8085/B9*100)</f>
        <v>83.773702207025181</v>
      </c>
      <c r="D9" s="15">
        <v>1566</v>
      </c>
      <c r="E9" s="14">
        <v>24.44821773</v>
      </c>
      <c r="F9" s="16">
        <v>0.98733537999999998</v>
      </c>
      <c r="G9" s="14">
        <v>75.551782270000004</v>
      </c>
      <c r="H9" s="16">
        <v>0.98733537999999998</v>
      </c>
      <c r="I9" s="14" t="s">
        <v>139</v>
      </c>
      <c r="J9" s="16" t="s">
        <v>139</v>
      </c>
      <c r="K9" s="14">
        <v>0</v>
      </c>
      <c r="L9" s="16">
        <v>0</v>
      </c>
      <c r="M9" s="14">
        <v>0</v>
      </c>
      <c r="N9" s="16">
        <v>0</v>
      </c>
      <c r="O9" s="14">
        <v>0</v>
      </c>
      <c r="P9" s="16">
        <v>0</v>
      </c>
      <c r="Q9" s="14">
        <v>0</v>
      </c>
      <c r="R9" s="16">
        <v>0</v>
      </c>
    </row>
    <row r="10" spans="1:18" x14ac:dyDescent="0.25">
      <c r="A10" s="11" t="s">
        <v>142</v>
      </c>
      <c r="B10" s="13">
        <v>20058</v>
      </c>
      <c r="C10" s="14">
        <f>(16682/B10*100)</f>
        <v>83.168810449695883</v>
      </c>
      <c r="D10" s="15">
        <v>3376</v>
      </c>
      <c r="E10" s="14">
        <v>20.751182920000002</v>
      </c>
      <c r="F10" s="16">
        <v>0.94324887000000002</v>
      </c>
      <c r="G10" s="14">
        <v>79.248817079999995</v>
      </c>
      <c r="H10" s="16">
        <v>0.94324887000000002</v>
      </c>
      <c r="I10" s="14" t="s">
        <v>139</v>
      </c>
      <c r="J10" s="16" t="s">
        <v>139</v>
      </c>
      <c r="K10" s="14">
        <v>0</v>
      </c>
      <c r="L10" s="16">
        <v>0</v>
      </c>
      <c r="M10" s="14">
        <v>0</v>
      </c>
      <c r="N10" s="16">
        <v>0</v>
      </c>
      <c r="O10" s="14">
        <v>0</v>
      </c>
      <c r="P10" s="16">
        <v>0</v>
      </c>
      <c r="Q10" s="14">
        <v>0</v>
      </c>
      <c r="R10" s="16">
        <v>0</v>
      </c>
    </row>
    <row r="11" spans="1:18" x14ac:dyDescent="0.25">
      <c r="A11" s="11" t="s">
        <v>143</v>
      </c>
      <c r="B11" s="13">
        <v>7053</v>
      </c>
      <c r="C11" s="14">
        <f>(5879/B11*100)</f>
        <v>83.354600879058566</v>
      </c>
      <c r="D11" s="15">
        <v>1174</v>
      </c>
      <c r="E11" s="14">
        <v>34.888097260000002</v>
      </c>
      <c r="F11" s="16">
        <v>1.7754646300000001</v>
      </c>
      <c r="G11" s="14">
        <v>65.111902740000005</v>
      </c>
      <c r="H11" s="16">
        <v>1.7754646300000001</v>
      </c>
      <c r="I11" s="14" t="s">
        <v>139</v>
      </c>
      <c r="J11" s="16" t="s">
        <v>139</v>
      </c>
      <c r="K11" s="14">
        <v>0</v>
      </c>
      <c r="L11" s="16">
        <v>0</v>
      </c>
      <c r="M11" s="14">
        <v>0</v>
      </c>
      <c r="N11" s="16">
        <v>0</v>
      </c>
      <c r="O11" s="14">
        <v>0</v>
      </c>
      <c r="P11" s="16">
        <v>0</v>
      </c>
      <c r="Q11" s="14">
        <v>0</v>
      </c>
      <c r="R11" s="16">
        <v>0</v>
      </c>
    </row>
    <row r="12" spans="1:18" x14ac:dyDescent="0.25">
      <c r="A12" s="11" t="s">
        <v>144</v>
      </c>
      <c r="B12" s="13">
        <v>6894</v>
      </c>
      <c r="C12" s="14">
        <f>(5739/B12*100)</f>
        <v>83.246301131418619</v>
      </c>
      <c r="D12" s="15">
        <v>1155</v>
      </c>
      <c r="E12" s="14">
        <v>23.040107379999998</v>
      </c>
      <c r="F12" s="16">
        <v>1.37903741</v>
      </c>
      <c r="G12" s="14">
        <v>76.959892620000005</v>
      </c>
      <c r="H12" s="16">
        <v>1.37903741</v>
      </c>
      <c r="I12" s="14" t="s">
        <v>139</v>
      </c>
      <c r="J12" s="16" t="s">
        <v>139</v>
      </c>
      <c r="K12" s="14">
        <v>0</v>
      </c>
      <c r="L12" s="16">
        <v>0</v>
      </c>
      <c r="M12" s="14">
        <v>0</v>
      </c>
      <c r="N12" s="16">
        <v>0</v>
      </c>
      <c r="O12" s="14">
        <v>0</v>
      </c>
      <c r="P12" s="16">
        <v>0</v>
      </c>
      <c r="Q12" s="14">
        <v>0</v>
      </c>
      <c r="R12" s="16">
        <v>0</v>
      </c>
    </row>
    <row r="13" spans="1:18" x14ac:dyDescent="0.25">
      <c r="A13" s="11" t="s">
        <v>145</v>
      </c>
      <c r="B13" s="13">
        <v>7161</v>
      </c>
      <c r="C13" s="14">
        <f>(6014/B13*100)</f>
        <v>83.98268398268398</v>
      </c>
      <c r="D13" s="15">
        <v>1147</v>
      </c>
      <c r="E13" s="14">
        <v>18.271859599999999</v>
      </c>
      <c r="F13" s="16">
        <v>1.3334148299999999</v>
      </c>
      <c r="G13" s="14">
        <v>81.728140400000001</v>
      </c>
      <c r="H13" s="16">
        <v>1.3334148299999999</v>
      </c>
      <c r="I13" s="14" t="s">
        <v>139</v>
      </c>
      <c r="J13" s="16" t="s">
        <v>139</v>
      </c>
      <c r="K13" s="14">
        <v>0</v>
      </c>
      <c r="L13" s="16">
        <v>0</v>
      </c>
      <c r="M13" s="14">
        <v>0</v>
      </c>
      <c r="N13" s="16">
        <v>0</v>
      </c>
      <c r="O13" s="14">
        <v>0</v>
      </c>
      <c r="P13" s="16">
        <v>0</v>
      </c>
      <c r="Q13" s="14">
        <v>0</v>
      </c>
      <c r="R13" s="16">
        <v>0</v>
      </c>
    </row>
    <row r="14" spans="1:18" x14ac:dyDescent="0.25">
      <c r="A14" s="11" t="s">
        <v>146</v>
      </c>
      <c r="B14" s="13">
        <v>5587</v>
      </c>
      <c r="C14" s="14">
        <f>(4630/B14*100)</f>
        <v>82.870950420619295</v>
      </c>
      <c r="D14" s="15">
        <v>957</v>
      </c>
      <c r="E14" s="14">
        <v>17.218940190000001</v>
      </c>
      <c r="F14" s="16">
        <v>1.12685894</v>
      </c>
      <c r="G14" s="14">
        <v>82.781059810000002</v>
      </c>
      <c r="H14" s="16">
        <v>1.12685894</v>
      </c>
      <c r="I14" s="14" t="s">
        <v>139</v>
      </c>
      <c r="J14" s="16" t="s">
        <v>139</v>
      </c>
      <c r="K14" s="14">
        <v>0</v>
      </c>
      <c r="L14" s="16">
        <v>0</v>
      </c>
      <c r="M14" s="14">
        <v>0</v>
      </c>
      <c r="N14" s="16">
        <v>0</v>
      </c>
      <c r="O14" s="14">
        <v>0</v>
      </c>
      <c r="P14" s="16">
        <v>0</v>
      </c>
      <c r="Q14" s="14">
        <v>0</v>
      </c>
      <c r="R14" s="16">
        <v>0</v>
      </c>
    </row>
    <row r="15" spans="1:18" x14ac:dyDescent="0.25">
      <c r="A15" s="11" t="s">
        <v>147</v>
      </c>
      <c r="B15" s="13">
        <v>5882</v>
      </c>
      <c r="C15" s="14">
        <f>(4876/B15*100)</f>
        <v>82.896973818429103</v>
      </c>
      <c r="D15" s="15">
        <v>1006</v>
      </c>
      <c r="E15" s="14">
        <v>19.32999186</v>
      </c>
      <c r="F15" s="16">
        <v>1.2679379799999999</v>
      </c>
      <c r="G15" s="14">
        <v>80.670008139999993</v>
      </c>
      <c r="H15" s="16">
        <v>1.2679379799999999</v>
      </c>
      <c r="I15" s="14" t="s">
        <v>139</v>
      </c>
      <c r="J15" s="16" t="s">
        <v>139</v>
      </c>
      <c r="K15" s="14">
        <v>0</v>
      </c>
      <c r="L15" s="16">
        <v>0</v>
      </c>
      <c r="M15" s="14">
        <v>0</v>
      </c>
      <c r="N15" s="16">
        <v>0</v>
      </c>
      <c r="O15" s="14">
        <v>0</v>
      </c>
      <c r="P15" s="16">
        <v>0</v>
      </c>
      <c r="Q15" s="14">
        <v>0</v>
      </c>
      <c r="R15" s="16">
        <v>0</v>
      </c>
    </row>
    <row r="16" spans="1:18" x14ac:dyDescent="0.25">
      <c r="A16" s="11" t="s">
        <v>148</v>
      </c>
      <c r="B16" s="13">
        <v>6108</v>
      </c>
      <c r="C16" s="14">
        <f>(5090/B16*100)</f>
        <v>83.333333333333343</v>
      </c>
      <c r="D16" s="15">
        <v>1018</v>
      </c>
      <c r="E16" s="14">
        <v>25.544995140000001</v>
      </c>
      <c r="F16" s="16">
        <v>1.3647899699999999</v>
      </c>
      <c r="G16" s="14">
        <v>74.455004860000003</v>
      </c>
      <c r="H16" s="16">
        <v>1.3647899699999999</v>
      </c>
      <c r="I16" s="14" t="s">
        <v>139</v>
      </c>
      <c r="J16" s="16" t="s">
        <v>139</v>
      </c>
      <c r="K16" s="14">
        <v>0</v>
      </c>
      <c r="L16" s="16">
        <v>0</v>
      </c>
      <c r="M16" s="14">
        <v>0</v>
      </c>
      <c r="N16" s="16">
        <v>0</v>
      </c>
      <c r="O16" s="14">
        <v>0</v>
      </c>
      <c r="P16" s="16">
        <v>0</v>
      </c>
      <c r="Q16" s="14">
        <v>0</v>
      </c>
      <c r="R16" s="16">
        <v>0</v>
      </c>
    </row>
    <row r="17" spans="1:18" x14ac:dyDescent="0.25">
      <c r="A17" s="11" t="s">
        <v>149</v>
      </c>
      <c r="B17" s="13">
        <v>6504</v>
      </c>
      <c r="C17" s="14">
        <f>(5420/B17*100)</f>
        <v>83.333333333333343</v>
      </c>
      <c r="D17" s="15">
        <v>1084</v>
      </c>
      <c r="E17" s="14">
        <v>20.135296409999999</v>
      </c>
      <c r="F17" s="16">
        <v>1.3258315199999999</v>
      </c>
      <c r="G17" s="14">
        <v>79.864703590000005</v>
      </c>
      <c r="H17" s="16">
        <v>1.3258315199999999</v>
      </c>
      <c r="I17" s="14" t="s">
        <v>139</v>
      </c>
      <c r="J17" s="16" t="s">
        <v>139</v>
      </c>
      <c r="K17" s="14">
        <v>0</v>
      </c>
      <c r="L17" s="16">
        <v>0</v>
      </c>
      <c r="M17" s="14">
        <v>0</v>
      </c>
      <c r="N17" s="16">
        <v>0</v>
      </c>
      <c r="O17" s="14">
        <v>0</v>
      </c>
      <c r="P17" s="16">
        <v>0</v>
      </c>
      <c r="Q17" s="14">
        <v>0</v>
      </c>
      <c r="R17" s="16">
        <v>0</v>
      </c>
    </row>
    <row r="18" spans="1:18" x14ac:dyDescent="0.25">
      <c r="A18" s="11" t="s">
        <v>150</v>
      </c>
      <c r="B18" s="13">
        <v>5532</v>
      </c>
      <c r="C18" s="14">
        <f>(4585/B18*100)</f>
        <v>82.881417208966013</v>
      </c>
      <c r="D18" s="15">
        <v>947</v>
      </c>
      <c r="E18" s="14">
        <v>29.888417270000001</v>
      </c>
      <c r="F18" s="16">
        <v>1.9749546499999999</v>
      </c>
      <c r="G18" s="14">
        <v>70.111582729999995</v>
      </c>
      <c r="H18" s="16">
        <v>1.9749546499999999</v>
      </c>
      <c r="I18" s="14" t="s">
        <v>139</v>
      </c>
      <c r="J18" s="16" t="s">
        <v>139</v>
      </c>
      <c r="K18" s="14">
        <v>0</v>
      </c>
      <c r="L18" s="16">
        <v>0</v>
      </c>
      <c r="M18" s="14">
        <v>0</v>
      </c>
      <c r="N18" s="16">
        <v>0</v>
      </c>
      <c r="O18" s="14">
        <v>0</v>
      </c>
      <c r="P18" s="16">
        <v>0</v>
      </c>
      <c r="Q18" s="14">
        <v>0</v>
      </c>
      <c r="R18" s="16">
        <v>0</v>
      </c>
    </row>
    <row r="19" spans="1:18" x14ac:dyDescent="0.25">
      <c r="A19" s="11" t="s">
        <v>151</v>
      </c>
      <c r="B19" s="13">
        <v>5658</v>
      </c>
      <c r="C19" s="14">
        <f>(4718/B19*100)</f>
        <v>83.38635560268645</v>
      </c>
      <c r="D19" s="15">
        <v>940</v>
      </c>
      <c r="E19" s="14">
        <v>30.3135142</v>
      </c>
      <c r="F19" s="16">
        <v>1.7148066399999999</v>
      </c>
      <c r="G19" s="14">
        <v>69.6864858</v>
      </c>
      <c r="H19" s="16">
        <v>1.7148066399999999</v>
      </c>
      <c r="I19" s="14" t="s">
        <v>139</v>
      </c>
      <c r="J19" s="16" t="s">
        <v>139</v>
      </c>
      <c r="K19" s="14">
        <v>0</v>
      </c>
      <c r="L19" s="16">
        <v>0</v>
      </c>
      <c r="M19" s="14">
        <v>0</v>
      </c>
      <c r="N19" s="16">
        <v>0</v>
      </c>
      <c r="O19" s="14">
        <v>0</v>
      </c>
      <c r="P19" s="16">
        <v>0</v>
      </c>
      <c r="Q19" s="14">
        <v>0</v>
      </c>
      <c r="R19" s="16">
        <v>0</v>
      </c>
    </row>
    <row r="20" spans="1:18" x14ac:dyDescent="0.25">
      <c r="A20" s="11" t="s">
        <v>152</v>
      </c>
      <c r="B20" s="13">
        <v>3371</v>
      </c>
      <c r="C20" s="14">
        <f>(2807/B20*100)</f>
        <v>83.26905962622368</v>
      </c>
      <c r="D20" s="15">
        <v>564</v>
      </c>
      <c r="E20" s="14">
        <v>25.303306070000001</v>
      </c>
      <c r="F20" s="16">
        <v>1.7919783300000001</v>
      </c>
      <c r="G20" s="14">
        <v>74.696693929999995</v>
      </c>
      <c r="H20" s="16">
        <v>1.7919783300000001</v>
      </c>
      <c r="I20" s="14" t="s">
        <v>139</v>
      </c>
      <c r="J20" s="16" t="s">
        <v>139</v>
      </c>
      <c r="K20" s="14">
        <v>0</v>
      </c>
      <c r="L20" s="16">
        <v>0</v>
      </c>
      <c r="M20" s="14">
        <v>0</v>
      </c>
      <c r="N20" s="16">
        <v>0</v>
      </c>
      <c r="O20" s="14">
        <v>0</v>
      </c>
      <c r="P20" s="16">
        <v>0</v>
      </c>
      <c r="Q20" s="14">
        <v>0</v>
      </c>
      <c r="R20" s="16">
        <v>0</v>
      </c>
    </row>
    <row r="21" spans="1:18" x14ac:dyDescent="0.25">
      <c r="A21" s="11" t="s">
        <v>153</v>
      </c>
      <c r="B21" s="17" t="s">
        <v>154</v>
      </c>
      <c r="C21" s="17" t="s">
        <v>154</v>
      </c>
      <c r="D21" s="18" t="s">
        <v>154</v>
      </c>
      <c r="E21" s="17" t="s">
        <v>154</v>
      </c>
      <c r="F21" s="18" t="s">
        <v>154</v>
      </c>
      <c r="G21" s="17" t="s">
        <v>154</v>
      </c>
      <c r="H21" s="18" t="s">
        <v>154</v>
      </c>
      <c r="I21" s="17" t="s">
        <v>154</v>
      </c>
      <c r="J21" s="18" t="s">
        <v>154</v>
      </c>
      <c r="K21" s="17" t="s">
        <v>154</v>
      </c>
      <c r="L21" s="18" t="s">
        <v>154</v>
      </c>
      <c r="M21" s="17" t="s">
        <v>154</v>
      </c>
      <c r="N21" s="18" t="s">
        <v>154</v>
      </c>
      <c r="O21" s="17" t="s">
        <v>154</v>
      </c>
      <c r="P21" s="18" t="s">
        <v>154</v>
      </c>
      <c r="Q21" s="17" t="s">
        <v>154</v>
      </c>
      <c r="R21" s="18" t="s">
        <v>154</v>
      </c>
    </row>
    <row r="22" spans="1:18" x14ac:dyDescent="0.25">
      <c r="A22" s="11" t="s">
        <v>155</v>
      </c>
      <c r="B22" s="13">
        <v>6598</v>
      </c>
      <c r="C22" s="14">
        <f>(5584/B22*100)</f>
        <v>84.631706577750833</v>
      </c>
      <c r="D22" s="15">
        <v>1014</v>
      </c>
      <c r="E22" s="14">
        <v>31.094261360000001</v>
      </c>
      <c r="F22" s="16">
        <v>1.9942401000000001</v>
      </c>
      <c r="G22" s="14">
        <v>68.905738639999996</v>
      </c>
      <c r="H22" s="16">
        <v>1.9942401000000001</v>
      </c>
      <c r="I22" s="14" t="s">
        <v>139</v>
      </c>
      <c r="J22" s="16" t="s">
        <v>139</v>
      </c>
      <c r="K22" s="14">
        <v>0</v>
      </c>
      <c r="L22" s="16">
        <v>0</v>
      </c>
      <c r="M22" s="14">
        <v>0</v>
      </c>
      <c r="N22" s="16">
        <v>0</v>
      </c>
      <c r="O22" s="14">
        <v>0</v>
      </c>
      <c r="P22" s="16">
        <v>0</v>
      </c>
      <c r="Q22" s="14">
        <v>0</v>
      </c>
      <c r="R22" s="16">
        <v>0</v>
      </c>
    </row>
    <row r="23" spans="1:18" x14ac:dyDescent="0.25">
      <c r="A23" s="11" t="s">
        <v>156</v>
      </c>
      <c r="B23" s="13">
        <v>11583</v>
      </c>
      <c r="C23" s="14">
        <f>(9600/B23*100)</f>
        <v>82.880082880082881</v>
      </c>
      <c r="D23" s="15">
        <v>1983</v>
      </c>
      <c r="E23" s="14">
        <v>25.58748666</v>
      </c>
      <c r="F23" s="16">
        <v>1.81696675</v>
      </c>
      <c r="G23" s="14">
        <v>74.412513340000004</v>
      </c>
      <c r="H23" s="16">
        <v>1.81696675</v>
      </c>
      <c r="I23" s="14" t="s">
        <v>139</v>
      </c>
      <c r="J23" s="16" t="s">
        <v>139</v>
      </c>
      <c r="K23" s="14">
        <v>0</v>
      </c>
      <c r="L23" s="16">
        <v>0</v>
      </c>
      <c r="M23" s="14">
        <v>0</v>
      </c>
      <c r="N23" s="16">
        <v>0</v>
      </c>
      <c r="O23" s="14">
        <v>0</v>
      </c>
      <c r="P23" s="16">
        <v>0</v>
      </c>
      <c r="Q23" s="14">
        <v>0</v>
      </c>
      <c r="R23" s="16">
        <v>0</v>
      </c>
    </row>
    <row r="24" spans="1:18" x14ac:dyDescent="0.25">
      <c r="A24" s="11" t="s">
        <v>157</v>
      </c>
      <c r="B24" s="13">
        <v>6647</v>
      </c>
      <c r="C24" s="14">
        <f>(5501/B24*100)</f>
        <v>82.759139461411152</v>
      </c>
      <c r="D24" s="15">
        <v>1146</v>
      </c>
      <c r="E24" s="14">
        <v>13.10133649</v>
      </c>
      <c r="F24" s="16">
        <v>0.82991325999999999</v>
      </c>
      <c r="G24" s="14">
        <v>86.898663510000006</v>
      </c>
      <c r="H24" s="16">
        <v>0.82991325999999999</v>
      </c>
      <c r="I24" s="14" t="s">
        <v>139</v>
      </c>
      <c r="J24" s="16" t="s">
        <v>139</v>
      </c>
      <c r="K24" s="14">
        <v>0</v>
      </c>
      <c r="L24" s="16">
        <v>0</v>
      </c>
      <c r="M24" s="14">
        <v>0</v>
      </c>
      <c r="N24" s="16">
        <v>0</v>
      </c>
      <c r="O24" s="14">
        <v>0</v>
      </c>
      <c r="P24" s="16">
        <v>0</v>
      </c>
      <c r="Q24" s="14">
        <v>0</v>
      </c>
      <c r="R24" s="16">
        <v>0</v>
      </c>
    </row>
    <row r="25" spans="1:18" x14ac:dyDescent="0.25">
      <c r="A25" s="11" t="s">
        <v>158</v>
      </c>
      <c r="B25" s="13">
        <v>5581</v>
      </c>
      <c r="C25" s="14">
        <f>(4615/B25*100)</f>
        <v>82.691273965239205</v>
      </c>
      <c r="D25" s="15">
        <v>966</v>
      </c>
      <c r="E25" s="14">
        <v>17.499172600000001</v>
      </c>
      <c r="F25" s="16">
        <v>1.1142874</v>
      </c>
      <c r="G25" s="14">
        <v>82.500827400000006</v>
      </c>
      <c r="H25" s="16">
        <v>1.1142874</v>
      </c>
      <c r="I25" s="14" t="s">
        <v>139</v>
      </c>
      <c r="J25" s="16" t="s">
        <v>139</v>
      </c>
      <c r="K25" s="14">
        <v>0</v>
      </c>
      <c r="L25" s="16">
        <v>0</v>
      </c>
      <c r="M25" s="14">
        <v>0</v>
      </c>
      <c r="N25" s="16">
        <v>0</v>
      </c>
      <c r="O25" s="14">
        <v>0</v>
      </c>
      <c r="P25" s="16">
        <v>0</v>
      </c>
      <c r="Q25" s="14">
        <v>0</v>
      </c>
      <c r="R25" s="16">
        <v>0</v>
      </c>
    </row>
    <row r="26" spans="1:18" x14ac:dyDescent="0.25">
      <c r="A26" s="11" t="s">
        <v>159</v>
      </c>
      <c r="B26" s="13">
        <v>4869</v>
      </c>
      <c r="C26" s="14">
        <f>(4038/B26*100)</f>
        <v>82.932840418977207</v>
      </c>
      <c r="D26" s="15">
        <v>831</v>
      </c>
      <c r="E26" s="14">
        <v>23.163936339999999</v>
      </c>
      <c r="F26" s="16">
        <v>1.66772377</v>
      </c>
      <c r="G26" s="14">
        <v>76.836063659999994</v>
      </c>
      <c r="H26" s="16">
        <v>1.66772377</v>
      </c>
      <c r="I26" s="14" t="s">
        <v>139</v>
      </c>
      <c r="J26" s="16" t="s">
        <v>139</v>
      </c>
      <c r="K26" s="14">
        <v>0</v>
      </c>
      <c r="L26" s="16">
        <v>0</v>
      </c>
      <c r="M26" s="14">
        <v>0</v>
      </c>
      <c r="N26" s="16">
        <v>0</v>
      </c>
      <c r="O26" s="14">
        <v>0</v>
      </c>
      <c r="P26" s="16">
        <v>0</v>
      </c>
      <c r="Q26" s="14">
        <v>0</v>
      </c>
      <c r="R26" s="16">
        <v>0</v>
      </c>
    </row>
    <row r="27" spans="1:18" x14ac:dyDescent="0.25">
      <c r="A27" s="11" t="s">
        <v>160</v>
      </c>
      <c r="B27" s="13">
        <v>5299</v>
      </c>
      <c r="C27" s="14">
        <f>(4417/B27*100)</f>
        <v>83.355350066050192</v>
      </c>
      <c r="D27" s="15">
        <v>882</v>
      </c>
      <c r="E27" s="14">
        <v>25.689606220000002</v>
      </c>
      <c r="F27" s="16">
        <v>1.46207749</v>
      </c>
      <c r="G27" s="14">
        <v>74.310393779999998</v>
      </c>
      <c r="H27" s="16">
        <v>1.46207749</v>
      </c>
      <c r="I27" s="14" t="s">
        <v>139</v>
      </c>
      <c r="J27" s="16" t="s">
        <v>139</v>
      </c>
      <c r="K27" s="14">
        <v>0</v>
      </c>
      <c r="L27" s="16">
        <v>0</v>
      </c>
      <c r="M27" s="14">
        <v>0</v>
      </c>
      <c r="N27" s="16">
        <v>0</v>
      </c>
      <c r="O27" s="14">
        <v>0</v>
      </c>
      <c r="P27" s="16">
        <v>0</v>
      </c>
      <c r="Q27" s="14">
        <v>0</v>
      </c>
      <c r="R27" s="16">
        <v>0</v>
      </c>
    </row>
    <row r="28" spans="1:18" x14ac:dyDescent="0.25">
      <c r="A28" s="11" t="s">
        <v>161</v>
      </c>
      <c r="B28" s="13">
        <v>7568</v>
      </c>
      <c r="C28" s="14">
        <f>(6373/B28*100)</f>
        <v>84.209830866807607</v>
      </c>
      <c r="D28" s="15">
        <v>1195</v>
      </c>
      <c r="E28" s="14">
        <v>38.827117659999999</v>
      </c>
      <c r="F28" s="16">
        <v>1.60497099</v>
      </c>
      <c r="G28" s="14">
        <v>61.172882340000001</v>
      </c>
      <c r="H28" s="16">
        <v>1.60497099</v>
      </c>
      <c r="I28" s="14" t="s">
        <v>139</v>
      </c>
      <c r="J28" s="16" t="s">
        <v>139</v>
      </c>
      <c r="K28" s="14">
        <v>0</v>
      </c>
      <c r="L28" s="16">
        <v>0</v>
      </c>
      <c r="M28" s="14">
        <v>0</v>
      </c>
      <c r="N28" s="16">
        <v>0</v>
      </c>
      <c r="O28" s="14">
        <v>0</v>
      </c>
      <c r="P28" s="16">
        <v>0</v>
      </c>
      <c r="Q28" s="14">
        <v>0</v>
      </c>
      <c r="R28" s="16">
        <v>0</v>
      </c>
    </row>
    <row r="29" spans="1:18" x14ac:dyDescent="0.25">
      <c r="A29" s="11" t="s">
        <v>162</v>
      </c>
      <c r="B29" s="13">
        <v>5385</v>
      </c>
      <c r="C29" s="14">
        <f>(4500/B29*100)</f>
        <v>83.565459610027858</v>
      </c>
      <c r="D29" s="15">
        <v>885</v>
      </c>
      <c r="E29" s="14">
        <v>17.177662850000001</v>
      </c>
      <c r="F29" s="16">
        <v>1.3944389500000001</v>
      </c>
      <c r="G29" s="14">
        <v>82.822337149999996</v>
      </c>
      <c r="H29" s="16">
        <v>1.3944389500000001</v>
      </c>
      <c r="I29" s="14" t="s">
        <v>139</v>
      </c>
      <c r="J29" s="16" t="s">
        <v>139</v>
      </c>
      <c r="K29" s="14">
        <v>0</v>
      </c>
      <c r="L29" s="16">
        <v>0</v>
      </c>
      <c r="M29" s="14">
        <v>0</v>
      </c>
      <c r="N29" s="16">
        <v>0</v>
      </c>
      <c r="O29" s="14">
        <v>0</v>
      </c>
      <c r="P29" s="16">
        <v>0</v>
      </c>
      <c r="Q29" s="14">
        <v>0</v>
      </c>
      <c r="R29" s="16">
        <v>0</v>
      </c>
    </row>
    <row r="30" spans="1:18" x14ac:dyDescent="0.25">
      <c r="A30" s="11" t="s">
        <v>163</v>
      </c>
      <c r="B30" s="13">
        <v>4520</v>
      </c>
      <c r="C30" s="14">
        <f>(3802/B30*100)</f>
        <v>84.115044247787608</v>
      </c>
      <c r="D30" s="15">
        <v>718</v>
      </c>
      <c r="E30" s="14">
        <v>21.640411010000001</v>
      </c>
      <c r="F30" s="16">
        <v>1.6651521</v>
      </c>
      <c r="G30" s="14">
        <v>78.359588990000006</v>
      </c>
      <c r="H30" s="16">
        <v>1.6651521</v>
      </c>
      <c r="I30" s="14" t="s">
        <v>139</v>
      </c>
      <c r="J30" s="16" t="s">
        <v>139</v>
      </c>
      <c r="K30" s="14">
        <v>0</v>
      </c>
      <c r="L30" s="16">
        <v>0</v>
      </c>
      <c r="M30" s="14">
        <v>0</v>
      </c>
      <c r="N30" s="16">
        <v>0</v>
      </c>
      <c r="O30" s="14">
        <v>0</v>
      </c>
      <c r="P30" s="16">
        <v>0</v>
      </c>
      <c r="Q30" s="14">
        <v>0</v>
      </c>
      <c r="R30" s="16">
        <v>0</v>
      </c>
    </row>
    <row r="31" spans="1:18" x14ac:dyDescent="0.25">
      <c r="A31" s="11" t="s">
        <v>164</v>
      </c>
      <c r="B31" s="13">
        <v>5456</v>
      </c>
      <c r="C31" s="14">
        <f>(4547/B31*100)</f>
        <v>83.339442815249271</v>
      </c>
      <c r="D31" s="15">
        <v>909</v>
      </c>
      <c r="E31" s="14">
        <v>24.170362780000001</v>
      </c>
      <c r="F31" s="16">
        <v>1.31280573</v>
      </c>
      <c r="G31" s="14">
        <v>75.829637219999995</v>
      </c>
      <c r="H31" s="16">
        <v>1.31280573</v>
      </c>
      <c r="I31" s="14" t="s">
        <v>139</v>
      </c>
      <c r="J31" s="16" t="s">
        <v>139</v>
      </c>
      <c r="K31" s="14">
        <v>0</v>
      </c>
      <c r="L31" s="16">
        <v>0</v>
      </c>
      <c r="M31" s="14">
        <v>0</v>
      </c>
      <c r="N31" s="16">
        <v>0</v>
      </c>
      <c r="O31" s="14">
        <v>0</v>
      </c>
      <c r="P31" s="16">
        <v>0</v>
      </c>
      <c r="Q31" s="14">
        <v>0</v>
      </c>
      <c r="R31" s="16">
        <v>0</v>
      </c>
    </row>
    <row r="32" spans="1:18" x14ac:dyDescent="0.25">
      <c r="A32" s="11" t="s">
        <v>165</v>
      </c>
      <c r="B32" s="17" t="s">
        <v>154</v>
      </c>
      <c r="C32" s="17" t="s">
        <v>154</v>
      </c>
      <c r="D32" s="18" t="s">
        <v>154</v>
      </c>
      <c r="E32" s="17" t="s">
        <v>154</v>
      </c>
      <c r="F32" s="18" t="s">
        <v>154</v>
      </c>
      <c r="G32" s="17" t="s">
        <v>154</v>
      </c>
      <c r="H32" s="18" t="s">
        <v>154</v>
      </c>
      <c r="I32" s="17" t="s">
        <v>154</v>
      </c>
      <c r="J32" s="18" t="s">
        <v>154</v>
      </c>
      <c r="K32" s="17" t="s">
        <v>154</v>
      </c>
      <c r="L32" s="18" t="s">
        <v>154</v>
      </c>
      <c r="M32" s="17" t="s">
        <v>154</v>
      </c>
      <c r="N32" s="18" t="s">
        <v>154</v>
      </c>
      <c r="O32" s="17" t="s">
        <v>154</v>
      </c>
      <c r="P32" s="18" t="s">
        <v>154</v>
      </c>
      <c r="Q32" s="17" t="s">
        <v>154</v>
      </c>
      <c r="R32" s="18" t="s">
        <v>154</v>
      </c>
    </row>
    <row r="33" spans="1:18" x14ac:dyDescent="0.25">
      <c r="A33" s="11" t="s">
        <v>166</v>
      </c>
      <c r="B33" s="13">
        <v>7325</v>
      </c>
      <c r="C33" s="14">
        <f>(6119/B33*100)</f>
        <v>83.535836177474394</v>
      </c>
      <c r="D33" s="15">
        <v>1206</v>
      </c>
      <c r="E33" s="14">
        <v>19.478911020000002</v>
      </c>
      <c r="F33" s="16">
        <v>1.4066481</v>
      </c>
      <c r="G33" s="14">
        <v>80.521088980000002</v>
      </c>
      <c r="H33" s="16">
        <v>1.4066481</v>
      </c>
      <c r="I33" s="14" t="s">
        <v>139</v>
      </c>
      <c r="J33" s="16" t="s">
        <v>139</v>
      </c>
      <c r="K33" s="14">
        <v>0</v>
      </c>
      <c r="L33" s="16">
        <v>0</v>
      </c>
      <c r="M33" s="14">
        <v>0</v>
      </c>
      <c r="N33" s="16">
        <v>0</v>
      </c>
      <c r="O33" s="14">
        <v>0</v>
      </c>
      <c r="P33" s="16">
        <v>0</v>
      </c>
      <c r="Q33" s="14">
        <v>0</v>
      </c>
      <c r="R33" s="16">
        <v>0</v>
      </c>
    </row>
    <row r="34" spans="1:18" x14ac:dyDescent="0.25">
      <c r="A34" s="11" t="s">
        <v>167</v>
      </c>
      <c r="B34" s="13">
        <v>6350</v>
      </c>
      <c r="C34" s="14">
        <f>(5317/B34*100)</f>
        <v>83.732283464566919</v>
      </c>
      <c r="D34" s="15">
        <v>1033</v>
      </c>
      <c r="E34" s="14">
        <v>31.455137400000002</v>
      </c>
      <c r="F34" s="16">
        <v>1.5616152800000001</v>
      </c>
      <c r="G34" s="14">
        <v>68.544862600000002</v>
      </c>
      <c r="H34" s="16">
        <v>1.5616152800000001</v>
      </c>
      <c r="I34" s="14" t="s">
        <v>139</v>
      </c>
      <c r="J34" s="16" t="s">
        <v>139</v>
      </c>
      <c r="K34" s="14">
        <v>0</v>
      </c>
      <c r="L34" s="16">
        <v>0</v>
      </c>
      <c r="M34" s="14">
        <v>0</v>
      </c>
      <c r="N34" s="16">
        <v>0</v>
      </c>
      <c r="O34" s="14">
        <v>0</v>
      </c>
      <c r="P34" s="16">
        <v>0</v>
      </c>
      <c r="Q34" s="14">
        <v>0</v>
      </c>
      <c r="R34" s="16">
        <v>0</v>
      </c>
    </row>
    <row r="35" spans="1:18" x14ac:dyDescent="0.25">
      <c r="A35" s="11" t="s">
        <v>168</v>
      </c>
      <c r="B35" s="13">
        <v>6406</v>
      </c>
      <c r="C35" s="14">
        <f>(5352/B35*100)</f>
        <v>83.546674992194809</v>
      </c>
      <c r="D35" s="15">
        <v>1054</v>
      </c>
      <c r="E35" s="14">
        <v>19.478038489999999</v>
      </c>
      <c r="F35" s="16">
        <v>1.6579337700000001</v>
      </c>
      <c r="G35" s="14">
        <v>80.521961509999997</v>
      </c>
      <c r="H35" s="16">
        <v>1.6579337700000001</v>
      </c>
      <c r="I35" s="14" t="s">
        <v>139</v>
      </c>
      <c r="J35" s="16" t="s">
        <v>139</v>
      </c>
      <c r="K35" s="14">
        <v>0</v>
      </c>
      <c r="L35" s="16">
        <v>0</v>
      </c>
      <c r="M35" s="14">
        <v>0</v>
      </c>
      <c r="N35" s="16">
        <v>0</v>
      </c>
      <c r="O35" s="14">
        <v>0</v>
      </c>
      <c r="P35" s="16">
        <v>0</v>
      </c>
      <c r="Q35" s="14">
        <v>0</v>
      </c>
      <c r="R35" s="16">
        <v>0</v>
      </c>
    </row>
    <row r="36" spans="1:18" x14ac:dyDescent="0.25">
      <c r="A36" s="11" t="s">
        <v>169</v>
      </c>
      <c r="B36" s="13">
        <v>6736</v>
      </c>
      <c r="C36" s="14">
        <f>(5610/B36*100)</f>
        <v>83.283847980997621</v>
      </c>
      <c r="D36" s="15">
        <v>1126</v>
      </c>
      <c r="E36" s="14">
        <v>27.390382219999999</v>
      </c>
      <c r="F36" s="16">
        <v>1.63454503</v>
      </c>
      <c r="G36" s="14">
        <v>72.609617779999994</v>
      </c>
      <c r="H36" s="16">
        <v>1.63454503</v>
      </c>
      <c r="I36" s="14" t="s">
        <v>139</v>
      </c>
      <c r="J36" s="16" t="s">
        <v>139</v>
      </c>
      <c r="K36" s="14">
        <v>0</v>
      </c>
      <c r="L36" s="16">
        <v>0</v>
      </c>
      <c r="M36" s="14">
        <v>0</v>
      </c>
      <c r="N36" s="16">
        <v>0</v>
      </c>
      <c r="O36" s="14">
        <v>0</v>
      </c>
      <c r="P36" s="16">
        <v>0</v>
      </c>
      <c r="Q36" s="14">
        <v>0</v>
      </c>
      <c r="R36" s="16">
        <v>0</v>
      </c>
    </row>
    <row r="37" spans="1:18" x14ac:dyDescent="0.25">
      <c r="A37" s="11" t="s">
        <v>170</v>
      </c>
      <c r="B37" s="13">
        <v>5458</v>
      </c>
      <c r="C37" s="14">
        <f>(4571/B37*100)</f>
        <v>83.748625870282154</v>
      </c>
      <c r="D37" s="15">
        <v>887</v>
      </c>
      <c r="E37" s="14">
        <v>21.725196329999999</v>
      </c>
      <c r="F37" s="16">
        <v>1.4381811799999999</v>
      </c>
      <c r="G37" s="14">
        <v>78.274803669999997</v>
      </c>
      <c r="H37" s="16">
        <v>1.4381811799999999</v>
      </c>
      <c r="I37" s="14" t="s">
        <v>139</v>
      </c>
      <c r="J37" s="16" t="s">
        <v>139</v>
      </c>
      <c r="K37" s="14">
        <v>0</v>
      </c>
      <c r="L37" s="16">
        <v>0</v>
      </c>
      <c r="M37" s="14">
        <v>0</v>
      </c>
      <c r="N37" s="16">
        <v>0</v>
      </c>
      <c r="O37" s="14">
        <v>0</v>
      </c>
      <c r="P37" s="16">
        <v>0</v>
      </c>
      <c r="Q37" s="14">
        <v>0</v>
      </c>
      <c r="R37" s="16">
        <v>0</v>
      </c>
    </row>
    <row r="38" spans="1:18" x14ac:dyDescent="0.25">
      <c r="A38" s="11" t="s">
        <v>171</v>
      </c>
      <c r="B38" s="17" t="s">
        <v>154</v>
      </c>
      <c r="C38" s="17" t="s">
        <v>154</v>
      </c>
      <c r="D38" s="18" t="s">
        <v>154</v>
      </c>
      <c r="E38" s="17" t="s">
        <v>154</v>
      </c>
      <c r="F38" s="18" t="s">
        <v>154</v>
      </c>
      <c r="G38" s="17" t="s">
        <v>154</v>
      </c>
      <c r="H38" s="18" t="s">
        <v>154</v>
      </c>
      <c r="I38" s="17" t="s">
        <v>154</v>
      </c>
      <c r="J38" s="18" t="s">
        <v>154</v>
      </c>
      <c r="K38" s="17" t="s">
        <v>154</v>
      </c>
      <c r="L38" s="18" t="s">
        <v>154</v>
      </c>
      <c r="M38" s="17" t="s">
        <v>154</v>
      </c>
      <c r="N38" s="18" t="s">
        <v>154</v>
      </c>
      <c r="O38" s="17" t="s">
        <v>154</v>
      </c>
      <c r="P38" s="18" t="s">
        <v>154</v>
      </c>
      <c r="Q38" s="17" t="s">
        <v>154</v>
      </c>
      <c r="R38" s="18" t="s">
        <v>154</v>
      </c>
    </row>
    <row r="39" spans="1:18" x14ac:dyDescent="0.25">
      <c r="A39" s="11" t="s">
        <v>172</v>
      </c>
      <c r="B39" s="13">
        <v>5895</v>
      </c>
      <c r="C39" s="14">
        <f>(4863/B39*100)</f>
        <v>82.493638676844782</v>
      </c>
      <c r="D39" s="15">
        <v>1032</v>
      </c>
      <c r="E39" s="14">
        <v>41.826699009999999</v>
      </c>
      <c r="F39" s="16">
        <v>1.7290151</v>
      </c>
      <c r="G39" s="14">
        <v>58.173300990000001</v>
      </c>
      <c r="H39" s="16">
        <v>1.7290151</v>
      </c>
      <c r="I39" s="14" t="s">
        <v>139</v>
      </c>
      <c r="J39" s="16" t="s">
        <v>139</v>
      </c>
      <c r="K39" s="14">
        <v>0</v>
      </c>
      <c r="L39" s="16">
        <v>0</v>
      </c>
      <c r="M39" s="14">
        <v>0</v>
      </c>
      <c r="N39" s="16">
        <v>0</v>
      </c>
      <c r="O39" s="14">
        <v>0</v>
      </c>
      <c r="P39" s="16">
        <v>0</v>
      </c>
      <c r="Q39" s="14">
        <v>0</v>
      </c>
      <c r="R39" s="16">
        <v>0</v>
      </c>
    </row>
    <row r="40" spans="1:18" x14ac:dyDescent="0.25">
      <c r="A40" s="11" t="s">
        <v>173</v>
      </c>
      <c r="B40" s="13">
        <v>14157</v>
      </c>
      <c r="C40" s="14">
        <f>(11750/B40*100)</f>
        <v>82.997810270537542</v>
      </c>
      <c r="D40" s="15">
        <v>2407</v>
      </c>
      <c r="E40" s="14">
        <v>22.074599200000002</v>
      </c>
      <c r="F40" s="16">
        <v>1.69667444</v>
      </c>
      <c r="G40" s="14">
        <v>77.925400800000006</v>
      </c>
      <c r="H40" s="16">
        <v>1.69667444</v>
      </c>
      <c r="I40" s="14" t="s">
        <v>139</v>
      </c>
      <c r="J40" s="16" t="s">
        <v>139</v>
      </c>
      <c r="K40" s="14">
        <v>0</v>
      </c>
      <c r="L40" s="16">
        <v>0</v>
      </c>
      <c r="M40" s="14">
        <v>0</v>
      </c>
      <c r="N40" s="16">
        <v>0</v>
      </c>
      <c r="O40" s="14">
        <v>0</v>
      </c>
      <c r="P40" s="16">
        <v>0</v>
      </c>
      <c r="Q40" s="14">
        <v>0</v>
      </c>
      <c r="R40" s="16">
        <v>0</v>
      </c>
    </row>
    <row r="41" spans="1:18" x14ac:dyDescent="0.25">
      <c r="A41" s="11" t="s">
        <v>174</v>
      </c>
      <c r="B41" s="13">
        <v>5712</v>
      </c>
      <c r="C41" s="14">
        <f>(4743/B41*100)</f>
        <v>83.035714285714292</v>
      </c>
      <c r="D41" s="15">
        <v>969</v>
      </c>
      <c r="E41" s="14">
        <v>26.783017109999999</v>
      </c>
      <c r="F41" s="16">
        <v>1.89411084</v>
      </c>
      <c r="G41" s="14">
        <v>73.216982889999997</v>
      </c>
      <c r="H41" s="16">
        <v>1.89411084</v>
      </c>
      <c r="I41" s="14" t="s">
        <v>139</v>
      </c>
      <c r="J41" s="16" t="s">
        <v>139</v>
      </c>
      <c r="K41" s="14">
        <v>0</v>
      </c>
      <c r="L41" s="16">
        <v>0</v>
      </c>
      <c r="M41" s="14">
        <v>0</v>
      </c>
      <c r="N41" s="16">
        <v>0</v>
      </c>
      <c r="O41" s="14">
        <v>0</v>
      </c>
      <c r="P41" s="16">
        <v>0</v>
      </c>
      <c r="Q41" s="14">
        <v>0</v>
      </c>
      <c r="R41" s="16">
        <v>0</v>
      </c>
    </row>
    <row r="42" spans="1:18" x14ac:dyDescent="0.25">
      <c r="A42" s="11" t="s">
        <v>175</v>
      </c>
      <c r="B42" s="13">
        <f>IF(COUNT(B7:B41) &gt; 0, AVERAGE(B7:B41), "\u2014")</f>
        <v>7266.90625</v>
      </c>
      <c r="C42" s="14">
        <f>IF(COUNT(C7:C41) &gt; 0, AVERAGE(C7:C41), "—")</f>
        <v>83.320585805480079</v>
      </c>
      <c r="D42" s="15">
        <f>IF(COUNT(D7:D41) &gt; 0, AVERAGE(D7:D41), "—")</f>
        <v>1213.1875</v>
      </c>
      <c r="E42" s="14">
        <f>IF(COUNT(E7:E41) &gt; 0, AVERAGE(E7:E41), "—")</f>
        <v>24.420633132500004</v>
      </c>
      <c r="F42" s="16">
        <f>IF(COUNT(F7:F41) &gt; 0, SQRT(SUMSQ(F7:F41)/(COUNT(F7:F41)*COUNT(F7:F41)) ), "—")</f>
        <v>0.26550407532516623</v>
      </c>
      <c r="G42" s="14">
        <f>IF(COUNT(G7:G41) &gt; 0, AVERAGE(G7:G41), "—")</f>
        <v>75.579366867499985</v>
      </c>
      <c r="H42" s="16">
        <f>IF(COUNT(H7:H41) &gt; 0, SQRT(SUMSQ(H7:H41)/(COUNT(H7:H41)*COUNT(H7:H41)) ), "—")</f>
        <v>0.26550407532516623</v>
      </c>
      <c r="I42" s="14" t="str">
        <f>IF(COUNT(I7:I41) &gt; 0, AVERAGE(I7:I41), "—")</f>
        <v>—</v>
      </c>
      <c r="J42" s="16" t="str">
        <f>IF(COUNT(J7:J41) &gt; 0, SQRT(SUMSQ(J7:J41)/(COUNT(J7:J41)*COUNT(J7:J41)) ), "—")</f>
        <v>—</v>
      </c>
      <c r="K42" s="14">
        <f>IF(COUNT(K7:K41) &gt; 0, AVERAGE(K7:K41), "—")</f>
        <v>0</v>
      </c>
      <c r="L42" s="16">
        <f>IF(COUNT(L7:L41) &gt; 0, SQRT(SUMSQ(L7:L41)/(COUNT(L7:L41)*COUNT(L7:L41)) ), "—")</f>
        <v>0</v>
      </c>
      <c r="M42" s="14">
        <f>IF(COUNT(M7:M41) &gt; 0, AVERAGE(M7:M41), "—")</f>
        <v>0</v>
      </c>
      <c r="N42" s="16">
        <f>IF(COUNT(N7:N41) &gt; 0, SQRT(SUMSQ(N7:N41)/(COUNT(N7:N41)*COUNT(N7:N41)) ), "—")</f>
        <v>0</v>
      </c>
      <c r="O42" s="14">
        <f>IF(COUNT(O7:O41) &gt; 0, AVERAGE(O7:O41), "—")</f>
        <v>0</v>
      </c>
      <c r="P42" s="16">
        <f>IF(COUNT(P7:P41) &gt; 0, SQRT(SUMSQ(P7:P41)/(COUNT(P7:P41)*COUNT(P7:P41)) ), "—")</f>
        <v>0</v>
      </c>
      <c r="Q42" s="14">
        <f>IF(COUNT(Q7:Q41) &gt; 0, AVERAGE(Q7:Q41), "—")</f>
        <v>0</v>
      </c>
      <c r="R42" s="16">
        <f>IF(COUNT(R7:R41) &gt; 0, SQRT(SUMSQ(R7:R41)/(COUNT(R7:R41)*COUNT(R7:R41)) ), "—")</f>
        <v>0</v>
      </c>
    </row>
    <row r="43" spans="1:18" x14ac:dyDescent="0.25">
      <c r="A43" s="9" t="s">
        <v>176</v>
      </c>
      <c r="B43" s="10"/>
      <c r="C43" s="10"/>
      <c r="D43" s="11"/>
      <c r="E43" s="10"/>
      <c r="F43" s="11"/>
      <c r="G43" s="10"/>
      <c r="H43" s="11"/>
      <c r="I43" s="10"/>
      <c r="J43" s="11"/>
      <c r="K43" s="10"/>
      <c r="L43" s="11"/>
      <c r="M43" s="10"/>
      <c r="N43" s="11"/>
      <c r="O43" s="10"/>
      <c r="P43" s="11"/>
      <c r="Q43" s="10"/>
      <c r="R43" s="12"/>
    </row>
    <row r="44" spans="1:18" x14ac:dyDescent="0.25">
      <c r="A44" s="11" t="s">
        <v>177</v>
      </c>
      <c r="B44" s="17" t="s">
        <v>154</v>
      </c>
      <c r="C44" s="17" t="s">
        <v>154</v>
      </c>
      <c r="D44" s="18" t="s">
        <v>154</v>
      </c>
      <c r="E44" s="17" t="s">
        <v>154</v>
      </c>
      <c r="F44" s="18" t="s">
        <v>154</v>
      </c>
      <c r="G44" s="17" t="s">
        <v>154</v>
      </c>
      <c r="H44" s="18" t="s">
        <v>154</v>
      </c>
      <c r="I44" s="17" t="s">
        <v>154</v>
      </c>
      <c r="J44" s="18" t="s">
        <v>154</v>
      </c>
      <c r="K44" s="17" t="s">
        <v>154</v>
      </c>
      <c r="L44" s="18" t="s">
        <v>154</v>
      </c>
      <c r="M44" s="17" t="s">
        <v>154</v>
      </c>
      <c r="N44" s="18" t="s">
        <v>154</v>
      </c>
      <c r="O44" s="17" t="s">
        <v>154</v>
      </c>
      <c r="P44" s="18" t="s">
        <v>154</v>
      </c>
      <c r="Q44" s="17" t="s">
        <v>154</v>
      </c>
      <c r="R44" s="18" t="s">
        <v>154</v>
      </c>
    </row>
    <row r="45" spans="1:18" x14ac:dyDescent="0.25">
      <c r="A45" s="11" t="s">
        <v>178</v>
      </c>
      <c r="B45" s="17" t="s">
        <v>154</v>
      </c>
      <c r="C45" s="17" t="s">
        <v>154</v>
      </c>
      <c r="D45" s="18" t="s">
        <v>154</v>
      </c>
      <c r="E45" s="17" t="s">
        <v>154</v>
      </c>
      <c r="F45" s="18" t="s">
        <v>154</v>
      </c>
      <c r="G45" s="17" t="s">
        <v>154</v>
      </c>
      <c r="H45" s="18" t="s">
        <v>154</v>
      </c>
      <c r="I45" s="17" t="s">
        <v>154</v>
      </c>
      <c r="J45" s="18" t="s">
        <v>154</v>
      </c>
      <c r="K45" s="17" t="s">
        <v>154</v>
      </c>
      <c r="L45" s="18" t="s">
        <v>154</v>
      </c>
      <c r="M45" s="17" t="s">
        <v>154</v>
      </c>
      <c r="N45" s="18" t="s">
        <v>154</v>
      </c>
      <c r="O45" s="17" t="s">
        <v>154</v>
      </c>
      <c r="P45" s="18" t="s">
        <v>154</v>
      </c>
      <c r="Q45" s="17" t="s">
        <v>154</v>
      </c>
      <c r="R45" s="18" t="s">
        <v>154</v>
      </c>
    </row>
    <row r="46" spans="1:18" x14ac:dyDescent="0.25">
      <c r="A46" s="11" t="s">
        <v>179</v>
      </c>
      <c r="B46" s="13">
        <v>23141</v>
      </c>
      <c r="C46" s="14">
        <f>(20147/B46*100)</f>
        <v>87.061924722354263</v>
      </c>
      <c r="D46" s="15">
        <v>2994</v>
      </c>
      <c r="E46" s="14">
        <v>41.228184720000002</v>
      </c>
      <c r="F46" s="16">
        <v>1.3081850100000001</v>
      </c>
      <c r="G46" s="14">
        <v>58.771815279999998</v>
      </c>
      <c r="H46" s="16">
        <v>1.3081850100000001</v>
      </c>
      <c r="I46" s="14" t="s">
        <v>139</v>
      </c>
      <c r="J46" s="16" t="s">
        <v>139</v>
      </c>
      <c r="K46" s="14">
        <v>0</v>
      </c>
      <c r="L46" s="16">
        <v>0</v>
      </c>
      <c r="M46" s="14">
        <v>0</v>
      </c>
      <c r="N46" s="16">
        <v>0</v>
      </c>
      <c r="O46" s="14">
        <v>0</v>
      </c>
      <c r="P46" s="16">
        <v>0</v>
      </c>
      <c r="Q46" s="14">
        <v>0</v>
      </c>
      <c r="R46" s="16">
        <v>0</v>
      </c>
    </row>
    <row r="47" spans="1:18" x14ac:dyDescent="0.25">
      <c r="A47" s="11" t="s">
        <v>180</v>
      </c>
      <c r="B47" s="13">
        <v>5928</v>
      </c>
      <c r="C47" s="14">
        <f>(4966/B47*100)</f>
        <v>83.771929824561411</v>
      </c>
      <c r="D47" s="15">
        <v>962</v>
      </c>
      <c r="E47" s="14">
        <v>36.240620720000003</v>
      </c>
      <c r="F47" s="16">
        <v>1.7493814400000001</v>
      </c>
      <c r="G47" s="14">
        <v>63.759379279999997</v>
      </c>
      <c r="H47" s="16">
        <v>1.7493814400000001</v>
      </c>
      <c r="I47" s="14" t="s">
        <v>139</v>
      </c>
      <c r="J47" s="16" t="s">
        <v>139</v>
      </c>
      <c r="K47" s="14">
        <v>0</v>
      </c>
      <c r="L47" s="16">
        <v>0</v>
      </c>
      <c r="M47" s="14">
        <v>0</v>
      </c>
      <c r="N47" s="16">
        <v>0</v>
      </c>
      <c r="O47" s="14">
        <v>0</v>
      </c>
      <c r="P47" s="16">
        <v>0</v>
      </c>
      <c r="Q47" s="14">
        <v>0</v>
      </c>
      <c r="R47" s="16">
        <v>0</v>
      </c>
    </row>
    <row r="48" spans="1:18" x14ac:dyDescent="0.25">
      <c r="A48" s="11" t="s">
        <v>181</v>
      </c>
      <c r="B48" s="13">
        <v>9841</v>
      </c>
      <c r="C48" s="14">
        <f>(8178/B48*100)</f>
        <v>83.101310842394057</v>
      </c>
      <c r="D48" s="15">
        <v>1663</v>
      </c>
      <c r="E48" s="14">
        <v>24.944620180000001</v>
      </c>
      <c r="F48" s="16">
        <v>1.5515905999999999</v>
      </c>
      <c r="G48" s="14">
        <v>75.055379819999999</v>
      </c>
      <c r="H48" s="16">
        <v>1.5515905999999999</v>
      </c>
      <c r="I48" s="14" t="s">
        <v>139</v>
      </c>
      <c r="J48" s="16" t="s">
        <v>139</v>
      </c>
      <c r="K48" s="14">
        <v>0</v>
      </c>
      <c r="L48" s="16">
        <v>0</v>
      </c>
      <c r="M48" s="14">
        <v>0</v>
      </c>
      <c r="N48" s="16">
        <v>0</v>
      </c>
      <c r="O48" s="14">
        <v>0</v>
      </c>
      <c r="P48" s="16">
        <v>0</v>
      </c>
      <c r="Q48" s="14">
        <v>0</v>
      </c>
      <c r="R48" s="16">
        <v>0</v>
      </c>
    </row>
    <row r="49" spans="1:18" x14ac:dyDescent="0.25">
      <c r="A49" s="11" t="s">
        <v>182</v>
      </c>
      <c r="B49" s="17" t="s">
        <v>154</v>
      </c>
      <c r="C49" s="17" t="s">
        <v>154</v>
      </c>
      <c r="D49" s="18" t="s">
        <v>154</v>
      </c>
      <c r="E49" s="17" t="s">
        <v>154</v>
      </c>
      <c r="F49" s="18" t="s">
        <v>154</v>
      </c>
      <c r="G49" s="17" t="s">
        <v>154</v>
      </c>
      <c r="H49" s="18" t="s">
        <v>154</v>
      </c>
      <c r="I49" s="17" t="s">
        <v>154</v>
      </c>
      <c r="J49" s="18" t="s">
        <v>154</v>
      </c>
      <c r="K49" s="17" t="s">
        <v>154</v>
      </c>
      <c r="L49" s="18" t="s">
        <v>154</v>
      </c>
      <c r="M49" s="17" t="s">
        <v>154</v>
      </c>
      <c r="N49" s="18" t="s">
        <v>154</v>
      </c>
      <c r="O49" s="17" t="s">
        <v>154</v>
      </c>
      <c r="P49" s="18" t="s">
        <v>154</v>
      </c>
      <c r="Q49" s="17" t="s">
        <v>154</v>
      </c>
      <c r="R49" s="18" t="s">
        <v>154</v>
      </c>
    </row>
    <row r="50" spans="1:18" x14ac:dyDescent="0.25">
      <c r="A50" s="11" t="s">
        <v>183</v>
      </c>
      <c r="B50" s="13">
        <v>11795</v>
      </c>
      <c r="C50" s="14">
        <f>(9867/B50*100)</f>
        <v>83.654090716405264</v>
      </c>
      <c r="D50" s="15">
        <v>1928</v>
      </c>
      <c r="E50" s="14">
        <v>49.096983209999998</v>
      </c>
      <c r="F50" s="16">
        <v>1.48650996</v>
      </c>
      <c r="G50" s="14">
        <v>50.903016790000002</v>
      </c>
      <c r="H50" s="16">
        <v>1.48650996</v>
      </c>
      <c r="I50" s="14" t="s">
        <v>139</v>
      </c>
      <c r="J50" s="16" t="s">
        <v>139</v>
      </c>
      <c r="K50" s="14">
        <v>0</v>
      </c>
      <c r="L50" s="16">
        <v>0</v>
      </c>
      <c r="M50" s="14">
        <v>0</v>
      </c>
      <c r="N50" s="16">
        <v>0</v>
      </c>
      <c r="O50" s="14">
        <v>0</v>
      </c>
      <c r="P50" s="16">
        <v>0</v>
      </c>
      <c r="Q50" s="14">
        <v>0</v>
      </c>
      <c r="R50" s="16">
        <v>0</v>
      </c>
    </row>
    <row r="51" spans="1:18" x14ac:dyDescent="0.25">
      <c r="A51" s="11" t="s">
        <v>184</v>
      </c>
      <c r="B51" s="13">
        <v>6866</v>
      </c>
      <c r="C51" s="14">
        <f>(5870/B51*100)</f>
        <v>85.493737256044284</v>
      </c>
      <c r="D51" s="15">
        <v>996</v>
      </c>
      <c r="E51" s="14">
        <v>38.655322259999998</v>
      </c>
      <c r="F51" s="16">
        <v>1.79102282</v>
      </c>
      <c r="G51" s="14">
        <v>61.344677740000002</v>
      </c>
      <c r="H51" s="16">
        <v>1.79102282</v>
      </c>
      <c r="I51" s="14" t="s">
        <v>139</v>
      </c>
      <c r="J51" s="16" t="s">
        <v>139</v>
      </c>
      <c r="K51" s="14">
        <v>0</v>
      </c>
      <c r="L51" s="16">
        <v>0</v>
      </c>
      <c r="M51" s="14">
        <v>0</v>
      </c>
      <c r="N51" s="16">
        <v>0</v>
      </c>
      <c r="O51" s="14">
        <v>0</v>
      </c>
      <c r="P51" s="16">
        <v>0</v>
      </c>
      <c r="Q51" s="14">
        <v>0</v>
      </c>
      <c r="R51" s="16">
        <v>0</v>
      </c>
    </row>
    <row r="52" spans="1:18" x14ac:dyDescent="0.25">
      <c r="A52" s="11" t="s">
        <v>185</v>
      </c>
      <c r="B52" s="13">
        <v>5809</v>
      </c>
      <c r="C52" s="14">
        <f>(4842/B52*100)</f>
        <v>83.353417111378889</v>
      </c>
      <c r="D52" s="15">
        <v>967</v>
      </c>
      <c r="E52" s="14">
        <v>17.200816230000001</v>
      </c>
      <c r="F52" s="16">
        <v>1.26290613</v>
      </c>
      <c r="G52" s="14">
        <v>82.799183769999999</v>
      </c>
      <c r="H52" s="16">
        <v>1.26290613</v>
      </c>
      <c r="I52" s="14" t="s">
        <v>139</v>
      </c>
      <c r="J52" s="16" t="s">
        <v>139</v>
      </c>
      <c r="K52" s="14">
        <v>0</v>
      </c>
      <c r="L52" s="16">
        <v>0</v>
      </c>
      <c r="M52" s="14">
        <v>0</v>
      </c>
      <c r="N52" s="16">
        <v>0</v>
      </c>
      <c r="O52" s="14">
        <v>0</v>
      </c>
      <c r="P52" s="16">
        <v>0</v>
      </c>
      <c r="Q52" s="14">
        <v>0</v>
      </c>
      <c r="R52" s="16">
        <v>0</v>
      </c>
    </row>
    <row r="53" spans="1:18" x14ac:dyDescent="0.25">
      <c r="A53" s="11" t="s">
        <v>186</v>
      </c>
      <c r="B53" s="13">
        <v>5571</v>
      </c>
      <c r="C53" s="14">
        <f>(4658/B53*100)</f>
        <v>83.611559863579259</v>
      </c>
      <c r="D53" s="15">
        <v>913</v>
      </c>
      <c r="E53" s="14">
        <v>37.794788179999998</v>
      </c>
      <c r="F53" s="16">
        <v>1.5428808700000001</v>
      </c>
      <c r="G53" s="14">
        <v>62.205211820000002</v>
      </c>
      <c r="H53" s="16">
        <v>1.5428808700000001</v>
      </c>
      <c r="I53" s="14" t="s">
        <v>139</v>
      </c>
      <c r="J53" s="16" t="s">
        <v>139</v>
      </c>
      <c r="K53" s="14">
        <v>0</v>
      </c>
      <c r="L53" s="16">
        <v>0</v>
      </c>
      <c r="M53" s="14">
        <v>0</v>
      </c>
      <c r="N53" s="16">
        <v>0</v>
      </c>
      <c r="O53" s="14">
        <v>0</v>
      </c>
      <c r="P53" s="16">
        <v>0</v>
      </c>
      <c r="Q53" s="14">
        <v>0</v>
      </c>
      <c r="R53" s="16">
        <v>0</v>
      </c>
    </row>
    <row r="54" spans="1:18" x14ac:dyDescent="0.25">
      <c r="A54" s="11" t="s">
        <v>187</v>
      </c>
      <c r="B54" s="17" t="s">
        <v>154</v>
      </c>
      <c r="C54" s="17" t="s">
        <v>154</v>
      </c>
      <c r="D54" s="18" t="s">
        <v>154</v>
      </c>
      <c r="E54" s="17" t="s">
        <v>154</v>
      </c>
      <c r="F54" s="18" t="s">
        <v>154</v>
      </c>
      <c r="G54" s="17" t="s">
        <v>154</v>
      </c>
      <c r="H54" s="18" t="s">
        <v>154</v>
      </c>
      <c r="I54" s="17" t="s">
        <v>154</v>
      </c>
      <c r="J54" s="18" t="s">
        <v>154</v>
      </c>
      <c r="K54" s="17" t="s">
        <v>154</v>
      </c>
      <c r="L54" s="18" t="s">
        <v>154</v>
      </c>
      <c r="M54" s="17" t="s">
        <v>154</v>
      </c>
      <c r="N54" s="18" t="s">
        <v>154</v>
      </c>
      <c r="O54" s="17" t="s">
        <v>154</v>
      </c>
      <c r="P54" s="18" t="s">
        <v>154</v>
      </c>
      <c r="Q54" s="17" t="s">
        <v>154</v>
      </c>
      <c r="R54" s="18" t="s">
        <v>154</v>
      </c>
    </row>
    <row r="55" spans="1:18" x14ac:dyDescent="0.25">
      <c r="A55" s="11" t="s">
        <v>188</v>
      </c>
      <c r="B55" s="17" t="s">
        <v>154</v>
      </c>
      <c r="C55" s="17" t="s">
        <v>154</v>
      </c>
      <c r="D55" s="18" t="s">
        <v>154</v>
      </c>
      <c r="E55" s="17" t="s">
        <v>154</v>
      </c>
      <c r="F55" s="18" t="s">
        <v>154</v>
      </c>
      <c r="G55" s="17" t="s">
        <v>154</v>
      </c>
      <c r="H55" s="18" t="s">
        <v>154</v>
      </c>
      <c r="I55" s="17" t="s">
        <v>154</v>
      </c>
      <c r="J55" s="18" t="s">
        <v>154</v>
      </c>
      <c r="K55" s="17" t="s">
        <v>154</v>
      </c>
      <c r="L55" s="18" t="s">
        <v>154</v>
      </c>
      <c r="M55" s="17" t="s">
        <v>154</v>
      </c>
      <c r="N55" s="18" t="s">
        <v>154</v>
      </c>
      <c r="O55" s="17" t="s">
        <v>154</v>
      </c>
      <c r="P55" s="18" t="s">
        <v>154</v>
      </c>
      <c r="Q55" s="17" t="s">
        <v>154</v>
      </c>
      <c r="R55" s="18" t="s">
        <v>154</v>
      </c>
    </row>
    <row r="56" spans="1:18" x14ac:dyDescent="0.25">
      <c r="A56" s="11" t="s">
        <v>189</v>
      </c>
      <c r="B56" s="13">
        <v>5359</v>
      </c>
      <c r="C56" s="14">
        <f>(4453/B56*100)</f>
        <v>83.093860794924424</v>
      </c>
      <c r="D56" s="15">
        <v>906</v>
      </c>
      <c r="E56" s="14">
        <v>20.895851610000001</v>
      </c>
      <c r="F56" s="16">
        <v>1.6756112599999999</v>
      </c>
      <c r="G56" s="14">
        <v>79.104148390000006</v>
      </c>
      <c r="H56" s="16">
        <v>1.6756112599999999</v>
      </c>
      <c r="I56" s="14" t="s">
        <v>139</v>
      </c>
      <c r="J56" s="16" t="s">
        <v>139</v>
      </c>
      <c r="K56" s="14">
        <v>0</v>
      </c>
      <c r="L56" s="16">
        <v>0</v>
      </c>
      <c r="M56" s="14">
        <v>0</v>
      </c>
      <c r="N56" s="16">
        <v>0</v>
      </c>
      <c r="O56" s="14">
        <v>0</v>
      </c>
      <c r="P56" s="16">
        <v>0</v>
      </c>
      <c r="Q56" s="14">
        <v>0</v>
      </c>
      <c r="R56" s="16">
        <v>0</v>
      </c>
    </row>
    <row r="57" spans="1:18" x14ac:dyDescent="0.25">
      <c r="A57" s="11" t="s">
        <v>190</v>
      </c>
      <c r="B57" s="17" t="s">
        <v>154</v>
      </c>
      <c r="C57" s="17" t="s">
        <v>154</v>
      </c>
      <c r="D57" s="18" t="s">
        <v>154</v>
      </c>
      <c r="E57" s="17" t="s">
        <v>154</v>
      </c>
      <c r="F57" s="18" t="s">
        <v>154</v>
      </c>
      <c r="G57" s="17" t="s">
        <v>154</v>
      </c>
      <c r="H57" s="18" t="s">
        <v>154</v>
      </c>
      <c r="I57" s="17" t="s">
        <v>154</v>
      </c>
      <c r="J57" s="18" t="s">
        <v>154</v>
      </c>
      <c r="K57" s="17" t="s">
        <v>154</v>
      </c>
      <c r="L57" s="18" t="s">
        <v>154</v>
      </c>
      <c r="M57" s="17" t="s">
        <v>154</v>
      </c>
      <c r="N57" s="18" t="s">
        <v>154</v>
      </c>
      <c r="O57" s="17" t="s">
        <v>154</v>
      </c>
      <c r="P57" s="18" t="s">
        <v>154</v>
      </c>
      <c r="Q57" s="17" t="s">
        <v>154</v>
      </c>
      <c r="R57" s="18" t="s">
        <v>154</v>
      </c>
    </row>
    <row r="58" spans="1:18" x14ac:dyDescent="0.25">
      <c r="A58" s="11" t="s">
        <v>191</v>
      </c>
      <c r="B58" s="17" t="s">
        <v>154</v>
      </c>
      <c r="C58" s="17" t="s">
        <v>154</v>
      </c>
      <c r="D58" s="18" t="s">
        <v>154</v>
      </c>
      <c r="E58" s="17" t="s">
        <v>154</v>
      </c>
      <c r="F58" s="18" t="s">
        <v>154</v>
      </c>
      <c r="G58" s="17" t="s">
        <v>154</v>
      </c>
      <c r="H58" s="18" t="s">
        <v>154</v>
      </c>
      <c r="I58" s="17" t="s">
        <v>154</v>
      </c>
      <c r="J58" s="18" t="s">
        <v>154</v>
      </c>
      <c r="K58" s="17" t="s">
        <v>154</v>
      </c>
      <c r="L58" s="18" t="s">
        <v>154</v>
      </c>
      <c r="M58" s="17" t="s">
        <v>154</v>
      </c>
      <c r="N58" s="18" t="s">
        <v>154</v>
      </c>
      <c r="O58" s="17" t="s">
        <v>154</v>
      </c>
      <c r="P58" s="18" t="s">
        <v>154</v>
      </c>
      <c r="Q58" s="17" t="s">
        <v>154</v>
      </c>
      <c r="R58" s="18" t="s">
        <v>154</v>
      </c>
    </row>
    <row r="59" spans="1:18" x14ac:dyDescent="0.25">
      <c r="A59" s="11" t="s">
        <v>192</v>
      </c>
      <c r="B59" s="17" t="s">
        <v>154</v>
      </c>
      <c r="C59" s="17" t="s">
        <v>154</v>
      </c>
      <c r="D59" s="18" t="s">
        <v>154</v>
      </c>
      <c r="E59" s="17" t="s">
        <v>154</v>
      </c>
      <c r="F59" s="18" t="s">
        <v>154</v>
      </c>
      <c r="G59" s="17" t="s">
        <v>154</v>
      </c>
      <c r="H59" s="18" t="s">
        <v>154</v>
      </c>
      <c r="I59" s="17" t="s">
        <v>154</v>
      </c>
      <c r="J59" s="18" t="s">
        <v>154</v>
      </c>
      <c r="K59" s="17" t="s">
        <v>154</v>
      </c>
      <c r="L59" s="18" t="s">
        <v>154</v>
      </c>
      <c r="M59" s="17" t="s">
        <v>154</v>
      </c>
      <c r="N59" s="18" t="s">
        <v>154</v>
      </c>
      <c r="O59" s="17" t="s">
        <v>154</v>
      </c>
      <c r="P59" s="18" t="s">
        <v>154</v>
      </c>
      <c r="Q59" s="17" t="s">
        <v>154</v>
      </c>
      <c r="R59" s="18" t="s">
        <v>154</v>
      </c>
    </row>
    <row r="60" spans="1:18" x14ac:dyDescent="0.25">
      <c r="A60" s="11" t="s">
        <v>193</v>
      </c>
      <c r="B60" s="17" t="s">
        <v>154</v>
      </c>
      <c r="C60" s="17" t="s">
        <v>154</v>
      </c>
      <c r="D60" s="18" t="s">
        <v>154</v>
      </c>
      <c r="E60" s="17" t="s">
        <v>154</v>
      </c>
      <c r="F60" s="18" t="s">
        <v>154</v>
      </c>
      <c r="G60" s="17" t="s">
        <v>154</v>
      </c>
      <c r="H60" s="18" t="s">
        <v>154</v>
      </c>
      <c r="I60" s="17" t="s">
        <v>154</v>
      </c>
      <c r="J60" s="18" t="s">
        <v>154</v>
      </c>
      <c r="K60" s="17" t="s">
        <v>154</v>
      </c>
      <c r="L60" s="18" t="s">
        <v>154</v>
      </c>
      <c r="M60" s="17" t="s">
        <v>154</v>
      </c>
      <c r="N60" s="18" t="s">
        <v>154</v>
      </c>
      <c r="O60" s="17" t="s">
        <v>154</v>
      </c>
      <c r="P60" s="18" t="s">
        <v>154</v>
      </c>
      <c r="Q60" s="17" t="s">
        <v>154</v>
      </c>
      <c r="R60" s="18" t="s">
        <v>154</v>
      </c>
    </row>
    <row r="61" spans="1:18" x14ac:dyDescent="0.25">
      <c r="A61" s="11" t="s">
        <v>194</v>
      </c>
      <c r="B61" s="13">
        <v>6525</v>
      </c>
      <c r="C61" s="14">
        <f>(5437/B61*100)</f>
        <v>83.325670498084293</v>
      </c>
      <c r="D61" s="15">
        <v>1088</v>
      </c>
      <c r="E61" s="14">
        <v>22.168893489999999</v>
      </c>
      <c r="F61" s="16">
        <v>1.53315029</v>
      </c>
      <c r="G61" s="14">
        <v>77.831106509999998</v>
      </c>
      <c r="H61" s="16">
        <v>1.53315029</v>
      </c>
      <c r="I61" s="14" t="s">
        <v>139</v>
      </c>
      <c r="J61" s="16" t="s">
        <v>139</v>
      </c>
      <c r="K61" s="14">
        <v>0</v>
      </c>
      <c r="L61" s="16">
        <v>0</v>
      </c>
      <c r="M61" s="14">
        <v>0</v>
      </c>
      <c r="N61" s="16">
        <v>0</v>
      </c>
      <c r="O61" s="14">
        <v>0</v>
      </c>
      <c r="P61" s="16">
        <v>0</v>
      </c>
      <c r="Q61" s="14">
        <v>0</v>
      </c>
      <c r="R61" s="16">
        <v>0</v>
      </c>
    </row>
    <row r="62" spans="1:18" x14ac:dyDescent="0.25">
      <c r="A62" s="11" t="s">
        <v>195</v>
      </c>
      <c r="B62" s="13">
        <v>4476</v>
      </c>
      <c r="C62" s="14">
        <f>(3710/B62*100)</f>
        <v>82.886505808757818</v>
      </c>
      <c r="D62" s="15">
        <v>766</v>
      </c>
      <c r="E62" s="14">
        <v>17.284983400000002</v>
      </c>
      <c r="F62" s="16">
        <v>1.3548625400000001</v>
      </c>
      <c r="G62" s="14">
        <v>82.715016599999998</v>
      </c>
      <c r="H62" s="16">
        <v>1.3548625400000001</v>
      </c>
      <c r="I62" s="14" t="s">
        <v>139</v>
      </c>
      <c r="J62" s="16" t="s">
        <v>139</v>
      </c>
      <c r="K62" s="14">
        <v>0</v>
      </c>
      <c r="L62" s="16">
        <v>0</v>
      </c>
      <c r="M62" s="14">
        <v>0</v>
      </c>
      <c r="N62" s="16">
        <v>0</v>
      </c>
      <c r="O62" s="14">
        <v>0</v>
      </c>
      <c r="P62" s="16">
        <v>0</v>
      </c>
      <c r="Q62" s="14">
        <v>0</v>
      </c>
      <c r="R62" s="16">
        <v>0</v>
      </c>
    </row>
    <row r="63" spans="1:18" x14ac:dyDescent="0.25">
      <c r="A63" s="11" t="s">
        <v>196</v>
      </c>
      <c r="B63" s="17" t="s">
        <v>154</v>
      </c>
      <c r="C63" s="17" t="s">
        <v>154</v>
      </c>
      <c r="D63" s="18" t="s">
        <v>154</v>
      </c>
      <c r="E63" s="17" t="s">
        <v>154</v>
      </c>
      <c r="F63" s="18" t="s">
        <v>154</v>
      </c>
      <c r="G63" s="17" t="s">
        <v>154</v>
      </c>
      <c r="H63" s="18" t="s">
        <v>154</v>
      </c>
      <c r="I63" s="17" t="s">
        <v>154</v>
      </c>
      <c r="J63" s="18" t="s">
        <v>154</v>
      </c>
      <c r="K63" s="17" t="s">
        <v>154</v>
      </c>
      <c r="L63" s="18" t="s">
        <v>154</v>
      </c>
      <c r="M63" s="17" t="s">
        <v>154</v>
      </c>
      <c r="N63" s="18" t="s">
        <v>154</v>
      </c>
      <c r="O63" s="17" t="s">
        <v>154</v>
      </c>
      <c r="P63" s="18" t="s">
        <v>154</v>
      </c>
      <c r="Q63" s="17" t="s">
        <v>154</v>
      </c>
      <c r="R63" s="18" t="s">
        <v>154</v>
      </c>
    </row>
    <row r="64" spans="1:18" x14ac:dyDescent="0.25">
      <c r="A64" s="11" t="s">
        <v>197</v>
      </c>
      <c r="B64" s="17" t="s">
        <v>154</v>
      </c>
      <c r="C64" s="17" t="s">
        <v>154</v>
      </c>
      <c r="D64" s="18" t="s">
        <v>154</v>
      </c>
      <c r="E64" s="17" t="s">
        <v>154</v>
      </c>
      <c r="F64" s="18" t="s">
        <v>154</v>
      </c>
      <c r="G64" s="17" t="s">
        <v>154</v>
      </c>
      <c r="H64" s="18" t="s">
        <v>154</v>
      </c>
      <c r="I64" s="17" t="s">
        <v>154</v>
      </c>
      <c r="J64" s="18" t="s">
        <v>154</v>
      </c>
      <c r="K64" s="17" t="s">
        <v>154</v>
      </c>
      <c r="L64" s="18" t="s">
        <v>154</v>
      </c>
      <c r="M64" s="17" t="s">
        <v>154</v>
      </c>
      <c r="N64" s="18" t="s">
        <v>154</v>
      </c>
      <c r="O64" s="17" t="s">
        <v>154</v>
      </c>
      <c r="P64" s="18" t="s">
        <v>154</v>
      </c>
      <c r="Q64" s="17" t="s">
        <v>154</v>
      </c>
      <c r="R64" s="18" t="s">
        <v>154</v>
      </c>
    </row>
    <row r="65" spans="1:18" x14ac:dyDescent="0.25">
      <c r="A65" s="11" t="s">
        <v>198</v>
      </c>
      <c r="B65" s="17" t="s">
        <v>154</v>
      </c>
      <c r="C65" s="17" t="s">
        <v>154</v>
      </c>
      <c r="D65" s="18" t="s">
        <v>154</v>
      </c>
      <c r="E65" s="17" t="s">
        <v>154</v>
      </c>
      <c r="F65" s="18" t="s">
        <v>154</v>
      </c>
      <c r="G65" s="17" t="s">
        <v>154</v>
      </c>
      <c r="H65" s="18" t="s">
        <v>154</v>
      </c>
      <c r="I65" s="17" t="s">
        <v>154</v>
      </c>
      <c r="J65" s="18" t="s">
        <v>154</v>
      </c>
      <c r="K65" s="17" t="s">
        <v>154</v>
      </c>
      <c r="L65" s="18" t="s">
        <v>154</v>
      </c>
      <c r="M65" s="17" t="s">
        <v>154</v>
      </c>
      <c r="N65" s="18" t="s">
        <v>154</v>
      </c>
      <c r="O65" s="17" t="s">
        <v>154</v>
      </c>
      <c r="P65" s="18" t="s">
        <v>154</v>
      </c>
      <c r="Q65" s="17" t="s">
        <v>154</v>
      </c>
      <c r="R65" s="18" t="s">
        <v>154</v>
      </c>
    </row>
    <row r="66" spans="1:18" x14ac:dyDescent="0.25">
      <c r="A66" s="11" t="s">
        <v>199</v>
      </c>
      <c r="B66" s="13">
        <v>5665</v>
      </c>
      <c r="C66" s="14">
        <f>(4745/B66*100)</f>
        <v>83.759929390997357</v>
      </c>
      <c r="D66" s="15">
        <v>920</v>
      </c>
      <c r="E66" s="14">
        <v>43.003765100000003</v>
      </c>
      <c r="F66" s="16">
        <v>1.67917999</v>
      </c>
      <c r="G66" s="14">
        <v>56.996234899999997</v>
      </c>
      <c r="H66" s="16">
        <v>1.67917999</v>
      </c>
      <c r="I66" s="14" t="s">
        <v>139</v>
      </c>
      <c r="J66" s="16" t="s">
        <v>139</v>
      </c>
      <c r="K66" s="14">
        <v>0</v>
      </c>
      <c r="L66" s="16">
        <v>0</v>
      </c>
      <c r="M66" s="14">
        <v>0</v>
      </c>
      <c r="N66" s="16">
        <v>0</v>
      </c>
      <c r="O66" s="14">
        <v>0</v>
      </c>
      <c r="P66" s="16">
        <v>0</v>
      </c>
      <c r="Q66" s="14">
        <v>0</v>
      </c>
      <c r="R66" s="16">
        <v>0</v>
      </c>
    </row>
    <row r="67" spans="1:18" x14ac:dyDescent="0.25">
      <c r="A67" s="11" t="s">
        <v>200</v>
      </c>
      <c r="B67" s="13">
        <v>6971</v>
      </c>
      <c r="C67" s="14">
        <f>(5950/B67*100)</f>
        <v>85.353607803758422</v>
      </c>
      <c r="D67" s="15">
        <v>1021</v>
      </c>
      <c r="E67" s="14">
        <v>52.338436270000003</v>
      </c>
      <c r="F67" s="16">
        <v>1.66717234</v>
      </c>
      <c r="G67" s="14">
        <v>47.661563729999997</v>
      </c>
      <c r="H67" s="16">
        <v>1.66717234</v>
      </c>
      <c r="I67" s="14" t="s">
        <v>139</v>
      </c>
      <c r="J67" s="16" t="s">
        <v>139</v>
      </c>
      <c r="K67" s="14">
        <v>0</v>
      </c>
      <c r="L67" s="16">
        <v>0</v>
      </c>
      <c r="M67" s="14">
        <v>0</v>
      </c>
      <c r="N67" s="16">
        <v>0</v>
      </c>
      <c r="O67" s="14">
        <v>0</v>
      </c>
      <c r="P67" s="16">
        <v>0</v>
      </c>
      <c r="Q67" s="14">
        <v>0</v>
      </c>
      <c r="R67" s="16">
        <v>0</v>
      </c>
    </row>
    <row r="68" spans="1:18" x14ac:dyDescent="0.25">
      <c r="A68" s="11" t="s">
        <v>201</v>
      </c>
      <c r="B68" s="17" t="s">
        <v>154</v>
      </c>
      <c r="C68" s="17" t="s">
        <v>154</v>
      </c>
      <c r="D68" s="18" t="s">
        <v>154</v>
      </c>
      <c r="E68" s="17" t="s">
        <v>154</v>
      </c>
      <c r="F68" s="18" t="s">
        <v>154</v>
      </c>
      <c r="G68" s="17" t="s">
        <v>154</v>
      </c>
      <c r="H68" s="18" t="s">
        <v>154</v>
      </c>
      <c r="I68" s="17" t="s">
        <v>154</v>
      </c>
      <c r="J68" s="18" t="s">
        <v>154</v>
      </c>
      <c r="K68" s="17" t="s">
        <v>154</v>
      </c>
      <c r="L68" s="18" t="s">
        <v>154</v>
      </c>
      <c r="M68" s="17" t="s">
        <v>154</v>
      </c>
      <c r="N68" s="18" t="s">
        <v>154</v>
      </c>
      <c r="O68" s="17" t="s">
        <v>154</v>
      </c>
      <c r="P68" s="18" t="s">
        <v>154</v>
      </c>
      <c r="Q68" s="17" t="s">
        <v>154</v>
      </c>
      <c r="R68" s="18" t="s">
        <v>154</v>
      </c>
    </row>
    <row r="69" spans="1:18" x14ac:dyDescent="0.25">
      <c r="A69" s="11" t="s">
        <v>202</v>
      </c>
      <c r="B69" s="17" t="s">
        <v>154</v>
      </c>
      <c r="C69" s="17" t="s">
        <v>154</v>
      </c>
      <c r="D69" s="18" t="s">
        <v>154</v>
      </c>
      <c r="E69" s="17" t="s">
        <v>154</v>
      </c>
      <c r="F69" s="18" t="s">
        <v>154</v>
      </c>
      <c r="G69" s="17" t="s">
        <v>154</v>
      </c>
      <c r="H69" s="18" t="s">
        <v>154</v>
      </c>
      <c r="I69" s="17" t="s">
        <v>154</v>
      </c>
      <c r="J69" s="18" t="s">
        <v>154</v>
      </c>
      <c r="K69" s="17" t="s">
        <v>154</v>
      </c>
      <c r="L69" s="18" t="s">
        <v>154</v>
      </c>
      <c r="M69" s="17" t="s">
        <v>154</v>
      </c>
      <c r="N69" s="18" t="s">
        <v>154</v>
      </c>
      <c r="O69" s="17" t="s">
        <v>154</v>
      </c>
      <c r="P69" s="18" t="s">
        <v>154</v>
      </c>
      <c r="Q69" s="17" t="s">
        <v>154</v>
      </c>
      <c r="R69" s="18" t="s">
        <v>154</v>
      </c>
    </row>
    <row r="70" spans="1:18" x14ac:dyDescent="0.25">
      <c r="A70" s="11" t="s">
        <v>203</v>
      </c>
      <c r="B70" s="13">
        <v>6036</v>
      </c>
      <c r="C70" s="14">
        <f>(5024/B70*100)</f>
        <v>83.233929754804507</v>
      </c>
      <c r="D70" s="15">
        <v>1012</v>
      </c>
      <c r="E70" s="14">
        <v>22.55390564</v>
      </c>
      <c r="F70" s="16">
        <v>2.5031989600000002</v>
      </c>
      <c r="G70" s="14">
        <v>77.446094360000004</v>
      </c>
      <c r="H70" s="16">
        <v>2.5031989600000002</v>
      </c>
      <c r="I70" s="14" t="s">
        <v>139</v>
      </c>
      <c r="J70" s="16" t="s">
        <v>139</v>
      </c>
      <c r="K70" s="14">
        <v>0</v>
      </c>
      <c r="L70" s="16">
        <v>0</v>
      </c>
      <c r="M70" s="14">
        <v>0</v>
      </c>
      <c r="N70" s="16">
        <v>0</v>
      </c>
      <c r="O70" s="14">
        <v>0</v>
      </c>
      <c r="P70" s="16">
        <v>0</v>
      </c>
      <c r="Q70" s="14">
        <v>0</v>
      </c>
      <c r="R70" s="16">
        <v>0</v>
      </c>
    </row>
    <row r="71" spans="1:18" x14ac:dyDescent="0.25">
      <c r="A71" s="11" t="s">
        <v>204</v>
      </c>
      <c r="B71" s="17" t="s">
        <v>154</v>
      </c>
      <c r="C71" s="17" t="s">
        <v>154</v>
      </c>
      <c r="D71" s="18" t="s">
        <v>154</v>
      </c>
      <c r="E71" s="17" t="s">
        <v>154</v>
      </c>
      <c r="F71" s="18" t="s">
        <v>154</v>
      </c>
      <c r="G71" s="17" t="s">
        <v>154</v>
      </c>
      <c r="H71" s="18" t="s">
        <v>154</v>
      </c>
      <c r="I71" s="17" t="s">
        <v>154</v>
      </c>
      <c r="J71" s="18" t="s">
        <v>154</v>
      </c>
      <c r="K71" s="17" t="s">
        <v>154</v>
      </c>
      <c r="L71" s="18" t="s">
        <v>154</v>
      </c>
      <c r="M71" s="17" t="s">
        <v>154</v>
      </c>
      <c r="N71" s="18" t="s">
        <v>154</v>
      </c>
      <c r="O71" s="17" t="s">
        <v>154</v>
      </c>
      <c r="P71" s="18" t="s">
        <v>154</v>
      </c>
      <c r="Q71" s="17" t="s">
        <v>154</v>
      </c>
      <c r="R71" s="18" t="s">
        <v>154</v>
      </c>
    </row>
    <row r="72" spans="1:18" x14ac:dyDescent="0.25">
      <c r="A72" s="11" t="s">
        <v>205</v>
      </c>
      <c r="B72" s="13">
        <v>7708</v>
      </c>
      <c r="C72" s="14">
        <f>(6366/B72*100)</f>
        <v>82.589517384535554</v>
      </c>
      <c r="D72" s="15">
        <v>1342</v>
      </c>
      <c r="E72" s="14">
        <v>23.83332454</v>
      </c>
      <c r="F72" s="16">
        <v>1.1815169999999999</v>
      </c>
      <c r="G72" s="14">
        <v>76.166675459999993</v>
      </c>
      <c r="H72" s="16">
        <v>1.1815169999999999</v>
      </c>
      <c r="I72" s="14" t="s">
        <v>139</v>
      </c>
      <c r="J72" s="16" t="s">
        <v>139</v>
      </c>
      <c r="K72" s="14">
        <v>0</v>
      </c>
      <c r="L72" s="16">
        <v>0</v>
      </c>
      <c r="M72" s="14">
        <v>0</v>
      </c>
      <c r="N72" s="16">
        <v>0</v>
      </c>
      <c r="O72" s="14">
        <v>0</v>
      </c>
      <c r="P72" s="16">
        <v>0</v>
      </c>
      <c r="Q72" s="14">
        <v>0</v>
      </c>
      <c r="R72" s="16">
        <v>0</v>
      </c>
    </row>
    <row r="73" spans="1:18" x14ac:dyDescent="0.25">
      <c r="A73" s="11" t="s">
        <v>206</v>
      </c>
      <c r="B73" s="13">
        <v>8249</v>
      </c>
      <c r="C73" s="14">
        <f>(6930/B73*100)</f>
        <v>84.010183052491215</v>
      </c>
      <c r="D73" s="15">
        <v>1319</v>
      </c>
      <c r="E73" s="14">
        <v>54.350415400000003</v>
      </c>
      <c r="F73" s="16">
        <v>1.91463574</v>
      </c>
      <c r="G73" s="14">
        <v>45.649584599999997</v>
      </c>
      <c r="H73" s="16">
        <v>1.91463574</v>
      </c>
      <c r="I73" s="14" t="s">
        <v>139</v>
      </c>
      <c r="J73" s="16" t="s">
        <v>139</v>
      </c>
      <c r="K73" s="14">
        <v>0</v>
      </c>
      <c r="L73" s="16">
        <v>0</v>
      </c>
      <c r="M73" s="14">
        <v>0</v>
      </c>
      <c r="N73" s="16">
        <v>0</v>
      </c>
      <c r="O73" s="14">
        <v>0</v>
      </c>
      <c r="P73" s="16">
        <v>0</v>
      </c>
      <c r="Q73" s="14">
        <v>0</v>
      </c>
      <c r="R73" s="16">
        <v>0</v>
      </c>
    </row>
    <row r="74" spans="1:18" x14ac:dyDescent="0.25">
      <c r="A74" s="11" t="s">
        <v>207</v>
      </c>
      <c r="B74" s="17" t="s">
        <v>154</v>
      </c>
      <c r="C74" s="17" t="s">
        <v>154</v>
      </c>
      <c r="D74" s="18" t="s">
        <v>154</v>
      </c>
      <c r="E74" s="17" t="s">
        <v>154</v>
      </c>
      <c r="F74" s="18" t="s">
        <v>154</v>
      </c>
      <c r="G74" s="17" t="s">
        <v>154</v>
      </c>
      <c r="H74" s="18" t="s">
        <v>154</v>
      </c>
      <c r="I74" s="17" t="s">
        <v>154</v>
      </c>
      <c r="J74" s="18" t="s">
        <v>154</v>
      </c>
      <c r="K74" s="17" t="s">
        <v>154</v>
      </c>
      <c r="L74" s="18" t="s">
        <v>154</v>
      </c>
      <c r="M74" s="17" t="s">
        <v>154</v>
      </c>
      <c r="N74" s="18" t="s">
        <v>154</v>
      </c>
      <c r="O74" s="17" t="s">
        <v>154</v>
      </c>
      <c r="P74" s="18" t="s">
        <v>154</v>
      </c>
      <c r="Q74" s="17" t="s">
        <v>154</v>
      </c>
      <c r="R74" s="18" t="s">
        <v>154</v>
      </c>
    </row>
    <row r="75" spans="1:18" x14ac:dyDescent="0.25">
      <c r="A75" s="11" t="s">
        <v>208</v>
      </c>
      <c r="B75" s="13">
        <v>5375</v>
      </c>
      <c r="C75" s="14">
        <f>(4570/B75*100)</f>
        <v>85.023255813953497</v>
      </c>
      <c r="D75" s="15">
        <v>805</v>
      </c>
      <c r="E75" s="14">
        <v>64.032472490000004</v>
      </c>
      <c r="F75" s="16">
        <v>1.6992705699999999</v>
      </c>
      <c r="G75" s="14">
        <v>35.967527509999996</v>
      </c>
      <c r="H75" s="16">
        <v>1.6992705699999999</v>
      </c>
      <c r="I75" s="14" t="s">
        <v>139</v>
      </c>
      <c r="J75" s="16" t="s">
        <v>139</v>
      </c>
      <c r="K75" s="14">
        <v>0</v>
      </c>
      <c r="L75" s="16">
        <v>0</v>
      </c>
      <c r="M75" s="14">
        <v>0</v>
      </c>
      <c r="N75" s="16">
        <v>0</v>
      </c>
      <c r="O75" s="14">
        <v>0</v>
      </c>
      <c r="P75" s="16">
        <v>0</v>
      </c>
      <c r="Q75" s="14">
        <v>0</v>
      </c>
      <c r="R75" s="16">
        <v>0</v>
      </c>
    </row>
    <row r="76" spans="1:18" x14ac:dyDescent="0.25">
      <c r="A76" s="11" t="s">
        <v>209</v>
      </c>
      <c r="B76" s="13">
        <v>14167</v>
      </c>
      <c r="C76" s="14">
        <f>(11781/B76*100)</f>
        <v>83.158043340156709</v>
      </c>
      <c r="D76" s="15">
        <v>2386</v>
      </c>
      <c r="E76" s="14">
        <v>39.44108198</v>
      </c>
      <c r="F76" s="16">
        <v>1.38480816</v>
      </c>
      <c r="G76" s="14">
        <v>60.55891802</v>
      </c>
      <c r="H76" s="16">
        <v>1.38480816</v>
      </c>
      <c r="I76" s="14" t="s">
        <v>139</v>
      </c>
      <c r="J76" s="16" t="s">
        <v>139</v>
      </c>
      <c r="K76" s="14">
        <v>0</v>
      </c>
      <c r="L76" s="16">
        <v>0</v>
      </c>
      <c r="M76" s="14">
        <v>0</v>
      </c>
      <c r="N76" s="16">
        <v>0</v>
      </c>
      <c r="O76" s="14">
        <v>0</v>
      </c>
      <c r="P76" s="16">
        <v>0</v>
      </c>
      <c r="Q76" s="14">
        <v>0</v>
      </c>
      <c r="R76" s="16">
        <v>0</v>
      </c>
    </row>
    <row r="77" spans="1:18" x14ac:dyDescent="0.25">
      <c r="A77" s="11" t="s">
        <v>210</v>
      </c>
      <c r="B77" s="13">
        <v>6062</v>
      </c>
      <c r="C77" s="14">
        <f>(5104/B77*100)</f>
        <v>84.196634774001978</v>
      </c>
      <c r="D77" s="15">
        <v>958</v>
      </c>
      <c r="E77" s="14">
        <v>43.030953459999999</v>
      </c>
      <c r="F77" s="16">
        <v>1.8790697700000001</v>
      </c>
      <c r="G77" s="14">
        <v>56.969046540000001</v>
      </c>
      <c r="H77" s="16">
        <v>1.8790697700000001</v>
      </c>
      <c r="I77" s="14" t="s">
        <v>139</v>
      </c>
      <c r="J77" s="16" t="s">
        <v>139</v>
      </c>
      <c r="K77" s="14">
        <v>0</v>
      </c>
      <c r="L77" s="16">
        <v>0</v>
      </c>
      <c r="M77" s="14">
        <v>0</v>
      </c>
      <c r="N77" s="16">
        <v>0</v>
      </c>
      <c r="O77" s="14">
        <v>0</v>
      </c>
      <c r="P77" s="16">
        <v>0</v>
      </c>
      <c r="Q77" s="14">
        <v>0</v>
      </c>
      <c r="R77" s="16">
        <v>0</v>
      </c>
    </row>
    <row r="78" spans="1:18" x14ac:dyDescent="0.25">
      <c r="A78" s="11" t="s">
        <v>211</v>
      </c>
      <c r="B78" s="17" t="s">
        <v>154</v>
      </c>
      <c r="C78" s="17" t="s">
        <v>154</v>
      </c>
      <c r="D78" s="18" t="s">
        <v>154</v>
      </c>
      <c r="E78" s="17" t="s">
        <v>154</v>
      </c>
      <c r="F78" s="18" t="s">
        <v>154</v>
      </c>
      <c r="G78" s="17" t="s">
        <v>154</v>
      </c>
      <c r="H78" s="18" t="s">
        <v>154</v>
      </c>
      <c r="I78" s="17" t="s">
        <v>154</v>
      </c>
      <c r="J78" s="18" t="s">
        <v>154</v>
      </c>
      <c r="K78" s="17" t="s">
        <v>154</v>
      </c>
      <c r="L78" s="18" t="s">
        <v>154</v>
      </c>
      <c r="M78" s="17" t="s">
        <v>154</v>
      </c>
      <c r="N78" s="18" t="s">
        <v>154</v>
      </c>
      <c r="O78" s="17" t="s">
        <v>154</v>
      </c>
      <c r="P78" s="18" t="s">
        <v>154</v>
      </c>
      <c r="Q78" s="17" t="s">
        <v>154</v>
      </c>
      <c r="R78" s="18" t="s">
        <v>154</v>
      </c>
    </row>
    <row r="79" spans="1:18" ht="24.95" customHeight="1" x14ac:dyDescent="0.25">
      <c r="A79" s="11" t="s">
        <v>212</v>
      </c>
      <c r="B79" s="17" t="s">
        <v>154</v>
      </c>
      <c r="C79" s="17" t="s">
        <v>154</v>
      </c>
      <c r="D79" s="18" t="s">
        <v>154</v>
      </c>
      <c r="E79" s="17" t="s">
        <v>154</v>
      </c>
      <c r="F79" s="18" t="s">
        <v>154</v>
      </c>
      <c r="G79" s="17" t="s">
        <v>154</v>
      </c>
      <c r="H79" s="18" t="s">
        <v>154</v>
      </c>
      <c r="I79" s="17" t="s">
        <v>154</v>
      </c>
      <c r="J79" s="18" t="s">
        <v>154</v>
      </c>
      <c r="K79" s="17" t="s">
        <v>154</v>
      </c>
      <c r="L79" s="18" t="s">
        <v>154</v>
      </c>
      <c r="M79" s="17" t="s">
        <v>154</v>
      </c>
      <c r="N79" s="18" t="s">
        <v>154</v>
      </c>
      <c r="O79" s="17" t="s">
        <v>154</v>
      </c>
      <c r="P79" s="18" t="s">
        <v>154</v>
      </c>
      <c r="Q79" s="17" t="s">
        <v>154</v>
      </c>
      <c r="R79" s="18" t="s">
        <v>154</v>
      </c>
    </row>
    <row r="80" spans="1:18" x14ac:dyDescent="0.25">
      <c r="A80" s="11" t="s">
        <v>213</v>
      </c>
      <c r="B80" s="17" t="s">
        <v>154</v>
      </c>
      <c r="C80" s="17" t="s">
        <v>154</v>
      </c>
      <c r="D80" s="18" t="s">
        <v>154</v>
      </c>
      <c r="E80" s="17" t="s">
        <v>154</v>
      </c>
      <c r="F80" s="18" t="s">
        <v>154</v>
      </c>
      <c r="G80" s="17" t="s">
        <v>154</v>
      </c>
      <c r="H80" s="18" t="s">
        <v>154</v>
      </c>
      <c r="I80" s="17" t="s">
        <v>154</v>
      </c>
      <c r="J80" s="18" t="s">
        <v>154</v>
      </c>
      <c r="K80" s="17" t="s">
        <v>154</v>
      </c>
      <c r="L80" s="18" t="s">
        <v>154</v>
      </c>
      <c r="M80" s="17" t="s">
        <v>154</v>
      </c>
      <c r="N80" s="18" t="s">
        <v>154</v>
      </c>
      <c r="O80" s="17" t="s">
        <v>154</v>
      </c>
      <c r="P80" s="18" t="s">
        <v>154</v>
      </c>
      <c r="Q80" s="17" t="s">
        <v>154</v>
      </c>
      <c r="R80" s="18" t="s">
        <v>154</v>
      </c>
    </row>
    <row r="81" spans="1:18" x14ac:dyDescent="0.25">
      <c r="A81" s="19" t="s">
        <v>214</v>
      </c>
      <c r="B81" s="13">
        <v>8861</v>
      </c>
      <c r="C81" s="14">
        <f>(7356/B81*100)</f>
        <v>83.015461008915466</v>
      </c>
      <c r="D81" s="15">
        <v>1505</v>
      </c>
      <c r="E81" s="14">
        <v>41.699461139999997</v>
      </c>
      <c r="F81" s="16">
        <v>1.7532117700000001</v>
      </c>
      <c r="G81" s="14">
        <v>58.300538860000003</v>
      </c>
      <c r="H81" s="16">
        <v>1.7532117700000001</v>
      </c>
      <c r="I81" s="14" t="s">
        <v>139</v>
      </c>
      <c r="J81" s="16" t="s">
        <v>139</v>
      </c>
      <c r="K81" s="14">
        <v>0</v>
      </c>
      <c r="L81" s="16">
        <v>0</v>
      </c>
      <c r="M81" s="14">
        <v>0</v>
      </c>
      <c r="N81" s="16">
        <v>0</v>
      </c>
      <c r="O81" s="14">
        <v>0</v>
      </c>
      <c r="P81" s="16">
        <v>0</v>
      </c>
      <c r="Q81" s="14">
        <v>0</v>
      </c>
      <c r="R81" s="16">
        <v>0</v>
      </c>
    </row>
    <row r="82" spans="1:18" x14ac:dyDescent="0.25">
      <c r="A82" s="20"/>
      <c r="B82" s="20" t="s">
        <v>215</v>
      </c>
      <c r="C82" s="20" t="s">
        <v>215</v>
      </c>
      <c r="D82" s="20" t="s">
        <v>215</v>
      </c>
      <c r="E82" s="20" t="s">
        <v>215</v>
      </c>
      <c r="F82" s="20" t="s">
        <v>215</v>
      </c>
      <c r="G82" s="20" t="s">
        <v>215</v>
      </c>
      <c r="H82" s="20" t="s">
        <v>215</v>
      </c>
      <c r="I82" s="20" t="s">
        <v>215</v>
      </c>
      <c r="J82" s="20" t="s">
        <v>215</v>
      </c>
      <c r="K82" s="20" t="s">
        <v>215</v>
      </c>
      <c r="L82" s="20" t="s">
        <v>215</v>
      </c>
      <c r="M82" s="20" t="s">
        <v>215</v>
      </c>
      <c r="N82" s="20" t="s">
        <v>215</v>
      </c>
      <c r="O82" s="20" t="s">
        <v>215</v>
      </c>
      <c r="P82" s="20" t="s">
        <v>215</v>
      </c>
      <c r="Q82" s="20" t="s">
        <v>215</v>
      </c>
      <c r="R82" s="20" t="s">
        <v>215</v>
      </c>
    </row>
    <row r="83" spans="1:18" x14ac:dyDescent="0.25">
      <c r="A83" s="3" t="s">
        <v>216</v>
      </c>
    </row>
    <row r="84" spans="1:18" x14ac:dyDescent="0.25">
      <c r="A84" s="22" t="s">
        <v>217</v>
      </c>
      <c r="B84" s="23"/>
      <c r="C84" s="23"/>
      <c r="D84" s="23"/>
      <c r="E84" s="23"/>
      <c r="F84" s="23"/>
      <c r="G84" s="23"/>
      <c r="H84" s="23"/>
      <c r="I84" s="23"/>
      <c r="J84" s="23"/>
      <c r="K84" s="23"/>
      <c r="L84" s="23"/>
      <c r="M84" s="23"/>
      <c r="N84" s="23"/>
      <c r="O84" s="23"/>
      <c r="P84" s="23"/>
      <c r="Q84" s="23"/>
      <c r="R84" s="23"/>
    </row>
    <row r="85" spans="1:18" x14ac:dyDescent="0.25">
      <c r="A85" s="22" t="s">
        <v>218</v>
      </c>
      <c r="B85" s="23"/>
      <c r="C85" s="23"/>
      <c r="D85" s="23"/>
      <c r="E85" s="23"/>
      <c r="F85" s="23"/>
      <c r="G85" s="23"/>
      <c r="H85" s="23"/>
      <c r="I85" s="23"/>
      <c r="J85" s="23"/>
      <c r="K85" s="23"/>
      <c r="L85" s="23"/>
      <c r="M85" s="23"/>
      <c r="N85" s="23"/>
      <c r="O85" s="23"/>
      <c r="P85" s="23"/>
      <c r="Q85" s="23"/>
      <c r="R85" s="23"/>
    </row>
    <row r="86" spans="1:18" ht="30" customHeight="1" x14ac:dyDescent="0.25">
      <c r="A86" s="22" t="s">
        <v>219</v>
      </c>
      <c r="B86" s="23"/>
      <c r="C86" s="23"/>
      <c r="D86" s="23"/>
      <c r="E86" s="23"/>
      <c r="F86" s="23"/>
      <c r="G86" s="23"/>
      <c r="H86" s="23"/>
      <c r="I86" s="23"/>
      <c r="J86" s="23"/>
      <c r="K86" s="23"/>
      <c r="L86" s="23"/>
      <c r="M86" s="23"/>
      <c r="N86" s="23"/>
      <c r="O86" s="23"/>
      <c r="P86" s="23"/>
      <c r="Q86" s="23"/>
      <c r="R86" s="23"/>
    </row>
    <row r="87" spans="1:18" ht="30" customHeight="1" x14ac:dyDescent="0.25">
      <c r="A87" s="22" t="s">
        <v>215</v>
      </c>
      <c r="B87" s="23"/>
      <c r="C87" s="23"/>
      <c r="D87" s="23"/>
      <c r="E87" s="23"/>
      <c r="F87" s="23"/>
      <c r="G87" s="23"/>
      <c r="H87" s="23"/>
      <c r="I87" s="23"/>
      <c r="J87" s="23"/>
      <c r="K87" s="23"/>
      <c r="L87" s="23"/>
      <c r="M87" s="23"/>
      <c r="N87" s="23"/>
      <c r="O87" s="23"/>
      <c r="P87" s="23"/>
      <c r="Q87" s="23"/>
      <c r="R87" s="23"/>
    </row>
    <row r="88" spans="1:18" ht="30" customHeight="1" x14ac:dyDescent="0.25">
      <c r="A88" s="22" t="s">
        <v>220</v>
      </c>
      <c r="B88" s="23"/>
      <c r="C88" s="23"/>
      <c r="D88" s="23"/>
      <c r="E88" s="23"/>
      <c r="F88" s="23"/>
      <c r="G88" s="23"/>
      <c r="H88" s="23"/>
      <c r="I88" s="23"/>
      <c r="J88" s="23"/>
      <c r="K88" s="23"/>
      <c r="L88" s="23"/>
      <c r="M88" s="23"/>
      <c r="N88" s="23"/>
      <c r="O88" s="23"/>
      <c r="P88" s="23"/>
      <c r="Q88" s="23"/>
      <c r="R88" s="23"/>
    </row>
    <row r="89" spans="1:18" ht="30" customHeight="1" x14ac:dyDescent="0.25">
      <c r="A89" s="22" t="s">
        <v>221</v>
      </c>
      <c r="B89" s="23"/>
      <c r="C89" s="23"/>
      <c r="D89" s="23"/>
      <c r="E89" s="23"/>
      <c r="F89" s="23"/>
      <c r="G89" s="23"/>
      <c r="H89" s="23"/>
      <c r="I89" s="23"/>
      <c r="J89" s="23"/>
      <c r="K89" s="23"/>
      <c r="L89" s="23"/>
      <c r="M89" s="23"/>
      <c r="N89" s="23"/>
      <c r="O89" s="23"/>
      <c r="P89" s="23"/>
      <c r="Q89" s="23"/>
      <c r="R89" s="23"/>
    </row>
    <row r="90" spans="1:18" ht="30" customHeight="1" x14ac:dyDescent="0.25">
      <c r="A90" s="22" t="s">
        <v>222</v>
      </c>
      <c r="B90" s="23"/>
      <c r="C90" s="23"/>
      <c r="D90" s="23"/>
      <c r="E90" s="23"/>
      <c r="F90" s="23"/>
      <c r="G90" s="23"/>
      <c r="H90" s="23"/>
      <c r="I90" s="23"/>
      <c r="J90" s="23"/>
      <c r="K90" s="23"/>
      <c r="L90" s="23"/>
      <c r="M90" s="23"/>
      <c r="N90" s="23"/>
      <c r="O90" s="23"/>
      <c r="P90" s="23"/>
      <c r="Q90" s="23"/>
      <c r="R90" s="23"/>
    </row>
    <row r="91" spans="1:18" ht="30" customHeight="1" x14ac:dyDescent="0.25">
      <c r="A91" s="22" t="s">
        <v>223</v>
      </c>
      <c r="B91" s="23"/>
      <c r="C91" s="23"/>
      <c r="D91" s="23"/>
      <c r="E91" s="23"/>
      <c r="F91" s="23"/>
      <c r="G91" s="23"/>
      <c r="H91" s="23"/>
      <c r="I91" s="23"/>
      <c r="J91" s="23"/>
      <c r="K91" s="23"/>
      <c r="L91" s="23"/>
      <c r="M91" s="23"/>
      <c r="N91" s="23"/>
      <c r="O91" s="23"/>
      <c r="P91" s="23"/>
      <c r="Q91" s="23"/>
      <c r="R91" s="23"/>
    </row>
    <row r="92" spans="1:18" ht="30" customHeight="1" x14ac:dyDescent="0.25">
      <c r="A92" s="22" t="s">
        <v>224</v>
      </c>
      <c r="B92" s="23"/>
      <c r="C92" s="23"/>
      <c r="D92" s="23"/>
      <c r="E92" s="23"/>
      <c r="F92" s="23"/>
      <c r="G92" s="23"/>
      <c r="H92" s="23"/>
      <c r="I92" s="23"/>
      <c r="J92" s="23"/>
      <c r="K92" s="23"/>
      <c r="L92" s="23"/>
      <c r="M92" s="23"/>
      <c r="N92" s="23"/>
      <c r="O92" s="23"/>
      <c r="P92" s="23"/>
      <c r="Q92" s="23"/>
      <c r="R92" s="23"/>
    </row>
    <row r="93" spans="1:18" ht="30" customHeight="1" x14ac:dyDescent="0.25">
      <c r="A93" s="22" t="s">
        <v>225</v>
      </c>
      <c r="B93" s="23"/>
      <c r="C93" s="23"/>
      <c r="D93" s="23"/>
      <c r="E93" s="23"/>
      <c r="F93" s="23"/>
      <c r="G93" s="23"/>
      <c r="H93" s="23"/>
      <c r="I93" s="23"/>
      <c r="J93" s="23"/>
      <c r="K93" s="23"/>
      <c r="L93" s="23"/>
      <c r="M93" s="23"/>
      <c r="N93" s="23"/>
      <c r="O93" s="23"/>
      <c r="P93" s="23"/>
      <c r="Q93" s="23"/>
      <c r="R93" s="23"/>
    </row>
    <row r="94" spans="1:18" ht="30" customHeight="1" x14ac:dyDescent="0.25">
      <c r="A94" s="22" t="s">
        <v>226</v>
      </c>
      <c r="B94" s="23"/>
      <c r="C94" s="23"/>
      <c r="D94" s="23"/>
      <c r="E94" s="23"/>
      <c r="F94" s="23"/>
      <c r="G94" s="23"/>
      <c r="H94" s="23"/>
      <c r="I94" s="23"/>
      <c r="J94" s="23"/>
      <c r="K94" s="23"/>
      <c r="L94" s="23"/>
      <c r="M94" s="23"/>
      <c r="N94" s="23"/>
      <c r="O94" s="23"/>
      <c r="P94" s="23"/>
      <c r="Q94" s="23"/>
      <c r="R94" s="23"/>
    </row>
    <row r="95" spans="1:18" ht="30" customHeight="1" x14ac:dyDescent="0.25">
      <c r="A95" s="22" t="s">
        <v>227</v>
      </c>
      <c r="B95" s="23"/>
      <c r="C95" s="23"/>
      <c r="D95" s="23"/>
      <c r="E95" s="23"/>
      <c r="F95" s="23"/>
      <c r="G95" s="23"/>
      <c r="H95" s="23"/>
      <c r="I95" s="23"/>
      <c r="J95" s="23"/>
      <c r="K95" s="23"/>
      <c r="L95" s="23"/>
      <c r="M95" s="23"/>
      <c r="N95" s="23"/>
      <c r="O95" s="23"/>
      <c r="P95" s="23"/>
      <c r="Q95" s="23"/>
      <c r="R95" s="23"/>
    </row>
    <row r="96" spans="1:18" ht="30" customHeight="1" x14ac:dyDescent="0.25">
      <c r="A96" s="22" t="s">
        <v>228</v>
      </c>
      <c r="B96" s="23"/>
      <c r="C96" s="23"/>
      <c r="D96" s="23"/>
      <c r="E96" s="23"/>
      <c r="F96" s="23"/>
      <c r="G96" s="23"/>
      <c r="H96" s="23"/>
      <c r="I96" s="23"/>
      <c r="J96" s="23"/>
      <c r="K96" s="23"/>
      <c r="L96" s="23"/>
      <c r="M96" s="23"/>
      <c r="N96" s="23"/>
      <c r="O96" s="23"/>
      <c r="P96" s="23"/>
      <c r="Q96" s="23"/>
      <c r="R96" s="23"/>
    </row>
  </sheetData>
  <mergeCells count="22">
    <mergeCell ref="O4:P4"/>
    <mergeCell ref="Q4:R4"/>
    <mergeCell ref="A1:R1"/>
    <mergeCell ref="A2:R2"/>
    <mergeCell ref="A84:R84"/>
    <mergeCell ref="E4:F4"/>
    <mergeCell ref="G4:H4"/>
    <mergeCell ref="I4:J4"/>
    <mergeCell ref="K4:L4"/>
    <mergeCell ref="M4:N4"/>
    <mergeCell ref="A85:R85"/>
    <mergeCell ref="A86:R86"/>
    <mergeCell ref="A87:R87"/>
    <mergeCell ref="A88:R88"/>
    <mergeCell ref="A89:R89"/>
    <mergeCell ref="A95:R95"/>
    <mergeCell ref="A96:R96"/>
    <mergeCell ref="A90:R90"/>
    <mergeCell ref="A91:R91"/>
    <mergeCell ref="A92:R92"/>
    <mergeCell ref="A93:R93"/>
    <mergeCell ref="A94:R94"/>
  </mergeCells>
  <pageMargins left="0.75" right="0.75" top="1" bottom="1" header="0.5" footer="0.5"/>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3"/>
  <dimension ref="A1:T96"/>
  <sheetViews>
    <sheetView zoomScale="80" workbookViewId="0">
      <pane xSplit="4" topLeftCell="E1" activePane="topRight" state="frozen"/>
      <selection sqref="A1:R1"/>
      <selection pane="topRight" sqref="A1:T1"/>
    </sheetView>
  </sheetViews>
  <sheetFormatPr defaultColWidth="11.42578125" defaultRowHeight="15" x14ac:dyDescent="0.25"/>
  <cols>
    <col min="1" max="1" width="50" customWidth="1"/>
  </cols>
  <sheetData>
    <row r="1" spans="1:20" x14ac:dyDescent="0.25">
      <c r="A1" s="26" t="s">
        <v>122</v>
      </c>
      <c r="B1" s="23"/>
      <c r="C1" s="23"/>
      <c r="D1" s="23"/>
      <c r="E1" s="23"/>
      <c r="F1" s="23"/>
      <c r="G1" s="23"/>
      <c r="H1" s="23"/>
      <c r="I1" s="23"/>
      <c r="J1" s="23"/>
      <c r="K1" s="23"/>
      <c r="L1" s="23"/>
      <c r="M1" s="23"/>
      <c r="N1" s="23"/>
      <c r="O1" s="23"/>
      <c r="P1" s="23"/>
      <c r="Q1" s="23"/>
      <c r="R1" s="23"/>
      <c r="S1" s="23"/>
      <c r="T1" s="23"/>
    </row>
    <row r="2" spans="1:20" x14ac:dyDescent="0.25">
      <c r="A2" s="27" t="s">
        <v>339</v>
      </c>
      <c r="B2" s="23"/>
      <c r="C2" s="23"/>
      <c r="D2" s="23"/>
      <c r="E2" s="23"/>
      <c r="F2" s="23"/>
      <c r="G2" s="23"/>
      <c r="H2" s="23"/>
      <c r="I2" s="23"/>
      <c r="J2" s="23"/>
      <c r="K2" s="23"/>
      <c r="L2" s="23"/>
      <c r="M2" s="23"/>
      <c r="N2" s="23"/>
      <c r="O2" s="23"/>
      <c r="P2" s="23"/>
      <c r="Q2" s="23"/>
      <c r="R2" s="23"/>
      <c r="S2" s="23"/>
      <c r="T2" s="23"/>
    </row>
    <row r="4" spans="1:20" ht="30" customHeight="1" x14ac:dyDescent="0.25">
      <c r="A4" s="4"/>
      <c r="B4" s="5" t="s">
        <v>123</v>
      </c>
      <c r="C4" s="5" t="s">
        <v>124</v>
      </c>
      <c r="D4" s="6" t="s">
        <v>123</v>
      </c>
      <c r="E4" s="24" t="s">
        <v>125</v>
      </c>
      <c r="F4" s="25"/>
      <c r="G4" s="24" t="s">
        <v>233</v>
      </c>
      <c r="H4" s="25"/>
      <c r="I4" s="24" t="s">
        <v>234</v>
      </c>
      <c r="J4" s="25"/>
      <c r="K4" s="24" t="s">
        <v>127</v>
      </c>
      <c r="L4" s="25"/>
      <c r="M4" s="24" t="s">
        <v>128</v>
      </c>
      <c r="N4" s="25"/>
      <c r="O4" s="24" t="s">
        <v>129</v>
      </c>
      <c r="P4" s="25"/>
      <c r="Q4" s="24" t="s">
        <v>130</v>
      </c>
      <c r="R4" s="25"/>
      <c r="S4" s="24" t="s">
        <v>131</v>
      </c>
      <c r="T4" s="25"/>
    </row>
    <row r="5" spans="1:20" x14ac:dyDescent="0.25">
      <c r="A5" s="7"/>
      <c r="B5" s="8" t="s">
        <v>132</v>
      </c>
      <c r="C5" s="8" t="s">
        <v>133</v>
      </c>
      <c r="D5" s="7" t="s">
        <v>134</v>
      </c>
      <c r="E5" s="8" t="s">
        <v>135</v>
      </c>
      <c r="F5" s="7" t="s">
        <v>136</v>
      </c>
      <c r="G5" s="8" t="s">
        <v>135</v>
      </c>
      <c r="H5" s="7" t="s">
        <v>136</v>
      </c>
      <c r="I5" s="8" t="s">
        <v>135</v>
      </c>
      <c r="J5" s="7" t="s">
        <v>136</v>
      </c>
      <c r="K5" s="8" t="s">
        <v>135</v>
      </c>
      <c r="L5" s="7" t="s">
        <v>136</v>
      </c>
      <c r="M5" s="8" t="s">
        <v>135</v>
      </c>
      <c r="N5" s="7" t="s">
        <v>136</v>
      </c>
      <c r="O5" s="8" t="s">
        <v>135</v>
      </c>
      <c r="P5" s="7" t="s">
        <v>136</v>
      </c>
      <c r="Q5" s="8" t="s">
        <v>135</v>
      </c>
      <c r="R5" s="7" t="s">
        <v>136</v>
      </c>
      <c r="S5" s="8" t="s">
        <v>135</v>
      </c>
      <c r="T5" s="7" t="s">
        <v>136</v>
      </c>
    </row>
    <row r="6" spans="1:20" x14ac:dyDescent="0.25">
      <c r="A6" s="9" t="s">
        <v>137</v>
      </c>
      <c r="B6" s="10"/>
      <c r="C6" s="10"/>
      <c r="D6" s="11"/>
      <c r="E6" s="10"/>
      <c r="F6" s="11"/>
      <c r="G6" s="10"/>
      <c r="H6" s="11"/>
      <c r="I6" s="10"/>
      <c r="J6" s="11"/>
      <c r="K6" s="10"/>
      <c r="L6" s="11"/>
      <c r="M6" s="10"/>
      <c r="N6" s="11"/>
      <c r="O6" s="10"/>
      <c r="P6" s="11"/>
      <c r="Q6" s="10"/>
      <c r="R6" s="11"/>
      <c r="S6" s="10"/>
      <c r="T6" s="12"/>
    </row>
    <row r="7" spans="1:20" x14ac:dyDescent="0.25">
      <c r="A7" s="11" t="s">
        <v>138</v>
      </c>
      <c r="B7" s="13">
        <v>14530</v>
      </c>
      <c r="C7" s="14">
        <f>(12104/B7*100)</f>
        <v>83.303509979353066</v>
      </c>
      <c r="D7" s="15">
        <v>2426</v>
      </c>
      <c r="E7" s="14">
        <v>68.248165330000006</v>
      </c>
      <c r="F7" s="16">
        <v>0.99429886000000001</v>
      </c>
      <c r="G7" s="14">
        <v>21.004502630000001</v>
      </c>
      <c r="H7" s="16">
        <v>0.96644872999999998</v>
      </c>
      <c r="I7" s="14">
        <v>10.74733204</v>
      </c>
      <c r="J7" s="16">
        <v>0.77152768000000005</v>
      </c>
      <c r="K7" s="14" t="s">
        <v>139</v>
      </c>
      <c r="L7" s="16" t="s">
        <v>139</v>
      </c>
      <c r="M7" s="14">
        <v>0</v>
      </c>
      <c r="N7" s="16">
        <v>0</v>
      </c>
      <c r="O7" s="14">
        <v>0</v>
      </c>
      <c r="P7" s="16">
        <v>0</v>
      </c>
      <c r="Q7" s="14">
        <v>0</v>
      </c>
      <c r="R7" s="16">
        <v>0</v>
      </c>
      <c r="S7" s="14">
        <v>0</v>
      </c>
      <c r="T7" s="16">
        <v>0</v>
      </c>
    </row>
    <row r="8" spans="1:20" x14ac:dyDescent="0.25">
      <c r="A8" s="11" t="s">
        <v>140</v>
      </c>
      <c r="B8" s="13">
        <v>7007</v>
      </c>
      <c r="C8" s="14">
        <f>(5788/B8*100)</f>
        <v>82.603111174539748</v>
      </c>
      <c r="D8" s="15">
        <v>1219</v>
      </c>
      <c r="E8" s="14">
        <v>72.840684640000006</v>
      </c>
      <c r="F8" s="16">
        <v>1.5462269399999999</v>
      </c>
      <c r="G8" s="14">
        <v>18.592180209999999</v>
      </c>
      <c r="H8" s="16">
        <v>1.34438981</v>
      </c>
      <c r="I8" s="14">
        <v>8.5671351399999995</v>
      </c>
      <c r="J8" s="16">
        <v>0.86804658000000001</v>
      </c>
      <c r="K8" s="14" t="s">
        <v>139</v>
      </c>
      <c r="L8" s="16" t="s">
        <v>139</v>
      </c>
      <c r="M8" s="14">
        <v>0</v>
      </c>
      <c r="N8" s="16">
        <v>0</v>
      </c>
      <c r="O8" s="14">
        <v>0</v>
      </c>
      <c r="P8" s="16">
        <v>0</v>
      </c>
      <c r="Q8" s="14">
        <v>0</v>
      </c>
      <c r="R8" s="16">
        <v>0</v>
      </c>
      <c r="S8" s="14">
        <v>0</v>
      </c>
      <c r="T8" s="16">
        <v>0</v>
      </c>
    </row>
    <row r="9" spans="1:20" x14ac:dyDescent="0.25">
      <c r="A9" s="11" t="s">
        <v>141</v>
      </c>
      <c r="B9" s="13">
        <v>9651</v>
      </c>
      <c r="C9" s="14">
        <f>(8085/B9*100)</f>
        <v>83.773702207025181</v>
      </c>
      <c r="D9" s="15">
        <v>1566</v>
      </c>
      <c r="E9" s="14">
        <v>71.357113299999995</v>
      </c>
      <c r="F9" s="16">
        <v>1.1306464199999999</v>
      </c>
      <c r="G9" s="14">
        <v>19.816545009999999</v>
      </c>
      <c r="H9" s="16">
        <v>1.1591540600000001</v>
      </c>
      <c r="I9" s="14">
        <v>8.8263416899999996</v>
      </c>
      <c r="J9" s="16">
        <v>0.61744980999999999</v>
      </c>
      <c r="K9" s="14" t="s">
        <v>139</v>
      </c>
      <c r="L9" s="16" t="s">
        <v>139</v>
      </c>
      <c r="M9" s="14">
        <v>0</v>
      </c>
      <c r="N9" s="16">
        <v>0</v>
      </c>
      <c r="O9" s="14">
        <v>0</v>
      </c>
      <c r="P9" s="16">
        <v>0</v>
      </c>
      <c r="Q9" s="14">
        <v>0</v>
      </c>
      <c r="R9" s="16">
        <v>0</v>
      </c>
      <c r="S9" s="14">
        <v>0</v>
      </c>
      <c r="T9" s="16">
        <v>0</v>
      </c>
    </row>
    <row r="10" spans="1:20" x14ac:dyDescent="0.25">
      <c r="A10" s="11" t="s">
        <v>142</v>
      </c>
      <c r="B10" s="13">
        <v>20058</v>
      </c>
      <c r="C10" s="14">
        <f>(16682/B10*100)</f>
        <v>83.168810449695883</v>
      </c>
      <c r="D10" s="15">
        <v>3376</v>
      </c>
      <c r="E10" s="14">
        <v>65.431514469999996</v>
      </c>
      <c r="F10" s="16">
        <v>1.28014592</v>
      </c>
      <c r="G10" s="14">
        <v>23.844566950000001</v>
      </c>
      <c r="H10" s="16">
        <v>1.1463711999999999</v>
      </c>
      <c r="I10" s="14">
        <v>10.723918579999999</v>
      </c>
      <c r="J10" s="16">
        <v>0.77403308000000004</v>
      </c>
      <c r="K10" s="14" t="s">
        <v>139</v>
      </c>
      <c r="L10" s="16" t="s">
        <v>139</v>
      </c>
      <c r="M10" s="14">
        <v>0</v>
      </c>
      <c r="N10" s="16">
        <v>0</v>
      </c>
      <c r="O10" s="14">
        <v>0</v>
      </c>
      <c r="P10" s="16">
        <v>0</v>
      </c>
      <c r="Q10" s="14">
        <v>0</v>
      </c>
      <c r="R10" s="16">
        <v>0</v>
      </c>
      <c r="S10" s="14">
        <v>0</v>
      </c>
      <c r="T10" s="16">
        <v>0</v>
      </c>
    </row>
    <row r="11" spans="1:20" x14ac:dyDescent="0.25">
      <c r="A11" s="11" t="s">
        <v>143</v>
      </c>
      <c r="B11" s="13">
        <v>7053</v>
      </c>
      <c r="C11" s="14">
        <f>(5879/B11*100)</f>
        <v>83.354600879058566</v>
      </c>
      <c r="D11" s="15">
        <v>1174</v>
      </c>
      <c r="E11" s="14">
        <v>81.470750719999998</v>
      </c>
      <c r="F11" s="16">
        <v>1.19636455</v>
      </c>
      <c r="G11" s="14">
        <v>15.01100274</v>
      </c>
      <c r="H11" s="16">
        <v>1.19728192</v>
      </c>
      <c r="I11" s="14">
        <v>3.5182465399999998</v>
      </c>
      <c r="J11" s="16">
        <v>0.51307424000000001</v>
      </c>
      <c r="K11" s="14" t="s">
        <v>139</v>
      </c>
      <c r="L11" s="16" t="s">
        <v>139</v>
      </c>
      <c r="M11" s="14">
        <v>0</v>
      </c>
      <c r="N11" s="16">
        <v>0</v>
      </c>
      <c r="O11" s="14">
        <v>0</v>
      </c>
      <c r="P11" s="16">
        <v>0</v>
      </c>
      <c r="Q11" s="14">
        <v>0</v>
      </c>
      <c r="R11" s="16">
        <v>0</v>
      </c>
      <c r="S11" s="14">
        <v>0</v>
      </c>
      <c r="T11" s="16">
        <v>0</v>
      </c>
    </row>
    <row r="12" spans="1:20" x14ac:dyDescent="0.25">
      <c r="A12" s="11" t="s">
        <v>144</v>
      </c>
      <c r="B12" s="13">
        <v>6894</v>
      </c>
      <c r="C12" s="14">
        <f>(5739/B12*100)</f>
        <v>83.246301131418619</v>
      </c>
      <c r="D12" s="15">
        <v>1155</v>
      </c>
      <c r="E12" s="14">
        <v>71.481437119999995</v>
      </c>
      <c r="F12" s="16">
        <v>1.5620652100000001</v>
      </c>
      <c r="G12" s="14">
        <v>23.189979510000001</v>
      </c>
      <c r="H12" s="16">
        <v>1.3370708499999999</v>
      </c>
      <c r="I12" s="14">
        <v>5.3285833699999996</v>
      </c>
      <c r="J12" s="16">
        <v>0.78262067000000002</v>
      </c>
      <c r="K12" s="14" t="s">
        <v>139</v>
      </c>
      <c r="L12" s="16" t="s">
        <v>139</v>
      </c>
      <c r="M12" s="14">
        <v>0</v>
      </c>
      <c r="N12" s="16">
        <v>0</v>
      </c>
      <c r="O12" s="14">
        <v>0</v>
      </c>
      <c r="P12" s="16">
        <v>0</v>
      </c>
      <c r="Q12" s="14">
        <v>0</v>
      </c>
      <c r="R12" s="16">
        <v>0</v>
      </c>
      <c r="S12" s="14">
        <v>0</v>
      </c>
      <c r="T12" s="16">
        <v>0</v>
      </c>
    </row>
    <row r="13" spans="1:20" x14ac:dyDescent="0.25">
      <c r="A13" s="11" t="s">
        <v>145</v>
      </c>
      <c r="B13" s="13">
        <v>7161</v>
      </c>
      <c r="C13" s="14">
        <f>(6014/B13*100)</f>
        <v>83.98268398268398</v>
      </c>
      <c r="D13" s="15">
        <v>1147</v>
      </c>
      <c r="E13" s="14">
        <v>66.648199610000006</v>
      </c>
      <c r="F13" s="16">
        <v>2.03402773</v>
      </c>
      <c r="G13" s="14">
        <v>22.34485583</v>
      </c>
      <c r="H13" s="16">
        <v>1.5602300200000001</v>
      </c>
      <c r="I13" s="14">
        <v>11.00694455</v>
      </c>
      <c r="J13" s="16">
        <v>1.2279248</v>
      </c>
      <c r="K13" s="14" t="s">
        <v>139</v>
      </c>
      <c r="L13" s="16" t="s">
        <v>139</v>
      </c>
      <c r="M13" s="14">
        <v>0</v>
      </c>
      <c r="N13" s="16">
        <v>0</v>
      </c>
      <c r="O13" s="14">
        <v>0</v>
      </c>
      <c r="P13" s="16">
        <v>0</v>
      </c>
      <c r="Q13" s="14">
        <v>0</v>
      </c>
      <c r="R13" s="16">
        <v>0</v>
      </c>
      <c r="S13" s="14">
        <v>0</v>
      </c>
      <c r="T13" s="16">
        <v>0</v>
      </c>
    </row>
    <row r="14" spans="1:20" x14ac:dyDescent="0.25">
      <c r="A14" s="11" t="s">
        <v>146</v>
      </c>
      <c r="B14" s="13">
        <v>5587</v>
      </c>
      <c r="C14" s="14">
        <f>(4630/B14*100)</f>
        <v>82.870950420619295</v>
      </c>
      <c r="D14" s="15">
        <v>957</v>
      </c>
      <c r="E14" s="14">
        <v>70.675381209999998</v>
      </c>
      <c r="F14" s="16">
        <v>1.4973942200000001</v>
      </c>
      <c r="G14" s="14">
        <v>20.13489745</v>
      </c>
      <c r="H14" s="16">
        <v>1.47500556</v>
      </c>
      <c r="I14" s="14">
        <v>9.1897213400000002</v>
      </c>
      <c r="J14" s="16">
        <v>0.86299537999999998</v>
      </c>
      <c r="K14" s="14" t="s">
        <v>139</v>
      </c>
      <c r="L14" s="16" t="s">
        <v>139</v>
      </c>
      <c r="M14" s="14">
        <v>0</v>
      </c>
      <c r="N14" s="16">
        <v>0</v>
      </c>
      <c r="O14" s="14">
        <v>0</v>
      </c>
      <c r="P14" s="16">
        <v>0</v>
      </c>
      <c r="Q14" s="14">
        <v>0</v>
      </c>
      <c r="R14" s="16">
        <v>0</v>
      </c>
      <c r="S14" s="14">
        <v>0</v>
      </c>
      <c r="T14" s="16">
        <v>0</v>
      </c>
    </row>
    <row r="15" spans="1:20" x14ac:dyDescent="0.25">
      <c r="A15" s="11" t="s">
        <v>147</v>
      </c>
      <c r="B15" s="13">
        <v>5882</v>
      </c>
      <c r="C15" s="14">
        <f>(4876/B15*100)</f>
        <v>82.896973818429103</v>
      </c>
      <c r="D15" s="15">
        <v>1006</v>
      </c>
      <c r="E15" s="14">
        <v>70.122221510000003</v>
      </c>
      <c r="F15" s="16">
        <v>1.3804040399999999</v>
      </c>
      <c r="G15" s="14">
        <v>17.080740580000001</v>
      </c>
      <c r="H15" s="16">
        <v>1.0970728300000001</v>
      </c>
      <c r="I15" s="14">
        <v>12.797037919999999</v>
      </c>
      <c r="J15" s="16">
        <v>1.0565911299999999</v>
      </c>
      <c r="K15" s="14" t="s">
        <v>139</v>
      </c>
      <c r="L15" s="16" t="s">
        <v>139</v>
      </c>
      <c r="M15" s="14">
        <v>0</v>
      </c>
      <c r="N15" s="16">
        <v>0</v>
      </c>
      <c r="O15" s="14">
        <v>0</v>
      </c>
      <c r="P15" s="16">
        <v>0</v>
      </c>
      <c r="Q15" s="14">
        <v>0</v>
      </c>
      <c r="R15" s="16">
        <v>0</v>
      </c>
      <c r="S15" s="14">
        <v>0</v>
      </c>
      <c r="T15" s="16">
        <v>0</v>
      </c>
    </row>
    <row r="16" spans="1:20" x14ac:dyDescent="0.25">
      <c r="A16" s="11" t="s">
        <v>148</v>
      </c>
      <c r="B16" s="13">
        <v>6108</v>
      </c>
      <c r="C16" s="14">
        <f>(5090/B16*100)</f>
        <v>83.333333333333343</v>
      </c>
      <c r="D16" s="15">
        <v>1018</v>
      </c>
      <c r="E16" s="14">
        <v>73.736788439999998</v>
      </c>
      <c r="F16" s="16">
        <v>1.3366127400000001</v>
      </c>
      <c r="G16" s="14">
        <v>20.239709080000001</v>
      </c>
      <c r="H16" s="16">
        <v>1.3048085</v>
      </c>
      <c r="I16" s="14">
        <v>6.0235024800000003</v>
      </c>
      <c r="J16" s="16">
        <v>0.69544253</v>
      </c>
      <c r="K16" s="14" t="s">
        <v>139</v>
      </c>
      <c r="L16" s="16" t="s">
        <v>139</v>
      </c>
      <c r="M16" s="14">
        <v>0</v>
      </c>
      <c r="N16" s="16">
        <v>0</v>
      </c>
      <c r="O16" s="14">
        <v>0</v>
      </c>
      <c r="P16" s="16">
        <v>0</v>
      </c>
      <c r="Q16" s="14">
        <v>0</v>
      </c>
      <c r="R16" s="16">
        <v>0</v>
      </c>
      <c r="S16" s="14">
        <v>0</v>
      </c>
      <c r="T16" s="16">
        <v>0</v>
      </c>
    </row>
    <row r="17" spans="1:20" x14ac:dyDescent="0.25">
      <c r="A17" s="11" t="s">
        <v>149</v>
      </c>
      <c r="B17" s="13">
        <v>6504</v>
      </c>
      <c r="C17" s="14">
        <f>(5420/B17*100)</f>
        <v>83.333333333333343</v>
      </c>
      <c r="D17" s="15">
        <v>1084</v>
      </c>
      <c r="E17" s="14">
        <v>70.203518590000002</v>
      </c>
      <c r="F17" s="16">
        <v>1.37274779</v>
      </c>
      <c r="G17" s="14">
        <v>21.040854679999999</v>
      </c>
      <c r="H17" s="16">
        <v>1.3523296300000001</v>
      </c>
      <c r="I17" s="14">
        <v>8.7556267299999995</v>
      </c>
      <c r="J17" s="16">
        <v>0.86090754999999997</v>
      </c>
      <c r="K17" s="14" t="s">
        <v>139</v>
      </c>
      <c r="L17" s="16" t="s">
        <v>139</v>
      </c>
      <c r="M17" s="14">
        <v>0</v>
      </c>
      <c r="N17" s="16">
        <v>0</v>
      </c>
      <c r="O17" s="14">
        <v>0</v>
      </c>
      <c r="P17" s="16">
        <v>0</v>
      </c>
      <c r="Q17" s="14">
        <v>0</v>
      </c>
      <c r="R17" s="16">
        <v>0</v>
      </c>
      <c r="S17" s="14">
        <v>0</v>
      </c>
      <c r="T17" s="16">
        <v>0</v>
      </c>
    </row>
    <row r="18" spans="1:20" x14ac:dyDescent="0.25">
      <c r="A18" s="11" t="s">
        <v>150</v>
      </c>
      <c r="B18" s="13">
        <v>5532</v>
      </c>
      <c r="C18" s="14">
        <f>(4585/B18*100)</f>
        <v>82.881417208966013</v>
      </c>
      <c r="D18" s="15">
        <v>947</v>
      </c>
      <c r="E18" s="14">
        <v>84.356306160000003</v>
      </c>
      <c r="F18" s="16">
        <v>1.19160753</v>
      </c>
      <c r="G18" s="14">
        <v>10.6120769</v>
      </c>
      <c r="H18" s="16">
        <v>1.0181568000000001</v>
      </c>
      <c r="I18" s="14">
        <v>5.0316169300000002</v>
      </c>
      <c r="J18" s="16">
        <v>0.85525558000000002</v>
      </c>
      <c r="K18" s="14" t="s">
        <v>139</v>
      </c>
      <c r="L18" s="16" t="s">
        <v>139</v>
      </c>
      <c r="M18" s="14">
        <v>0</v>
      </c>
      <c r="N18" s="16">
        <v>0</v>
      </c>
      <c r="O18" s="14">
        <v>0</v>
      </c>
      <c r="P18" s="16">
        <v>0</v>
      </c>
      <c r="Q18" s="14">
        <v>0</v>
      </c>
      <c r="R18" s="16">
        <v>0</v>
      </c>
      <c r="S18" s="14">
        <v>0</v>
      </c>
      <c r="T18" s="16">
        <v>0</v>
      </c>
    </row>
    <row r="19" spans="1:20" x14ac:dyDescent="0.25">
      <c r="A19" s="11" t="s">
        <v>151</v>
      </c>
      <c r="B19" s="13">
        <v>5658</v>
      </c>
      <c r="C19" s="14">
        <f>(4718/B19*100)</f>
        <v>83.38635560268645</v>
      </c>
      <c r="D19" s="15">
        <v>940</v>
      </c>
      <c r="E19" s="14">
        <v>78.706749290000005</v>
      </c>
      <c r="F19" s="16">
        <v>1.661945</v>
      </c>
      <c r="G19" s="14">
        <v>14.23108927</v>
      </c>
      <c r="H19" s="16">
        <v>1.3265770299999999</v>
      </c>
      <c r="I19" s="14">
        <v>7.0621614499999996</v>
      </c>
      <c r="J19" s="16">
        <v>1.0453922600000001</v>
      </c>
      <c r="K19" s="14" t="s">
        <v>139</v>
      </c>
      <c r="L19" s="16" t="s">
        <v>139</v>
      </c>
      <c r="M19" s="14">
        <v>0</v>
      </c>
      <c r="N19" s="16">
        <v>0</v>
      </c>
      <c r="O19" s="14">
        <v>0</v>
      </c>
      <c r="P19" s="16">
        <v>0</v>
      </c>
      <c r="Q19" s="14">
        <v>0</v>
      </c>
      <c r="R19" s="16">
        <v>0</v>
      </c>
      <c r="S19" s="14">
        <v>0</v>
      </c>
      <c r="T19" s="16">
        <v>0</v>
      </c>
    </row>
    <row r="20" spans="1:20" x14ac:dyDescent="0.25">
      <c r="A20" s="11" t="s">
        <v>152</v>
      </c>
      <c r="B20" s="13">
        <v>3371</v>
      </c>
      <c r="C20" s="14">
        <f>(2807/B20*100)</f>
        <v>83.26905962622368</v>
      </c>
      <c r="D20" s="15">
        <v>564</v>
      </c>
      <c r="E20" s="14">
        <v>64.444542510000005</v>
      </c>
      <c r="F20" s="16">
        <v>2.06621546</v>
      </c>
      <c r="G20" s="14">
        <v>28.36538002</v>
      </c>
      <c r="H20" s="16">
        <v>1.89818015</v>
      </c>
      <c r="I20" s="14">
        <v>7.1900774700000003</v>
      </c>
      <c r="J20" s="16">
        <v>1.1171378300000001</v>
      </c>
      <c r="K20" s="14" t="s">
        <v>139</v>
      </c>
      <c r="L20" s="16" t="s">
        <v>139</v>
      </c>
      <c r="M20" s="14">
        <v>0</v>
      </c>
      <c r="N20" s="16">
        <v>0</v>
      </c>
      <c r="O20" s="14">
        <v>0</v>
      </c>
      <c r="P20" s="16">
        <v>0</v>
      </c>
      <c r="Q20" s="14">
        <v>0</v>
      </c>
      <c r="R20" s="16">
        <v>0</v>
      </c>
      <c r="S20" s="14">
        <v>0</v>
      </c>
      <c r="T20" s="16">
        <v>0</v>
      </c>
    </row>
    <row r="21" spans="1:20" x14ac:dyDescent="0.25">
      <c r="A21" s="11" t="s">
        <v>153</v>
      </c>
      <c r="B21" s="17" t="s">
        <v>154</v>
      </c>
      <c r="C21" s="17" t="s">
        <v>154</v>
      </c>
      <c r="D21" s="18" t="s">
        <v>154</v>
      </c>
      <c r="E21" s="17" t="s">
        <v>154</v>
      </c>
      <c r="F21" s="18" t="s">
        <v>154</v>
      </c>
      <c r="G21" s="17" t="s">
        <v>154</v>
      </c>
      <c r="H21" s="18" t="s">
        <v>154</v>
      </c>
      <c r="I21" s="17" t="s">
        <v>154</v>
      </c>
      <c r="J21" s="18" t="s">
        <v>154</v>
      </c>
      <c r="K21" s="17" t="s">
        <v>154</v>
      </c>
      <c r="L21" s="18" t="s">
        <v>154</v>
      </c>
      <c r="M21" s="17" t="s">
        <v>154</v>
      </c>
      <c r="N21" s="18" t="s">
        <v>154</v>
      </c>
      <c r="O21" s="17" t="s">
        <v>154</v>
      </c>
      <c r="P21" s="18" t="s">
        <v>154</v>
      </c>
      <c r="Q21" s="17" t="s">
        <v>154</v>
      </c>
      <c r="R21" s="18" t="s">
        <v>154</v>
      </c>
      <c r="S21" s="17" t="s">
        <v>154</v>
      </c>
      <c r="T21" s="18" t="s">
        <v>154</v>
      </c>
    </row>
    <row r="22" spans="1:20" x14ac:dyDescent="0.25">
      <c r="A22" s="11" t="s">
        <v>155</v>
      </c>
      <c r="B22" s="13">
        <v>6598</v>
      </c>
      <c r="C22" s="14">
        <f>(5584/B22*100)</f>
        <v>84.631706577750833</v>
      </c>
      <c r="D22" s="15">
        <v>1014</v>
      </c>
      <c r="E22" s="14">
        <v>62.677678630000003</v>
      </c>
      <c r="F22" s="16">
        <v>1.5652859699999999</v>
      </c>
      <c r="G22" s="14">
        <v>12.704568009999999</v>
      </c>
      <c r="H22" s="16">
        <v>0.90764564000000003</v>
      </c>
      <c r="I22" s="14">
        <v>24.617753359999998</v>
      </c>
      <c r="J22" s="16">
        <v>1.2429639299999999</v>
      </c>
      <c r="K22" s="14" t="s">
        <v>139</v>
      </c>
      <c r="L22" s="16" t="s">
        <v>139</v>
      </c>
      <c r="M22" s="14">
        <v>0</v>
      </c>
      <c r="N22" s="16">
        <v>0</v>
      </c>
      <c r="O22" s="14">
        <v>0</v>
      </c>
      <c r="P22" s="16">
        <v>0</v>
      </c>
      <c r="Q22" s="14">
        <v>0</v>
      </c>
      <c r="R22" s="16">
        <v>0</v>
      </c>
      <c r="S22" s="14">
        <v>0</v>
      </c>
      <c r="T22" s="16">
        <v>0</v>
      </c>
    </row>
    <row r="23" spans="1:20" x14ac:dyDescent="0.25">
      <c r="A23" s="11" t="s">
        <v>156</v>
      </c>
      <c r="B23" s="13">
        <v>11583</v>
      </c>
      <c r="C23" s="14">
        <f>(9600/B23*100)</f>
        <v>82.880082880082881</v>
      </c>
      <c r="D23" s="15">
        <v>1983</v>
      </c>
      <c r="E23" s="14">
        <v>76.865693320000005</v>
      </c>
      <c r="F23" s="16">
        <v>1.51419277</v>
      </c>
      <c r="G23" s="14">
        <v>16.538526050000002</v>
      </c>
      <c r="H23" s="16">
        <v>1.2841980500000001</v>
      </c>
      <c r="I23" s="14">
        <v>6.5957806300000001</v>
      </c>
      <c r="J23" s="16">
        <v>0.77544818000000004</v>
      </c>
      <c r="K23" s="14" t="s">
        <v>139</v>
      </c>
      <c r="L23" s="16" t="s">
        <v>139</v>
      </c>
      <c r="M23" s="14">
        <v>0</v>
      </c>
      <c r="N23" s="16">
        <v>0</v>
      </c>
      <c r="O23" s="14">
        <v>0</v>
      </c>
      <c r="P23" s="16">
        <v>0</v>
      </c>
      <c r="Q23" s="14">
        <v>0</v>
      </c>
      <c r="R23" s="16">
        <v>0</v>
      </c>
      <c r="S23" s="14">
        <v>0</v>
      </c>
      <c r="T23" s="16">
        <v>0</v>
      </c>
    </row>
    <row r="24" spans="1:20" x14ac:dyDescent="0.25">
      <c r="A24" s="11" t="s">
        <v>157</v>
      </c>
      <c r="B24" s="13">
        <v>6647</v>
      </c>
      <c r="C24" s="14">
        <f>(5501/B24*100)</f>
        <v>82.759139461411152</v>
      </c>
      <c r="D24" s="15">
        <v>1146</v>
      </c>
      <c r="E24" s="14">
        <v>85.223197229999997</v>
      </c>
      <c r="F24" s="16">
        <v>1.28174875</v>
      </c>
      <c r="G24" s="14">
        <v>9.0210723099999992</v>
      </c>
      <c r="H24" s="16">
        <v>0.97173277000000002</v>
      </c>
      <c r="I24" s="14">
        <v>5.7557304599999997</v>
      </c>
      <c r="J24" s="16">
        <v>0.70370880000000002</v>
      </c>
      <c r="K24" s="14" t="s">
        <v>139</v>
      </c>
      <c r="L24" s="16" t="s">
        <v>139</v>
      </c>
      <c r="M24" s="14">
        <v>0</v>
      </c>
      <c r="N24" s="16">
        <v>0</v>
      </c>
      <c r="O24" s="14">
        <v>0</v>
      </c>
      <c r="P24" s="16">
        <v>0</v>
      </c>
      <c r="Q24" s="14">
        <v>0</v>
      </c>
      <c r="R24" s="16">
        <v>0</v>
      </c>
      <c r="S24" s="14">
        <v>0</v>
      </c>
      <c r="T24" s="16">
        <v>0</v>
      </c>
    </row>
    <row r="25" spans="1:20" x14ac:dyDescent="0.25">
      <c r="A25" s="11" t="s">
        <v>158</v>
      </c>
      <c r="B25" s="13">
        <v>5581</v>
      </c>
      <c r="C25" s="14">
        <f>(4615/B25*100)</f>
        <v>82.691273965239205</v>
      </c>
      <c r="D25" s="15">
        <v>966</v>
      </c>
      <c r="E25" s="14">
        <v>79.268911880000005</v>
      </c>
      <c r="F25" s="16">
        <v>1.4056321000000001</v>
      </c>
      <c r="G25" s="14">
        <v>11.025448170000001</v>
      </c>
      <c r="H25" s="16">
        <v>1.1133100600000001</v>
      </c>
      <c r="I25" s="14">
        <v>9.7056399500000001</v>
      </c>
      <c r="J25" s="16">
        <v>0.98406855999999998</v>
      </c>
      <c r="K25" s="14" t="s">
        <v>139</v>
      </c>
      <c r="L25" s="16" t="s">
        <v>139</v>
      </c>
      <c r="M25" s="14">
        <v>0</v>
      </c>
      <c r="N25" s="16">
        <v>0</v>
      </c>
      <c r="O25" s="14">
        <v>0</v>
      </c>
      <c r="P25" s="16">
        <v>0</v>
      </c>
      <c r="Q25" s="14">
        <v>0</v>
      </c>
      <c r="R25" s="16">
        <v>0</v>
      </c>
      <c r="S25" s="14">
        <v>0</v>
      </c>
      <c r="T25" s="16">
        <v>0</v>
      </c>
    </row>
    <row r="26" spans="1:20" x14ac:dyDescent="0.25">
      <c r="A26" s="11" t="s">
        <v>159</v>
      </c>
      <c r="B26" s="13">
        <v>4869</v>
      </c>
      <c r="C26" s="14">
        <f>(4038/B26*100)</f>
        <v>82.932840418977207</v>
      </c>
      <c r="D26" s="15">
        <v>831</v>
      </c>
      <c r="E26" s="14">
        <v>78.748393190000002</v>
      </c>
      <c r="F26" s="16">
        <v>1.3974379299999999</v>
      </c>
      <c r="G26" s="14">
        <v>15.948112679999999</v>
      </c>
      <c r="H26" s="16">
        <v>1.3605693599999999</v>
      </c>
      <c r="I26" s="14">
        <v>5.3034941299999998</v>
      </c>
      <c r="J26" s="16">
        <v>0.83404507000000006</v>
      </c>
      <c r="K26" s="14" t="s">
        <v>139</v>
      </c>
      <c r="L26" s="16" t="s">
        <v>139</v>
      </c>
      <c r="M26" s="14">
        <v>0</v>
      </c>
      <c r="N26" s="16">
        <v>0</v>
      </c>
      <c r="O26" s="14">
        <v>0</v>
      </c>
      <c r="P26" s="16">
        <v>0</v>
      </c>
      <c r="Q26" s="14">
        <v>0</v>
      </c>
      <c r="R26" s="16">
        <v>0</v>
      </c>
      <c r="S26" s="14">
        <v>0</v>
      </c>
      <c r="T26" s="16">
        <v>0</v>
      </c>
    </row>
    <row r="27" spans="1:20" x14ac:dyDescent="0.25">
      <c r="A27" s="11" t="s">
        <v>160</v>
      </c>
      <c r="B27" s="13">
        <v>5299</v>
      </c>
      <c r="C27" s="14">
        <f>(4417/B27*100)</f>
        <v>83.355350066050192</v>
      </c>
      <c r="D27" s="15">
        <v>882</v>
      </c>
      <c r="E27" s="14">
        <v>68.290407979999998</v>
      </c>
      <c r="F27" s="16">
        <v>1.7563217499999999</v>
      </c>
      <c r="G27" s="14">
        <v>23.004843789999999</v>
      </c>
      <c r="H27" s="16">
        <v>1.51649762</v>
      </c>
      <c r="I27" s="14">
        <v>8.7047482400000007</v>
      </c>
      <c r="J27" s="16">
        <v>0.83861898000000001</v>
      </c>
      <c r="K27" s="14" t="s">
        <v>139</v>
      </c>
      <c r="L27" s="16" t="s">
        <v>139</v>
      </c>
      <c r="M27" s="14">
        <v>0</v>
      </c>
      <c r="N27" s="16">
        <v>0</v>
      </c>
      <c r="O27" s="14">
        <v>0</v>
      </c>
      <c r="P27" s="16">
        <v>0</v>
      </c>
      <c r="Q27" s="14">
        <v>0</v>
      </c>
      <c r="R27" s="16">
        <v>0</v>
      </c>
      <c r="S27" s="14">
        <v>0</v>
      </c>
      <c r="T27" s="16">
        <v>0</v>
      </c>
    </row>
    <row r="28" spans="1:20" x14ac:dyDescent="0.25">
      <c r="A28" s="11" t="s">
        <v>161</v>
      </c>
      <c r="B28" s="13">
        <v>7568</v>
      </c>
      <c r="C28" s="14">
        <f>(6373/B28*100)</f>
        <v>84.209830866807607</v>
      </c>
      <c r="D28" s="15">
        <v>1195</v>
      </c>
      <c r="E28" s="14">
        <v>88.819494489999997</v>
      </c>
      <c r="F28" s="16">
        <v>1.0615942899999999</v>
      </c>
      <c r="G28" s="14">
        <v>8.0085776800000001</v>
      </c>
      <c r="H28" s="16">
        <v>1.00751192</v>
      </c>
      <c r="I28" s="14">
        <v>3.1719278200000001</v>
      </c>
      <c r="J28" s="16">
        <v>0.54390868000000003</v>
      </c>
      <c r="K28" s="14" t="s">
        <v>139</v>
      </c>
      <c r="L28" s="16" t="s">
        <v>139</v>
      </c>
      <c r="M28" s="14">
        <v>0</v>
      </c>
      <c r="N28" s="16">
        <v>0</v>
      </c>
      <c r="O28" s="14">
        <v>0</v>
      </c>
      <c r="P28" s="16">
        <v>0</v>
      </c>
      <c r="Q28" s="14">
        <v>0</v>
      </c>
      <c r="R28" s="16">
        <v>0</v>
      </c>
      <c r="S28" s="14">
        <v>0</v>
      </c>
      <c r="T28" s="16">
        <v>0</v>
      </c>
    </row>
    <row r="29" spans="1:20" x14ac:dyDescent="0.25">
      <c r="A29" s="11" t="s">
        <v>162</v>
      </c>
      <c r="B29" s="13">
        <v>5385</v>
      </c>
      <c r="C29" s="14">
        <f>(4500/B29*100)</f>
        <v>83.565459610027858</v>
      </c>
      <c r="D29" s="15">
        <v>885</v>
      </c>
      <c r="E29" s="14">
        <v>62.29620465</v>
      </c>
      <c r="F29" s="16">
        <v>1.50299077</v>
      </c>
      <c r="G29" s="14">
        <v>21.846956519999999</v>
      </c>
      <c r="H29" s="16">
        <v>1.1912524799999999</v>
      </c>
      <c r="I29" s="14">
        <v>15.856838829999999</v>
      </c>
      <c r="J29" s="16">
        <v>1.32272284</v>
      </c>
      <c r="K29" s="14" t="s">
        <v>139</v>
      </c>
      <c r="L29" s="16" t="s">
        <v>139</v>
      </c>
      <c r="M29" s="14">
        <v>0</v>
      </c>
      <c r="N29" s="16">
        <v>0</v>
      </c>
      <c r="O29" s="14">
        <v>0</v>
      </c>
      <c r="P29" s="16">
        <v>0</v>
      </c>
      <c r="Q29" s="14">
        <v>0</v>
      </c>
      <c r="R29" s="16">
        <v>0</v>
      </c>
      <c r="S29" s="14">
        <v>0</v>
      </c>
      <c r="T29" s="16">
        <v>0</v>
      </c>
    </row>
    <row r="30" spans="1:20" x14ac:dyDescent="0.25">
      <c r="A30" s="11" t="s">
        <v>163</v>
      </c>
      <c r="B30" s="13">
        <v>4520</v>
      </c>
      <c r="C30" s="14">
        <f>(3802/B30*100)</f>
        <v>84.115044247787608</v>
      </c>
      <c r="D30" s="15">
        <v>718</v>
      </c>
      <c r="E30" s="14">
        <v>67.554281540000005</v>
      </c>
      <c r="F30" s="16">
        <v>1.8380621500000001</v>
      </c>
      <c r="G30" s="14">
        <v>21.98183336</v>
      </c>
      <c r="H30" s="16">
        <v>1.68204515</v>
      </c>
      <c r="I30" s="14">
        <v>10.463885100000001</v>
      </c>
      <c r="J30" s="16">
        <v>1.2139242299999999</v>
      </c>
      <c r="K30" s="14" t="s">
        <v>139</v>
      </c>
      <c r="L30" s="16" t="s">
        <v>139</v>
      </c>
      <c r="M30" s="14">
        <v>0</v>
      </c>
      <c r="N30" s="16">
        <v>0</v>
      </c>
      <c r="O30" s="14">
        <v>0</v>
      </c>
      <c r="P30" s="16">
        <v>0</v>
      </c>
      <c r="Q30" s="14">
        <v>0</v>
      </c>
      <c r="R30" s="16">
        <v>0</v>
      </c>
      <c r="S30" s="14">
        <v>0</v>
      </c>
      <c r="T30" s="16">
        <v>0</v>
      </c>
    </row>
    <row r="31" spans="1:20" x14ac:dyDescent="0.25">
      <c r="A31" s="11" t="s">
        <v>164</v>
      </c>
      <c r="B31" s="13">
        <v>5456</v>
      </c>
      <c r="C31" s="14">
        <f>(4547/B31*100)</f>
        <v>83.339442815249271</v>
      </c>
      <c r="D31" s="15">
        <v>909</v>
      </c>
      <c r="E31" s="14">
        <v>65.101970800000004</v>
      </c>
      <c r="F31" s="16">
        <v>1.52614724</v>
      </c>
      <c r="G31" s="14">
        <v>24.87031047</v>
      </c>
      <c r="H31" s="16">
        <v>1.40819973</v>
      </c>
      <c r="I31" s="14">
        <v>10.02771873</v>
      </c>
      <c r="J31" s="16">
        <v>1.07851809</v>
      </c>
      <c r="K31" s="14" t="s">
        <v>139</v>
      </c>
      <c r="L31" s="16" t="s">
        <v>139</v>
      </c>
      <c r="M31" s="14">
        <v>0</v>
      </c>
      <c r="N31" s="16">
        <v>0</v>
      </c>
      <c r="O31" s="14">
        <v>0</v>
      </c>
      <c r="P31" s="16">
        <v>0</v>
      </c>
      <c r="Q31" s="14">
        <v>0</v>
      </c>
      <c r="R31" s="16">
        <v>0</v>
      </c>
      <c r="S31" s="14">
        <v>0</v>
      </c>
      <c r="T31" s="16">
        <v>0</v>
      </c>
    </row>
    <row r="32" spans="1:20" x14ac:dyDescent="0.25">
      <c r="A32" s="11" t="s">
        <v>165</v>
      </c>
      <c r="B32" s="17" t="s">
        <v>154</v>
      </c>
      <c r="C32" s="17" t="s">
        <v>154</v>
      </c>
      <c r="D32" s="18" t="s">
        <v>154</v>
      </c>
      <c r="E32" s="17" t="s">
        <v>154</v>
      </c>
      <c r="F32" s="18" t="s">
        <v>154</v>
      </c>
      <c r="G32" s="17" t="s">
        <v>154</v>
      </c>
      <c r="H32" s="18" t="s">
        <v>154</v>
      </c>
      <c r="I32" s="17" t="s">
        <v>154</v>
      </c>
      <c r="J32" s="18" t="s">
        <v>154</v>
      </c>
      <c r="K32" s="17" t="s">
        <v>154</v>
      </c>
      <c r="L32" s="18" t="s">
        <v>154</v>
      </c>
      <c r="M32" s="17" t="s">
        <v>154</v>
      </c>
      <c r="N32" s="18" t="s">
        <v>154</v>
      </c>
      <c r="O32" s="17" t="s">
        <v>154</v>
      </c>
      <c r="P32" s="18" t="s">
        <v>154</v>
      </c>
      <c r="Q32" s="17" t="s">
        <v>154</v>
      </c>
      <c r="R32" s="18" t="s">
        <v>154</v>
      </c>
      <c r="S32" s="17" t="s">
        <v>154</v>
      </c>
      <c r="T32" s="18" t="s">
        <v>154</v>
      </c>
    </row>
    <row r="33" spans="1:20" x14ac:dyDescent="0.25">
      <c r="A33" s="11" t="s">
        <v>166</v>
      </c>
      <c r="B33" s="13">
        <v>7325</v>
      </c>
      <c r="C33" s="14">
        <f>(6119/B33*100)</f>
        <v>83.535836177474394</v>
      </c>
      <c r="D33" s="15">
        <v>1206</v>
      </c>
      <c r="E33" s="14">
        <v>71.098674500000001</v>
      </c>
      <c r="F33" s="16">
        <v>1.2853047799999999</v>
      </c>
      <c r="G33" s="14">
        <v>17.929513660000001</v>
      </c>
      <c r="H33" s="16">
        <v>1.3325183700000001</v>
      </c>
      <c r="I33" s="14">
        <v>10.971811840000001</v>
      </c>
      <c r="J33" s="16">
        <v>0.98643687999999996</v>
      </c>
      <c r="K33" s="14" t="s">
        <v>139</v>
      </c>
      <c r="L33" s="16" t="s">
        <v>139</v>
      </c>
      <c r="M33" s="14">
        <v>0</v>
      </c>
      <c r="N33" s="16">
        <v>0</v>
      </c>
      <c r="O33" s="14">
        <v>0</v>
      </c>
      <c r="P33" s="16">
        <v>0</v>
      </c>
      <c r="Q33" s="14">
        <v>0</v>
      </c>
      <c r="R33" s="16">
        <v>0</v>
      </c>
      <c r="S33" s="14">
        <v>0</v>
      </c>
      <c r="T33" s="16">
        <v>0</v>
      </c>
    </row>
    <row r="34" spans="1:20" x14ac:dyDescent="0.25">
      <c r="A34" s="11" t="s">
        <v>167</v>
      </c>
      <c r="B34" s="13">
        <v>6350</v>
      </c>
      <c r="C34" s="14">
        <f>(5317/B34*100)</f>
        <v>83.732283464566919</v>
      </c>
      <c r="D34" s="15">
        <v>1033</v>
      </c>
      <c r="E34" s="14">
        <v>78.063355299999998</v>
      </c>
      <c r="F34" s="16">
        <v>1.31653869</v>
      </c>
      <c r="G34" s="14">
        <v>17.26310131</v>
      </c>
      <c r="H34" s="16">
        <v>1.10328268</v>
      </c>
      <c r="I34" s="14">
        <v>4.6735433899999999</v>
      </c>
      <c r="J34" s="16">
        <v>0.71982139000000001</v>
      </c>
      <c r="K34" s="14" t="s">
        <v>139</v>
      </c>
      <c r="L34" s="16" t="s">
        <v>139</v>
      </c>
      <c r="M34" s="14">
        <v>0</v>
      </c>
      <c r="N34" s="16">
        <v>0</v>
      </c>
      <c r="O34" s="14">
        <v>0</v>
      </c>
      <c r="P34" s="16">
        <v>0</v>
      </c>
      <c r="Q34" s="14">
        <v>0</v>
      </c>
      <c r="R34" s="16">
        <v>0</v>
      </c>
      <c r="S34" s="14">
        <v>0</v>
      </c>
      <c r="T34" s="16">
        <v>0</v>
      </c>
    </row>
    <row r="35" spans="1:20" x14ac:dyDescent="0.25">
      <c r="A35" s="11" t="s">
        <v>168</v>
      </c>
      <c r="B35" s="13">
        <v>6406</v>
      </c>
      <c r="C35" s="14">
        <f>(5352/B35*100)</f>
        <v>83.546674992194809</v>
      </c>
      <c r="D35" s="15">
        <v>1054</v>
      </c>
      <c r="E35" s="14">
        <v>77.087355009999996</v>
      </c>
      <c r="F35" s="16">
        <v>1.4038254800000001</v>
      </c>
      <c r="G35" s="14">
        <v>15.318700639999999</v>
      </c>
      <c r="H35" s="16">
        <v>1.2641330200000001</v>
      </c>
      <c r="I35" s="14">
        <v>7.5939443500000001</v>
      </c>
      <c r="J35" s="16">
        <v>0.95478149999999995</v>
      </c>
      <c r="K35" s="14" t="s">
        <v>139</v>
      </c>
      <c r="L35" s="16" t="s">
        <v>139</v>
      </c>
      <c r="M35" s="14">
        <v>0</v>
      </c>
      <c r="N35" s="16">
        <v>0</v>
      </c>
      <c r="O35" s="14">
        <v>0</v>
      </c>
      <c r="P35" s="16">
        <v>0</v>
      </c>
      <c r="Q35" s="14">
        <v>0</v>
      </c>
      <c r="R35" s="16">
        <v>0</v>
      </c>
      <c r="S35" s="14">
        <v>0</v>
      </c>
      <c r="T35" s="16">
        <v>0</v>
      </c>
    </row>
    <row r="36" spans="1:20" x14ac:dyDescent="0.25">
      <c r="A36" s="11" t="s">
        <v>169</v>
      </c>
      <c r="B36" s="13">
        <v>6736</v>
      </c>
      <c r="C36" s="14">
        <f>(5610/B36*100)</f>
        <v>83.283847980997621</v>
      </c>
      <c r="D36" s="15">
        <v>1126</v>
      </c>
      <c r="E36" s="14">
        <v>73.597462730000004</v>
      </c>
      <c r="F36" s="16">
        <v>1.3857794400000001</v>
      </c>
      <c r="G36" s="14">
        <v>20.634699739999999</v>
      </c>
      <c r="H36" s="16">
        <v>1.27084456</v>
      </c>
      <c r="I36" s="14">
        <v>5.7678375199999996</v>
      </c>
      <c r="J36" s="16">
        <v>0.64414355000000001</v>
      </c>
      <c r="K36" s="14" t="s">
        <v>139</v>
      </c>
      <c r="L36" s="16" t="s">
        <v>139</v>
      </c>
      <c r="M36" s="14">
        <v>0</v>
      </c>
      <c r="N36" s="16">
        <v>0</v>
      </c>
      <c r="O36" s="14">
        <v>0</v>
      </c>
      <c r="P36" s="16">
        <v>0</v>
      </c>
      <c r="Q36" s="14">
        <v>0</v>
      </c>
      <c r="R36" s="16">
        <v>0</v>
      </c>
      <c r="S36" s="14">
        <v>0</v>
      </c>
      <c r="T36" s="16">
        <v>0</v>
      </c>
    </row>
    <row r="37" spans="1:20" x14ac:dyDescent="0.25">
      <c r="A37" s="11" t="s">
        <v>170</v>
      </c>
      <c r="B37" s="13">
        <v>5458</v>
      </c>
      <c r="C37" s="14">
        <f>(4571/B37*100)</f>
        <v>83.748625870282154</v>
      </c>
      <c r="D37" s="15">
        <v>887</v>
      </c>
      <c r="E37" s="14">
        <v>65.527314290000007</v>
      </c>
      <c r="F37" s="16">
        <v>1.60887286</v>
      </c>
      <c r="G37" s="14">
        <v>23.67613674</v>
      </c>
      <c r="H37" s="16">
        <v>1.39204057</v>
      </c>
      <c r="I37" s="14">
        <v>10.79654897</v>
      </c>
      <c r="J37" s="16">
        <v>1.0734036600000001</v>
      </c>
      <c r="K37" s="14" t="s">
        <v>139</v>
      </c>
      <c r="L37" s="16" t="s">
        <v>139</v>
      </c>
      <c r="M37" s="14">
        <v>0</v>
      </c>
      <c r="N37" s="16">
        <v>0</v>
      </c>
      <c r="O37" s="14">
        <v>0</v>
      </c>
      <c r="P37" s="16">
        <v>0</v>
      </c>
      <c r="Q37" s="14">
        <v>0</v>
      </c>
      <c r="R37" s="16">
        <v>0</v>
      </c>
      <c r="S37" s="14">
        <v>0</v>
      </c>
      <c r="T37" s="16">
        <v>0</v>
      </c>
    </row>
    <row r="38" spans="1:20" x14ac:dyDescent="0.25">
      <c r="A38" s="11" t="s">
        <v>171</v>
      </c>
      <c r="B38" s="17" t="s">
        <v>154</v>
      </c>
      <c r="C38" s="17" t="s">
        <v>154</v>
      </c>
      <c r="D38" s="18" t="s">
        <v>154</v>
      </c>
      <c r="E38" s="17" t="s">
        <v>154</v>
      </c>
      <c r="F38" s="18" t="s">
        <v>154</v>
      </c>
      <c r="G38" s="17" t="s">
        <v>154</v>
      </c>
      <c r="H38" s="18" t="s">
        <v>154</v>
      </c>
      <c r="I38" s="17" t="s">
        <v>154</v>
      </c>
      <c r="J38" s="18" t="s">
        <v>154</v>
      </c>
      <c r="K38" s="17" t="s">
        <v>154</v>
      </c>
      <c r="L38" s="18" t="s">
        <v>154</v>
      </c>
      <c r="M38" s="17" t="s">
        <v>154</v>
      </c>
      <c r="N38" s="18" t="s">
        <v>154</v>
      </c>
      <c r="O38" s="17" t="s">
        <v>154</v>
      </c>
      <c r="P38" s="18" t="s">
        <v>154</v>
      </c>
      <c r="Q38" s="17" t="s">
        <v>154</v>
      </c>
      <c r="R38" s="18" t="s">
        <v>154</v>
      </c>
      <c r="S38" s="17" t="s">
        <v>154</v>
      </c>
      <c r="T38" s="18" t="s">
        <v>154</v>
      </c>
    </row>
    <row r="39" spans="1:20" x14ac:dyDescent="0.25">
      <c r="A39" s="11" t="s">
        <v>172</v>
      </c>
      <c r="B39" s="13">
        <v>5895</v>
      </c>
      <c r="C39" s="14">
        <f>(4863/B39*100)</f>
        <v>82.493638676844782</v>
      </c>
      <c r="D39" s="15">
        <v>1032</v>
      </c>
      <c r="E39" s="14">
        <v>81.557936990000002</v>
      </c>
      <c r="F39" s="16">
        <v>1.41117231</v>
      </c>
      <c r="G39" s="14">
        <v>12.85923623</v>
      </c>
      <c r="H39" s="16">
        <v>1.18204021</v>
      </c>
      <c r="I39" s="14">
        <v>5.5828267800000004</v>
      </c>
      <c r="J39" s="16">
        <v>0.75092910999999996</v>
      </c>
      <c r="K39" s="14" t="s">
        <v>139</v>
      </c>
      <c r="L39" s="16" t="s">
        <v>139</v>
      </c>
      <c r="M39" s="14">
        <v>0</v>
      </c>
      <c r="N39" s="16">
        <v>0</v>
      </c>
      <c r="O39" s="14">
        <v>0</v>
      </c>
      <c r="P39" s="16">
        <v>0</v>
      </c>
      <c r="Q39" s="14">
        <v>0</v>
      </c>
      <c r="R39" s="16">
        <v>0</v>
      </c>
      <c r="S39" s="14">
        <v>0</v>
      </c>
      <c r="T39" s="16">
        <v>0</v>
      </c>
    </row>
    <row r="40" spans="1:20" x14ac:dyDescent="0.25">
      <c r="A40" s="11" t="s">
        <v>173</v>
      </c>
      <c r="B40" s="13">
        <v>14157</v>
      </c>
      <c r="C40" s="14">
        <f>(11750/B40*100)</f>
        <v>82.997810270537542</v>
      </c>
      <c r="D40" s="15">
        <v>2407</v>
      </c>
      <c r="E40" s="14">
        <v>68.819271229999998</v>
      </c>
      <c r="F40" s="16">
        <v>1.4090820500000001</v>
      </c>
      <c r="G40" s="14">
        <v>19.256603599999998</v>
      </c>
      <c r="H40" s="16">
        <v>1.2989677399999999</v>
      </c>
      <c r="I40" s="14">
        <v>11.92412517</v>
      </c>
      <c r="J40" s="16">
        <v>1.0314723100000001</v>
      </c>
      <c r="K40" s="14" t="s">
        <v>139</v>
      </c>
      <c r="L40" s="16" t="s">
        <v>139</v>
      </c>
      <c r="M40" s="14">
        <v>0</v>
      </c>
      <c r="N40" s="16">
        <v>0</v>
      </c>
      <c r="O40" s="14">
        <v>0</v>
      </c>
      <c r="P40" s="16">
        <v>0</v>
      </c>
      <c r="Q40" s="14">
        <v>0</v>
      </c>
      <c r="R40" s="16">
        <v>0</v>
      </c>
      <c r="S40" s="14">
        <v>0</v>
      </c>
      <c r="T40" s="16">
        <v>0</v>
      </c>
    </row>
    <row r="41" spans="1:20" x14ac:dyDescent="0.25">
      <c r="A41" s="11" t="s">
        <v>174</v>
      </c>
      <c r="B41" s="13">
        <v>5712</v>
      </c>
      <c r="C41" s="14">
        <f>(4743/B41*100)</f>
        <v>83.035714285714292</v>
      </c>
      <c r="D41" s="15">
        <v>969</v>
      </c>
      <c r="E41" s="14">
        <v>73.275862500000002</v>
      </c>
      <c r="F41" s="16">
        <v>1.38647381</v>
      </c>
      <c r="G41" s="14">
        <v>16.386178050000002</v>
      </c>
      <c r="H41" s="16">
        <v>1.2003764100000001</v>
      </c>
      <c r="I41" s="14">
        <v>10.33795945</v>
      </c>
      <c r="J41" s="16">
        <v>0.99952070999999998</v>
      </c>
      <c r="K41" s="14" t="s">
        <v>139</v>
      </c>
      <c r="L41" s="16" t="s">
        <v>139</v>
      </c>
      <c r="M41" s="14">
        <v>0</v>
      </c>
      <c r="N41" s="16">
        <v>0</v>
      </c>
      <c r="O41" s="14">
        <v>0</v>
      </c>
      <c r="P41" s="16">
        <v>0</v>
      </c>
      <c r="Q41" s="14">
        <v>0</v>
      </c>
      <c r="R41" s="16">
        <v>0</v>
      </c>
      <c r="S41" s="14">
        <v>0</v>
      </c>
      <c r="T41" s="16">
        <v>0</v>
      </c>
    </row>
    <row r="42" spans="1:20" x14ac:dyDescent="0.25">
      <c r="A42" s="11" t="s">
        <v>175</v>
      </c>
      <c r="B42" s="13">
        <f>IF(COUNT(B7:B41) &gt; 0, AVERAGE(B7:B41), "\u2014")</f>
        <v>7266.90625</v>
      </c>
      <c r="C42" s="14">
        <f>IF(COUNT(C7:C41) &gt; 0, AVERAGE(C7:C41), "—")</f>
        <v>83.320585805480079</v>
      </c>
      <c r="D42" s="15">
        <f>IF(COUNT(D7:D41) &gt; 0, AVERAGE(D7:D41), "—")</f>
        <v>1213.1875</v>
      </c>
      <c r="E42" s="14">
        <f>IF(COUNT(E7:E41) &gt; 0, AVERAGE(E7:E41), "—")</f>
        <v>72.924901223750012</v>
      </c>
      <c r="F42" s="16">
        <f>IF(COUNT(F7:F41) &gt; 0, SQRT(SUMSQ(F7:F41)/(COUNT(F7:F41)*COUNT(F7:F41)) ), "—")</f>
        <v>0.25926547832391694</v>
      </c>
      <c r="G42" s="14">
        <f>IF(COUNT(G7:G41) &gt; 0, AVERAGE(G7:G41), "—")</f>
        <v>18.243212495937499</v>
      </c>
      <c r="H42" s="16">
        <f>IF(COUNT(H7:H41) &gt; 0, SQRT(SUMSQ(H7:H41)/(COUNT(H7:H41)*COUNT(H7:H41)) ), "—")</f>
        <v>0.22769235937411569</v>
      </c>
      <c r="I42" s="14">
        <f>IF(COUNT(I7:I41) &gt; 0, AVERAGE(I7:I41), "—")</f>
        <v>8.8318862796874988</v>
      </c>
      <c r="J42" s="16">
        <f>IF(COUNT(J7:J41) &gt; 0, SQRT(SUMSQ(J7:J41)/(COUNT(J7:J41)*COUNT(J7:J41)) ), "—")</f>
        <v>0.16285644094157109</v>
      </c>
      <c r="K42" s="14" t="str">
        <f>IF(COUNT(K7:K41) &gt; 0, AVERAGE(K7:K41), "—")</f>
        <v>—</v>
      </c>
      <c r="L42" s="16" t="str">
        <f>IF(COUNT(L7:L41) &gt; 0, SQRT(SUMSQ(L7:L41)/(COUNT(L7:L41)*COUNT(L7:L41)) ), "—")</f>
        <v>—</v>
      </c>
      <c r="M42" s="14">
        <f>IF(COUNT(M7:M41) &gt; 0, AVERAGE(M7:M41), "—")</f>
        <v>0</v>
      </c>
      <c r="N42" s="16">
        <f>IF(COUNT(N7:N41) &gt; 0, SQRT(SUMSQ(N7:N41)/(COUNT(N7:N41)*COUNT(N7:N41)) ), "—")</f>
        <v>0</v>
      </c>
      <c r="O42" s="14">
        <f>IF(COUNT(O7:O41) &gt; 0, AVERAGE(O7:O41), "—")</f>
        <v>0</v>
      </c>
      <c r="P42" s="16">
        <f>IF(COUNT(P7:P41) &gt; 0, SQRT(SUMSQ(P7:P41)/(COUNT(P7:P41)*COUNT(P7:P41)) ), "—")</f>
        <v>0</v>
      </c>
      <c r="Q42" s="14">
        <f>IF(COUNT(Q7:Q41) &gt; 0, AVERAGE(Q7:Q41), "—")</f>
        <v>0</v>
      </c>
      <c r="R42" s="16">
        <f>IF(COUNT(R7:R41) &gt; 0, SQRT(SUMSQ(R7:R41)/(COUNT(R7:R41)*COUNT(R7:R41)) ), "—")</f>
        <v>0</v>
      </c>
      <c r="S42" s="14">
        <f>IF(COUNT(S7:S41) &gt; 0, AVERAGE(S7:S41), "—")</f>
        <v>0</v>
      </c>
      <c r="T42" s="16">
        <f>IF(COUNT(T7:T41) &gt; 0, SQRT(SUMSQ(T7:T41)/(COUNT(T7:T41)*COUNT(T7:T41)) ), "—")</f>
        <v>0</v>
      </c>
    </row>
    <row r="43" spans="1:20" x14ac:dyDescent="0.25">
      <c r="A43" s="9" t="s">
        <v>176</v>
      </c>
      <c r="B43" s="10"/>
      <c r="C43" s="10"/>
      <c r="D43" s="11"/>
      <c r="E43" s="10"/>
      <c r="F43" s="11"/>
      <c r="G43" s="10"/>
      <c r="H43" s="11"/>
      <c r="I43" s="10"/>
      <c r="J43" s="11"/>
      <c r="K43" s="10"/>
      <c r="L43" s="11"/>
      <c r="M43" s="10"/>
      <c r="N43" s="11"/>
      <c r="O43" s="10"/>
      <c r="P43" s="11"/>
      <c r="Q43" s="10"/>
      <c r="R43" s="11"/>
      <c r="S43" s="10"/>
      <c r="T43" s="12"/>
    </row>
    <row r="44" spans="1:20" x14ac:dyDescent="0.25">
      <c r="A44" s="11" t="s">
        <v>177</v>
      </c>
      <c r="B44" s="17" t="s">
        <v>154</v>
      </c>
      <c r="C44" s="17" t="s">
        <v>154</v>
      </c>
      <c r="D44" s="18" t="s">
        <v>154</v>
      </c>
      <c r="E44" s="17" t="s">
        <v>154</v>
      </c>
      <c r="F44" s="18" t="s">
        <v>154</v>
      </c>
      <c r="G44" s="17" t="s">
        <v>154</v>
      </c>
      <c r="H44" s="18" t="s">
        <v>154</v>
      </c>
      <c r="I44" s="17" t="s">
        <v>154</v>
      </c>
      <c r="J44" s="18" t="s">
        <v>154</v>
      </c>
      <c r="K44" s="17" t="s">
        <v>154</v>
      </c>
      <c r="L44" s="18" t="s">
        <v>154</v>
      </c>
      <c r="M44" s="17" t="s">
        <v>154</v>
      </c>
      <c r="N44" s="18" t="s">
        <v>154</v>
      </c>
      <c r="O44" s="17" t="s">
        <v>154</v>
      </c>
      <c r="P44" s="18" t="s">
        <v>154</v>
      </c>
      <c r="Q44" s="17" t="s">
        <v>154</v>
      </c>
      <c r="R44" s="18" t="s">
        <v>154</v>
      </c>
      <c r="S44" s="17" t="s">
        <v>154</v>
      </c>
      <c r="T44" s="18" t="s">
        <v>154</v>
      </c>
    </row>
    <row r="45" spans="1:20" x14ac:dyDescent="0.25">
      <c r="A45" s="11" t="s">
        <v>178</v>
      </c>
      <c r="B45" s="17" t="s">
        <v>154</v>
      </c>
      <c r="C45" s="17" t="s">
        <v>154</v>
      </c>
      <c r="D45" s="18" t="s">
        <v>154</v>
      </c>
      <c r="E45" s="17" t="s">
        <v>154</v>
      </c>
      <c r="F45" s="18" t="s">
        <v>154</v>
      </c>
      <c r="G45" s="17" t="s">
        <v>154</v>
      </c>
      <c r="H45" s="18" t="s">
        <v>154</v>
      </c>
      <c r="I45" s="17" t="s">
        <v>154</v>
      </c>
      <c r="J45" s="18" t="s">
        <v>154</v>
      </c>
      <c r="K45" s="17" t="s">
        <v>154</v>
      </c>
      <c r="L45" s="18" t="s">
        <v>154</v>
      </c>
      <c r="M45" s="17" t="s">
        <v>154</v>
      </c>
      <c r="N45" s="18" t="s">
        <v>154</v>
      </c>
      <c r="O45" s="17" t="s">
        <v>154</v>
      </c>
      <c r="P45" s="18" t="s">
        <v>154</v>
      </c>
      <c r="Q45" s="17" t="s">
        <v>154</v>
      </c>
      <c r="R45" s="18" t="s">
        <v>154</v>
      </c>
      <c r="S45" s="17" t="s">
        <v>154</v>
      </c>
      <c r="T45" s="18" t="s">
        <v>154</v>
      </c>
    </row>
    <row r="46" spans="1:20" x14ac:dyDescent="0.25">
      <c r="A46" s="11" t="s">
        <v>179</v>
      </c>
      <c r="B46" s="13">
        <v>23141</v>
      </c>
      <c r="C46" s="14">
        <f>(20147/B46*100)</f>
        <v>87.061924722354263</v>
      </c>
      <c r="D46" s="15">
        <v>2994</v>
      </c>
      <c r="E46" s="14">
        <v>83.515480479999994</v>
      </c>
      <c r="F46" s="16">
        <v>0.82889124000000003</v>
      </c>
      <c r="G46" s="14">
        <v>13.6913921</v>
      </c>
      <c r="H46" s="16">
        <v>0.84313017000000001</v>
      </c>
      <c r="I46" s="14">
        <v>2.7931274199999998</v>
      </c>
      <c r="J46" s="16">
        <v>0.36990793</v>
      </c>
      <c r="K46" s="14" t="s">
        <v>139</v>
      </c>
      <c r="L46" s="16" t="s">
        <v>139</v>
      </c>
      <c r="M46" s="14">
        <v>0</v>
      </c>
      <c r="N46" s="16">
        <v>0</v>
      </c>
      <c r="O46" s="14">
        <v>0</v>
      </c>
      <c r="P46" s="16">
        <v>0</v>
      </c>
      <c r="Q46" s="14">
        <v>0</v>
      </c>
      <c r="R46" s="16">
        <v>0</v>
      </c>
      <c r="S46" s="14">
        <v>0</v>
      </c>
      <c r="T46" s="16">
        <v>0</v>
      </c>
    </row>
    <row r="47" spans="1:20" x14ac:dyDescent="0.25">
      <c r="A47" s="11" t="s">
        <v>180</v>
      </c>
      <c r="B47" s="13">
        <v>5928</v>
      </c>
      <c r="C47" s="14">
        <f>(4966/B47*100)</f>
        <v>83.771929824561411</v>
      </c>
      <c r="D47" s="15">
        <v>962</v>
      </c>
      <c r="E47" s="14">
        <v>79.716765679999995</v>
      </c>
      <c r="F47" s="16">
        <v>1.2283606199999999</v>
      </c>
      <c r="G47" s="14">
        <v>10.3211125</v>
      </c>
      <c r="H47" s="16">
        <v>0.89198734999999996</v>
      </c>
      <c r="I47" s="14">
        <v>9.9621218200000001</v>
      </c>
      <c r="J47" s="16">
        <v>0.91528279000000001</v>
      </c>
      <c r="K47" s="14" t="s">
        <v>139</v>
      </c>
      <c r="L47" s="16" t="s">
        <v>139</v>
      </c>
      <c r="M47" s="14">
        <v>0</v>
      </c>
      <c r="N47" s="16">
        <v>0</v>
      </c>
      <c r="O47" s="14">
        <v>0</v>
      </c>
      <c r="P47" s="16">
        <v>0</v>
      </c>
      <c r="Q47" s="14">
        <v>0</v>
      </c>
      <c r="R47" s="16">
        <v>0</v>
      </c>
      <c r="S47" s="14">
        <v>0</v>
      </c>
      <c r="T47" s="16">
        <v>0</v>
      </c>
    </row>
    <row r="48" spans="1:20" x14ac:dyDescent="0.25">
      <c r="A48" s="11" t="s">
        <v>181</v>
      </c>
      <c r="B48" s="13">
        <v>9841</v>
      </c>
      <c r="C48" s="14">
        <f>(8178/B48*100)</f>
        <v>83.101310842394057</v>
      </c>
      <c r="D48" s="15">
        <v>1663</v>
      </c>
      <c r="E48" s="14">
        <v>77.697399649999994</v>
      </c>
      <c r="F48" s="16">
        <v>1.7760321800000001</v>
      </c>
      <c r="G48" s="14">
        <v>12.814175929999999</v>
      </c>
      <c r="H48" s="16">
        <v>1.2627890900000001</v>
      </c>
      <c r="I48" s="14">
        <v>9.4884244199999994</v>
      </c>
      <c r="J48" s="16">
        <v>1.0348005600000001</v>
      </c>
      <c r="K48" s="14" t="s">
        <v>139</v>
      </c>
      <c r="L48" s="16" t="s">
        <v>139</v>
      </c>
      <c r="M48" s="14">
        <v>0</v>
      </c>
      <c r="N48" s="16">
        <v>0</v>
      </c>
      <c r="O48" s="14">
        <v>0</v>
      </c>
      <c r="P48" s="16">
        <v>0</v>
      </c>
      <c r="Q48" s="14">
        <v>0</v>
      </c>
      <c r="R48" s="16">
        <v>0</v>
      </c>
      <c r="S48" s="14">
        <v>0</v>
      </c>
      <c r="T48" s="16">
        <v>0</v>
      </c>
    </row>
    <row r="49" spans="1:20" x14ac:dyDescent="0.25">
      <c r="A49" s="11" t="s">
        <v>182</v>
      </c>
      <c r="B49" s="17" t="s">
        <v>154</v>
      </c>
      <c r="C49" s="17" t="s">
        <v>154</v>
      </c>
      <c r="D49" s="18" t="s">
        <v>154</v>
      </c>
      <c r="E49" s="17" t="s">
        <v>154</v>
      </c>
      <c r="F49" s="18" t="s">
        <v>154</v>
      </c>
      <c r="G49" s="17" t="s">
        <v>154</v>
      </c>
      <c r="H49" s="18" t="s">
        <v>154</v>
      </c>
      <c r="I49" s="17" t="s">
        <v>154</v>
      </c>
      <c r="J49" s="18" t="s">
        <v>154</v>
      </c>
      <c r="K49" s="17" t="s">
        <v>154</v>
      </c>
      <c r="L49" s="18" t="s">
        <v>154</v>
      </c>
      <c r="M49" s="17" t="s">
        <v>154</v>
      </c>
      <c r="N49" s="18" t="s">
        <v>154</v>
      </c>
      <c r="O49" s="17" t="s">
        <v>154</v>
      </c>
      <c r="P49" s="18" t="s">
        <v>154</v>
      </c>
      <c r="Q49" s="17" t="s">
        <v>154</v>
      </c>
      <c r="R49" s="18" t="s">
        <v>154</v>
      </c>
      <c r="S49" s="17" t="s">
        <v>154</v>
      </c>
      <c r="T49" s="18" t="s">
        <v>154</v>
      </c>
    </row>
    <row r="50" spans="1:20" x14ac:dyDescent="0.25">
      <c r="A50" s="11" t="s">
        <v>183</v>
      </c>
      <c r="B50" s="13">
        <v>11795</v>
      </c>
      <c r="C50" s="14">
        <f>(9867/B50*100)</f>
        <v>83.654090716405264</v>
      </c>
      <c r="D50" s="15">
        <v>1928</v>
      </c>
      <c r="E50" s="14">
        <v>86.143206419999999</v>
      </c>
      <c r="F50" s="16">
        <v>1.16826311</v>
      </c>
      <c r="G50" s="14">
        <v>9.2980266500000006</v>
      </c>
      <c r="H50" s="16">
        <v>0.84397670999999996</v>
      </c>
      <c r="I50" s="14">
        <v>4.5587669399999999</v>
      </c>
      <c r="J50" s="16">
        <v>0.69675038</v>
      </c>
      <c r="K50" s="14" t="s">
        <v>139</v>
      </c>
      <c r="L50" s="16" t="s">
        <v>139</v>
      </c>
      <c r="M50" s="14">
        <v>0</v>
      </c>
      <c r="N50" s="16">
        <v>0</v>
      </c>
      <c r="O50" s="14">
        <v>0</v>
      </c>
      <c r="P50" s="16">
        <v>0</v>
      </c>
      <c r="Q50" s="14">
        <v>0</v>
      </c>
      <c r="R50" s="16">
        <v>0</v>
      </c>
      <c r="S50" s="14">
        <v>0</v>
      </c>
      <c r="T50" s="16">
        <v>0</v>
      </c>
    </row>
    <row r="51" spans="1:20" x14ac:dyDescent="0.25">
      <c r="A51" s="11" t="s">
        <v>184</v>
      </c>
      <c r="B51" s="13">
        <v>6866</v>
      </c>
      <c r="C51" s="14">
        <f>(5870/B51*100)</f>
        <v>85.493737256044284</v>
      </c>
      <c r="D51" s="15">
        <v>996</v>
      </c>
      <c r="E51" s="14">
        <v>88.245416660000004</v>
      </c>
      <c r="F51" s="16">
        <v>1.0570657400000001</v>
      </c>
      <c r="G51" s="14">
        <v>9.6844628400000001</v>
      </c>
      <c r="H51" s="16">
        <v>0.93482916999999999</v>
      </c>
      <c r="I51" s="14">
        <v>2.0701204999999998</v>
      </c>
      <c r="J51" s="16">
        <v>0.39946599999999999</v>
      </c>
      <c r="K51" s="14" t="s">
        <v>139</v>
      </c>
      <c r="L51" s="16" t="s">
        <v>139</v>
      </c>
      <c r="M51" s="14">
        <v>0</v>
      </c>
      <c r="N51" s="16">
        <v>0</v>
      </c>
      <c r="O51" s="14">
        <v>0</v>
      </c>
      <c r="P51" s="16">
        <v>0</v>
      </c>
      <c r="Q51" s="14">
        <v>0</v>
      </c>
      <c r="R51" s="16">
        <v>0</v>
      </c>
      <c r="S51" s="14">
        <v>0</v>
      </c>
      <c r="T51" s="16">
        <v>0</v>
      </c>
    </row>
    <row r="52" spans="1:20" x14ac:dyDescent="0.25">
      <c r="A52" s="11" t="s">
        <v>185</v>
      </c>
      <c r="B52" s="13">
        <v>5809</v>
      </c>
      <c r="C52" s="14">
        <f>(4842/B52*100)</f>
        <v>83.353417111378889</v>
      </c>
      <c r="D52" s="15">
        <v>967</v>
      </c>
      <c r="E52" s="14">
        <v>81.297656910000001</v>
      </c>
      <c r="F52" s="16">
        <v>1.6620847400000001</v>
      </c>
      <c r="G52" s="14">
        <v>12.32379746</v>
      </c>
      <c r="H52" s="16">
        <v>1.19714571</v>
      </c>
      <c r="I52" s="14">
        <v>6.3785456299999996</v>
      </c>
      <c r="J52" s="16">
        <v>0.95317423999999995</v>
      </c>
      <c r="K52" s="14" t="s">
        <v>139</v>
      </c>
      <c r="L52" s="16" t="s">
        <v>139</v>
      </c>
      <c r="M52" s="14">
        <v>0</v>
      </c>
      <c r="N52" s="16">
        <v>0</v>
      </c>
      <c r="O52" s="14">
        <v>0</v>
      </c>
      <c r="P52" s="16">
        <v>0</v>
      </c>
      <c r="Q52" s="14">
        <v>0</v>
      </c>
      <c r="R52" s="16">
        <v>0</v>
      </c>
      <c r="S52" s="14">
        <v>0</v>
      </c>
      <c r="T52" s="16">
        <v>0</v>
      </c>
    </row>
    <row r="53" spans="1:20" x14ac:dyDescent="0.25">
      <c r="A53" s="11" t="s">
        <v>186</v>
      </c>
      <c r="B53" s="13">
        <v>5571</v>
      </c>
      <c r="C53" s="14">
        <f>(4658/B53*100)</f>
        <v>83.611559863579259</v>
      </c>
      <c r="D53" s="15">
        <v>913</v>
      </c>
      <c r="E53" s="14">
        <v>78.605855520000006</v>
      </c>
      <c r="F53" s="16">
        <v>1.51578693</v>
      </c>
      <c r="G53" s="14">
        <v>13.54433968</v>
      </c>
      <c r="H53" s="16">
        <v>1.26031388</v>
      </c>
      <c r="I53" s="14">
        <v>7.8498048000000002</v>
      </c>
      <c r="J53" s="16">
        <v>0.99432673999999999</v>
      </c>
      <c r="K53" s="14" t="s">
        <v>139</v>
      </c>
      <c r="L53" s="16" t="s">
        <v>139</v>
      </c>
      <c r="M53" s="14">
        <v>0</v>
      </c>
      <c r="N53" s="16">
        <v>0</v>
      </c>
      <c r="O53" s="14">
        <v>0</v>
      </c>
      <c r="P53" s="16">
        <v>0</v>
      </c>
      <c r="Q53" s="14">
        <v>0</v>
      </c>
      <c r="R53" s="16">
        <v>0</v>
      </c>
      <c r="S53" s="14">
        <v>0</v>
      </c>
      <c r="T53" s="16">
        <v>0</v>
      </c>
    </row>
    <row r="54" spans="1:20" x14ac:dyDescent="0.25">
      <c r="A54" s="11" t="s">
        <v>187</v>
      </c>
      <c r="B54" s="17" t="s">
        <v>154</v>
      </c>
      <c r="C54" s="17" t="s">
        <v>154</v>
      </c>
      <c r="D54" s="18" t="s">
        <v>154</v>
      </c>
      <c r="E54" s="17" t="s">
        <v>154</v>
      </c>
      <c r="F54" s="18" t="s">
        <v>154</v>
      </c>
      <c r="G54" s="17" t="s">
        <v>154</v>
      </c>
      <c r="H54" s="18" t="s">
        <v>154</v>
      </c>
      <c r="I54" s="17" t="s">
        <v>154</v>
      </c>
      <c r="J54" s="18" t="s">
        <v>154</v>
      </c>
      <c r="K54" s="17" t="s">
        <v>154</v>
      </c>
      <c r="L54" s="18" t="s">
        <v>154</v>
      </c>
      <c r="M54" s="17" t="s">
        <v>154</v>
      </c>
      <c r="N54" s="18" t="s">
        <v>154</v>
      </c>
      <c r="O54" s="17" t="s">
        <v>154</v>
      </c>
      <c r="P54" s="18" t="s">
        <v>154</v>
      </c>
      <c r="Q54" s="17" t="s">
        <v>154</v>
      </c>
      <c r="R54" s="18" t="s">
        <v>154</v>
      </c>
      <c r="S54" s="17" t="s">
        <v>154</v>
      </c>
      <c r="T54" s="18" t="s">
        <v>154</v>
      </c>
    </row>
    <row r="55" spans="1:20" x14ac:dyDescent="0.25">
      <c r="A55" s="11" t="s">
        <v>188</v>
      </c>
      <c r="B55" s="17" t="s">
        <v>154</v>
      </c>
      <c r="C55" s="17" t="s">
        <v>154</v>
      </c>
      <c r="D55" s="18" t="s">
        <v>154</v>
      </c>
      <c r="E55" s="17" t="s">
        <v>154</v>
      </c>
      <c r="F55" s="18" t="s">
        <v>154</v>
      </c>
      <c r="G55" s="17" t="s">
        <v>154</v>
      </c>
      <c r="H55" s="18" t="s">
        <v>154</v>
      </c>
      <c r="I55" s="17" t="s">
        <v>154</v>
      </c>
      <c r="J55" s="18" t="s">
        <v>154</v>
      </c>
      <c r="K55" s="17" t="s">
        <v>154</v>
      </c>
      <c r="L55" s="18" t="s">
        <v>154</v>
      </c>
      <c r="M55" s="17" t="s">
        <v>154</v>
      </c>
      <c r="N55" s="18" t="s">
        <v>154</v>
      </c>
      <c r="O55" s="17" t="s">
        <v>154</v>
      </c>
      <c r="P55" s="18" t="s">
        <v>154</v>
      </c>
      <c r="Q55" s="17" t="s">
        <v>154</v>
      </c>
      <c r="R55" s="18" t="s">
        <v>154</v>
      </c>
      <c r="S55" s="17" t="s">
        <v>154</v>
      </c>
      <c r="T55" s="18" t="s">
        <v>154</v>
      </c>
    </row>
    <row r="56" spans="1:20" x14ac:dyDescent="0.25">
      <c r="A56" s="11" t="s">
        <v>189</v>
      </c>
      <c r="B56" s="13">
        <v>5359</v>
      </c>
      <c r="C56" s="14">
        <f>(4453/B56*100)</f>
        <v>83.093860794924424</v>
      </c>
      <c r="D56" s="15">
        <v>906</v>
      </c>
      <c r="E56" s="14">
        <v>61.856652259999997</v>
      </c>
      <c r="F56" s="16">
        <v>1.9235446700000001</v>
      </c>
      <c r="G56" s="14">
        <v>19.997138069999998</v>
      </c>
      <c r="H56" s="16">
        <v>1.43804592</v>
      </c>
      <c r="I56" s="14">
        <v>18.146209679999998</v>
      </c>
      <c r="J56" s="16">
        <v>1.3954668699999999</v>
      </c>
      <c r="K56" s="14" t="s">
        <v>139</v>
      </c>
      <c r="L56" s="16" t="s">
        <v>139</v>
      </c>
      <c r="M56" s="14">
        <v>0</v>
      </c>
      <c r="N56" s="16">
        <v>0</v>
      </c>
      <c r="O56" s="14">
        <v>0</v>
      </c>
      <c r="P56" s="16">
        <v>0</v>
      </c>
      <c r="Q56" s="14">
        <v>0</v>
      </c>
      <c r="R56" s="16">
        <v>0</v>
      </c>
      <c r="S56" s="14">
        <v>0</v>
      </c>
      <c r="T56" s="16">
        <v>0</v>
      </c>
    </row>
    <row r="57" spans="1:20" x14ac:dyDescent="0.25">
      <c r="A57" s="11" t="s">
        <v>190</v>
      </c>
      <c r="B57" s="17" t="s">
        <v>154</v>
      </c>
      <c r="C57" s="17" t="s">
        <v>154</v>
      </c>
      <c r="D57" s="18" t="s">
        <v>154</v>
      </c>
      <c r="E57" s="17" t="s">
        <v>154</v>
      </c>
      <c r="F57" s="18" t="s">
        <v>154</v>
      </c>
      <c r="G57" s="17" t="s">
        <v>154</v>
      </c>
      <c r="H57" s="18" t="s">
        <v>154</v>
      </c>
      <c r="I57" s="17" t="s">
        <v>154</v>
      </c>
      <c r="J57" s="18" t="s">
        <v>154</v>
      </c>
      <c r="K57" s="17" t="s">
        <v>154</v>
      </c>
      <c r="L57" s="18" t="s">
        <v>154</v>
      </c>
      <c r="M57" s="17" t="s">
        <v>154</v>
      </c>
      <c r="N57" s="18" t="s">
        <v>154</v>
      </c>
      <c r="O57" s="17" t="s">
        <v>154</v>
      </c>
      <c r="P57" s="18" t="s">
        <v>154</v>
      </c>
      <c r="Q57" s="17" t="s">
        <v>154</v>
      </c>
      <c r="R57" s="18" t="s">
        <v>154</v>
      </c>
      <c r="S57" s="17" t="s">
        <v>154</v>
      </c>
      <c r="T57" s="18" t="s">
        <v>154</v>
      </c>
    </row>
    <row r="58" spans="1:20" x14ac:dyDescent="0.25">
      <c r="A58" s="11" t="s">
        <v>191</v>
      </c>
      <c r="B58" s="17" t="s">
        <v>154</v>
      </c>
      <c r="C58" s="17" t="s">
        <v>154</v>
      </c>
      <c r="D58" s="18" t="s">
        <v>154</v>
      </c>
      <c r="E58" s="17" t="s">
        <v>154</v>
      </c>
      <c r="F58" s="18" t="s">
        <v>154</v>
      </c>
      <c r="G58" s="17" t="s">
        <v>154</v>
      </c>
      <c r="H58" s="18" t="s">
        <v>154</v>
      </c>
      <c r="I58" s="17" t="s">
        <v>154</v>
      </c>
      <c r="J58" s="18" t="s">
        <v>154</v>
      </c>
      <c r="K58" s="17" t="s">
        <v>154</v>
      </c>
      <c r="L58" s="18" t="s">
        <v>154</v>
      </c>
      <c r="M58" s="17" t="s">
        <v>154</v>
      </c>
      <c r="N58" s="18" t="s">
        <v>154</v>
      </c>
      <c r="O58" s="17" t="s">
        <v>154</v>
      </c>
      <c r="P58" s="18" t="s">
        <v>154</v>
      </c>
      <c r="Q58" s="17" t="s">
        <v>154</v>
      </c>
      <c r="R58" s="18" t="s">
        <v>154</v>
      </c>
      <c r="S58" s="17" t="s">
        <v>154</v>
      </c>
      <c r="T58" s="18" t="s">
        <v>154</v>
      </c>
    </row>
    <row r="59" spans="1:20" x14ac:dyDescent="0.25">
      <c r="A59" s="11" t="s">
        <v>192</v>
      </c>
      <c r="B59" s="17" t="s">
        <v>154</v>
      </c>
      <c r="C59" s="17" t="s">
        <v>154</v>
      </c>
      <c r="D59" s="18" t="s">
        <v>154</v>
      </c>
      <c r="E59" s="17" t="s">
        <v>154</v>
      </c>
      <c r="F59" s="18" t="s">
        <v>154</v>
      </c>
      <c r="G59" s="17" t="s">
        <v>154</v>
      </c>
      <c r="H59" s="18" t="s">
        <v>154</v>
      </c>
      <c r="I59" s="17" t="s">
        <v>154</v>
      </c>
      <c r="J59" s="18" t="s">
        <v>154</v>
      </c>
      <c r="K59" s="17" t="s">
        <v>154</v>
      </c>
      <c r="L59" s="18" t="s">
        <v>154</v>
      </c>
      <c r="M59" s="17" t="s">
        <v>154</v>
      </c>
      <c r="N59" s="18" t="s">
        <v>154</v>
      </c>
      <c r="O59" s="17" t="s">
        <v>154</v>
      </c>
      <c r="P59" s="18" t="s">
        <v>154</v>
      </c>
      <c r="Q59" s="17" t="s">
        <v>154</v>
      </c>
      <c r="R59" s="18" t="s">
        <v>154</v>
      </c>
      <c r="S59" s="17" t="s">
        <v>154</v>
      </c>
      <c r="T59" s="18" t="s">
        <v>154</v>
      </c>
    </row>
    <row r="60" spans="1:20" x14ac:dyDescent="0.25">
      <c r="A60" s="11" t="s">
        <v>193</v>
      </c>
      <c r="B60" s="17" t="s">
        <v>154</v>
      </c>
      <c r="C60" s="17" t="s">
        <v>154</v>
      </c>
      <c r="D60" s="18" t="s">
        <v>154</v>
      </c>
      <c r="E60" s="17" t="s">
        <v>154</v>
      </c>
      <c r="F60" s="18" t="s">
        <v>154</v>
      </c>
      <c r="G60" s="17" t="s">
        <v>154</v>
      </c>
      <c r="H60" s="18" t="s">
        <v>154</v>
      </c>
      <c r="I60" s="17" t="s">
        <v>154</v>
      </c>
      <c r="J60" s="18" t="s">
        <v>154</v>
      </c>
      <c r="K60" s="17" t="s">
        <v>154</v>
      </c>
      <c r="L60" s="18" t="s">
        <v>154</v>
      </c>
      <c r="M60" s="17" t="s">
        <v>154</v>
      </c>
      <c r="N60" s="18" t="s">
        <v>154</v>
      </c>
      <c r="O60" s="17" t="s">
        <v>154</v>
      </c>
      <c r="P60" s="18" t="s">
        <v>154</v>
      </c>
      <c r="Q60" s="17" t="s">
        <v>154</v>
      </c>
      <c r="R60" s="18" t="s">
        <v>154</v>
      </c>
      <c r="S60" s="17" t="s">
        <v>154</v>
      </c>
      <c r="T60" s="18" t="s">
        <v>154</v>
      </c>
    </row>
    <row r="61" spans="1:20" x14ac:dyDescent="0.25">
      <c r="A61" s="11" t="s">
        <v>194</v>
      </c>
      <c r="B61" s="13">
        <v>6525</v>
      </c>
      <c r="C61" s="14">
        <f>(5437/B61*100)</f>
        <v>83.325670498084293</v>
      </c>
      <c r="D61" s="15">
        <v>1088</v>
      </c>
      <c r="E61" s="14">
        <v>79.717069730000006</v>
      </c>
      <c r="F61" s="16">
        <v>1.44949562</v>
      </c>
      <c r="G61" s="14">
        <v>12.36325686</v>
      </c>
      <c r="H61" s="16">
        <v>1.1495470000000001</v>
      </c>
      <c r="I61" s="14">
        <v>7.9196733999999998</v>
      </c>
      <c r="J61" s="16">
        <v>0.94281462000000005</v>
      </c>
      <c r="K61" s="14" t="s">
        <v>139</v>
      </c>
      <c r="L61" s="16" t="s">
        <v>139</v>
      </c>
      <c r="M61" s="14">
        <v>0</v>
      </c>
      <c r="N61" s="16">
        <v>0</v>
      </c>
      <c r="O61" s="14">
        <v>0</v>
      </c>
      <c r="P61" s="16">
        <v>0</v>
      </c>
      <c r="Q61" s="14">
        <v>0</v>
      </c>
      <c r="R61" s="16">
        <v>0</v>
      </c>
      <c r="S61" s="14">
        <v>0</v>
      </c>
      <c r="T61" s="16">
        <v>0</v>
      </c>
    </row>
    <row r="62" spans="1:20" x14ac:dyDescent="0.25">
      <c r="A62" s="11" t="s">
        <v>195</v>
      </c>
      <c r="B62" s="13">
        <v>4476</v>
      </c>
      <c r="C62" s="14">
        <f>(3710/B62*100)</f>
        <v>82.886505808757818</v>
      </c>
      <c r="D62" s="15">
        <v>766</v>
      </c>
      <c r="E62" s="14">
        <v>73.37313777</v>
      </c>
      <c r="F62" s="16">
        <v>1.55636306</v>
      </c>
      <c r="G62" s="14">
        <v>17.359594659999999</v>
      </c>
      <c r="H62" s="16">
        <v>1.3594680699999999</v>
      </c>
      <c r="I62" s="14">
        <v>9.2672675699999996</v>
      </c>
      <c r="J62" s="16">
        <v>0.93416927999999999</v>
      </c>
      <c r="K62" s="14" t="s">
        <v>139</v>
      </c>
      <c r="L62" s="16" t="s">
        <v>139</v>
      </c>
      <c r="M62" s="14">
        <v>0</v>
      </c>
      <c r="N62" s="16">
        <v>0</v>
      </c>
      <c r="O62" s="14">
        <v>0</v>
      </c>
      <c r="P62" s="16">
        <v>0</v>
      </c>
      <c r="Q62" s="14">
        <v>0</v>
      </c>
      <c r="R62" s="16">
        <v>0</v>
      </c>
      <c r="S62" s="14">
        <v>0</v>
      </c>
      <c r="T62" s="16">
        <v>0</v>
      </c>
    </row>
    <row r="63" spans="1:20" x14ac:dyDescent="0.25">
      <c r="A63" s="11" t="s">
        <v>196</v>
      </c>
      <c r="B63" s="17" t="s">
        <v>154</v>
      </c>
      <c r="C63" s="17" t="s">
        <v>154</v>
      </c>
      <c r="D63" s="18" t="s">
        <v>154</v>
      </c>
      <c r="E63" s="17" t="s">
        <v>154</v>
      </c>
      <c r="F63" s="18" t="s">
        <v>154</v>
      </c>
      <c r="G63" s="17" t="s">
        <v>154</v>
      </c>
      <c r="H63" s="18" t="s">
        <v>154</v>
      </c>
      <c r="I63" s="17" t="s">
        <v>154</v>
      </c>
      <c r="J63" s="18" t="s">
        <v>154</v>
      </c>
      <c r="K63" s="17" t="s">
        <v>154</v>
      </c>
      <c r="L63" s="18" t="s">
        <v>154</v>
      </c>
      <c r="M63" s="17" t="s">
        <v>154</v>
      </c>
      <c r="N63" s="18" t="s">
        <v>154</v>
      </c>
      <c r="O63" s="17" t="s">
        <v>154</v>
      </c>
      <c r="P63" s="18" t="s">
        <v>154</v>
      </c>
      <c r="Q63" s="17" t="s">
        <v>154</v>
      </c>
      <c r="R63" s="18" t="s">
        <v>154</v>
      </c>
      <c r="S63" s="17" t="s">
        <v>154</v>
      </c>
      <c r="T63" s="18" t="s">
        <v>154</v>
      </c>
    </row>
    <row r="64" spans="1:20" x14ac:dyDescent="0.25">
      <c r="A64" s="11" t="s">
        <v>197</v>
      </c>
      <c r="B64" s="17" t="s">
        <v>154</v>
      </c>
      <c r="C64" s="17" t="s">
        <v>154</v>
      </c>
      <c r="D64" s="18" t="s">
        <v>154</v>
      </c>
      <c r="E64" s="17" t="s">
        <v>154</v>
      </c>
      <c r="F64" s="18" t="s">
        <v>154</v>
      </c>
      <c r="G64" s="17" t="s">
        <v>154</v>
      </c>
      <c r="H64" s="18" t="s">
        <v>154</v>
      </c>
      <c r="I64" s="17" t="s">
        <v>154</v>
      </c>
      <c r="J64" s="18" t="s">
        <v>154</v>
      </c>
      <c r="K64" s="17" t="s">
        <v>154</v>
      </c>
      <c r="L64" s="18" t="s">
        <v>154</v>
      </c>
      <c r="M64" s="17" t="s">
        <v>154</v>
      </c>
      <c r="N64" s="18" t="s">
        <v>154</v>
      </c>
      <c r="O64" s="17" t="s">
        <v>154</v>
      </c>
      <c r="P64" s="18" t="s">
        <v>154</v>
      </c>
      <c r="Q64" s="17" t="s">
        <v>154</v>
      </c>
      <c r="R64" s="18" t="s">
        <v>154</v>
      </c>
      <c r="S64" s="17" t="s">
        <v>154</v>
      </c>
      <c r="T64" s="18" t="s">
        <v>154</v>
      </c>
    </row>
    <row r="65" spans="1:20" x14ac:dyDescent="0.25">
      <c r="A65" s="11" t="s">
        <v>198</v>
      </c>
      <c r="B65" s="17" t="s">
        <v>154</v>
      </c>
      <c r="C65" s="17" t="s">
        <v>154</v>
      </c>
      <c r="D65" s="18" t="s">
        <v>154</v>
      </c>
      <c r="E65" s="17" t="s">
        <v>154</v>
      </c>
      <c r="F65" s="18" t="s">
        <v>154</v>
      </c>
      <c r="G65" s="17" t="s">
        <v>154</v>
      </c>
      <c r="H65" s="18" t="s">
        <v>154</v>
      </c>
      <c r="I65" s="17" t="s">
        <v>154</v>
      </c>
      <c r="J65" s="18" t="s">
        <v>154</v>
      </c>
      <c r="K65" s="17" t="s">
        <v>154</v>
      </c>
      <c r="L65" s="18" t="s">
        <v>154</v>
      </c>
      <c r="M65" s="17" t="s">
        <v>154</v>
      </c>
      <c r="N65" s="18" t="s">
        <v>154</v>
      </c>
      <c r="O65" s="17" t="s">
        <v>154</v>
      </c>
      <c r="P65" s="18" t="s">
        <v>154</v>
      </c>
      <c r="Q65" s="17" t="s">
        <v>154</v>
      </c>
      <c r="R65" s="18" t="s">
        <v>154</v>
      </c>
      <c r="S65" s="17" t="s">
        <v>154</v>
      </c>
      <c r="T65" s="18" t="s">
        <v>154</v>
      </c>
    </row>
    <row r="66" spans="1:20" x14ac:dyDescent="0.25">
      <c r="A66" s="11" t="s">
        <v>199</v>
      </c>
      <c r="B66" s="13">
        <v>5665</v>
      </c>
      <c r="C66" s="14">
        <f>(4745/B66*100)</f>
        <v>83.759929390997357</v>
      </c>
      <c r="D66" s="15">
        <v>920</v>
      </c>
      <c r="E66" s="14">
        <v>82.746733460000002</v>
      </c>
      <c r="F66" s="16">
        <v>1.28892176</v>
      </c>
      <c r="G66" s="14">
        <v>11.835540910000001</v>
      </c>
      <c r="H66" s="16">
        <v>1.14369919</v>
      </c>
      <c r="I66" s="14">
        <v>5.4177256299999996</v>
      </c>
      <c r="J66" s="16">
        <v>0.69414222999999997</v>
      </c>
      <c r="K66" s="14" t="s">
        <v>139</v>
      </c>
      <c r="L66" s="16" t="s">
        <v>139</v>
      </c>
      <c r="M66" s="14">
        <v>0</v>
      </c>
      <c r="N66" s="16">
        <v>0</v>
      </c>
      <c r="O66" s="14">
        <v>0</v>
      </c>
      <c r="P66" s="16">
        <v>0</v>
      </c>
      <c r="Q66" s="14">
        <v>0</v>
      </c>
      <c r="R66" s="16">
        <v>0</v>
      </c>
      <c r="S66" s="14">
        <v>0</v>
      </c>
      <c r="T66" s="16">
        <v>0</v>
      </c>
    </row>
    <row r="67" spans="1:20" x14ac:dyDescent="0.25">
      <c r="A67" s="11" t="s">
        <v>200</v>
      </c>
      <c r="B67" s="13">
        <v>6971</v>
      </c>
      <c r="C67" s="14">
        <f>(5950/B67*100)</f>
        <v>85.353607803758422</v>
      </c>
      <c r="D67" s="15">
        <v>1021</v>
      </c>
      <c r="E67" s="14">
        <v>86.394032899999999</v>
      </c>
      <c r="F67" s="16">
        <v>1.0807065300000001</v>
      </c>
      <c r="G67" s="14">
        <v>8.8314430599999998</v>
      </c>
      <c r="H67" s="16">
        <v>0.88404422000000005</v>
      </c>
      <c r="I67" s="14">
        <v>4.7745240300000003</v>
      </c>
      <c r="J67" s="16">
        <v>0.73333316000000004</v>
      </c>
      <c r="K67" s="14" t="s">
        <v>139</v>
      </c>
      <c r="L67" s="16" t="s">
        <v>139</v>
      </c>
      <c r="M67" s="14">
        <v>0</v>
      </c>
      <c r="N67" s="16">
        <v>0</v>
      </c>
      <c r="O67" s="14">
        <v>0</v>
      </c>
      <c r="P67" s="16">
        <v>0</v>
      </c>
      <c r="Q67" s="14">
        <v>0</v>
      </c>
      <c r="R67" s="16">
        <v>0</v>
      </c>
      <c r="S67" s="14">
        <v>0</v>
      </c>
      <c r="T67" s="16">
        <v>0</v>
      </c>
    </row>
    <row r="68" spans="1:20" x14ac:dyDescent="0.25">
      <c r="A68" s="11" t="s">
        <v>201</v>
      </c>
      <c r="B68" s="17" t="s">
        <v>154</v>
      </c>
      <c r="C68" s="17" t="s">
        <v>154</v>
      </c>
      <c r="D68" s="18" t="s">
        <v>154</v>
      </c>
      <c r="E68" s="17" t="s">
        <v>154</v>
      </c>
      <c r="F68" s="18" t="s">
        <v>154</v>
      </c>
      <c r="G68" s="17" t="s">
        <v>154</v>
      </c>
      <c r="H68" s="18" t="s">
        <v>154</v>
      </c>
      <c r="I68" s="17" t="s">
        <v>154</v>
      </c>
      <c r="J68" s="18" t="s">
        <v>154</v>
      </c>
      <c r="K68" s="17" t="s">
        <v>154</v>
      </c>
      <c r="L68" s="18" t="s">
        <v>154</v>
      </c>
      <c r="M68" s="17" t="s">
        <v>154</v>
      </c>
      <c r="N68" s="18" t="s">
        <v>154</v>
      </c>
      <c r="O68" s="17" t="s">
        <v>154</v>
      </c>
      <c r="P68" s="18" t="s">
        <v>154</v>
      </c>
      <c r="Q68" s="17" t="s">
        <v>154</v>
      </c>
      <c r="R68" s="18" t="s">
        <v>154</v>
      </c>
      <c r="S68" s="17" t="s">
        <v>154</v>
      </c>
      <c r="T68" s="18" t="s">
        <v>154</v>
      </c>
    </row>
    <row r="69" spans="1:20" x14ac:dyDescent="0.25">
      <c r="A69" s="11" t="s">
        <v>202</v>
      </c>
      <c r="B69" s="17" t="s">
        <v>154</v>
      </c>
      <c r="C69" s="17" t="s">
        <v>154</v>
      </c>
      <c r="D69" s="18" t="s">
        <v>154</v>
      </c>
      <c r="E69" s="17" t="s">
        <v>154</v>
      </c>
      <c r="F69" s="18" t="s">
        <v>154</v>
      </c>
      <c r="G69" s="17" t="s">
        <v>154</v>
      </c>
      <c r="H69" s="18" t="s">
        <v>154</v>
      </c>
      <c r="I69" s="17" t="s">
        <v>154</v>
      </c>
      <c r="J69" s="18" t="s">
        <v>154</v>
      </c>
      <c r="K69" s="17" t="s">
        <v>154</v>
      </c>
      <c r="L69" s="18" t="s">
        <v>154</v>
      </c>
      <c r="M69" s="17" t="s">
        <v>154</v>
      </c>
      <c r="N69" s="18" t="s">
        <v>154</v>
      </c>
      <c r="O69" s="17" t="s">
        <v>154</v>
      </c>
      <c r="P69" s="18" t="s">
        <v>154</v>
      </c>
      <c r="Q69" s="17" t="s">
        <v>154</v>
      </c>
      <c r="R69" s="18" t="s">
        <v>154</v>
      </c>
      <c r="S69" s="17" t="s">
        <v>154</v>
      </c>
      <c r="T69" s="18" t="s">
        <v>154</v>
      </c>
    </row>
    <row r="70" spans="1:20" x14ac:dyDescent="0.25">
      <c r="A70" s="11" t="s">
        <v>203</v>
      </c>
      <c r="B70" s="13">
        <v>6036</v>
      </c>
      <c r="C70" s="14">
        <f>(5024/B70*100)</f>
        <v>83.233929754804507</v>
      </c>
      <c r="D70" s="15">
        <v>1012</v>
      </c>
      <c r="E70" s="14">
        <v>80.689053349999995</v>
      </c>
      <c r="F70" s="16">
        <v>1.6683053400000001</v>
      </c>
      <c r="G70" s="14">
        <v>16.443471110000001</v>
      </c>
      <c r="H70" s="16">
        <v>1.6217338699999999</v>
      </c>
      <c r="I70" s="14">
        <v>2.86747554</v>
      </c>
      <c r="J70" s="16">
        <v>0.54308252999999995</v>
      </c>
      <c r="K70" s="14" t="s">
        <v>139</v>
      </c>
      <c r="L70" s="16" t="s">
        <v>139</v>
      </c>
      <c r="M70" s="14">
        <v>0</v>
      </c>
      <c r="N70" s="16">
        <v>0</v>
      </c>
      <c r="O70" s="14">
        <v>0</v>
      </c>
      <c r="P70" s="16">
        <v>0</v>
      </c>
      <c r="Q70" s="14">
        <v>0</v>
      </c>
      <c r="R70" s="16">
        <v>0</v>
      </c>
      <c r="S70" s="14">
        <v>0</v>
      </c>
      <c r="T70" s="16">
        <v>0</v>
      </c>
    </row>
    <row r="71" spans="1:20" x14ac:dyDescent="0.25">
      <c r="A71" s="11" t="s">
        <v>204</v>
      </c>
      <c r="B71" s="17" t="s">
        <v>154</v>
      </c>
      <c r="C71" s="17" t="s">
        <v>154</v>
      </c>
      <c r="D71" s="18" t="s">
        <v>154</v>
      </c>
      <c r="E71" s="17" t="s">
        <v>154</v>
      </c>
      <c r="F71" s="18" t="s">
        <v>154</v>
      </c>
      <c r="G71" s="17" t="s">
        <v>154</v>
      </c>
      <c r="H71" s="18" t="s">
        <v>154</v>
      </c>
      <c r="I71" s="17" t="s">
        <v>154</v>
      </c>
      <c r="J71" s="18" t="s">
        <v>154</v>
      </c>
      <c r="K71" s="17" t="s">
        <v>154</v>
      </c>
      <c r="L71" s="18" t="s">
        <v>154</v>
      </c>
      <c r="M71" s="17" t="s">
        <v>154</v>
      </c>
      <c r="N71" s="18" t="s">
        <v>154</v>
      </c>
      <c r="O71" s="17" t="s">
        <v>154</v>
      </c>
      <c r="P71" s="18" t="s">
        <v>154</v>
      </c>
      <c r="Q71" s="17" t="s">
        <v>154</v>
      </c>
      <c r="R71" s="18" t="s">
        <v>154</v>
      </c>
      <c r="S71" s="17" t="s">
        <v>154</v>
      </c>
      <c r="T71" s="18" t="s">
        <v>154</v>
      </c>
    </row>
    <row r="72" spans="1:20" x14ac:dyDescent="0.25">
      <c r="A72" s="11" t="s">
        <v>205</v>
      </c>
      <c r="B72" s="13">
        <v>7708</v>
      </c>
      <c r="C72" s="14">
        <f>(6366/B72*100)</f>
        <v>82.589517384535554</v>
      </c>
      <c r="D72" s="15">
        <v>1342</v>
      </c>
      <c r="E72" s="14">
        <v>68.565955579999994</v>
      </c>
      <c r="F72" s="16">
        <v>1.5651216100000001</v>
      </c>
      <c r="G72" s="14">
        <v>18.064734420000001</v>
      </c>
      <c r="H72" s="16">
        <v>1.04824071</v>
      </c>
      <c r="I72" s="14">
        <v>13.36930999</v>
      </c>
      <c r="J72" s="16">
        <v>1.08930086</v>
      </c>
      <c r="K72" s="14" t="s">
        <v>139</v>
      </c>
      <c r="L72" s="16" t="s">
        <v>139</v>
      </c>
      <c r="M72" s="14">
        <v>0</v>
      </c>
      <c r="N72" s="16">
        <v>0</v>
      </c>
      <c r="O72" s="14">
        <v>0</v>
      </c>
      <c r="P72" s="16">
        <v>0</v>
      </c>
      <c r="Q72" s="14">
        <v>0</v>
      </c>
      <c r="R72" s="16">
        <v>0</v>
      </c>
      <c r="S72" s="14">
        <v>0</v>
      </c>
      <c r="T72" s="16">
        <v>0</v>
      </c>
    </row>
    <row r="73" spans="1:20" x14ac:dyDescent="0.25">
      <c r="A73" s="11" t="s">
        <v>206</v>
      </c>
      <c r="B73" s="13">
        <v>8249</v>
      </c>
      <c r="C73" s="14">
        <f>(6930/B73*100)</f>
        <v>84.010183052491215</v>
      </c>
      <c r="D73" s="15">
        <v>1319</v>
      </c>
      <c r="E73" s="14">
        <v>79.387342039999993</v>
      </c>
      <c r="F73" s="16">
        <v>1.27198459</v>
      </c>
      <c r="G73" s="14">
        <v>11.702447319999999</v>
      </c>
      <c r="H73" s="16">
        <v>0.90183603000000001</v>
      </c>
      <c r="I73" s="14">
        <v>8.9102106299999999</v>
      </c>
      <c r="J73" s="16">
        <v>1.0149486700000001</v>
      </c>
      <c r="K73" s="14" t="s">
        <v>139</v>
      </c>
      <c r="L73" s="16" t="s">
        <v>139</v>
      </c>
      <c r="M73" s="14">
        <v>0</v>
      </c>
      <c r="N73" s="16">
        <v>0</v>
      </c>
      <c r="O73" s="14">
        <v>0</v>
      </c>
      <c r="P73" s="16">
        <v>0</v>
      </c>
      <c r="Q73" s="14">
        <v>0</v>
      </c>
      <c r="R73" s="16">
        <v>0</v>
      </c>
      <c r="S73" s="14">
        <v>0</v>
      </c>
      <c r="T73" s="16">
        <v>0</v>
      </c>
    </row>
    <row r="74" spans="1:20" x14ac:dyDescent="0.25">
      <c r="A74" s="11" t="s">
        <v>207</v>
      </c>
      <c r="B74" s="17" t="s">
        <v>154</v>
      </c>
      <c r="C74" s="17" t="s">
        <v>154</v>
      </c>
      <c r="D74" s="18" t="s">
        <v>154</v>
      </c>
      <c r="E74" s="17" t="s">
        <v>154</v>
      </c>
      <c r="F74" s="18" t="s">
        <v>154</v>
      </c>
      <c r="G74" s="17" t="s">
        <v>154</v>
      </c>
      <c r="H74" s="18" t="s">
        <v>154</v>
      </c>
      <c r="I74" s="17" t="s">
        <v>154</v>
      </c>
      <c r="J74" s="18" t="s">
        <v>154</v>
      </c>
      <c r="K74" s="17" t="s">
        <v>154</v>
      </c>
      <c r="L74" s="18" t="s">
        <v>154</v>
      </c>
      <c r="M74" s="17" t="s">
        <v>154</v>
      </c>
      <c r="N74" s="18" t="s">
        <v>154</v>
      </c>
      <c r="O74" s="17" t="s">
        <v>154</v>
      </c>
      <c r="P74" s="18" t="s">
        <v>154</v>
      </c>
      <c r="Q74" s="17" t="s">
        <v>154</v>
      </c>
      <c r="R74" s="18" t="s">
        <v>154</v>
      </c>
      <c r="S74" s="17" t="s">
        <v>154</v>
      </c>
      <c r="T74" s="18" t="s">
        <v>154</v>
      </c>
    </row>
    <row r="75" spans="1:20" x14ac:dyDescent="0.25">
      <c r="A75" s="11" t="s">
        <v>208</v>
      </c>
      <c r="B75" s="13">
        <v>5375</v>
      </c>
      <c r="C75" s="14">
        <f>(4570/B75*100)</f>
        <v>85.023255813953497</v>
      </c>
      <c r="D75" s="15">
        <v>805</v>
      </c>
      <c r="E75" s="14">
        <v>81.361313420000002</v>
      </c>
      <c r="F75" s="16">
        <v>1.4580515599999999</v>
      </c>
      <c r="G75" s="14">
        <v>10.294347180000001</v>
      </c>
      <c r="H75" s="16">
        <v>1.0988138199999999</v>
      </c>
      <c r="I75" s="14">
        <v>8.3443394000000009</v>
      </c>
      <c r="J75" s="16">
        <v>1.1677767100000001</v>
      </c>
      <c r="K75" s="14" t="s">
        <v>139</v>
      </c>
      <c r="L75" s="16" t="s">
        <v>139</v>
      </c>
      <c r="M75" s="14">
        <v>0</v>
      </c>
      <c r="N75" s="16">
        <v>0</v>
      </c>
      <c r="O75" s="14">
        <v>0</v>
      </c>
      <c r="P75" s="16">
        <v>0</v>
      </c>
      <c r="Q75" s="14">
        <v>0</v>
      </c>
      <c r="R75" s="16">
        <v>0</v>
      </c>
      <c r="S75" s="14">
        <v>0</v>
      </c>
      <c r="T75" s="16">
        <v>0</v>
      </c>
    </row>
    <row r="76" spans="1:20" x14ac:dyDescent="0.25">
      <c r="A76" s="11" t="s">
        <v>209</v>
      </c>
      <c r="B76" s="13">
        <v>14167</v>
      </c>
      <c r="C76" s="14">
        <f>(11781/B76*100)</f>
        <v>83.158043340156709</v>
      </c>
      <c r="D76" s="15">
        <v>2386</v>
      </c>
      <c r="E76" s="14">
        <v>77.420614939999993</v>
      </c>
      <c r="F76" s="16">
        <v>1.1178711699999999</v>
      </c>
      <c r="G76" s="14">
        <v>15.840340830000001</v>
      </c>
      <c r="H76" s="16">
        <v>0.94025621999999998</v>
      </c>
      <c r="I76" s="14">
        <v>6.7390442400000001</v>
      </c>
      <c r="J76" s="16">
        <v>0.58270067000000003</v>
      </c>
      <c r="K76" s="14" t="s">
        <v>139</v>
      </c>
      <c r="L76" s="16" t="s">
        <v>139</v>
      </c>
      <c r="M76" s="14">
        <v>0</v>
      </c>
      <c r="N76" s="16">
        <v>0</v>
      </c>
      <c r="O76" s="14">
        <v>0</v>
      </c>
      <c r="P76" s="16">
        <v>0</v>
      </c>
      <c r="Q76" s="14">
        <v>0</v>
      </c>
      <c r="R76" s="16">
        <v>0</v>
      </c>
      <c r="S76" s="14">
        <v>0</v>
      </c>
      <c r="T76" s="16">
        <v>0</v>
      </c>
    </row>
    <row r="77" spans="1:20" x14ac:dyDescent="0.25">
      <c r="A77" s="11" t="s">
        <v>210</v>
      </c>
      <c r="B77" s="13">
        <v>6062</v>
      </c>
      <c r="C77" s="14">
        <f>(5104/B77*100)</f>
        <v>84.196634774001978</v>
      </c>
      <c r="D77" s="15">
        <v>958</v>
      </c>
      <c r="E77" s="14">
        <v>84.211649960000003</v>
      </c>
      <c r="F77" s="16">
        <v>1.06385671</v>
      </c>
      <c r="G77" s="14">
        <v>13.590074019999999</v>
      </c>
      <c r="H77" s="16">
        <v>1.03358298</v>
      </c>
      <c r="I77" s="14">
        <v>2.1982760200000002</v>
      </c>
      <c r="J77" s="16">
        <v>0.46494246</v>
      </c>
      <c r="K77" s="14" t="s">
        <v>139</v>
      </c>
      <c r="L77" s="16" t="s">
        <v>139</v>
      </c>
      <c r="M77" s="14">
        <v>0</v>
      </c>
      <c r="N77" s="16">
        <v>0</v>
      </c>
      <c r="O77" s="14">
        <v>0</v>
      </c>
      <c r="P77" s="16">
        <v>0</v>
      </c>
      <c r="Q77" s="14">
        <v>0</v>
      </c>
      <c r="R77" s="16">
        <v>0</v>
      </c>
      <c r="S77" s="14">
        <v>0</v>
      </c>
      <c r="T77" s="16">
        <v>0</v>
      </c>
    </row>
    <row r="78" spans="1:20" x14ac:dyDescent="0.25">
      <c r="A78" s="11" t="s">
        <v>211</v>
      </c>
      <c r="B78" s="17" t="s">
        <v>154</v>
      </c>
      <c r="C78" s="17" t="s">
        <v>154</v>
      </c>
      <c r="D78" s="18" t="s">
        <v>154</v>
      </c>
      <c r="E78" s="17" t="s">
        <v>154</v>
      </c>
      <c r="F78" s="18" t="s">
        <v>154</v>
      </c>
      <c r="G78" s="17" t="s">
        <v>154</v>
      </c>
      <c r="H78" s="18" t="s">
        <v>154</v>
      </c>
      <c r="I78" s="17" t="s">
        <v>154</v>
      </c>
      <c r="J78" s="18" t="s">
        <v>154</v>
      </c>
      <c r="K78" s="17" t="s">
        <v>154</v>
      </c>
      <c r="L78" s="18" t="s">
        <v>154</v>
      </c>
      <c r="M78" s="17" t="s">
        <v>154</v>
      </c>
      <c r="N78" s="18" t="s">
        <v>154</v>
      </c>
      <c r="O78" s="17" t="s">
        <v>154</v>
      </c>
      <c r="P78" s="18" t="s">
        <v>154</v>
      </c>
      <c r="Q78" s="17" t="s">
        <v>154</v>
      </c>
      <c r="R78" s="18" t="s">
        <v>154</v>
      </c>
      <c r="S78" s="17" t="s">
        <v>154</v>
      </c>
      <c r="T78" s="18" t="s">
        <v>154</v>
      </c>
    </row>
    <row r="79" spans="1:20" ht="24.95" customHeight="1" x14ac:dyDescent="0.25">
      <c r="A79" s="11" t="s">
        <v>212</v>
      </c>
      <c r="B79" s="17" t="s">
        <v>154</v>
      </c>
      <c r="C79" s="17" t="s">
        <v>154</v>
      </c>
      <c r="D79" s="18" t="s">
        <v>154</v>
      </c>
      <c r="E79" s="17" t="s">
        <v>154</v>
      </c>
      <c r="F79" s="18" t="s">
        <v>154</v>
      </c>
      <c r="G79" s="17" t="s">
        <v>154</v>
      </c>
      <c r="H79" s="18" t="s">
        <v>154</v>
      </c>
      <c r="I79" s="17" t="s">
        <v>154</v>
      </c>
      <c r="J79" s="18" t="s">
        <v>154</v>
      </c>
      <c r="K79" s="17" t="s">
        <v>154</v>
      </c>
      <c r="L79" s="18" t="s">
        <v>154</v>
      </c>
      <c r="M79" s="17" t="s">
        <v>154</v>
      </c>
      <c r="N79" s="18" t="s">
        <v>154</v>
      </c>
      <c r="O79" s="17" t="s">
        <v>154</v>
      </c>
      <c r="P79" s="18" t="s">
        <v>154</v>
      </c>
      <c r="Q79" s="17" t="s">
        <v>154</v>
      </c>
      <c r="R79" s="18" t="s">
        <v>154</v>
      </c>
      <c r="S79" s="17" t="s">
        <v>154</v>
      </c>
      <c r="T79" s="18" t="s">
        <v>154</v>
      </c>
    </row>
    <row r="80" spans="1:20" x14ac:dyDescent="0.25">
      <c r="A80" s="11" t="s">
        <v>213</v>
      </c>
      <c r="B80" s="17" t="s">
        <v>154</v>
      </c>
      <c r="C80" s="17" t="s">
        <v>154</v>
      </c>
      <c r="D80" s="18" t="s">
        <v>154</v>
      </c>
      <c r="E80" s="17" t="s">
        <v>154</v>
      </c>
      <c r="F80" s="18" t="s">
        <v>154</v>
      </c>
      <c r="G80" s="17" t="s">
        <v>154</v>
      </c>
      <c r="H80" s="18" t="s">
        <v>154</v>
      </c>
      <c r="I80" s="17" t="s">
        <v>154</v>
      </c>
      <c r="J80" s="18" t="s">
        <v>154</v>
      </c>
      <c r="K80" s="17" t="s">
        <v>154</v>
      </c>
      <c r="L80" s="18" t="s">
        <v>154</v>
      </c>
      <c r="M80" s="17" t="s">
        <v>154</v>
      </c>
      <c r="N80" s="18" t="s">
        <v>154</v>
      </c>
      <c r="O80" s="17" t="s">
        <v>154</v>
      </c>
      <c r="P80" s="18" t="s">
        <v>154</v>
      </c>
      <c r="Q80" s="17" t="s">
        <v>154</v>
      </c>
      <c r="R80" s="18" t="s">
        <v>154</v>
      </c>
      <c r="S80" s="17" t="s">
        <v>154</v>
      </c>
      <c r="T80" s="18" t="s">
        <v>154</v>
      </c>
    </row>
    <row r="81" spans="1:20" x14ac:dyDescent="0.25">
      <c r="A81" s="19" t="s">
        <v>214</v>
      </c>
      <c r="B81" s="13">
        <v>8861</v>
      </c>
      <c r="C81" s="14">
        <f>(7356/B81*100)</f>
        <v>83.015461008915466</v>
      </c>
      <c r="D81" s="15">
        <v>1505</v>
      </c>
      <c r="E81" s="14">
        <v>81.799683270000003</v>
      </c>
      <c r="F81" s="16">
        <v>1.3121339700000001</v>
      </c>
      <c r="G81" s="14">
        <v>11.95780699</v>
      </c>
      <c r="H81" s="16">
        <v>1.12805657</v>
      </c>
      <c r="I81" s="14">
        <v>6.24250974</v>
      </c>
      <c r="J81" s="16">
        <v>0.83409818999999996</v>
      </c>
      <c r="K81" s="14" t="s">
        <v>139</v>
      </c>
      <c r="L81" s="16" t="s">
        <v>139</v>
      </c>
      <c r="M81" s="14">
        <v>0</v>
      </c>
      <c r="N81" s="16">
        <v>0</v>
      </c>
      <c r="O81" s="14">
        <v>0</v>
      </c>
      <c r="P81" s="16">
        <v>0</v>
      </c>
      <c r="Q81" s="14">
        <v>0</v>
      </c>
      <c r="R81" s="16">
        <v>0</v>
      </c>
      <c r="S81" s="14">
        <v>0</v>
      </c>
      <c r="T81" s="16">
        <v>0</v>
      </c>
    </row>
    <row r="82" spans="1:20" x14ac:dyDescent="0.25">
      <c r="A82" s="20"/>
      <c r="B82" s="20" t="s">
        <v>215</v>
      </c>
      <c r="C82" s="20" t="s">
        <v>215</v>
      </c>
      <c r="D82" s="20" t="s">
        <v>215</v>
      </c>
      <c r="E82" s="20" t="s">
        <v>215</v>
      </c>
      <c r="F82" s="20" t="s">
        <v>215</v>
      </c>
      <c r="G82" s="20" t="s">
        <v>215</v>
      </c>
      <c r="H82" s="20" t="s">
        <v>215</v>
      </c>
      <c r="I82" s="20" t="s">
        <v>215</v>
      </c>
      <c r="J82" s="20" t="s">
        <v>215</v>
      </c>
      <c r="K82" s="20" t="s">
        <v>215</v>
      </c>
      <c r="L82" s="20" t="s">
        <v>215</v>
      </c>
      <c r="M82" s="20" t="s">
        <v>215</v>
      </c>
      <c r="N82" s="20" t="s">
        <v>215</v>
      </c>
      <c r="O82" s="20" t="s">
        <v>215</v>
      </c>
      <c r="P82" s="20" t="s">
        <v>215</v>
      </c>
      <c r="Q82" s="20" t="s">
        <v>215</v>
      </c>
      <c r="R82" s="20" t="s">
        <v>215</v>
      </c>
      <c r="S82" s="20" t="s">
        <v>215</v>
      </c>
      <c r="T82" s="20" t="s">
        <v>215</v>
      </c>
    </row>
    <row r="83" spans="1:20" x14ac:dyDescent="0.25">
      <c r="A83" s="3" t="s">
        <v>216</v>
      </c>
    </row>
    <row r="84" spans="1:20" x14ac:dyDescent="0.25">
      <c r="A84" s="22" t="s">
        <v>217</v>
      </c>
      <c r="B84" s="23"/>
      <c r="C84" s="23"/>
      <c r="D84" s="23"/>
      <c r="E84" s="23"/>
      <c r="F84" s="23"/>
      <c r="G84" s="23"/>
      <c r="H84" s="23"/>
      <c r="I84" s="23"/>
      <c r="J84" s="23"/>
      <c r="K84" s="23"/>
      <c r="L84" s="23"/>
      <c r="M84" s="23"/>
      <c r="N84" s="23"/>
      <c r="O84" s="23"/>
      <c r="P84" s="23"/>
      <c r="Q84" s="23"/>
      <c r="R84" s="23"/>
      <c r="S84" s="23"/>
      <c r="T84" s="23"/>
    </row>
    <row r="85" spans="1:20" x14ac:dyDescent="0.25">
      <c r="A85" s="22" t="s">
        <v>218</v>
      </c>
      <c r="B85" s="23"/>
      <c r="C85" s="23"/>
      <c r="D85" s="23"/>
      <c r="E85" s="23"/>
      <c r="F85" s="23"/>
      <c r="G85" s="23"/>
      <c r="H85" s="23"/>
      <c r="I85" s="23"/>
      <c r="J85" s="23"/>
      <c r="K85" s="23"/>
      <c r="L85" s="23"/>
      <c r="M85" s="23"/>
      <c r="N85" s="23"/>
      <c r="O85" s="23"/>
      <c r="P85" s="23"/>
      <c r="Q85" s="23"/>
      <c r="R85" s="23"/>
      <c r="S85" s="23"/>
      <c r="T85" s="23"/>
    </row>
    <row r="86" spans="1:20" ht="30" customHeight="1" x14ac:dyDescent="0.25">
      <c r="A86" s="22" t="s">
        <v>219</v>
      </c>
      <c r="B86" s="23"/>
      <c r="C86" s="23"/>
      <c r="D86" s="23"/>
      <c r="E86" s="23"/>
      <c r="F86" s="23"/>
      <c r="G86" s="23"/>
      <c r="H86" s="23"/>
      <c r="I86" s="23"/>
      <c r="J86" s="23"/>
      <c r="K86" s="23"/>
      <c r="L86" s="23"/>
      <c r="M86" s="23"/>
      <c r="N86" s="23"/>
      <c r="O86" s="23"/>
      <c r="P86" s="23"/>
      <c r="Q86" s="23"/>
      <c r="R86" s="23"/>
      <c r="S86" s="23"/>
      <c r="T86" s="23"/>
    </row>
    <row r="87" spans="1:20" ht="30" customHeight="1" x14ac:dyDescent="0.25">
      <c r="A87" s="22" t="s">
        <v>215</v>
      </c>
      <c r="B87" s="23"/>
      <c r="C87" s="23"/>
      <c r="D87" s="23"/>
      <c r="E87" s="23"/>
      <c r="F87" s="23"/>
      <c r="G87" s="23"/>
      <c r="H87" s="23"/>
      <c r="I87" s="23"/>
      <c r="J87" s="23"/>
      <c r="K87" s="23"/>
      <c r="L87" s="23"/>
      <c r="M87" s="23"/>
      <c r="N87" s="23"/>
      <c r="O87" s="23"/>
      <c r="P87" s="23"/>
      <c r="Q87" s="23"/>
      <c r="R87" s="23"/>
      <c r="S87" s="23"/>
      <c r="T87" s="23"/>
    </row>
    <row r="88" spans="1:20" ht="30" customHeight="1" x14ac:dyDescent="0.25">
      <c r="A88" s="22" t="s">
        <v>220</v>
      </c>
      <c r="B88" s="23"/>
      <c r="C88" s="23"/>
      <c r="D88" s="23"/>
      <c r="E88" s="23"/>
      <c r="F88" s="23"/>
      <c r="G88" s="23"/>
      <c r="H88" s="23"/>
      <c r="I88" s="23"/>
      <c r="J88" s="23"/>
      <c r="K88" s="23"/>
      <c r="L88" s="23"/>
      <c r="M88" s="23"/>
      <c r="N88" s="23"/>
      <c r="O88" s="23"/>
      <c r="P88" s="23"/>
      <c r="Q88" s="23"/>
      <c r="R88" s="23"/>
      <c r="S88" s="23"/>
      <c r="T88" s="23"/>
    </row>
    <row r="89" spans="1:20" ht="30" customHeight="1" x14ac:dyDescent="0.25">
      <c r="A89" s="22" t="s">
        <v>221</v>
      </c>
      <c r="B89" s="23"/>
      <c r="C89" s="23"/>
      <c r="D89" s="23"/>
      <c r="E89" s="23"/>
      <c r="F89" s="23"/>
      <c r="G89" s="23"/>
      <c r="H89" s="23"/>
      <c r="I89" s="23"/>
      <c r="J89" s="23"/>
      <c r="K89" s="23"/>
      <c r="L89" s="23"/>
      <c r="M89" s="23"/>
      <c r="N89" s="23"/>
      <c r="O89" s="23"/>
      <c r="P89" s="23"/>
      <c r="Q89" s="23"/>
      <c r="R89" s="23"/>
      <c r="S89" s="23"/>
      <c r="T89" s="23"/>
    </row>
    <row r="90" spans="1:20" ht="30" customHeight="1" x14ac:dyDescent="0.25">
      <c r="A90" s="22" t="s">
        <v>222</v>
      </c>
      <c r="B90" s="23"/>
      <c r="C90" s="23"/>
      <c r="D90" s="23"/>
      <c r="E90" s="23"/>
      <c r="F90" s="23"/>
      <c r="G90" s="23"/>
      <c r="H90" s="23"/>
      <c r="I90" s="23"/>
      <c r="J90" s="23"/>
      <c r="K90" s="23"/>
      <c r="L90" s="23"/>
      <c r="M90" s="23"/>
      <c r="N90" s="23"/>
      <c r="O90" s="23"/>
      <c r="P90" s="23"/>
      <c r="Q90" s="23"/>
      <c r="R90" s="23"/>
      <c r="S90" s="23"/>
      <c r="T90" s="23"/>
    </row>
    <row r="91" spans="1:20" ht="30" customHeight="1" x14ac:dyDescent="0.25">
      <c r="A91" s="22" t="s">
        <v>223</v>
      </c>
      <c r="B91" s="23"/>
      <c r="C91" s="23"/>
      <c r="D91" s="23"/>
      <c r="E91" s="23"/>
      <c r="F91" s="23"/>
      <c r="G91" s="23"/>
      <c r="H91" s="23"/>
      <c r="I91" s="23"/>
      <c r="J91" s="23"/>
      <c r="K91" s="23"/>
      <c r="L91" s="23"/>
      <c r="M91" s="23"/>
      <c r="N91" s="23"/>
      <c r="O91" s="23"/>
      <c r="P91" s="23"/>
      <c r="Q91" s="23"/>
      <c r="R91" s="23"/>
      <c r="S91" s="23"/>
      <c r="T91" s="23"/>
    </row>
    <row r="92" spans="1:20" ht="30" customHeight="1" x14ac:dyDescent="0.25">
      <c r="A92" s="22" t="s">
        <v>224</v>
      </c>
      <c r="B92" s="23"/>
      <c r="C92" s="23"/>
      <c r="D92" s="23"/>
      <c r="E92" s="23"/>
      <c r="F92" s="23"/>
      <c r="G92" s="23"/>
      <c r="H92" s="23"/>
      <c r="I92" s="23"/>
      <c r="J92" s="23"/>
      <c r="K92" s="23"/>
      <c r="L92" s="23"/>
      <c r="M92" s="23"/>
      <c r="N92" s="23"/>
      <c r="O92" s="23"/>
      <c r="P92" s="23"/>
      <c r="Q92" s="23"/>
      <c r="R92" s="23"/>
      <c r="S92" s="23"/>
      <c r="T92" s="23"/>
    </row>
    <row r="93" spans="1:20" ht="30" customHeight="1" x14ac:dyDescent="0.25">
      <c r="A93" s="22" t="s">
        <v>225</v>
      </c>
      <c r="B93" s="23"/>
      <c r="C93" s="23"/>
      <c r="D93" s="23"/>
      <c r="E93" s="23"/>
      <c r="F93" s="23"/>
      <c r="G93" s="23"/>
      <c r="H93" s="23"/>
      <c r="I93" s="23"/>
      <c r="J93" s="23"/>
      <c r="K93" s="23"/>
      <c r="L93" s="23"/>
      <c r="M93" s="23"/>
      <c r="N93" s="23"/>
      <c r="O93" s="23"/>
      <c r="P93" s="23"/>
      <c r="Q93" s="23"/>
      <c r="R93" s="23"/>
      <c r="S93" s="23"/>
      <c r="T93" s="23"/>
    </row>
    <row r="94" spans="1:20" ht="30" customHeight="1" x14ac:dyDescent="0.25">
      <c r="A94" s="22" t="s">
        <v>226</v>
      </c>
      <c r="B94" s="23"/>
      <c r="C94" s="23"/>
      <c r="D94" s="23"/>
      <c r="E94" s="23"/>
      <c r="F94" s="23"/>
      <c r="G94" s="23"/>
      <c r="H94" s="23"/>
      <c r="I94" s="23"/>
      <c r="J94" s="23"/>
      <c r="K94" s="23"/>
      <c r="L94" s="23"/>
      <c r="M94" s="23"/>
      <c r="N94" s="23"/>
      <c r="O94" s="23"/>
      <c r="P94" s="23"/>
      <c r="Q94" s="23"/>
      <c r="R94" s="23"/>
      <c r="S94" s="23"/>
      <c r="T94" s="23"/>
    </row>
    <row r="95" spans="1:20" ht="30" customHeight="1" x14ac:dyDescent="0.25">
      <c r="A95" s="22" t="s">
        <v>227</v>
      </c>
      <c r="B95" s="23"/>
      <c r="C95" s="23"/>
      <c r="D95" s="23"/>
      <c r="E95" s="23"/>
      <c r="F95" s="23"/>
      <c r="G95" s="23"/>
      <c r="H95" s="23"/>
      <c r="I95" s="23"/>
      <c r="J95" s="23"/>
      <c r="K95" s="23"/>
      <c r="L95" s="23"/>
      <c r="M95" s="23"/>
      <c r="N95" s="23"/>
      <c r="O95" s="23"/>
      <c r="P95" s="23"/>
      <c r="Q95" s="23"/>
      <c r="R95" s="23"/>
      <c r="S95" s="23"/>
      <c r="T95" s="23"/>
    </row>
    <row r="96" spans="1:20" ht="30" customHeight="1" x14ac:dyDescent="0.25">
      <c r="A96" s="22" t="s">
        <v>228</v>
      </c>
      <c r="B96" s="23"/>
      <c r="C96" s="23"/>
      <c r="D96" s="23"/>
      <c r="E96" s="23"/>
      <c r="F96" s="23"/>
      <c r="G96" s="23"/>
      <c r="H96" s="23"/>
      <c r="I96" s="23"/>
      <c r="J96" s="23"/>
      <c r="K96" s="23"/>
      <c r="L96" s="23"/>
      <c r="M96" s="23"/>
      <c r="N96" s="23"/>
      <c r="O96" s="23"/>
      <c r="P96" s="23"/>
      <c r="Q96" s="23"/>
      <c r="R96" s="23"/>
      <c r="S96" s="23"/>
      <c r="T96" s="23"/>
    </row>
  </sheetData>
  <mergeCells count="23">
    <mergeCell ref="O4:P4"/>
    <mergeCell ref="Q4:R4"/>
    <mergeCell ref="S4:T4"/>
    <mergeCell ref="A1:T1"/>
    <mergeCell ref="A2:T2"/>
    <mergeCell ref="E4:F4"/>
    <mergeCell ref="G4:H4"/>
    <mergeCell ref="I4:J4"/>
    <mergeCell ref="K4:L4"/>
    <mergeCell ref="M4:N4"/>
    <mergeCell ref="A84:T84"/>
    <mergeCell ref="A85:T85"/>
    <mergeCell ref="A86:T86"/>
    <mergeCell ref="A87:T87"/>
    <mergeCell ref="A88:T88"/>
    <mergeCell ref="A94:T94"/>
    <mergeCell ref="A95:T95"/>
    <mergeCell ref="A96:T96"/>
    <mergeCell ref="A89:T89"/>
    <mergeCell ref="A90:T90"/>
    <mergeCell ref="A91:T91"/>
    <mergeCell ref="A92:T92"/>
    <mergeCell ref="A93:T93"/>
  </mergeCells>
  <pageMargins left="0.75" right="0.75" top="1" bottom="1" header="0.5" footer="0.5"/>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4"/>
  <dimension ref="A1:V96"/>
  <sheetViews>
    <sheetView zoomScale="80" workbookViewId="0">
      <pane xSplit="4" topLeftCell="E1" activePane="topRight" state="frozen"/>
      <selection sqref="A1:R1"/>
      <selection pane="topRight" sqref="A1:V1"/>
    </sheetView>
  </sheetViews>
  <sheetFormatPr defaultColWidth="11.42578125" defaultRowHeight="15" x14ac:dyDescent="0.25"/>
  <cols>
    <col min="1" max="1" width="50" customWidth="1"/>
  </cols>
  <sheetData>
    <row r="1" spans="1:22" x14ac:dyDescent="0.25">
      <c r="A1" s="26" t="s">
        <v>122</v>
      </c>
      <c r="B1" s="23"/>
      <c r="C1" s="23"/>
      <c r="D1" s="23"/>
      <c r="E1" s="23"/>
      <c r="F1" s="23"/>
      <c r="G1" s="23"/>
      <c r="H1" s="23"/>
      <c r="I1" s="23"/>
      <c r="J1" s="23"/>
      <c r="K1" s="23"/>
      <c r="L1" s="23"/>
      <c r="M1" s="23"/>
      <c r="N1" s="23"/>
      <c r="O1" s="23"/>
      <c r="P1" s="23"/>
      <c r="Q1" s="23"/>
      <c r="R1" s="23"/>
      <c r="S1" s="23"/>
      <c r="T1" s="23"/>
      <c r="U1" s="23"/>
      <c r="V1" s="23"/>
    </row>
    <row r="2" spans="1:22" x14ac:dyDescent="0.25">
      <c r="A2" s="27" t="s">
        <v>340</v>
      </c>
      <c r="B2" s="23"/>
      <c r="C2" s="23"/>
      <c r="D2" s="23"/>
      <c r="E2" s="23"/>
      <c r="F2" s="23"/>
      <c r="G2" s="23"/>
      <c r="H2" s="23"/>
      <c r="I2" s="23"/>
      <c r="J2" s="23"/>
      <c r="K2" s="23"/>
      <c r="L2" s="23"/>
      <c r="M2" s="23"/>
      <c r="N2" s="23"/>
      <c r="O2" s="23"/>
      <c r="P2" s="23"/>
      <c r="Q2" s="23"/>
      <c r="R2" s="23"/>
      <c r="S2" s="23"/>
      <c r="T2" s="23"/>
      <c r="U2" s="23"/>
      <c r="V2" s="23"/>
    </row>
    <row r="4" spans="1:22" ht="30" customHeight="1" x14ac:dyDescent="0.25">
      <c r="A4" s="4"/>
      <c r="B4" s="5" t="s">
        <v>123</v>
      </c>
      <c r="C4" s="5" t="s">
        <v>124</v>
      </c>
      <c r="D4" s="6" t="s">
        <v>123</v>
      </c>
      <c r="E4" s="24" t="s">
        <v>125</v>
      </c>
      <c r="F4" s="25"/>
      <c r="G4" s="24" t="s">
        <v>233</v>
      </c>
      <c r="H4" s="25"/>
      <c r="I4" s="24" t="s">
        <v>236</v>
      </c>
      <c r="J4" s="25"/>
      <c r="K4" s="24" t="s">
        <v>237</v>
      </c>
      <c r="L4" s="25"/>
      <c r="M4" s="24" t="s">
        <v>127</v>
      </c>
      <c r="N4" s="25"/>
      <c r="O4" s="24" t="s">
        <v>128</v>
      </c>
      <c r="P4" s="25"/>
      <c r="Q4" s="24" t="s">
        <v>129</v>
      </c>
      <c r="R4" s="25"/>
      <c r="S4" s="24" t="s">
        <v>130</v>
      </c>
      <c r="T4" s="25"/>
      <c r="U4" s="24" t="s">
        <v>131</v>
      </c>
      <c r="V4" s="25"/>
    </row>
    <row r="5" spans="1:22" x14ac:dyDescent="0.25">
      <c r="A5" s="7"/>
      <c r="B5" s="8" t="s">
        <v>132</v>
      </c>
      <c r="C5" s="8" t="s">
        <v>133</v>
      </c>
      <c r="D5" s="7" t="s">
        <v>134</v>
      </c>
      <c r="E5" s="8" t="s">
        <v>135</v>
      </c>
      <c r="F5" s="7" t="s">
        <v>136</v>
      </c>
      <c r="G5" s="8" t="s">
        <v>135</v>
      </c>
      <c r="H5" s="7" t="s">
        <v>136</v>
      </c>
      <c r="I5" s="8" t="s">
        <v>135</v>
      </c>
      <c r="J5" s="7" t="s">
        <v>136</v>
      </c>
      <c r="K5" s="8" t="s">
        <v>135</v>
      </c>
      <c r="L5" s="7" t="s">
        <v>136</v>
      </c>
      <c r="M5" s="8" t="s">
        <v>135</v>
      </c>
      <c r="N5" s="7" t="s">
        <v>136</v>
      </c>
      <c r="O5" s="8" t="s">
        <v>135</v>
      </c>
      <c r="P5" s="7" t="s">
        <v>136</v>
      </c>
      <c r="Q5" s="8" t="s">
        <v>135</v>
      </c>
      <c r="R5" s="7" t="s">
        <v>136</v>
      </c>
      <c r="S5" s="8" t="s">
        <v>135</v>
      </c>
      <c r="T5" s="7" t="s">
        <v>136</v>
      </c>
      <c r="U5" s="8" t="s">
        <v>135</v>
      </c>
      <c r="V5" s="7" t="s">
        <v>136</v>
      </c>
    </row>
    <row r="6" spans="1:22" x14ac:dyDescent="0.25">
      <c r="A6" s="9" t="s">
        <v>137</v>
      </c>
      <c r="B6" s="10"/>
      <c r="C6" s="10"/>
      <c r="D6" s="11"/>
      <c r="E6" s="10"/>
      <c r="F6" s="11"/>
      <c r="G6" s="10"/>
      <c r="H6" s="11"/>
      <c r="I6" s="10"/>
      <c r="J6" s="11"/>
      <c r="K6" s="10"/>
      <c r="L6" s="11"/>
      <c r="M6" s="10"/>
      <c r="N6" s="11"/>
      <c r="O6" s="10"/>
      <c r="P6" s="11"/>
      <c r="Q6" s="10"/>
      <c r="R6" s="11"/>
      <c r="S6" s="10"/>
      <c r="T6" s="11"/>
      <c r="U6" s="10"/>
      <c r="V6" s="12"/>
    </row>
    <row r="7" spans="1:22" x14ac:dyDescent="0.25">
      <c r="A7" s="11" t="s">
        <v>138</v>
      </c>
      <c r="B7" s="13">
        <v>14530</v>
      </c>
      <c r="C7" s="14">
        <f>(12104/B7*100)</f>
        <v>83.303509979353066</v>
      </c>
      <c r="D7" s="15">
        <v>2426</v>
      </c>
      <c r="E7" s="14">
        <v>13.81655832</v>
      </c>
      <c r="F7" s="16">
        <v>0.74199755000000001</v>
      </c>
      <c r="G7" s="14">
        <v>8.7810056299999992</v>
      </c>
      <c r="H7" s="16">
        <v>0.72846807000000002</v>
      </c>
      <c r="I7" s="14">
        <v>0.61196021</v>
      </c>
      <c r="J7" s="16">
        <v>0.18167759999999999</v>
      </c>
      <c r="K7" s="14">
        <v>76.790475830000005</v>
      </c>
      <c r="L7" s="16">
        <v>1.07253658</v>
      </c>
      <c r="M7" s="14" t="s">
        <v>139</v>
      </c>
      <c r="N7" s="16" t="s">
        <v>139</v>
      </c>
      <c r="O7" s="14">
        <v>0</v>
      </c>
      <c r="P7" s="16">
        <v>0</v>
      </c>
      <c r="Q7" s="14">
        <v>0</v>
      </c>
      <c r="R7" s="16">
        <v>0</v>
      </c>
      <c r="S7" s="14">
        <v>0</v>
      </c>
      <c r="T7" s="16">
        <v>0</v>
      </c>
      <c r="U7" s="14">
        <v>0</v>
      </c>
      <c r="V7" s="16">
        <v>0</v>
      </c>
    </row>
    <row r="8" spans="1:22" x14ac:dyDescent="0.25">
      <c r="A8" s="11" t="s">
        <v>140</v>
      </c>
      <c r="B8" s="13">
        <v>7007</v>
      </c>
      <c r="C8" s="14">
        <f>(5788/B8*100)</f>
        <v>82.603111174539748</v>
      </c>
      <c r="D8" s="15">
        <v>1219</v>
      </c>
      <c r="E8" s="14">
        <v>15.57909733</v>
      </c>
      <c r="F8" s="16">
        <v>1.24163329</v>
      </c>
      <c r="G8" s="14">
        <v>7.4537714199999998</v>
      </c>
      <c r="H8" s="16">
        <v>0.74183505000000005</v>
      </c>
      <c r="I8" s="14">
        <v>1.1336479399999999</v>
      </c>
      <c r="J8" s="16">
        <v>0.29854211000000003</v>
      </c>
      <c r="K8" s="14">
        <v>75.833483299999997</v>
      </c>
      <c r="L8" s="16">
        <v>1.44790738</v>
      </c>
      <c r="M8" s="14" t="s">
        <v>139</v>
      </c>
      <c r="N8" s="16" t="s">
        <v>139</v>
      </c>
      <c r="O8" s="14">
        <v>0</v>
      </c>
      <c r="P8" s="16">
        <v>0</v>
      </c>
      <c r="Q8" s="14">
        <v>0</v>
      </c>
      <c r="R8" s="16">
        <v>0</v>
      </c>
      <c r="S8" s="14">
        <v>0</v>
      </c>
      <c r="T8" s="16">
        <v>0</v>
      </c>
      <c r="U8" s="14">
        <v>0</v>
      </c>
      <c r="V8" s="16">
        <v>0</v>
      </c>
    </row>
    <row r="9" spans="1:22" x14ac:dyDescent="0.25">
      <c r="A9" s="11" t="s">
        <v>141</v>
      </c>
      <c r="B9" s="13">
        <v>9651</v>
      </c>
      <c r="C9" s="14">
        <f>(8085/B9*100)</f>
        <v>83.773702207025181</v>
      </c>
      <c r="D9" s="15">
        <v>1566</v>
      </c>
      <c r="E9" s="14">
        <v>16.28204521</v>
      </c>
      <c r="F9" s="16">
        <v>0.95533656</v>
      </c>
      <c r="G9" s="14">
        <v>8.4373900000000006</v>
      </c>
      <c r="H9" s="16">
        <v>0.67386612999999995</v>
      </c>
      <c r="I9" s="14">
        <v>1.10172564</v>
      </c>
      <c r="J9" s="16">
        <v>0.26995770000000002</v>
      </c>
      <c r="K9" s="14">
        <v>74.178839139999994</v>
      </c>
      <c r="L9" s="16">
        <v>1.1034994199999999</v>
      </c>
      <c r="M9" s="14" t="s">
        <v>139</v>
      </c>
      <c r="N9" s="16" t="s">
        <v>139</v>
      </c>
      <c r="O9" s="14">
        <v>0</v>
      </c>
      <c r="P9" s="16">
        <v>0</v>
      </c>
      <c r="Q9" s="14">
        <v>0</v>
      </c>
      <c r="R9" s="16">
        <v>0</v>
      </c>
      <c r="S9" s="14">
        <v>0</v>
      </c>
      <c r="T9" s="16">
        <v>0</v>
      </c>
      <c r="U9" s="14">
        <v>0</v>
      </c>
      <c r="V9" s="16">
        <v>0</v>
      </c>
    </row>
    <row r="10" spans="1:22" x14ac:dyDescent="0.25">
      <c r="A10" s="11" t="s">
        <v>142</v>
      </c>
      <c r="B10" s="13">
        <v>20058</v>
      </c>
      <c r="C10" s="14">
        <f>(16682/B10*100)</f>
        <v>83.168810449695883</v>
      </c>
      <c r="D10" s="15">
        <v>3376</v>
      </c>
      <c r="E10" s="14">
        <v>13.840676289999999</v>
      </c>
      <c r="F10" s="16">
        <v>0.77699032000000001</v>
      </c>
      <c r="G10" s="14">
        <v>9.9893345399999998</v>
      </c>
      <c r="H10" s="16">
        <v>0.77863464000000004</v>
      </c>
      <c r="I10" s="14">
        <v>0.81413751999999995</v>
      </c>
      <c r="J10" s="16">
        <v>0.21708574</v>
      </c>
      <c r="K10" s="14">
        <v>75.355851650000005</v>
      </c>
      <c r="L10" s="16">
        <v>0.95809263</v>
      </c>
      <c r="M10" s="14" t="s">
        <v>139</v>
      </c>
      <c r="N10" s="16" t="s">
        <v>139</v>
      </c>
      <c r="O10" s="14">
        <v>0</v>
      </c>
      <c r="P10" s="16">
        <v>0</v>
      </c>
      <c r="Q10" s="14">
        <v>0</v>
      </c>
      <c r="R10" s="16">
        <v>0</v>
      </c>
      <c r="S10" s="14">
        <v>0</v>
      </c>
      <c r="T10" s="16">
        <v>0</v>
      </c>
      <c r="U10" s="14">
        <v>0</v>
      </c>
      <c r="V10" s="16">
        <v>0</v>
      </c>
    </row>
    <row r="11" spans="1:22" x14ac:dyDescent="0.25">
      <c r="A11" s="11" t="s">
        <v>143</v>
      </c>
      <c r="B11" s="13">
        <v>7053</v>
      </c>
      <c r="C11" s="14">
        <f>(5879/B11*100)</f>
        <v>83.354600879058566</v>
      </c>
      <c r="D11" s="15">
        <v>1174</v>
      </c>
      <c r="E11" s="14">
        <v>25.176706679999999</v>
      </c>
      <c r="F11" s="16">
        <v>1.7540799499999999</v>
      </c>
      <c r="G11" s="14">
        <v>14.943756</v>
      </c>
      <c r="H11" s="16">
        <v>1.1942932399999999</v>
      </c>
      <c r="I11" s="14">
        <v>1.2830635500000001</v>
      </c>
      <c r="J11" s="16">
        <v>0.35791492000000003</v>
      </c>
      <c r="K11" s="14">
        <v>58.596473770000003</v>
      </c>
      <c r="L11" s="16">
        <v>1.9201124899999999</v>
      </c>
      <c r="M11" s="14" t="s">
        <v>139</v>
      </c>
      <c r="N11" s="16" t="s">
        <v>139</v>
      </c>
      <c r="O11" s="14">
        <v>0</v>
      </c>
      <c r="P11" s="16">
        <v>0</v>
      </c>
      <c r="Q11" s="14">
        <v>0</v>
      </c>
      <c r="R11" s="16">
        <v>0</v>
      </c>
      <c r="S11" s="14">
        <v>0</v>
      </c>
      <c r="T11" s="16">
        <v>0</v>
      </c>
      <c r="U11" s="14">
        <v>0</v>
      </c>
      <c r="V11" s="16">
        <v>0</v>
      </c>
    </row>
    <row r="12" spans="1:22" x14ac:dyDescent="0.25">
      <c r="A12" s="11" t="s">
        <v>144</v>
      </c>
      <c r="B12" s="13">
        <v>6894</v>
      </c>
      <c r="C12" s="14">
        <f>(5739/B12*100)</f>
        <v>83.246301131418619</v>
      </c>
      <c r="D12" s="15">
        <v>1155</v>
      </c>
      <c r="E12" s="14">
        <v>17.532863639999999</v>
      </c>
      <c r="F12" s="16">
        <v>1.16531568</v>
      </c>
      <c r="G12" s="14">
        <v>9.6054419800000002</v>
      </c>
      <c r="H12" s="16">
        <v>0.86014566999999997</v>
      </c>
      <c r="I12" s="14">
        <v>1.0918813300000001</v>
      </c>
      <c r="J12" s="16">
        <v>0.38223538000000001</v>
      </c>
      <c r="K12" s="14">
        <v>71.769813049999996</v>
      </c>
      <c r="L12" s="16">
        <v>1.2700619500000001</v>
      </c>
      <c r="M12" s="14" t="s">
        <v>139</v>
      </c>
      <c r="N12" s="16" t="s">
        <v>139</v>
      </c>
      <c r="O12" s="14">
        <v>0</v>
      </c>
      <c r="P12" s="16">
        <v>0</v>
      </c>
      <c r="Q12" s="14">
        <v>0</v>
      </c>
      <c r="R12" s="16">
        <v>0</v>
      </c>
      <c r="S12" s="14">
        <v>0</v>
      </c>
      <c r="T12" s="16">
        <v>0</v>
      </c>
      <c r="U12" s="14">
        <v>0</v>
      </c>
      <c r="V12" s="16">
        <v>0</v>
      </c>
    </row>
    <row r="13" spans="1:22" x14ac:dyDescent="0.25">
      <c r="A13" s="11" t="s">
        <v>145</v>
      </c>
      <c r="B13" s="13">
        <v>7161</v>
      </c>
      <c r="C13" s="14">
        <f>(6014/B13*100)</f>
        <v>83.98268398268398</v>
      </c>
      <c r="D13" s="15">
        <v>1147</v>
      </c>
      <c r="E13" s="14">
        <v>11.68929748</v>
      </c>
      <c r="F13" s="16">
        <v>1.43500552</v>
      </c>
      <c r="G13" s="14">
        <v>7.9479329600000002</v>
      </c>
      <c r="H13" s="16">
        <v>0.84930728</v>
      </c>
      <c r="I13" s="14">
        <v>0.40607399</v>
      </c>
      <c r="J13" s="16">
        <v>0.20360334999999999</v>
      </c>
      <c r="K13" s="14">
        <v>79.956695569999994</v>
      </c>
      <c r="L13" s="16">
        <v>1.6918575899999999</v>
      </c>
      <c r="M13" s="14" t="s">
        <v>139</v>
      </c>
      <c r="N13" s="16" t="s">
        <v>139</v>
      </c>
      <c r="O13" s="14">
        <v>0</v>
      </c>
      <c r="P13" s="16">
        <v>0</v>
      </c>
      <c r="Q13" s="14">
        <v>0</v>
      </c>
      <c r="R13" s="16">
        <v>0</v>
      </c>
      <c r="S13" s="14">
        <v>0</v>
      </c>
      <c r="T13" s="16">
        <v>0</v>
      </c>
      <c r="U13" s="14">
        <v>0</v>
      </c>
      <c r="V13" s="16">
        <v>0</v>
      </c>
    </row>
    <row r="14" spans="1:22" x14ac:dyDescent="0.25">
      <c r="A14" s="11" t="s">
        <v>146</v>
      </c>
      <c r="B14" s="13">
        <v>5587</v>
      </c>
      <c r="C14" s="14">
        <f>(4630/B14*100)</f>
        <v>82.870950420619295</v>
      </c>
      <c r="D14" s="15">
        <v>957</v>
      </c>
      <c r="E14" s="14">
        <v>10.9501559</v>
      </c>
      <c r="F14" s="16">
        <v>1.0318539499999999</v>
      </c>
      <c r="G14" s="14">
        <v>7.4189761699999996</v>
      </c>
      <c r="H14" s="16">
        <v>0.98989198</v>
      </c>
      <c r="I14" s="14">
        <v>1.28305114</v>
      </c>
      <c r="J14" s="16">
        <v>0.38554411999999999</v>
      </c>
      <c r="K14" s="14">
        <v>80.347816800000004</v>
      </c>
      <c r="L14" s="16">
        <v>1.34000629</v>
      </c>
      <c r="M14" s="14" t="s">
        <v>139</v>
      </c>
      <c r="N14" s="16" t="s">
        <v>139</v>
      </c>
      <c r="O14" s="14">
        <v>0</v>
      </c>
      <c r="P14" s="16">
        <v>0</v>
      </c>
      <c r="Q14" s="14">
        <v>0</v>
      </c>
      <c r="R14" s="16">
        <v>0</v>
      </c>
      <c r="S14" s="14">
        <v>0</v>
      </c>
      <c r="T14" s="16">
        <v>0</v>
      </c>
      <c r="U14" s="14">
        <v>0</v>
      </c>
      <c r="V14" s="16">
        <v>0</v>
      </c>
    </row>
    <row r="15" spans="1:22" x14ac:dyDescent="0.25">
      <c r="A15" s="11" t="s">
        <v>147</v>
      </c>
      <c r="B15" s="13">
        <v>5882</v>
      </c>
      <c r="C15" s="14">
        <f>(4876/B15*100)</f>
        <v>82.896973818429103</v>
      </c>
      <c r="D15" s="15">
        <v>1006</v>
      </c>
      <c r="E15" s="14">
        <v>11.20787593</v>
      </c>
      <c r="F15" s="16">
        <v>1.0048780100000001</v>
      </c>
      <c r="G15" s="14">
        <v>12.566124390000001</v>
      </c>
      <c r="H15" s="16">
        <v>1.1308835800000001</v>
      </c>
      <c r="I15" s="14">
        <v>0.29442810000000003</v>
      </c>
      <c r="J15" s="16">
        <v>0.17102702</v>
      </c>
      <c r="K15" s="14">
        <v>75.931571579999996</v>
      </c>
      <c r="L15" s="16">
        <v>1.47779156</v>
      </c>
      <c r="M15" s="14" t="s">
        <v>139</v>
      </c>
      <c r="N15" s="16" t="s">
        <v>139</v>
      </c>
      <c r="O15" s="14">
        <v>0</v>
      </c>
      <c r="P15" s="16">
        <v>0</v>
      </c>
      <c r="Q15" s="14">
        <v>0</v>
      </c>
      <c r="R15" s="16">
        <v>0</v>
      </c>
      <c r="S15" s="14">
        <v>0</v>
      </c>
      <c r="T15" s="16">
        <v>0</v>
      </c>
      <c r="U15" s="14">
        <v>0</v>
      </c>
      <c r="V15" s="16">
        <v>0</v>
      </c>
    </row>
    <row r="16" spans="1:22" x14ac:dyDescent="0.25">
      <c r="A16" s="11" t="s">
        <v>148</v>
      </c>
      <c r="B16" s="13">
        <v>6108</v>
      </c>
      <c r="C16" s="14">
        <f>(5090/B16*100)</f>
        <v>83.333333333333343</v>
      </c>
      <c r="D16" s="15">
        <v>1018</v>
      </c>
      <c r="E16" s="14">
        <v>20.05416181</v>
      </c>
      <c r="F16" s="16">
        <v>1.2053394399999999</v>
      </c>
      <c r="G16" s="14">
        <v>10.79715762</v>
      </c>
      <c r="H16" s="16">
        <v>1.00570494</v>
      </c>
      <c r="I16" s="14">
        <v>0.69106449000000003</v>
      </c>
      <c r="J16" s="16">
        <v>0.2382119</v>
      </c>
      <c r="K16" s="14">
        <v>68.45761607</v>
      </c>
      <c r="L16" s="16">
        <v>1.37245917</v>
      </c>
      <c r="M16" s="14" t="s">
        <v>139</v>
      </c>
      <c r="N16" s="16" t="s">
        <v>139</v>
      </c>
      <c r="O16" s="14">
        <v>0</v>
      </c>
      <c r="P16" s="16">
        <v>0</v>
      </c>
      <c r="Q16" s="14">
        <v>0</v>
      </c>
      <c r="R16" s="16">
        <v>0</v>
      </c>
      <c r="S16" s="14">
        <v>0</v>
      </c>
      <c r="T16" s="16">
        <v>0</v>
      </c>
      <c r="U16" s="14">
        <v>0</v>
      </c>
      <c r="V16" s="16">
        <v>0</v>
      </c>
    </row>
    <row r="17" spans="1:22" x14ac:dyDescent="0.25">
      <c r="A17" s="11" t="s">
        <v>149</v>
      </c>
      <c r="B17" s="13">
        <v>6504</v>
      </c>
      <c r="C17" s="14">
        <f>(5420/B17*100)</f>
        <v>83.333333333333343</v>
      </c>
      <c r="D17" s="15">
        <v>1084</v>
      </c>
      <c r="E17" s="14">
        <v>13.418504840000001</v>
      </c>
      <c r="F17" s="16">
        <v>1.2485731099999999</v>
      </c>
      <c r="G17" s="14">
        <v>7.2938961000000004</v>
      </c>
      <c r="H17" s="16">
        <v>0.70550011000000001</v>
      </c>
      <c r="I17" s="14">
        <v>1.12302496</v>
      </c>
      <c r="J17" s="16">
        <v>0.31204481000000001</v>
      </c>
      <c r="K17" s="14">
        <v>78.164574099999996</v>
      </c>
      <c r="L17" s="16">
        <v>1.366274</v>
      </c>
      <c r="M17" s="14" t="s">
        <v>139</v>
      </c>
      <c r="N17" s="16" t="s">
        <v>139</v>
      </c>
      <c r="O17" s="14">
        <v>0</v>
      </c>
      <c r="P17" s="16">
        <v>0</v>
      </c>
      <c r="Q17" s="14">
        <v>0</v>
      </c>
      <c r="R17" s="16">
        <v>0</v>
      </c>
      <c r="S17" s="14">
        <v>0</v>
      </c>
      <c r="T17" s="16">
        <v>0</v>
      </c>
      <c r="U17" s="14">
        <v>0</v>
      </c>
      <c r="V17" s="16">
        <v>0</v>
      </c>
    </row>
    <row r="18" spans="1:22" x14ac:dyDescent="0.25">
      <c r="A18" s="11" t="s">
        <v>150</v>
      </c>
      <c r="B18" s="13">
        <v>5532</v>
      </c>
      <c r="C18" s="14">
        <f>(4585/B18*100)</f>
        <v>82.881417208966013</v>
      </c>
      <c r="D18" s="15">
        <v>947</v>
      </c>
      <c r="E18" s="14">
        <v>31.19169041</v>
      </c>
      <c r="F18" s="16">
        <v>2.0565995300000002</v>
      </c>
      <c r="G18" s="14">
        <v>14.29163552</v>
      </c>
      <c r="H18" s="16">
        <v>1.16479222</v>
      </c>
      <c r="I18" s="14">
        <v>1.4889962400000001</v>
      </c>
      <c r="J18" s="16">
        <v>0.33244137000000001</v>
      </c>
      <c r="K18" s="14">
        <v>53.027677820000001</v>
      </c>
      <c r="L18" s="16">
        <v>2.1385530099999999</v>
      </c>
      <c r="M18" s="14" t="s">
        <v>139</v>
      </c>
      <c r="N18" s="16" t="s">
        <v>139</v>
      </c>
      <c r="O18" s="14">
        <v>0</v>
      </c>
      <c r="P18" s="16">
        <v>0</v>
      </c>
      <c r="Q18" s="14">
        <v>0</v>
      </c>
      <c r="R18" s="16">
        <v>0</v>
      </c>
      <c r="S18" s="14">
        <v>0</v>
      </c>
      <c r="T18" s="16">
        <v>0</v>
      </c>
      <c r="U18" s="14">
        <v>0</v>
      </c>
      <c r="V18" s="16">
        <v>0</v>
      </c>
    </row>
    <row r="19" spans="1:22" x14ac:dyDescent="0.25">
      <c r="A19" s="11" t="s">
        <v>151</v>
      </c>
      <c r="B19" s="13">
        <v>5658</v>
      </c>
      <c r="C19" s="14">
        <f>(4718/B19*100)</f>
        <v>83.38635560268645</v>
      </c>
      <c r="D19" s="15">
        <v>940</v>
      </c>
      <c r="E19" s="14">
        <v>21.230665689999999</v>
      </c>
      <c r="F19" s="16">
        <v>1.6276665299999999</v>
      </c>
      <c r="G19" s="14">
        <v>10.853139069999999</v>
      </c>
      <c r="H19" s="16">
        <v>1.33017959</v>
      </c>
      <c r="I19" s="14">
        <v>2.0875270100000001</v>
      </c>
      <c r="J19" s="16">
        <v>0.46703652000000001</v>
      </c>
      <c r="K19" s="14">
        <v>65.828668230000005</v>
      </c>
      <c r="L19" s="16">
        <v>1.68750494</v>
      </c>
      <c r="M19" s="14" t="s">
        <v>139</v>
      </c>
      <c r="N19" s="16" t="s">
        <v>139</v>
      </c>
      <c r="O19" s="14">
        <v>0</v>
      </c>
      <c r="P19" s="16">
        <v>0</v>
      </c>
      <c r="Q19" s="14">
        <v>0</v>
      </c>
      <c r="R19" s="16">
        <v>0</v>
      </c>
      <c r="S19" s="14">
        <v>0</v>
      </c>
      <c r="T19" s="16">
        <v>0</v>
      </c>
      <c r="U19" s="14">
        <v>0</v>
      </c>
      <c r="V19" s="16">
        <v>0</v>
      </c>
    </row>
    <row r="20" spans="1:22" x14ac:dyDescent="0.25">
      <c r="A20" s="11" t="s">
        <v>152</v>
      </c>
      <c r="B20" s="13">
        <v>3371</v>
      </c>
      <c r="C20" s="14">
        <f>(2807/B20*100)</f>
        <v>83.26905962622368</v>
      </c>
      <c r="D20" s="15">
        <v>564</v>
      </c>
      <c r="E20" s="14">
        <v>21.354938709999999</v>
      </c>
      <c r="F20" s="16">
        <v>1.7916165100000001</v>
      </c>
      <c r="G20" s="14">
        <v>12.78853464</v>
      </c>
      <c r="H20" s="16">
        <v>1.5610953999999999</v>
      </c>
      <c r="I20" s="14">
        <v>1.0600642199999999</v>
      </c>
      <c r="J20" s="16">
        <v>0.41905836000000002</v>
      </c>
      <c r="K20" s="14">
        <v>64.796462430000005</v>
      </c>
      <c r="L20" s="16">
        <v>2.17009856</v>
      </c>
      <c r="M20" s="14" t="s">
        <v>139</v>
      </c>
      <c r="N20" s="16" t="s">
        <v>139</v>
      </c>
      <c r="O20" s="14">
        <v>0</v>
      </c>
      <c r="P20" s="16">
        <v>0</v>
      </c>
      <c r="Q20" s="14">
        <v>0</v>
      </c>
      <c r="R20" s="16">
        <v>0</v>
      </c>
      <c r="S20" s="14">
        <v>0</v>
      </c>
      <c r="T20" s="16">
        <v>0</v>
      </c>
      <c r="U20" s="14">
        <v>0</v>
      </c>
      <c r="V20" s="16">
        <v>0</v>
      </c>
    </row>
    <row r="21" spans="1:22" x14ac:dyDescent="0.25">
      <c r="A21" s="11" t="s">
        <v>153</v>
      </c>
      <c r="B21" s="17" t="s">
        <v>154</v>
      </c>
      <c r="C21" s="17" t="s">
        <v>154</v>
      </c>
      <c r="D21" s="18" t="s">
        <v>154</v>
      </c>
      <c r="E21" s="17" t="s">
        <v>154</v>
      </c>
      <c r="F21" s="18" t="s">
        <v>154</v>
      </c>
      <c r="G21" s="17" t="s">
        <v>154</v>
      </c>
      <c r="H21" s="18" t="s">
        <v>154</v>
      </c>
      <c r="I21" s="17" t="s">
        <v>154</v>
      </c>
      <c r="J21" s="18" t="s">
        <v>154</v>
      </c>
      <c r="K21" s="17" t="s">
        <v>154</v>
      </c>
      <c r="L21" s="18" t="s">
        <v>154</v>
      </c>
      <c r="M21" s="17" t="s">
        <v>154</v>
      </c>
      <c r="N21" s="18" t="s">
        <v>154</v>
      </c>
      <c r="O21" s="17" t="s">
        <v>154</v>
      </c>
      <c r="P21" s="18" t="s">
        <v>154</v>
      </c>
      <c r="Q21" s="17" t="s">
        <v>154</v>
      </c>
      <c r="R21" s="18" t="s">
        <v>154</v>
      </c>
      <c r="S21" s="17" t="s">
        <v>154</v>
      </c>
      <c r="T21" s="18" t="s">
        <v>154</v>
      </c>
      <c r="U21" s="17" t="s">
        <v>154</v>
      </c>
      <c r="V21" s="18" t="s">
        <v>154</v>
      </c>
    </row>
    <row r="22" spans="1:22" x14ac:dyDescent="0.25">
      <c r="A22" s="11" t="s">
        <v>155</v>
      </c>
      <c r="B22" s="13">
        <v>6598</v>
      </c>
      <c r="C22" s="14">
        <f>(5584/B22*100)</f>
        <v>84.631706577750833</v>
      </c>
      <c r="D22" s="15">
        <v>1014</v>
      </c>
      <c r="E22" s="14">
        <v>26.602163399999998</v>
      </c>
      <c r="F22" s="16">
        <v>1.9012571300000001</v>
      </c>
      <c r="G22" s="14">
        <v>13.05256501</v>
      </c>
      <c r="H22" s="16">
        <v>1.06543042</v>
      </c>
      <c r="I22" s="14">
        <v>1.3315771700000001</v>
      </c>
      <c r="J22" s="16">
        <v>0.34963271000000001</v>
      </c>
      <c r="K22" s="14">
        <v>59.013694409999999</v>
      </c>
      <c r="L22" s="16">
        <v>1.9068127399999999</v>
      </c>
      <c r="M22" s="14" t="s">
        <v>139</v>
      </c>
      <c r="N22" s="16" t="s">
        <v>139</v>
      </c>
      <c r="O22" s="14">
        <v>0</v>
      </c>
      <c r="P22" s="16">
        <v>0</v>
      </c>
      <c r="Q22" s="14">
        <v>0</v>
      </c>
      <c r="R22" s="16">
        <v>0</v>
      </c>
      <c r="S22" s="14">
        <v>0</v>
      </c>
      <c r="T22" s="16">
        <v>0</v>
      </c>
      <c r="U22" s="14">
        <v>0</v>
      </c>
      <c r="V22" s="16">
        <v>0</v>
      </c>
    </row>
    <row r="23" spans="1:22" x14ac:dyDescent="0.25">
      <c r="A23" s="11" t="s">
        <v>156</v>
      </c>
      <c r="B23" s="13">
        <v>11583</v>
      </c>
      <c r="C23" s="14">
        <f>(9600/B23*100)</f>
        <v>82.880082880082881</v>
      </c>
      <c r="D23" s="15">
        <v>1983</v>
      </c>
      <c r="E23" s="14">
        <v>22.919305340000001</v>
      </c>
      <c r="F23" s="16">
        <v>1.6660915599999999</v>
      </c>
      <c r="G23" s="14">
        <v>12.25441912</v>
      </c>
      <c r="H23" s="16">
        <v>1.2415834699999999</v>
      </c>
      <c r="I23" s="14">
        <v>0.66440248999999996</v>
      </c>
      <c r="J23" s="16">
        <v>0.15879234</v>
      </c>
      <c r="K23" s="14">
        <v>64.161873049999997</v>
      </c>
      <c r="L23" s="16">
        <v>1.9352058299999999</v>
      </c>
      <c r="M23" s="14" t="s">
        <v>139</v>
      </c>
      <c r="N23" s="16" t="s">
        <v>139</v>
      </c>
      <c r="O23" s="14">
        <v>0</v>
      </c>
      <c r="P23" s="16">
        <v>0</v>
      </c>
      <c r="Q23" s="14">
        <v>0</v>
      </c>
      <c r="R23" s="16">
        <v>0</v>
      </c>
      <c r="S23" s="14">
        <v>0</v>
      </c>
      <c r="T23" s="16">
        <v>0</v>
      </c>
      <c r="U23" s="14">
        <v>0</v>
      </c>
      <c r="V23" s="16">
        <v>0</v>
      </c>
    </row>
    <row r="24" spans="1:22" x14ac:dyDescent="0.25">
      <c r="A24" s="11" t="s">
        <v>157</v>
      </c>
      <c r="B24" s="13">
        <v>6647</v>
      </c>
      <c r="C24" s="14">
        <f>(5501/B24*100)</f>
        <v>82.759139461411152</v>
      </c>
      <c r="D24" s="15">
        <v>1146</v>
      </c>
      <c r="E24" s="14">
        <v>6.3473211899999997</v>
      </c>
      <c r="F24" s="16">
        <v>0.63700272000000002</v>
      </c>
      <c r="G24" s="14">
        <v>9.7488261999999999</v>
      </c>
      <c r="H24" s="16">
        <v>0.78601989999999999</v>
      </c>
      <c r="I24" s="14">
        <v>2.8963905400000001</v>
      </c>
      <c r="J24" s="16">
        <v>0.50023863000000002</v>
      </c>
      <c r="K24" s="14">
        <v>81.007462059999995</v>
      </c>
      <c r="L24" s="16">
        <v>1.23365726</v>
      </c>
      <c r="M24" s="14" t="s">
        <v>139</v>
      </c>
      <c r="N24" s="16" t="s">
        <v>139</v>
      </c>
      <c r="O24" s="14">
        <v>0</v>
      </c>
      <c r="P24" s="16">
        <v>0</v>
      </c>
      <c r="Q24" s="14">
        <v>0</v>
      </c>
      <c r="R24" s="16">
        <v>0</v>
      </c>
      <c r="S24" s="14">
        <v>0</v>
      </c>
      <c r="T24" s="16">
        <v>0</v>
      </c>
      <c r="U24" s="14">
        <v>0</v>
      </c>
      <c r="V24" s="16">
        <v>0</v>
      </c>
    </row>
    <row r="25" spans="1:22" x14ac:dyDescent="0.25">
      <c r="A25" s="11" t="s">
        <v>158</v>
      </c>
      <c r="B25" s="13">
        <v>5581</v>
      </c>
      <c r="C25" s="14">
        <f>(4615/B25*100)</f>
        <v>82.691273965239205</v>
      </c>
      <c r="D25" s="15">
        <v>966</v>
      </c>
      <c r="E25" s="14">
        <v>8.3394487999999996</v>
      </c>
      <c r="F25" s="16">
        <v>0.86527151000000002</v>
      </c>
      <c r="G25" s="14">
        <v>13.04840478</v>
      </c>
      <c r="H25" s="16">
        <v>1.1114549</v>
      </c>
      <c r="I25" s="14">
        <v>1.2141344300000001</v>
      </c>
      <c r="J25" s="16">
        <v>0.37447154999999999</v>
      </c>
      <c r="K25" s="14">
        <v>77.398011990000001</v>
      </c>
      <c r="L25" s="16">
        <v>1.23800081</v>
      </c>
      <c r="M25" s="14" t="s">
        <v>139</v>
      </c>
      <c r="N25" s="16" t="s">
        <v>139</v>
      </c>
      <c r="O25" s="14">
        <v>0</v>
      </c>
      <c r="P25" s="16">
        <v>0</v>
      </c>
      <c r="Q25" s="14">
        <v>0</v>
      </c>
      <c r="R25" s="16">
        <v>0</v>
      </c>
      <c r="S25" s="14">
        <v>0</v>
      </c>
      <c r="T25" s="16">
        <v>0</v>
      </c>
      <c r="U25" s="14">
        <v>0</v>
      </c>
      <c r="V25" s="16">
        <v>0</v>
      </c>
    </row>
    <row r="26" spans="1:22" x14ac:dyDescent="0.25">
      <c r="A26" s="11" t="s">
        <v>159</v>
      </c>
      <c r="B26" s="13">
        <v>4869</v>
      </c>
      <c r="C26" s="14">
        <f>(4038/B26*100)</f>
        <v>82.932840418977207</v>
      </c>
      <c r="D26" s="15">
        <v>831</v>
      </c>
      <c r="E26" s="14">
        <v>16.573114440000001</v>
      </c>
      <c r="F26" s="16">
        <v>1.48268697</v>
      </c>
      <c r="G26" s="14">
        <v>10.956646579999999</v>
      </c>
      <c r="H26" s="16">
        <v>1.21583058</v>
      </c>
      <c r="I26" s="14">
        <v>1.40902314</v>
      </c>
      <c r="J26" s="16">
        <v>0.41679569</v>
      </c>
      <c r="K26" s="14">
        <v>71.061215849999996</v>
      </c>
      <c r="L26" s="16">
        <v>1.7839619600000001</v>
      </c>
      <c r="M26" s="14" t="s">
        <v>139</v>
      </c>
      <c r="N26" s="16" t="s">
        <v>139</v>
      </c>
      <c r="O26" s="14">
        <v>0</v>
      </c>
      <c r="P26" s="16">
        <v>0</v>
      </c>
      <c r="Q26" s="14">
        <v>0</v>
      </c>
      <c r="R26" s="16">
        <v>0</v>
      </c>
      <c r="S26" s="14">
        <v>0</v>
      </c>
      <c r="T26" s="16">
        <v>0</v>
      </c>
      <c r="U26" s="14">
        <v>0</v>
      </c>
      <c r="V26" s="16">
        <v>0</v>
      </c>
    </row>
    <row r="27" spans="1:22" x14ac:dyDescent="0.25">
      <c r="A27" s="11" t="s">
        <v>160</v>
      </c>
      <c r="B27" s="13">
        <v>5299</v>
      </c>
      <c r="C27" s="14">
        <f>(4417/B27*100)</f>
        <v>83.355350066050192</v>
      </c>
      <c r="D27" s="15">
        <v>882</v>
      </c>
      <c r="E27" s="14">
        <v>16.88477022</v>
      </c>
      <c r="F27" s="16">
        <v>1.2855043900000001</v>
      </c>
      <c r="G27" s="14">
        <v>9.2806100800000007</v>
      </c>
      <c r="H27" s="16">
        <v>1.03449079</v>
      </c>
      <c r="I27" s="14">
        <v>1.2649368400000001</v>
      </c>
      <c r="J27" s="16">
        <v>0.40545963000000002</v>
      </c>
      <c r="K27" s="14">
        <v>72.56968286</v>
      </c>
      <c r="L27" s="16">
        <v>1.6542986399999999</v>
      </c>
      <c r="M27" s="14" t="s">
        <v>139</v>
      </c>
      <c r="N27" s="16" t="s">
        <v>139</v>
      </c>
      <c r="O27" s="14">
        <v>0</v>
      </c>
      <c r="P27" s="16">
        <v>0</v>
      </c>
      <c r="Q27" s="14">
        <v>0</v>
      </c>
      <c r="R27" s="16">
        <v>0</v>
      </c>
      <c r="S27" s="14">
        <v>0</v>
      </c>
      <c r="T27" s="16">
        <v>0</v>
      </c>
      <c r="U27" s="14">
        <v>0</v>
      </c>
      <c r="V27" s="16">
        <v>0</v>
      </c>
    </row>
    <row r="28" spans="1:22" x14ac:dyDescent="0.25">
      <c r="A28" s="11" t="s">
        <v>161</v>
      </c>
      <c r="B28" s="13">
        <v>7568</v>
      </c>
      <c r="C28" s="14">
        <f>(6373/B28*100)</f>
        <v>84.209830866807607</v>
      </c>
      <c r="D28" s="15">
        <v>1195</v>
      </c>
      <c r="E28" s="14">
        <v>30.96748212</v>
      </c>
      <c r="F28" s="16">
        <v>1.4535103</v>
      </c>
      <c r="G28" s="14">
        <v>16.112578060000001</v>
      </c>
      <c r="H28" s="16">
        <v>1.16540975</v>
      </c>
      <c r="I28" s="14">
        <v>1.4943190799999999</v>
      </c>
      <c r="J28" s="16">
        <v>0.33617913999999999</v>
      </c>
      <c r="K28" s="14">
        <v>51.425620739999999</v>
      </c>
      <c r="L28" s="16">
        <v>1.75607427</v>
      </c>
      <c r="M28" s="14" t="s">
        <v>139</v>
      </c>
      <c r="N28" s="16" t="s">
        <v>139</v>
      </c>
      <c r="O28" s="14">
        <v>0</v>
      </c>
      <c r="P28" s="16">
        <v>0</v>
      </c>
      <c r="Q28" s="14">
        <v>0</v>
      </c>
      <c r="R28" s="16">
        <v>0</v>
      </c>
      <c r="S28" s="14">
        <v>0</v>
      </c>
      <c r="T28" s="16">
        <v>0</v>
      </c>
      <c r="U28" s="14">
        <v>0</v>
      </c>
      <c r="V28" s="16">
        <v>0</v>
      </c>
    </row>
    <row r="29" spans="1:22" x14ac:dyDescent="0.25">
      <c r="A29" s="11" t="s">
        <v>162</v>
      </c>
      <c r="B29" s="13">
        <v>5385</v>
      </c>
      <c r="C29" s="14">
        <f>(4500/B29*100)</f>
        <v>83.565459610027858</v>
      </c>
      <c r="D29" s="15">
        <v>885</v>
      </c>
      <c r="E29" s="14">
        <v>16.075185210000001</v>
      </c>
      <c r="F29" s="16">
        <v>1.1375934299999999</v>
      </c>
      <c r="G29" s="14">
        <v>8.4719561500000005</v>
      </c>
      <c r="H29" s="16">
        <v>0.93354713</v>
      </c>
      <c r="I29" s="14">
        <v>1.2479425</v>
      </c>
      <c r="J29" s="16">
        <v>0.52887412</v>
      </c>
      <c r="K29" s="14">
        <v>74.204916139999995</v>
      </c>
      <c r="L29" s="16">
        <v>1.3989420100000001</v>
      </c>
      <c r="M29" s="14" t="s">
        <v>139</v>
      </c>
      <c r="N29" s="16" t="s">
        <v>139</v>
      </c>
      <c r="O29" s="14">
        <v>0</v>
      </c>
      <c r="P29" s="16">
        <v>0</v>
      </c>
      <c r="Q29" s="14">
        <v>0</v>
      </c>
      <c r="R29" s="16">
        <v>0</v>
      </c>
      <c r="S29" s="14">
        <v>0</v>
      </c>
      <c r="T29" s="16">
        <v>0</v>
      </c>
      <c r="U29" s="14">
        <v>0</v>
      </c>
      <c r="V29" s="16">
        <v>0</v>
      </c>
    </row>
    <row r="30" spans="1:22" x14ac:dyDescent="0.25">
      <c r="A30" s="11" t="s">
        <v>163</v>
      </c>
      <c r="B30" s="13">
        <v>4520</v>
      </c>
      <c r="C30" s="14">
        <f>(3802/B30*100)</f>
        <v>84.115044247787608</v>
      </c>
      <c r="D30" s="15">
        <v>718</v>
      </c>
      <c r="E30" s="14">
        <v>13.172226439999999</v>
      </c>
      <c r="F30" s="16">
        <v>1.3801153900000001</v>
      </c>
      <c r="G30" s="14">
        <v>10.26827931</v>
      </c>
      <c r="H30" s="16">
        <v>1.35029446</v>
      </c>
      <c r="I30" s="14">
        <v>1.2491574299999999</v>
      </c>
      <c r="J30" s="16">
        <v>0.43702975999999999</v>
      </c>
      <c r="K30" s="14">
        <v>75.310336809999995</v>
      </c>
      <c r="L30" s="16">
        <v>1.88329909</v>
      </c>
      <c r="M30" s="14" t="s">
        <v>139</v>
      </c>
      <c r="N30" s="16" t="s">
        <v>139</v>
      </c>
      <c r="O30" s="14">
        <v>0</v>
      </c>
      <c r="P30" s="16">
        <v>0</v>
      </c>
      <c r="Q30" s="14">
        <v>0</v>
      </c>
      <c r="R30" s="16">
        <v>0</v>
      </c>
      <c r="S30" s="14">
        <v>0</v>
      </c>
      <c r="T30" s="16">
        <v>0</v>
      </c>
      <c r="U30" s="14">
        <v>0</v>
      </c>
      <c r="V30" s="16">
        <v>0</v>
      </c>
    </row>
    <row r="31" spans="1:22" x14ac:dyDescent="0.25">
      <c r="A31" s="11" t="s">
        <v>164</v>
      </c>
      <c r="B31" s="13">
        <v>5456</v>
      </c>
      <c r="C31" s="14">
        <f>(4547/B31*100)</f>
        <v>83.339442815249271</v>
      </c>
      <c r="D31" s="15">
        <v>909</v>
      </c>
      <c r="E31" s="14">
        <v>20.048905529999999</v>
      </c>
      <c r="F31" s="16">
        <v>1.0375067200000001</v>
      </c>
      <c r="G31" s="14">
        <v>10.89647587</v>
      </c>
      <c r="H31" s="16">
        <v>1.2650208300000001</v>
      </c>
      <c r="I31" s="14">
        <v>0.33825550999999998</v>
      </c>
      <c r="J31" s="16">
        <v>0.19398134</v>
      </c>
      <c r="K31" s="14">
        <v>68.716363090000002</v>
      </c>
      <c r="L31" s="16">
        <v>1.47016334</v>
      </c>
      <c r="M31" s="14" t="s">
        <v>139</v>
      </c>
      <c r="N31" s="16" t="s">
        <v>139</v>
      </c>
      <c r="O31" s="14">
        <v>0</v>
      </c>
      <c r="P31" s="16">
        <v>0</v>
      </c>
      <c r="Q31" s="14">
        <v>0</v>
      </c>
      <c r="R31" s="16">
        <v>0</v>
      </c>
      <c r="S31" s="14">
        <v>0</v>
      </c>
      <c r="T31" s="16">
        <v>0</v>
      </c>
      <c r="U31" s="14">
        <v>0</v>
      </c>
      <c r="V31" s="16">
        <v>0</v>
      </c>
    </row>
    <row r="32" spans="1:22" x14ac:dyDescent="0.25">
      <c r="A32" s="11" t="s">
        <v>165</v>
      </c>
      <c r="B32" s="17" t="s">
        <v>154</v>
      </c>
      <c r="C32" s="17" t="s">
        <v>154</v>
      </c>
      <c r="D32" s="18" t="s">
        <v>154</v>
      </c>
      <c r="E32" s="17" t="s">
        <v>154</v>
      </c>
      <c r="F32" s="18" t="s">
        <v>154</v>
      </c>
      <c r="G32" s="17" t="s">
        <v>154</v>
      </c>
      <c r="H32" s="18" t="s">
        <v>154</v>
      </c>
      <c r="I32" s="17" t="s">
        <v>154</v>
      </c>
      <c r="J32" s="18" t="s">
        <v>154</v>
      </c>
      <c r="K32" s="17" t="s">
        <v>154</v>
      </c>
      <c r="L32" s="18" t="s">
        <v>154</v>
      </c>
      <c r="M32" s="17" t="s">
        <v>154</v>
      </c>
      <c r="N32" s="18" t="s">
        <v>154</v>
      </c>
      <c r="O32" s="17" t="s">
        <v>154</v>
      </c>
      <c r="P32" s="18" t="s">
        <v>154</v>
      </c>
      <c r="Q32" s="17" t="s">
        <v>154</v>
      </c>
      <c r="R32" s="18" t="s">
        <v>154</v>
      </c>
      <c r="S32" s="17" t="s">
        <v>154</v>
      </c>
      <c r="T32" s="18" t="s">
        <v>154</v>
      </c>
      <c r="U32" s="17" t="s">
        <v>154</v>
      </c>
      <c r="V32" s="18" t="s">
        <v>154</v>
      </c>
    </row>
    <row r="33" spans="1:22" x14ac:dyDescent="0.25">
      <c r="A33" s="11" t="s">
        <v>166</v>
      </c>
      <c r="B33" s="13">
        <v>7325</v>
      </c>
      <c r="C33" s="14">
        <f>(6119/B33*100)</f>
        <v>83.535836177474394</v>
      </c>
      <c r="D33" s="15">
        <v>1206</v>
      </c>
      <c r="E33" s="14">
        <v>15.754378730000001</v>
      </c>
      <c r="F33" s="16">
        <v>1.0625027600000001</v>
      </c>
      <c r="G33" s="14">
        <v>9.3319825400000003</v>
      </c>
      <c r="H33" s="16">
        <v>0.91841432999999995</v>
      </c>
      <c r="I33" s="14">
        <v>0.62499017000000001</v>
      </c>
      <c r="J33" s="16">
        <v>0.25482426000000002</v>
      </c>
      <c r="K33" s="14">
        <v>74.288648570000007</v>
      </c>
      <c r="L33" s="16">
        <v>1.34129301</v>
      </c>
      <c r="M33" s="14" t="s">
        <v>139</v>
      </c>
      <c r="N33" s="16" t="s">
        <v>139</v>
      </c>
      <c r="O33" s="14">
        <v>0</v>
      </c>
      <c r="P33" s="16">
        <v>0</v>
      </c>
      <c r="Q33" s="14">
        <v>0</v>
      </c>
      <c r="R33" s="16">
        <v>0</v>
      </c>
      <c r="S33" s="14">
        <v>0</v>
      </c>
      <c r="T33" s="16">
        <v>0</v>
      </c>
      <c r="U33" s="14">
        <v>0</v>
      </c>
      <c r="V33" s="16">
        <v>0</v>
      </c>
    </row>
    <row r="34" spans="1:22" x14ac:dyDescent="0.25">
      <c r="A34" s="11" t="s">
        <v>167</v>
      </c>
      <c r="B34" s="13">
        <v>6350</v>
      </c>
      <c r="C34" s="14">
        <f>(5317/B34*100)</f>
        <v>83.732283464566919</v>
      </c>
      <c r="D34" s="15">
        <v>1033</v>
      </c>
      <c r="E34" s="14">
        <v>22.186422029999999</v>
      </c>
      <c r="F34" s="16">
        <v>1.4985984299999999</v>
      </c>
      <c r="G34" s="14">
        <v>14.518837489999999</v>
      </c>
      <c r="H34" s="16">
        <v>0.98881437000000005</v>
      </c>
      <c r="I34" s="14">
        <v>1.48858472</v>
      </c>
      <c r="J34" s="16">
        <v>0.40333005999999999</v>
      </c>
      <c r="K34" s="14">
        <v>61.806155760000003</v>
      </c>
      <c r="L34" s="16">
        <v>1.73948554</v>
      </c>
      <c r="M34" s="14" t="s">
        <v>139</v>
      </c>
      <c r="N34" s="16" t="s">
        <v>139</v>
      </c>
      <c r="O34" s="14">
        <v>0</v>
      </c>
      <c r="P34" s="16">
        <v>0</v>
      </c>
      <c r="Q34" s="14">
        <v>0</v>
      </c>
      <c r="R34" s="16">
        <v>0</v>
      </c>
      <c r="S34" s="14">
        <v>0</v>
      </c>
      <c r="T34" s="16">
        <v>0</v>
      </c>
      <c r="U34" s="14">
        <v>0</v>
      </c>
      <c r="V34" s="16">
        <v>0</v>
      </c>
    </row>
    <row r="35" spans="1:22" x14ac:dyDescent="0.25">
      <c r="A35" s="11" t="s">
        <v>168</v>
      </c>
      <c r="B35" s="13">
        <v>6406</v>
      </c>
      <c r="C35" s="14">
        <f>(5352/B35*100)</f>
        <v>83.546674992194809</v>
      </c>
      <c r="D35" s="15">
        <v>1054</v>
      </c>
      <c r="E35" s="14">
        <v>16.388236280000001</v>
      </c>
      <c r="F35" s="16">
        <v>1.30133772</v>
      </c>
      <c r="G35" s="14">
        <v>9.2762577400000001</v>
      </c>
      <c r="H35" s="16">
        <v>0.96832583999999999</v>
      </c>
      <c r="I35" s="14">
        <v>1.1955159200000001</v>
      </c>
      <c r="J35" s="16">
        <v>0.37076903999999999</v>
      </c>
      <c r="K35" s="14">
        <v>73.139990049999994</v>
      </c>
      <c r="L35" s="16">
        <v>1.69879888</v>
      </c>
      <c r="M35" s="14" t="s">
        <v>139</v>
      </c>
      <c r="N35" s="16" t="s">
        <v>139</v>
      </c>
      <c r="O35" s="14">
        <v>0</v>
      </c>
      <c r="P35" s="16">
        <v>0</v>
      </c>
      <c r="Q35" s="14">
        <v>0</v>
      </c>
      <c r="R35" s="16">
        <v>0</v>
      </c>
      <c r="S35" s="14">
        <v>0</v>
      </c>
      <c r="T35" s="16">
        <v>0</v>
      </c>
      <c r="U35" s="14">
        <v>0</v>
      </c>
      <c r="V35" s="16">
        <v>0</v>
      </c>
    </row>
    <row r="36" spans="1:22" x14ac:dyDescent="0.25">
      <c r="A36" s="11" t="s">
        <v>169</v>
      </c>
      <c r="B36" s="13">
        <v>6736</v>
      </c>
      <c r="C36" s="14">
        <f>(5610/B36*100)</f>
        <v>83.283847980997621</v>
      </c>
      <c r="D36" s="15">
        <v>1126</v>
      </c>
      <c r="E36" s="14">
        <v>19.759865479999998</v>
      </c>
      <c r="F36" s="16">
        <v>1.25039093</v>
      </c>
      <c r="G36" s="14">
        <v>10.21566979</v>
      </c>
      <c r="H36" s="16">
        <v>1.0625279299999999</v>
      </c>
      <c r="I36" s="14">
        <v>0.15830585</v>
      </c>
      <c r="J36" s="16">
        <v>0.10787167</v>
      </c>
      <c r="K36" s="14">
        <v>69.866158889999994</v>
      </c>
      <c r="L36" s="16">
        <v>1.51908088</v>
      </c>
      <c r="M36" s="14" t="s">
        <v>139</v>
      </c>
      <c r="N36" s="16" t="s">
        <v>139</v>
      </c>
      <c r="O36" s="14">
        <v>0</v>
      </c>
      <c r="P36" s="16">
        <v>0</v>
      </c>
      <c r="Q36" s="14">
        <v>0</v>
      </c>
      <c r="R36" s="16">
        <v>0</v>
      </c>
      <c r="S36" s="14">
        <v>0</v>
      </c>
      <c r="T36" s="16">
        <v>0</v>
      </c>
      <c r="U36" s="14">
        <v>0</v>
      </c>
      <c r="V36" s="16">
        <v>0</v>
      </c>
    </row>
    <row r="37" spans="1:22" x14ac:dyDescent="0.25">
      <c r="A37" s="11" t="s">
        <v>170</v>
      </c>
      <c r="B37" s="13">
        <v>5458</v>
      </c>
      <c r="C37" s="14">
        <f>(4571/B37*100)</f>
        <v>83.748625870282154</v>
      </c>
      <c r="D37" s="15">
        <v>887</v>
      </c>
      <c r="E37" s="14">
        <v>15.59697149</v>
      </c>
      <c r="F37" s="16">
        <v>1.2358566900000001</v>
      </c>
      <c r="G37" s="14">
        <v>7.1987862299999996</v>
      </c>
      <c r="H37" s="16">
        <v>0.87629047000000004</v>
      </c>
      <c r="I37" s="14">
        <v>1.17595121</v>
      </c>
      <c r="J37" s="16">
        <v>0.37720564000000001</v>
      </c>
      <c r="K37" s="14">
        <v>76.028291069999995</v>
      </c>
      <c r="L37" s="16">
        <v>1.4982195899999999</v>
      </c>
      <c r="M37" s="14" t="s">
        <v>139</v>
      </c>
      <c r="N37" s="16" t="s">
        <v>139</v>
      </c>
      <c r="O37" s="14">
        <v>0</v>
      </c>
      <c r="P37" s="16">
        <v>0</v>
      </c>
      <c r="Q37" s="14">
        <v>0</v>
      </c>
      <c r="R37" s="16">
        <v>0</v>
      </c>
      <c r="S37" s="14">
        <v>0</v>
      </c>
      <c r="T37" s="16">
        <v>0</v>
      </c>
      <c r="U37" s="14">
        <v>0</v>
      </c>
      <c r="V37" s="16">
        <v>0</v>
      </c>
    </row>
    <row r="38" spans="1:22" x14ac:dyDescent="0.25">
      <c r="A38" s="11" t="s">
        <v>171</v>
      </c>
      <c r="B38" s="17" t="s">
        <v>154</v>
      </c>
      <c r="C38" s="17" t="s">
        <v>154</v>
      </c>
      <c r="D38" s="18" t="s">
        <v>154</v>
      </c>
      <c r="E38" s="17" t="s">
        <v>154</v>
      </c>
      <c r="F38" s="18" t="s">
        <v>154</v>
      </c>
      <c r="G38" s="17" t="s">
        <v>154</v>
      </c>
      <c r="H38" s="18" t="s">
        <v>154</v>
      </c>
      <c r="I38" s="17" t="s">
        <v>154</v>
      </c>
      <c r="J38" s="18" t="s">
        <v>154</v>
      </c>
      <c r="K38" s="17" t="s">
        <v>154</v>
      </c>
      <c r="L38" s="18" t="s">
        <v>154</v>
      </c>
      <c r="M38" s="17" t="s">
        <v>154</v>
      </c>
      <c r="N38" s="18" t="s">
        <v>154</v>
      </c>
      <c r="O38" s="17" t="s">
        <v>154</v>
      </c>
      <c r="P38" s="18" t="s">
        <v>154</v>
      </c>
      <c r="Q38" s="17" t="s">
        <v>154</v>
      </c>
      <c r="R38" s="18" t="s">
        <v>154</v>
      </c>
      <c r="S38" s="17" t="s">
        <v>154</v>
      </c>
      <c r="T38" s="18" t="s">
        <v>154</v>
      </c>
      <c r="U38" s="17" t="s">
        <v>154</v>
      </c>
      <c r="V38" s="18" t="s">
        <v>154</v>
      </c>
    </row>
    <row r="39" spans="1:22" x14ac:dyDescent="0.25">
      <c r="A39" s="11" t="s">
        <v>172</v>
      </c>
      <c r="B39" s="13">
        <v>5895</v>
      </c>
      <c r="C39" s="14">
        <f>(4863/B39*100)</f>
        <v>82.493638676844782</v>
      </c>
      <c r="D39" s="15">
        <v>1032</v>
      </c>
      <c r="E39" s="14">
        <v>35.636189539999997</v>
      </c>
      <c r="F39" s="16">
        <v>1.8995137499999999</v>
      </c>
      <c r="G39" s="14">
        <v>16.560231259999998</v>
      </c>
      <c r="H39" s="16">
        <v>1.4597401000000001</v>
      </c>
      <c r="I39" s="14">
        <v>2.6384594099999998</v>
      </c>
      <c r="J39" s="16">
        <v>0.49964662999999998</v>
      </c>
      <c r="K39" s="14">
        <v>45.165119799999999</v>
      </c>
      <c r="L39" s="16">
        <v>1.9988978799999999</v>
      </c>
      <c r="M39" s="14" t="s">
        <v>139</v>
      </c>
      <c r="N39" s="16" t="s">
        <v>139</v>
      </c>
      <c r="O39" s="14">
        <v>0</v>
      </c>
      <c r="P39" s="16">
        <v>0</v>
      </c>
      <c r="Q39" s="14">
        <v>0</v>
      </c>
      <c r="R39" s="16">
        <v>0</v>
      </c>
      <c r="S39" s="14">
        <v>0</v>
      </c>
      <c r="T39" s="16">
        <v>0</v>
      </c>
      <c r="U39" s="14">
        <v>0</v>
      </c>
      <c r="V39" s="16">
        <v>0</v>
      </c>
    </row>
    <row r="40" spans="1:22" x14ac:dyDescent="0.25">
      <c r="A40" s="11" t="s">
        <v>173</v>
      </c>
      <c r="B40" s="13">
        <v>14157</v>
      </c>
      <c r="C40" s="14">
        <f>(11750/B40*100)</f>
        <v>82.997810270537542</v>
      </c>
      <c r="D40" s="15">
        <v>2407</v>
      </c>
      <c r="E40" s="14">
        <v>14.955962980000001</v>
      </c>
      <c r="F40" s="16">
        <v>1.3886035699999999</v>
      </c>
      <c r="G40" s="14">
        <v>12.2049021</v>
      </c>
      <c r="H40" s="16">
        <v>1.0297892</v>
      </c>
      <c r="I40" s="14">
        <v>0.74049905999999999</v>
      </c>
      <c r="J40" s="16">
        <v>0.28433368999999997</v>
      </c>
      <c r="K40" s="14">
        <v>72.098635860000002</v>
      </c>
      <c r="L40" s="16">
        <v>1.6385145800000001</v>
      </c>
      <c r="M40" s="14" t="s">
        <v>139</v>
      </c>
      <c r="N40" s="16" t="s">
        <v>139</v>
      </c>
      <c r="O40" s="14">
        <v>0</v>
      </c>
      <c r="P40" s="16">
        <v>0</v>
      </c>
      <c r="Q40" s="14">
        <v>0</v>
      </c>
      <c r="R40" s="16">
        <v>0</v>
      </c>
      <c r="S40" s="14">
        <v>0</v>
      </c>
      <c r="T40" s="16">
        <v>0</v>
      </c>
      <c r="U40" s="14">
        <v>0</v>
      </c>
      <c r="V40" s="16">
        <v>0</v>
      </c>
    </row>
    <row r="41" spans="1:22" x14ac:dyDescent="0.25">
      <c r="A41" s="11" t="s">
        <v>174</v>
      </c>
      <c r="B41" s="13">
        <v>5712</v>
      </c>
      <c r="C41" s="14">
        <f>(4743/B41*100)</f>
        <v>83.035714285714292</v>
      </c>
      <c r="D41" s="15">
        <v>969</v>
      </c>
      <c r="E41" s="14">
        <v>16.894572060000002</v>
      </c>
      <c r="F41" s="16">
        <v>1.2108048300000001</v>
      </c>
      <c r="G41" s="14">
        <v>14.99816173</v>
      </c>
      <c r="H41" s="16">
        <v>1.29432375</v>
      </c>
      <c r="I41" s="14">
        <v>1.27199752</v>
      </c>
      <c r="J41" s="16">
        <v>0.37391334999999998</v>
      </c>
      <c r="K41" s="14">
        <v>66.835268690000007</v>
      </c>
      <c r="L41" s="16">
        <v>1.75600168</v>
      </c>
      <c r="M41" s="14" t="s">
        <v>139</v>
      </c>
      <c r="N41" s="16" t="s">
        <v>139</v>
      </c>
      <c r="O41" s="14">
        <v>0</v>
      </c>
      <c r="P41" s="16">
        <v>0</v>
      </c>
      <c r="Q41" s="14">
        <v>0</v>
      </c>
      <c r="R41" s="16">
        <v>0</v>
      </c>
      <c r="S41" s="14">
        <v>0</v>
      </c>
      <c r="T41" s="16">
        <v>0</v>
      </c>
      <c r="U41" s="14">
        <v>0</v>
      </c>
      <c r="V41" s="16">
        <v>0</v>
      </c>
    </row>
    <row r="42" spans="1:22" x14ac:dyDescent="0.25">
      <c r="A42" s="11" t="s">
        <v>175</v>
      </c>
      <c r="B42" s="13">
        <f>IF(COUNT(B7:B41) &gt; 0, AVERAGE(B7:B41), "\u2014")</f>
        <v>7266.90625</v>
      </c>
      <c r="C42" s="14">
        <f>IF(COUNT(C7:C41) &gt; 0, AVERAGE(C7:C41), "—")</f>
        <v>83.320585805480079</v>
      </c>
      <c r="D42" s="15">
        <f>IF(COUNT(D7:D41) &gt; 0, AVERAGE(D7:D41), "—")</f>
        <v>1213.1875</v>
      </c>
      <c r="E42" s="14">
        <f>IF(COUNT(E7:E41) &gt; 0, AVERAGE(E7:E41), "—")</f>
        <v>18.075867484999996</v>
      </c>
      <c r="F42" s="16">
        <f>IF(COUNT(F7:F41) &gt; 0, SQRT(SUMSQ(F7:F41)/(COUNT(F7:F41)*COUNT(F7:F41)) ), "—")</f>
        <v>0.23845005605679662</v>
      </c>
      <c r="G42" s="14">
        <f>IF(COUNT(G7:G41) &gt; 0, AVERAGE(G7:G41), "—")</f>
        <v>10.986365190000003</v>
      </c>
      <c r="H42" s="16">
        <f>IF(COUNT(H7:H41) &gt; 0, SQRT(SUMSQ(H7:H41)/(COUNT(H7:H41)*COUNT(H7:H41)) ), "—")</f>
        <v>0.18909165699281374</v>
      </c>
      <c r="I42" s="14">
        <f>IF(COUNT(I7:I41) &gt; 0, AVERAGE(I7:I41), "—")</f>
        <v>1.1523465415625</v>
      </c>
      <c r="J42" s="16">
        <f>IF(COUNT(J7:J41) &gt; 0, SQRT(SUMSQ(J7:J41)/(COUNT(J7:J41)*COUNT(J7:J41)) ), "—")</f>
        <v>6.1561346305374305E-2</v>
      </c>
      <c r="K42" s="14">
        <f>IF(COUNT(K7:K41) &gt; 0, AVERAGE(K7:K41), "—")</f>
        <v>69.785420782187487</v>
      </c>
      <c r="L42" s="16">
        <f>IF(COUNT(L7:L41) &gt; 0, SQRT(SUMSQ(L7:L41)/(COUNT(L7:L41)*COUNT(L7:L41)) ), "—")</f>
        <v>0.28390351314702555</v>
      </c>
      <c r="M42" s="14" t="str">
        <f>IF(COUNT(M7:M41) &gt; 0, AVERAGE(M7:M41), "—")</f>
        <v>—</v>
      </c>
      <c r="N42" s="16" t="str">
        <f>IF(COUNT(N7:N41) &gt; 0, SQRT(SUMSQ(N7:N41)/(COUNT(N7:N41)*COUNT(N7:N41)) ), "—")</f>
        <v>—</v>
      </c>
      <c r="O42" s="14">
        <f>IF(COUNT(O7:O41) &gt; 0, AVERAGE(O7:O41), "—")</f>
        <v>0</v>
      </c>
      <c r="P42" s="16">
        <f>IF(COUNT(P7:P41) &gt; 0, SQRT(SUMSQ(P7:P41)/(COUNT(P7:P41)*COUNT(P7:P41)) ), "—")</f>
        <v>0</v>
      </c>
      <c r="Q42" s="14">
        <f>IF(COUNT(Q7:Q41) &gt; 0, AVERAGE(Q7:Q41), "—")</f>
        <v>0</v>
      </c>
      <c r="R42" s="16">
        <f>IF(COUNT(R7:R41) &gt; 0, SQRT(SUMSQ(R7:R41)/(COUNT(R7:R41)*COUNT(R7:R41)) ), "—")</f>
        <v>0</v>
      </c>
      <c r="S42" s="14">
        <f>IF(COUNT(S7:S41) &gt; 0, AVERAGE(S7:S41), "—")</f>
        <v>0</v>
      </c>
      <c r="T42" s="16">
        <f>IF(COUNT(T7:T41) &gt; 0, SQRT(SUMSQ(T7:T41)/(COUNT(T7:T41)*COUNT(T7:T41)) ), "—")</f>
        <v>0</v>
      </c>
      <c r="U42" s="14">
        <f>IF(COUNT(U7:U41) &gt; 0, AVERAGE(U7:U41), "—")</f>
        <v>0</v>
      </c>
      <c r="V42" s="16">
        <f>IF(COUNT(V7:V41) &gt; 0, SQRT(SUMSQ(V7:V41)/(COUNT(V7:V41)*COUNT(V7:V41)) ), "—")</f>
        <v>0</v>
      </c>
    </row>
    <row r="43" spans="1:22" x14ac:dyDescent="0.25">
      <c r="A43" s="9" t="s">
        <v>176</v>
      </c>
      <c r="B43" s="10"/>
      <c r="C43" s="10"/>
      <c r="D43" s="11"/>
      <c r="E43" s="10"/>
      <c r="F43" s="11"/>
      <c r="G43" s="10"/>
      <c r="H43" s="11"/>
      <c r="I43" s="10"/>
      <c r="J43" s="11"/>
      <c r="K43" s="10"/>
      <c r="L43" s="11"/>
      <c r="M43" s="10"/>
      <c r="N43" s="11"/>
      <c r="O43" s="10"/>
      <c r="P43" s="11"/>
      <c r="Q43" s="10"/>
      <c r="R43" s="11"/>
      <c r="S43" s="10"/>
      <c r="T43" s="11"/>
      <c r="U43" s="10"/>
      <c r="V43" s="12"/>
    </row>
    <row r="44" spans="1:22" x14ac:dyDescent="0.25">
      <c r="A44" s="11" t="s">
        <v>177</v>
      </c>
      <c r="B44" s="17" t="s">
        <v>154</v>
      </c>
      <c r="C44" s="17" t="s">
        <v>154</v>
      </c>
      <c r="D44" s="18" t="s">
        <v>154</v>
      </c>
      <c r="E44" s="17" t="s">
        <v>154</v>
      </c>
      <c r="F44" s="18" t="s">
        <v>154</v>
      </c>
      <c r="G44" s="17" t="s">
        <v>154</v>
      </c>
      <c r="H44" s="18" t="s">
        <v>154</v>
      </c>
      <c r="I44" s="17" t="s">
        <v>154</v>
      </c>
      <c r="J44" s="18" t="s">
        <v>154</v>
      </c>
      <c r="K44" s="17" t="s">
        <v>154</v>
      </c>
      <c r="L44" s="18" t="s">
        <v>154</v>
      </c>
      <c r="M44" s="17" t="s">
        <v>154</v>
      </c>
      <c r="N44" s="18" t="s">
        <v>154</v>
      </c>
      <c r="O44" s="17" t="s">
        <v>154</v>
      </c>
      <c r="P44" s="18" t="s">
        <v>154</v>
      </c>
      <c r="Q44" s="17" t="s">
        <v>154</v>
      </c>
      <c r="R44" s="18" t="s">
        <v>154</v>
      </c>
      <c r="S44" s="17" t="s">
        <v>154</v>
      </c>
      <c r="T44" s="18" t="s">
        <v>154</v>
      </c>
      <c r="U44" s="17" t="s">
        <v>154</v>
      </c>
      <c r="V44" s="18" t="s">
        <v>154</v>
      </c>
    </row>
    <row r="45" spans="1:22" x14ac:dyDescent="0.25">
      <c r="A45" s="11" t="s">
        <v>178</v>
      </c>
      <c r="B45" s="17" t="s">
        <v>154</v>
      </c>
      <c r="C45" s="17" t="s">
        <v>154</v>
      </c>
      <c r="D45" s="18" t="s">
        <v>154</v>
      </c>
      <c r="E45" s="17" t="s">
        <v>154</v>
      </c>
      <c r="F45" s="18" t="s">
        <v>154</v>
      </c>
      <c r="G45" s="17" t="s">
        <v>154</v>
      </c>
      <c r="H45" s="18" t="s">
        <v>154</v>
      </c>
      <c r="I45" s="17" t="s">
        <v>154</v>
      </c>
      <c r="J45" s="18" t="s">
        <v>154</v>
      </c>
      <c r="K45" s="17" t="s">
        <v>154</v>
      </c>
      <c r="L45" s="18" t="s">
        <v>154</v>
      </c>
      <c r="M45" s="17" t="s">
        <v>154</v>
      </c>
      <c r="N45" s="18" t="s">
        <v>154</v>
      </c>
      <c r="O45" s="17" t="s">
        <v>154</v>
      </c>
      <c r="P45" s="18" t="s">
        <v>154</v>
      </c>
      <c r="Q45" s="17" t="s">
        <v>154</v>
      </c>
      <c r="R45" s="18" t="s">
        <v>154</v>
      </c>
      <c r="S45" s="17" t="s">
        <v>154</v>
      </c>
      <c r="T45" s="18" t="s">
        <v>154</v>
      </c>
      <c r="U45" s="17" t="s">
        <v>154</v>
      </c>
      <c r="V45" s="18" t="s">
        <v>154</v>
      </c>
    </row>
    <row r="46" spans="1:22" x14ac:dyDescent="0.25">
      <c r="A46" s="11" t="s">
        <v>179</v>
      </c>
      <c r="B46" s="13">
        <v>23141</v>
      </c>
      <c r="C46" s="14">
        <f>(20147/B46*100)</f>
        <v>87.061924722354263</v>
      </c>
      <c r="D46" s="15">
        <v>2994</v>
      </c>
      <c r="E46" s="14">
        <v>35.685218480000003</v>
      </c>
      <c r="F46" s="16">
        <v>1.1898422900000001</v>
      </c>
      <c r="G46" s="14">
        <v>14.554723490000001</v>
      </c>
      <c r="H46" s="16">
        <v>0.74726294000000004</v>
      </c>
      <c r="I46" s="14">
        <v>1.1464159199999999</v>
      </c>
      <c r="J46" s="16">
        <v>0.23960234999999999</v>
      </c>
      <c r="K46" s="14">
        <v>48.613642110000001</v>
      </c>
      <c r="L46" s="16">
        <v>1.2838562</v>
      </c>
      <c r="M46" s="14" t="s">
        <v>139</v>
      </c>
      <c r="N46" s="16" t="s">
        <v>139</v>
      </c>
      <c r="O46" s="14">
        <v>0</v>
      </c>
      <c r="P46" s="16">
        <v>0</v>
      </c>
      <c r="Q46" s="14">
        <v>0</v>
      </c>
      <c r="R46" s="16">
        <v>0</v>
      </c>
      <c r="S46" s="14">
        <v>0</v>
      </c>
      <c r="T46" s="16">
        <v>0</v>
      </c>
      <c r="U46" s="14">
        <v>0</v>
      </c>
      <c r="V46" s="16">
        <v>0</v>
      </c>
    </row>
    <row r="47" spans="1:22" x14ac:dyDescent="0.25">
      <c r="A47" s="11" t="s">
        <v>180</v>
      </c>
      <c r="B47" s="13">
        <v>5928</v>
      </c>
      <c r="C47" s="14">
        <f>(4966/B47*100)</f>
        <v>83.771929824561411</v>
      </c>
      <c r="D47" s="15">
        <v>962</v>
      </c>
      <c r="E47" s="14">
        <v>31.596308780000001</v>
      </c>
      <c r="F47" s="16">
        <v>1.7852028600000001</v>
      </c>
      <c r="G47" s="14">
        <v>12.13102846</v>
      </c>
      <c r="H47" s="16">
        <v>0.98908485999999995</v>
      </c>
      <c r="I47" s="14">
        <v>1.22123534</v>
      </c>
      <c r="J47" s="16">
        <v>0.35413542999999997</v>
      </c>
      <c r="K47" s="14">
        <v>55.051427410000002</v>
      </c>
      <c r="L47" s="16">
        <v>1.95158725</v>
      </c>
      <c r="M47" s="14" t="s">
        <v>139</v>
      </c>
      <c r="N47" s="16" t="s">
        <v>139</v>
      </c>
      <c r="O47" s="14">
        <v>0</v>
      </c>
      <c r="P47" s="16">
        <v>0</v>
      </c>
      <c r="Q47" s="14">
        <v>0</v>
      </c>
      <c r="R47" s="16">
        <v>0</v>
      </c>
      <c r="S47" s="14">
        <v>0</v>
      </c>
      <c r="T47" s="16">
        <v>0</v>
      </c>
      <c r="U47" s="14">
        <v>0</v>
      </c>
      <c r="V47" s="16">
        <v>0</v>
      </c>
    </row>
    <row r="48" spans="1:22" x14ac:dyDescent="0.25">
      <c r="A48" s="11" t="s">
        <v>181</v>
      </c>
      <c r="B48" s="13">
        <v>9841</v>
      </c>
      <c r="C48" s="14">
        <f>(8178/B48*100)</f>
        <v>83.101310842394057</v>
      </c>
      <c r="D48" s="15">
        <v>1663</v>
      </c>
      <c r="E48" s="14">
        <v>21.025485280000002</v>
      </c>
      <c r="F48" s="16">
        <v>1.3531895599999999</v>
      </c>
      <c r="G48" s="14">
        <v>8.0348023200000007</v>
      </c>
      <c r="H48" s="16">
        <v>0.78739457999999996</v>
      </c>
      <c r="I48" s="14">
        <v>0.68098024999999995</v>
      </c>
      <c r="J48" s="16">
        <v>0.22863143999999999</v>
      </c>
      <c r="K48" s="14">
        <v>70.258732140000006</v>
      </c>
      <c r="L48" s="16">
        <v>1.53494365</v>
      </c>
      <c r="M48" s="14" t="s">
        <v>139</v>
      </c>
      <c r="N48" s="16" t="s">
        <v>139</v>
      </c>
      <c r="O48" s="14">
        <v>0</v>
      </c>
      <c r="P48" s="16">
        <v>0</v>
      </c>
      <c r="Q48" s="14">
        <v>0</v>
      </c>
      <c r="R48" s="16">
        <v>0</v>
      </c>
      <c r="S48" s="14">
        <v>0</v>
      </c>
      <c r="T48" s="16">
        <v>0</v>
      </c>
      <c r="U48" s="14">
        <v>0</v>
      </c>
      <c r="V48" s="16">
        <v>0</v>
      </c>
    </row>
    <row r="49" spans="1:22" x14ac:dyDescent="0.25">
      <c r="A49" s="11" t="s">
        <v>182</v>
      </c>
      <c r="B49" s="17" t="s">
        <v>154</v>
      </c>
      <c r="C49" s="17" t="s">
        <v>154</v>
      </c>
      <c r="D49" s="18" t="s">
        <v>154</v>
      </c>
      <c r="E49" s="17" t="s">
        <v>154</v>
      </c>
      <c r="F49" s="18" t="s">
        <v>154</v>
      </c>
      <c r="G49" s="17" t="s">
        <v>154</v>
      </c>
      <c r="H49" s="18" t="s">
        <v>154</v>
      </c>
      <c r="I49" s="17" t="s">
        <v>154</v>
      </c>
      <c r="J49" s="18" t="s">
        <v>154</v>
      </c>
      <c r="K49" s="17" t="s">
        <v>154</v>
      </c>
      <c r="L49" s="18" t="s">
        <v>154</v>
      </c>
      <c r="M49" s="17" t="s">
        <v>154</v>
      </c>
      <c r="N49" s="18" t="s">
        <v>154</v>
      </c>
      <c r="O49" s="17" t="s">
        <v>154</v>
      </c>
      <c r="P49" s="18" t="s">
        <v>154</v>
      </c>
      <c r="Q49" s="17" t="s">
        <v>154</v>
      </c>
      <c r="R49" s="18" t="s">
        <v>154</v>
      </c>
      <c r="S49" s="17" t="s">
        <v>154</v>
      </c>
      <c r="T49" s="18" t="s">
        <v>154</v>
      </c>
      <c r="U49" s="17" t="s">
        <v>154</v>
      </c>
      <c r="V49" s="18" t="s">
        <v>154</v>
      </c>
    </row>
    <row r="50" spans="1:22" x14ac:dyDescent="0.25">
      <c r="A50" s="11" t="s">
        <v>183</v>
      </c>
      <c r="B50" s="13">
        <v>11795</v>
      </c>
      <c r="C50" s="14">
        <f>(9867/B50*100)</f>
        <v>83.654090716405264</v>
      </c>
      <c r="D50" s="15">
        <v>1928</v>
      </c>
      <c r="E50" s="14">
        <v>38.535214279999998</v>
      </c>
      <c r="F50" s="16">
        <v>1.4783918199999999</v>
      </c>
      <c r="G50" s="14">
        <v>17.252392759999999</v>
      </c>
      <c r="H50" s="16">
        <v>1.1025784199999999</v>
      </c>
      <c r="I50" s="14">
        <v>1.3076166899999999</v>
      </c>
      <c r="J50" s="16">
        <v>0.34743995</v>
      </c>
      <c r="K50" s="14">
        <v>42.904776269999999</v>
      </c>
      <c r="L50" s="16">
        <v>1.4922429699999999</v>
      </c>
      <c r="M50" s="14" t="s">
        <v>139</v>
      </c>
      <c r="N50" s="16" t="s">
        <v>139</v>
      </c>
      <c r="O50" s="14">
        <v>0</v>
      </c>
      <c r="P50" s="16">
        <v>0</v>
      </c>
      <c r="Q50" s="14">
        <v>0</v>
      </c>
      <c r="R50" s="16">
        <v>0</v>
      </c>
      <c r="S50" s="14">
        <v>0</v>
      </c>
      <c r="T50" s="16">
        <v>0</v>
      </c>
      <c r="U50" s="14">
        <v>0</v>
      </c>
      <c r="V50" s="16">
        <v>0</v>
      </c>
    </row>
    <row r="51" spans="1:22" x14ac:dyDescent="0.25">
      <c r="A51" s="11" t="s">
        <v>184</v>
      </c>
      <c r="B51" s="13">
        <v>6866</v>
      </c>
      <c r="C51" s="14">
        <f>(5870/B51*100)</f>
        <v>85.493737256044284</v>
      </c>
      <c r="D51" s="15">
        <v>996</v>
      </c>
      <c r="E51" s="14">
        <v>32.152015179999999</v>
      </c>
      <c r="F51" s="16">
        <v>1.45982206</v>
      </c>
      <c r="G51" s="14">
        <v>11.7229609</v>
      </c>
      <c r="H51" s="16">
        <v>1.1126704700000001</v>
      </c>
      <c r="I51" s="14">
        <v>1.4478395500000001</v>
      </c>
      <c r="J51" s="16">
        <v>0.39565265999999999</v>
      </c>
      <c r="K51" s="14">
        <v>54.677184369999999</v>
      </c>
      <c r="L51" s="16">
        <v>1.7536471899999999</v>
      </c>
      <c r="M51" s="14" t="s">
        <v>139</v>
      </c>
      <c r="N51" s="16" t="s">
        <v>139</v>
      </c>
      <c r="O51" s="14">
        <v>0</v>
      </c>
      <c r="P51" s="16">
        <v>0</v>
      </c>
      <c r="Q51" s="14">
        <v>0</v>
      </c>
      <c r="R51" s="16">
        <v>0</v>
      </c>
      <c r="S51" s="14">
        <v>0</v>
      </c>
      <c r="T51" s="16">
        <v>0</v>
      </c>
      <c r="U51" s="14">
        <v>0</v>
      </c>
      <c r="V51" s="16">
        <v>0</v>
      </c>
    </row>
    <row r="52" spans="1:22" x14ac:dyDescent="0.25">
      <c r="A52" s="11" t="s">
        <v>185</v>
      </c>
      <c r="B52" s="13">
        <v>5809</v>
      </c>
      <c r="C52" s="14">
        <f>(4842/B52*100)</f>
        <v>83.353417111378889</v>
      </c>
      <c r="D52" s="15">
        <v>967</v>
      </c>
      <c r="E52" s="14">
        <v>21.357787160000001</v>
      </c>
      <c r="F52" s="16">
        <v>1.3425042700000001</v>
      </c>
      <c r="G52" s="14">
        <v>12.82118281</v>
      </c>
      <c r="H52" s="16">
        <v>1.0391064800000001</v>
      </c>
      <c r="I52" s="14">
        <v>0.84267027999999999</v>
      </c>
      <c r="J52" s="16">
        <v>0.30603113999999998</v>
      </c>
      <c r="K52" s="14">
        <v>64.978359760000004</v>
      </c>
      <c r="L52" s="16">
        <v>1.53018352</v>
      </c>
      <c r="M52" s="14" t="s">
        <v>139</v>
      </c>
      <c r="N52" s="16" t="s">
        <v>139</v>
      </c>
      <c r="O52" s="14">
        <v>0</v>
      </c>
      <c r="P52" s="16">
        <v>0</v>
      </c>
      <c r="Q52" s="14">
        <v>0</v>
      </c>
      <c r="R52" s="16">
        <v>0</v>
      </c>
      <c r="S52" s="14">
        <v>0</v>
      </c>
      <c r="T52" s="16">
        <v>0</v>
      </c>
      <c r="U52" s="14">
        <v>0</v>
      </c>
      <c r="V52" s="16">
        <v>0</v>
      </c>
    </row>
    <row r="53" spans="1:22" x14ac:dyDescent="0.25">
      <c r="A53" s="11" t="s">
        <v>186</v>
      </c>
      <c r="B53" s="13">
        <v>5571</v>
      </c>
      <c r="C53" s="14">
        <f>(4658/B53*100)</f>
        <v>83.611559863579259</v>
      </c>
      <c r="D53" s="15">
        <v>913</v>
      </c>
      <c r="E53" s="14">
        <v>35.23296251</v>
      </c>
      <c r="F53" s="16">
        <v>1.47240302</v>
      </c>
      <c r="G53" s="14">
        <v>11.597300450000001</v>
      </c>
      <c r="H53" s="16">
        <v>1.0602861400000001</v>
      </c>
      <c r="I53" s="14">
        <v>1.71943844</v>
      </c>
      <c r="J53" s="16">
        <v>0.43333738999999999</v>
      </c>
      <c r="K53" s="14">
        <v>51.450298600000004</v>
      </c>
      <c r="L53" s="16">
        <v>1.8185494499999999</v>
      </c>
      <c r="M53" s="14" t="s">
        <v>139</v>
      </c>
      <c r="N53" s="16" t="s">
        <v>139</v>
      </c>
      <c r="O53" s="14">
        <v>0</v>
      </c>
      <c r="P53" s="16">
        <v>0</v>
      </c>
      <c r="Q53" s="14">
        <v>0</v>
      </c>
      <c r="R53" s="16">
        <v>0</v>
      </c>
      <c r="S53" s="14">
        <v>0</v>
      </c>
      <c r="T53" s="16">
        <v>0</v>
      </c>
      <c r="U53" s="14">
        <v>0</v>
      </c>
      <c r="V53" s="16">
        <v>0</v>
      </c>
    </row>
    <row r="54" spans="1:22" x14ac:dyDescent="0.25">
      <c r="A54" s="11" t="s">
        <v>187</v>
      </c>
      <c r="B54" s="17" t="s">
        <v>154</v>
      </c>
      <c r="C54" s="17" t="s">
        <v>154</v>
      </c>
      <c r="D54" s="18" t="s">
        <v>154</v>
      </c>
      <c r="E54" s="17" t="s">
        <v>154</v>
      </c>
      <c r="F54" s="18" t="s">
        <v>154</v>
      </c>
      <c r="G54" s="17" t="s">
        <v>154</v>
      </c>
      <c r="H54" s="18" t="s">
        <v>154</v>
      </c>
      <c r="I54" s="17" t="s">
        <v>154</v>
      </c>
      <c r="J54" s="18" t="s">
        <v>154</v>
      </c>
      <c r="K54" s="17" t="s">
        <v>154</v>
      </c>
      <c r="L54" s="18" t="s">
        <v>154</v>
      </c>
      <c r="M54" s="17" t="s">
        <v>154</v>
      </c>
      <c r="N54" s="18" t="s">
        <v>154</v>
      </c>
      <c r="O54" s="17" t="s">
        <v>154</v>
      </c>
      <c r="P54" s="18" t="s">
        <v>154</v>
      </c>
      <c r="Q54" s="17" t="s">
        <v>154</v>
      </c>
      <c r="R54" s="18" t="s">
        <v>154</v>
      </c>
      <c r="S54" s="17" t="s">
        <v>154</v>
      </c>
      <c r="T54" s="18" t="s">
        <v>154</v>
      </c>
      <c r="U54" s="17" t="s">
        <v>154</v>
      </c>
      <c r="V54" s="18" t="s">
        <v>154</v>
      </c>
    </row>
    <row r="55" spans="1:22" x14ac:dyDescent="0.25">
      <c r="A55" s="11" t="s">
        <v>188</v>
      </c>
      <c r="B55" s="17" t="s">
        <v>154</v>
      </c>
      <c r="C55" s="17" t="s">
        <v>154</v>
      </c>
      <c r="D55" s="18" t="s">
        <v>154</v>
      </c>
      <c r="E55" s="17" t="s">
        <v>154</v>
      </c>
      <c r="F55" s="18" t="s">
        <v>154</v>
      </c>
      <c r="G55" s="17" t="s">
        <v>154</v>
      </c>
      <c r="H55" s="18" t="s">
        <v>154</v>
      </c>
      <c r="I55" s="17" t="s">
        <v>154</v>
      </c>
      <c r="J55" s="18" t="s">
        <v>154</v>
      </c>
      <c r="K55" s="17" t="s">
        <v>154</v>
      </c>
      <c r="L55" s="18" t="s">
        <v>154</v>
      </c>
      <c r="M55" s="17" t="s">
        <v>154</v>
      </c>
      <c r="N55" s="18" t="s">
        <v>154</v>
      </c>
      <c r="O55" s="17" t="s">
        <v>154</v>
      </c>
      <c r="P55" s="18" t="s">
        <v>154</v>
      </c>
      <c r="Q55" s="17" t="s">
        <v>154</v>
      </c>
      <c r="R55" s="18" t="s">
        <v>154</v>
      </c>
      <c r="S55" s="17" t="s">
        <v>154</v>
      </c>
      <c r="T55" s="18" t="s">
        <v>154</v>
      </c>
      <c r="U55" s="17" t="s">
        <v>154</v>
      </c>
      <c r="V55" s="18" t="s">
        <v>154</v>
      </c>
    </row>
    <row r="56" spans="1:22" x14ac:dyDescent="0.25">
      <c r="A56" s="11" t="s">
        <v>189</v>
      </c>
      <c r="B56" s="13">
        <v>5359</v>
      </c>
      <c r="C56" s="14">
        <f>(4453/B56*100)</f>
        <v>83.093860794924424</v>
      </c>
      <c r="D56" s="15">
        <v>906</v>
      </c>
      <c r="E56" s="14">
        <v>9.65225461</v>
      </c>
      <c r="F56" s="16">
        <v>1.1844908700000001</v>
      </c>
      <c r="G56" s="14">
        <v>12.260312559999999</v>
      </c>
      <c r="H56" s="16">
        <v>1.23966916</v>
      </c>
      <c r="I56" s="14">
        <v>1.0445716700000001</v>
      </c>
      <c r="J56" s="16">
        <v>0.38276653999999999</v>
      </c>
      <c r="K56" s="14">
        <v>77.042861160000001</v>
      </c>
      <c r="L56" s="16">
        <v>1.95725393</v>
      </c>
      <c r="M56" s="14" t="s">
        <v>139</v>
      </c>
      <c r="N56" s="16" t="s">
        <v>139</v>
      </c>
      <c r="O56" s="14">
        <v>0</v>
      </c>
      <c r="P56" s="16">
        <v>0</v>
      </c>
      <c r="Q56" s="14">
        <v>0</v>
      </c>
      <c r="R56" s="16">
        <v>0</v>
      </c>
      <c r="S56" s="14">
        <v>0</v>
      </c>
      <c r="T56" s="16">
        <v>0</v>
      </c>
      <c r="U56" s="14">
        <v>0</v>
      </c>
      <c r="V56" s="16">
        <v>0</v>
      </c>
    </row>
    <row r="57" spans="1:22" x14ac:dyDescent="0.25">
      <c r="A57" s="11" t="s">
        <v>190</v>
      </c>
      <c r="B57" s="17" t="s">
        <v>154</v>
      </c>
      <c r="C57" s="17" t="s">
        <v>154</v>
      </c>
      <c r="D57" s="18" t="s">
        <v>154</v>
      </c>
      <c r="E57" s="17" t="s">
        <v>154</v>
      </c>
      <c r="F57" s="18" t="s">
        <v>154</v>
      </c>
      <c r="G57" s="17" t="s">
        <v>154</v>
      </c>
      <c r="H57" s="18" t="s">
        <v>154</v>
      </c>
      <c r="I57" s="17" t="s">
        <v>154</v>
      </c>
      <c r="J57" s="18" t="s">
        <v>154</v>
      </c>
      <c r="K57" s="17" t="s">
        <v>154</v>
      </c>
      <c r="L57" s="18" t="s">
        <v>154</v>
      </c>
      <c r="M57" s="17" t="s">
        <v>154</v>
      </c>
      <c r="N57" s="18" t="s">
        <v>154</v>
      </c>
      <c r="O57" s="17" t="s">
        <v>154</v>
      </c>
      <c r="P57" s="18" t="s">
        <v>154</v>
      </c>
      <c r="Q57" s="17" t="s">
        <v>154</v>
      </c>
      <c r="R57" s="18" t="s">
        <v>154</v>
      </c>
      <c r="S57" s="17" t="s">
        <v>154</v>
      </c>
      <c r="T57" s="18" t="s">
        <v>154</v>
      </c>
      <c r="U57" s="17" t="s">
        <v>154</v>
      </c>
      <c r="V57" s="18" t="s">
        <v>154</v>
      </c>
    </row>
    <row r="58" spans="1:22" x14ac:dyDescent="0.25">
      <c r="A58" s="11" t="s">
        <v>191</v>
      </c>
      <c r="B58" s="17" t="s">
        <v>154</v>
      </c>
      <c r="C58" s="17" t="s">
        <v>154</v>
      </c>
      <c r="D58" s="18" t="s">
        <v>154</v>
      </c>
      <c r="E58" s="17" t="s">
        <v>154</v>
      </c>
      <c r="F58" s="18" t="s">
        <v>154</v>
      </c>
      <c r="G58" s="17" t="s">
        <v>154</v>
      </c>
      <c r="H58" s="18" t="s">
        <v>154</v>
      </c>
      <c r="I58" s="17" t="s">
        <v>154</v>
      </c>
      <c r="J58" s="18" t="s">
        <v>154</v>
      </c>
      <c r="K58" s="17" t="s">
        <v>154</v>
      </c>
      <c r="L58" s="18" t="s">
        <v>154</v>
      </c>
      <c r="M58" s="17" t="s">
        <v>154</v>
      </c>
      <c r="N58" s="18" t="s">
        <v>154</v>
      </c>
      <c r="O58" s="17" t="s">
        <v>154</v>
      </c>
      <c r="P58" s="18" t="s">
        <v>154</v>
      </c>
      <c r="Q58" s="17" t="s">
        <v>154</v>
      </c>
      <c r="R58" s="18" t="s">
        <v>154</v>
      </c>
      <c r="S58" s="17" t="s">
        <v>154</v>
      </c>
      <c r="T58" s="18" t="s">
        <v>154</v>
      </c>
      <c r="U58" s="17" t="s">
        <v>154</v>
      </c>
      <c r="V58" s="18" t="s">
        <v>154</v>
      </c>
    </row>
    <row r="59" spans="1:22" x14ac:dyDescent="0.25">
      <c r="A59" s="11" t="s">
        <v>192</v>
      </c>
      <c r="B59" s="17" t="s">
        <v>154</v>
      </c>
      <c r="C59" s="17" t="s">
        <v>154</v>
      </c>
      <c r="D59" s="18" t="s">
        <v>154</v>
      </c>
      <c r="E59" s="17" t="s">
        <v>154</v>
      </c>
      <c r="F59" s="18" t="s">
        <v>154</v>
      </c>
      <c r="G59" s="17" t="s">
        <v>154</v>
      </c>
      <c r="H59" s="18" t="s">
        <v>154</v>
      </c>
      <c r="I59" s="17" t="s">
        <v>154</v>
      </c>
      <c r="J59" s="18" t="s">
        <v>154</v>
      </c>
      <c r="K59" s="17" t="s">
        <v>154</v>
      </c>
      <c r="L59" s="18" t="s">
        <v>154</v>
      </c>
      <c r="M59" s="17" t="s">
        <v>154</v>
      </c>
      <c r="N59" s="18" t="s">
        <v>154</v>
      </c>
      <c r="O59" s="17" t="s">
        <v>154</v>
      </c>
      <c r="P59" s="18" t="s">
        <v>154</v>
      </c>
      <c r="Q59" s="17" t="s">
        <v>154</v>
      </c>
      <c r="R59" s="18" t="s">
        <v>154</v>
      </c>
      <c r="S59" s="17" t="s">
        <v>154</v>
      </c>
      <c r="T59" s="18" t="s">
        <v>154</v>
      </c>
      <c r="U59" s="17" t="s">
        <v>154</v>
      </c>
      <c r="V59" s="18" t="s">
        <v>154</v>
      </c>
    </row>
    <row r="60" spans="1:22" x14ac:dyDescent="0.25">
      <c r="A60" s="11" t="s">
        <v>193</v>
      </c>
      <c r="B60" s="17" t="s">
        <v>154</v>
      </c>
      <c r="C60" s="17" t="s">
        <v>154</v>
      </c>
      <c r="D60" s="18" t="s">
        <v>154</v>
      </c>
      <c r="E60" s="17" t="s">
        <v>154</v>
      </c>
      <c r="F60" s="18" t="s">
        <v>154</v>
      </c>
      <c r="G60" s="17" t="s">
        <v>154</v>
      </c>
      <c r="H60" s="18" t="s">
        <v>154</v>
      </c>
      <c r="I60" s="17" t="s">
        <v>154</v>
      </c>
      <c r="J60" s="18" t="s">
        <v>154</v>
      </c>
      <c r="K60" s="17" t="s">
        <v>154</v>
      </c>
      <c r="L60" s="18" t="s">
        <v>154</v>
      </c>
      <c r="M60" s="17" t="s">
        <v>154</v>
      </c>
      <c r="N60" s="18" t="s">
        <v>154</v>
      </c>
      <c r="O60" s="17" t="s">
        <v>154</v>
      </c>
      <c r="P60" s="18" t="s">
        <v>154</v>
      </c>
      <c r="Q60" s="17" t="s">
        <v>154</v>
      </c>
      <c r="R60" s="18" t="s">
        <v>154</v>
      </c>
      <c r="S60" s="17" t="s">
        <v>154</v>
      </c>
      <c r="T60" s="18" t="s">
        <v>154</v>
      </c>
      <c r="U60" s="17" t="s">
        <v>154</v>
      </c>
      <c r="V60" s="18" t="s">
        <v>154</v>
      </c>
    </row>
    <row r="61" spans="1:22" x14ac:dyDescent="0.25">
      <c r="A61" s="11" t="s">
        <v>194</v>
      </c>
      <c r="B61" s="13">
        <v>6525</v>
      </c>
      <c r="C61" s="14">
        <f>(5437/B61*100)</f>
        <v>83.325670498084293</v>
      </c>
      <c r="D61" s="15">
        <v>1088</v>
      </c>
      <c r="E61" s="14">
        <v>19.39534317</v>
      </c>
      <c r="F61" s="16">
        <v>1.24125682</v>
      </c>
      <c r="G61" s="14">
        <v>10.93969654</v>
      </c>
      <c r="H61" s="16">
        <v>0.96826407999999997</v>
      </c>
      <c r="I61" s="14">
        <v>2.3003088200000001</v>
      </c>
      <c r="J61" s="16">
        <v>0.47597334000000002</v>
      </c>
      <c r="K61" s="14">
        <v>67.364651469999998</v>
      </c>
      <c r="L61" s="16">
        <v>1.4866253599999999</v>
      </c>
      <c r="M61" s="14" t="s">
        <v>139</v>
      </c>
      <c r="N61" s="16" t="s">
        <v>139</v>
      </c>
      <c r="O61" s="14">
        <v>0</v>
      </c>
      <c r="P61" s="16">
        <v>0</v>
      </c>
      <c r="Q61" s="14">
        <v>0</v>
      </c>
      <c r="R61" s="16">
        <v>0</v>
      </c>
      <c r="S61" s="14">
        <v>0</v>
      </c>
      <c r="T61" s="16">
        <v>0</v>
      </c>
      <c r="U61" s="14">
        <v>0</v>
      </c>
      <c r="V61" s="16">
        <v>0</v>
      </c>
    </row>
    <row r="62" spans="1:22" x14ac:dyDescent="0.25">
      <c r="A62" s="11" t="s">
        <v>195</v>
      </c>
      <c r="B62" s="13">
        <v>4476</v>
      </c>
      <c r="C62" s="14">
        <f>(3710/B62*100)</f>
        <v>82.886505808757818</v>
      </c>
      <c r="D62" s="15">
        <v>766</v>
      </c>
      <c r="E62" s="14">
        <v>10.227068210000001</v>
      </c>
      <c r="F62" s="16">
        <v>1.1539572300000001</v>
      </c>
      <c r="G62" s="14">
        <v>8.5162572799999996</v>
      </c>
      <c r="H62" s="16">
        <v>0.95402701999999995</v>
      </c>
      <c r="I62" s="14">
        <v>0.77844395</v>
      </c>
      <c r="J62" s="16">
        <v>0.31495815999999999</v>
      </c>
      <c r="K62" s="14">
        <v>80.47823056</v>
      </c>
      <c r="L62" s="16">
        <v>1.2240554800000001</v>
      </c>
      <c r="M62" s="14" t="s">
        <v>139</v>
      </c>
      <c r="N62" s="16" t="s">
        <v>139</v>
      </c>
      <c r="O62" s="14">
        <v>0</v>
      </c>
      <c r="P62" s="16">
        <v>0</v>
      </c>
      <c r="Q62" s="14">
        <v>0</v>
      </c>
      <c r="R62" s="16">
        <v>0</v>
      </c>
      <c r="S62" s="14">
        <v>0</v>
      </c>
      <c r="T62" s="16">
        <v>0</v>
      </c>
      <c r="U62" s="14">
        <v>0</v>
      </c>
      <c r="V62" s="16">
        <v>0</v>
      </c>
    </row>
    <row r="63" spans="1:22" x14ac:dyDescent="0.25">
      <c r="A63" s="11" t="s">
        <v>196</v>
      </c>
      <c r="B63" s="17" t="s">
        <v>154</v>
      </c>
      <c r="C63" s="17" t="s">
        <v>154</v>
      </c>
      <c r="D63" s="18" t="s">
        <v>154</v>
      </c>
      <c r="E63" s="17" t="s">
        <v>154</v>
      </c>
      <c r="F63" s="18" t="s">
        <v>154</v>
      </c>
      <c r="G63" s="17" t="s">
        <v>154</v>
      </c>
      <c r="H63" s="18" t="s">
        <v>154</v>
      </c>
      <c r="I63" s="17" t="s">
        <v>154</v>
      </c>
      <c r="J63" s="18" t="s">
        <v>154</v>
      </c>
      <c r="K63" s="17" t="s">
        <v>154</v>
      </c>
      <c r="L63" s="18" t="s">
        <v>154</v>
      </c>
      <c r="M63" s="17" t="s">
        <v>154</v>
      </c>
      <c r="N63" s="18" t="s">
        <v>154</v>
      </c>
      <c r="O63" s="17" t="s">
        <v>154</v>
      </c>
      <c r="P63" s="18" t="s">
        <v>154</v>
      </c>
      <c r="Q63" s="17" t="s">
        <v>154</v>
      </c>
      <c r="R63" s="18" t="s">
        <v>154</v>
      </c>
      <c r="S63" s="17" t="s">
        <v>154</v>
      </c>
      <c r="T63" s="18" t="s">
        <v>154</v>
      </c>
      <c r="U63" s="17" t="s">
        <v>154</v>
      </c>
      <c r="V63" s="18" t="s">
        <v>154</v>
      </c>
    </row>
    <row r="64" spans="1:22" x14ac:dyDescent="0.25">
      <c r="A64" s="11" t="s">
        <v>197</v>
      </c>
      <c r="B64" s="17" t="s">
        <v>154</v>
      </c>
      <c r="C64" s="17" t="s">
        <v>154</v>
      </c>
      <c r="D64" s="18" t="s">
        <v>154</v>
      </c>
      <c r="E64" s="17" t="s">
        <v>154</v>
      </c>
      <c r="F64" s="18" t="s">
        <v>154</v>
      </c>
      <c r="G64" s="17" t="s">
        <v>154</v>
      </c>
      <c r="H64" s="18" t="s">
        <v>154</v>
      </c>
      <c r="I64" s="17" t="s">
        <v>154</v>
      </c>
      <c r="J64" s="18" t="s">
        <v>154</v>
      </c>
      <c r="K64" s="17" t="s">
        <v>154</v>
      </c>
      <c r="L64" s="18" t="s">
        <v>154</v>
      </c>
      <c r="M64" s="17" t="s">
        <v>154</v>
      </c>
      <c r="N64" s="18" t="s">
        <v>154</v>
      </c>
      <c r="O64" s="17" t="s">
        <v>154</v>
      </c>
      <c r="P64" s="18" t="s">
        <v>154</v>
      </c>
      <c r="Q64" s="17" t="s">
        <v>154</v>
      </c>
      <c r="R64" s="18" t="s">
        <v>154</v>
      </c>
      <c r="S64" s="17" t="s">
        <v>154</v>
      </c>
      <c r="T64" s="18" t="s">
        <v>154</v>
      </c>
      <c r="U64" s="17" t="s">
        <v>154</v>
      </c>
      <c r="V64" s="18" t="s">
        <v>154</v>
      </c>
    </row>
    <row r="65" spans="1:22" x14ac:dyDescent="0.25">
      <c r="A65" s="11" t="s">
        <v>198</v>
      </c>
      <c r="B65" s="17" t="s">
        <v>154</v>
      </c>
      <c r="C65" s="17" t="s">
        <v>154</v>
      </c>
      <c r="D65" s="18" t="s">
        <v>154</v>
      </c>
      <c r="E65" s="17" t="s">
        <v>154</v>
      </c>
      <c r="F65" s="18" t="s">
        <v>154</v>
      </c>
      <c r="G65" s="17" t="s">
        <v>154</v>
      </c>
      <c r="H65" s="18" t="s">
        <v>154</v>
      </c>
      <c r="I65" s="17" t="s">
        <v>154</v>
      </c>
      <c r="J65" s="18" t="s">
        <v>154</v>
      </c>
      <c r="K65" s="17" t="s">
        <v>154</v>
      </c>
      <c r="L65" s="18" t="s">
        <v>154</v>
      </c>
      <c r="M65" s="17" t="s">
        <v>154</v>
      </c>
      <c r="N65" s="18" t="s">
        <v>154</v>
      </c>
      <c r="O65" s="17" t="s">
        <v>154</v>
      </c>
      <c r="P65" s="18" t="s">
        <v>154</v>
      </c>
      <c r="Q65" s="17" t="s">
        <v>154</v>
      </c>
      <c r="R65" s="18" t="s">
        <v>154</v>
      </c>
      <c r="S65" s="17" t="s">
        <v>154</v>
      </c>
      <c r="T65" s="18" t="s">
        <v>154</v>
      </c>
      <c r="U65" s="17" t="s">
        <v>154</v>
      </c>
      <c r="V65" s="18" t="s">
        <v>154</v>
      </c>
    </row>
    <row r="66" spans="1:22" x14ac:dyDescent="0.25">
      <c r="A66" s="11" t="s">
        <v>199</v>
      </c>
      <c r="B66" s="13">
        <v>5665</v>
      </c>
      <c r="C66" s="14">
        <f>(4745/B66*100)</f>
        <v>83.759929390997357</v>
      </c>
      <c r="D66" s="15">
        <v>920</v>
      </c>
      <c r="E66" s="14">
        <v>36.936811040000002</v>
      </c>
      <c r="F66" s="16">
        <v>1.5199408999999999</v>
      </c>
      <c r="G66" s="14">
        <v>14.83483876</v>
      </c>
      <c r="H66" s="16">
        <v>1.1356850199999999</v>
      </c>
      <c r="I66" s="14">
        <v>1.01107945</v>
      </c>
      <c r="J66" s="16">
        <v>0.32641534</v>
      </c>
      <c r="K66" s="14">
        <v>47.217270759999998</v>
      </c>
      <c r="L66" s="16">
        <v>1.6745302099999999</v>
      </c>
      <c r="M66" s="14" t="s">
        <v>139</v>
      </c>
      <c r="N66" s="16" t="s">
        <v>139</v>
      </c>
      <c r="O66" s="14">
        <v>0</v>
      </c>
      <c r="P66" s="16">
        <v>0</v>
      </c>
      <c r="Q66" s="14">
        <v>0</v>
      </c>
      <c r="R66" s="16">
        <v>0</v>
      </c>
      <c r="S66" s="14">
        <v>0</v>
      </c>
      <c r="T66" s="16">
        <v>0</v>
      </c>
      <c r="U66" s="14">
        <v>0</v>
      </c>
      <c r="V66" s="16">
        <v>0</v>
      </c>
    </row>
    <row r="67" spans="1:22" x14ac:dyDescent="0.25">
      <c r="A67" s="11" t="s">
        <v>200</v>
      </c>
      <c r="B67" s="13">
        <v>6971</v>
      </c>
      <c r="C67" s="14">
        <f>(5950/B67*100)</f>
        <v>85.353607803758422</v>
      </c>
      <c r="D67" s="15">
        <v>1021</v>
      </c>
      <c r="E67" s="14">
        <v>39.298870829999998</v>
      </c>
      <c r="F67" s="16">
        <v>1.9818774100000001</v>
      </c>
      <c r="G67" s="14">
        <v>18.424085089999998</v>
      </c>
      <c r="H67" s="16">
        <v>1.14030367</v>
      </c>
      <c r="I67" s="14">
        <v>1.61613655</v>
      </c>
      <c r="J67" s="16">
        <v>0.36846395999999998</v>
      </c>
      <c r="K67" s="14">
        <v>40.660907530000003</v>
      </c>
      <c r="L67" s="16">
        <v>1.74058932</v>
      </c>
      <c r="M67" s="14" t="s">
        <v>139</v>
      </c>
      <c r="N67" s="16" t="s">
        <v>139</v>
      </c>
      <c r="O67" s="14">
        <v>0</v>
      </c>
      <c r="P67" s="16">
        <v>0</v>
      </c>
      <c r="Q67" s="14">
        <v>0</v>
      </c>
      <c r="R67" s="16">
        <v>0</v>
      </c>
      <c r="S67" s="14">
        <v>0</v>
      </c>
      <c r="T67" s="16">
        <v>0</v>
      </c>
      <c r="U67" s="14">
        <v>0</v>
      </c>
      <c r="V67" s="16">
        <v>0</v>
      </c>
    </row>
    <row r="68" spans="1:22" x14ac:dyDescent="0.25">
      <c r="A68" s="11" t="s">
        <v>201</v>
      </c>
      <c r="B68" s="17" t="s">
        <v>154</v>
      </c>
      <c r="C68" s="17" t="s">
        <v>154</v>
      </c>
      <c r="D68" s="18" t="s">
        <v>154</v>
      </c>
      <c r="E68" s="17" t="s">
        <v>154</v>
      </c>
      <c r="F68" s="18" t="s">
        <v>154</v>
      </c>
      <c r="G68" s="17" t="s">
        <v>154</v>
      </c>
      <c r="H68" s="18" t="s">
        <v>154</v>
      </c>
      <c r="I68" s="17" t="s">
        <v>154</v>
      </c>
      <c r="J68" s="18" t="s">
        <v>154</v>
      </c>
      <c r="K68" s="17" t="s">
        <v>154</v>
      </c>
      <c r="L68" s="18" t="s">
        <v>154</v>
      </c>
      <c r="M68" s="17" t="s">
        <v>154</v>
      </c>
      <c r="N68" s="18" t="s">
        <v>154</v>
      </c>
      <c r="O68" s="17" t="s">
        <v>154</v>
      </c>
      <c r="P68" s="18" t="s">
        <v>154</v>
      </c>
      <c r="Q68" s="17" t="s">
        <v>154</v>
      </c>
      <c r="R68" s="18" t="s">
        <v>154</v>
      </c>
      <c r="S68" s="17" t="s">
        <v>154</v>
      </c>
      <c r="T68" s="18" t="s">
        <v>154</v>
      </c>
      <c r="U68" s="17" t="s">
        <v>154</v>
      </c>
      <c r="V68" s="18" t="s">
        <v>154</v>
      </c>
    </row>
    <row r="69" spans="1:22" x14ac:dyDescent="0.25">
      <c r="A69" s="11" t="s">
        <v>202</v>
      </c>
      <c r="B69" s="17" t="s">
        <v>154</v>
      </c>
      <c r="C69" s="17" t="s">
        <v>154</v>
      </c>
      <c r="D69" s="18" t="s">
        <v>154</v>
      </c>
      <c r="E69" s="17" t="s">
        <v>154</v>
      </c>
      <c r="F69" s="18" t="s">
        <v>154</v>
      </c>
      <c r="G69" s="17" t="s">
        <v>154</v>
      </c>
      <c r="H69" s="18" t="s">
        <v>154</v>
      </c>
      <c r="I69" s="17" t="s">
        <v>154</v>
      </c>
      <c r="J69" s="18" t="s">
        <v>154</v>
      </c>
      <c r="K69" s="17" t="s">
        <v>154</v>
      </c>
      <c r="L69" s="18" t="s">
        <v>154</v>
      </c>
      <c r="M69" s="17" t="s">
        <v>154</v>
      </c>
      <c r="N69" s="18" t="s">
        <v>154</v>
      </c>
      <c r="O69" s="17" t="s">
        <v>154</v>
      </c>
      <c r="P69" s="18" t="s">
        <v>154</v>
      </c>
      <c r="Q69" s="17" t="s">
        <v>154</v>
      </c>
      <c r="R69" s="18" t="s">
        <v>154</v>
      </c>
      <c r="S69" s="17" t="s">
        <v>154</v>
      </c>
      <c r="T69" s="18" t="s">
        <v>154</v>
      </c>
      <c r="U69" s="17" t="s">
        <v>154</v>
      </c>
      <c r="V69" s="18" t="s">
        <v>154</v>
      </c>
    </row>
    <row r="70" spans="1:22" x14ac:dyDescent="0.25">
      <c r="A70" s="11" t="s">
        <v>203</v>
      </c>
      <c r="B70" s="13">
        <v>6036</v>
      </c>
      <c r="C70" s="14">
        <f>(5024/B70*100)</f>
        <v>83.233929754804507</v>
      </c>
      <c r="D70" s="15">
        <v>1012</v>
      </c>
      <c r="E70" s="14">
        <v>20.274837609999999</v>
      </c>
      <c r="F70" s="16">
        <v>1.4111400599999999</v>
      </c>
      <c r="G70" s="14">
        <v>8.4767632200000005</v>
      </c>
      <c r="H70" s="16">
        <v>0.92037542000000006</v>
      </c>
      <c r="I70" s="14">
        <v>0.55443286999999997</v>
      </c>
      <c r="J70" s="16">
        <v>0.22153787</v>
      </c>
      <c r="K70" s="14">
        <v>70.6939663</v>
      </c>
      <c r="L70" s="16">
        <v>1.49876962</v>
      </c>
      <c r="M70" s="14" t="s">
        <v>139</v>
      </c>
      <c r="N70" s="16" t="s">
        <v>139</v>
      </c>
      <c r="O70" s="14">
        <v>0</v>
      </c>
      <c r="P70" s="16">
        <v>0</v>
      </c>
      <c r="Q70" s="14">
        <v>0</v>
      </c>
      <c r="R70" s="16">
        <v>0</v>
      </c>
      <c r="S70" s="14">
        <v>0</v>
      </c>
      <c r="T70" s="16">
        <v>0</v>
      </c>
      <c r="U70" s="14">
        <v>0</v>
      </c>
      <c r="V70" s="16">
        <v>0</v>
      </c>
    </row>
    <row r="71" spans="1:22" x14ac:dyDescent="0.25">
      <c r="A71" s="11" t="s">
        <v>204</v>
      </c>
      <c r="B71" s="17" t="s">
        <v>154</v>
      </c>
      <c r="C71" s="17" t="s">
        <v>154</v>
      </c>
      <c r="D71" s="18" t="s">
        <v>154</v>
      </c>
      <c r="E71" s="17" t="s">
        <v>154</v>
      </c>
      <c r="F71" s="18" t="s">
        <v>154</v>
      </c>
      <c r="G71" s="17" t="s">
        <v>154</v>
      </c>
      <c r="H71" s="18" t="s">
        <v>154</v>
      </c>
      <c r="I71" s="17" t="s">
        <v>154</v>
      </c>
      <c r="J71" s="18" t="s">
        <v>154</v>
      </c>
      <c r="K71" s="17" t="s">
        <v>154</v>
      </c>
      <c r="L71" s="18" t="s">
        <v>154</v>
      </c>
      <c r="M71" s="17" t="s">
        <v>154</v>
      </c>
      <c r="N71" s="18" t="s">
        <v>154</v>
      </c>
      <c r="O71" s="17" t="s">
        <v>154</v>
      </c>
      <c r="P71" s="18" t="s">
        <v>154</v>
      </c>
      <c r="Q71" s="17" t="s">
        <v>154</v>
      </c>
      <c r="R71" s="18" t="s">
        <v>154</v>
      </c>
      <c r="S71" s="17" t="s">
        <v>154</v>
      </c>
      <c r="T71" s="18" t="s">
        <v>154</v>
      </c>
      <c r="U71" s="17" t="s">
        <v>154</v>
      </c>
      <c r="V71" s="18" t="s">
        <v>154</v>
      </c>
    </row>
    <row r="72" spans="1:22" x14ac:dyDescent="0.25">
      <c r="A72" s="11" t="s">
        <v>205</v>
      </c>
      <c r="B72" s="13">
        <v>7708</v>
      </c>
      <c r="C72" s="14">
        <f>(6366/B72*100)</f>
        <v>82.589517384535554</v>
      </c>
      <c r="D72" s="15">
        <v>1342</v>
      </c>
      <c r="E72" s="14">
        <v>9.6174418599999996</v>
      </c>
      <c r="F72" s="16">
        <v>0.87469956999999998</v>
      </c>
      <c r="G72" s="14">
        <v>11.37173744</v>
      </c>
      <c r="H72" s="16">
        <v>0.93573578000000002</v>
      </c>
      <c r="I72" s="14">
        <v>1.6733944300000001</v>
      </c>
      <c r="J72" s="16">
        <v>0.42358981000000001</v>
      </c>
      <c r="K72" s="14">
        <v>77.337426269999995</v>
      </c>
      <c r="L72" s="16">
        <v>1.3470814200000001</v>
      </c>
      <c r="M72" s="14" t="s">
        <v>139</v>
      </c>
      <c r="N72" s="16" t="s">
        <v>139</v>
      </c>
      <c r="O72" s="14">
        <v>0</v>
      </c>
      <c r="P72" s="16">
        <v>0</v>
      </c>
      <c r="Q72" s="14">
        <v>0</v>
      </c>
      <c r="R72" s="16">
        <v>0</v>
      </c>
      <c r="S72" s="14">
        <v>0</v>
      </c>
      <c r="T72" s="16">
        <v>0</v>
      </c>
      <c r="U72" s="14">
        <v>0</v>
      </c>
      <c r="V72" s="16">
        <v>0</v>
      </c>
    </row>
    <row r="73" spans="1:22" x14ac:dyDescent="0.25">
      <c r="A73" s="11" t="s">
        <v>206</v>
      </c>
      <c r="B73" s="13">
        <v>8249</v>
      </c>
      <c r="C73" s="14">
        <f>(6930/B73*100)</f>
        <v>84.010183052491215</v>
      </c>
      <c r="D73" s="15">
        <v>1319</v>
      </c>
      <c r="E73" s="14">
        <v>31.04375327</v>
      </c>
      <c r="F73" s="16">
        <v>1.7299230299999999</v>
      </c>
      <c r="G73" s="14">
        <v>26.372112300000001</v>
      </c>
      <c r="H73" s="16">
        <v>1.48480298</v>
      </c>
      <c r="I73" s="14">
        <v>2.07933112</v>
      </c>
      <c r="J73" s="16">
        <v>0.45433837999999999</v>
      </c>
      <c r="K73" s="14">
        <v>40.504803299999999</v>
      </c>
      <c r="L73" s="16">
        <v>2.0234358700000001</v>
      </c>
      <c r="M73" s="14" t="s">
        <v>139</v>
      </c>
      <c r="N73" s="16" t="s">
        <v>139</v>
      </c>
      <c r="O73" s="14">
        <v>0</v>
      </c>
      <c r="P73" s="16">
        <v>0</v>
      </c>
      <c r="Q73" s="14">
        <v>0</v>
      </c>
      <c r="R73" s="16">
        <v>0</v>
      </c>
      <c r="S73" s="14">
        <v>0</v>
      </c>
      <c r="T73" s="16">
        <v>0</v>
      </c>
      <c r="U73" s="14">
        <v>0</v>
      </c>
      <c r="V73" s="16">
        <v>0</v>
      </c>
    </row>
    <row r="74" spans="1:22" x14ac:dyDescent="0.25">
      <c r="A74" s="11" t="s">
        <v>207</v>
      </c>
      <c r="B74" s="17" t="s">
        <v>154</v>
      </c>
      <c r="C74" s="17" t="s">
        <v>154</v>
      </c>
      <c r="D74" s="18" t="s">
        <v>154</v>
      </c>
      <c r="E74" s="17" t="s">
        <v>154</v>
      </c>
      <c r="F74" s="18" t="s">
        <v>154</v>
      </c>
      <c r="G74" s="17" t="s">
        <v>154</v>
      </c>
      <c r="H74" s="18" t="s">
        <v>154</v>
      </c>
      <c r="I74" s="17" t="s">
        <v>154</v>
      </c>
      <c r="J74" s="18" t="s">
        <v>154</v>
      </c>
      <c r="K74" s="17" t="s">
        <v>154</v>
      </c>
      <c r="L74" s="18" t="s">
        <v>154</v>
      </c>
      <c r="M74" s="17" t="s">
        <v>154</v>
      </c>
      <c r="N74" s="18" t="s">
        <v>154</v>
      </c>
      <c r="O74" s="17" t="s">
        <v>154</v>
      </c>
      <c r="P74" s="18" t="s">
        <v>154</v>
      </c>
      <c r="Q74" s="17" t="s">
        <v>154</v>
      </c>
      <c r="R74" s="18" t="s">
        <v>154</v>
      </c>
      <c r="S74" s="17" t="s">
        <v>154</v>
      </c>
      <c r="T74" s="18" t="s">
        <v>154</v>
      </c>
      <c r="U74" s="17" t="s">
        <v>154</v>
      </c>
      <c r="V74" s="18" t="s">
        <v>154</v>
      </c>
    </row>
    <row r="75" spans="1:22" x14ac:dyDescent="0.25">
      <c r="A75" s="11" t="s">
        <v>208</v>
      </c>
      <c r="B75" s="13">
        <v>5375</v>
      </c>
      <c r="C75" s="14">
        <f>(4570/B75*100)</f>
        <v>85.023255813953497</v>
      </c>
      <c r="D75" s="15">
        <v>805</v>
      </c>
      <c r="E75" s="14">
        <v>48.253675389999998</v>
      </c>
      <c r="F75" s="16">
        <v>1.87307475</v>
      </c>
      <c r="G75" s="14">
        <v>21.73573974</v>
      </c>
      <c r="H75" s="16">
        <v>1.55480117</v>
      </c>
      <c r="I75" s="14">
        <v>1.20937519</v>
      </c>
      <c r="J75" s="16">
        <v>0.38293347999999999</v>
      </c>
      <c r="K75" s="14">
        <v>28.80120969</v>
      </c>
      <c r="L75" s="16">
        <v>1.7026205800000001</v>
      </c>
      <c r="M75" s="14" t="s">
        <v>139</v>
      </c>
      <c r="N75" s="16" t="s">
        <v>139</v>
      </c>
      <c r="O75" s="14">
        <v>0</v>
      </c>
      <c r="P75" s="16">
        <v>0</v>
      </c>
      <c r="Q75" s="14">
        <v>0</v>
      </c>
      <c r="R75" s="16">
        <v>0</v>
      </c>
      <c r="S75" s="14">
        <v>0</v>
      </c>
      <c r="T75" s="16">
        <v>0</v>
      </c>
      <c r="U75" s="14">
        <v>0</v>
      </c>
      <c r="V75" s="16">
        <v>0</v>
      </c>
    </row>
    <row r="76" spans="1:22" x14ac:dyDescent="0.25">
      <c r="A76" s="11" t="s">
        <v>209</v>
      </c>
      <c r="B76" s="13">
        <v>14167</v>
      </c>
      <c r="C76" s="14">
        <f>(11781/B76*100)</f>
        <v>83.158043340156709</v>
      </c>
      <c r="D76" s="15">
        <v>2386</v>
      </c>
      <c r="E76" s="14">
        <v>31.192651519999998</v>
      </c>
      <c r="F76" s="16">
        <v>1.31452079</v>
      </c>
      <c r="G76" s="14">
        <v>14.65208619</v>
      </c>
      <c r="H76" s="16">
        <v>1.0041751400000001</v>
      </c>
      <c r="I76" s="14">
        <v>1.1262929500000001</v>
      </c>
      <c r="J76" s="16">
        <v>0.28916765</v>
      </c>
      <c r="K76" s="14">
        <v>53.028969340000003</v>
      </c>
      <c r="L76" s="16">
        <v>1.4217494500000001</v>
      </c>
      <c r="M76" s="14" t="s">
        <v>139</v>
      </c>
      <c r="N76" s="16" t="s">
        <v>139</v>
      </c>
      <c r="O76" s="14">
        <v>0</v>
      </c>
      <c r="P76" s="16">
        <v>0</v>
      </c>
      <c r="Q76" s="14">
        <v>0</v>
      </c>
      <c r="R76" s="16">
        <v>0</v>
      </c>
      <c r="S76" s="14">
        <v>0</v>
      </c>
      <c r="T76" s="16">
        <v>0</v>
      </c>
      <c r="U76" s="14">
        <v>0</v>
      </c>
      <c r="V76" s="16">
        <v>0</v>
      </c>
    </row>
    <row r="77" spans="1:22" x14ac:dyDescent="0.25">
      <c r="A77" s="11" t="s">
        <v>210</v>
      </c>
      <c r="B77" s="13">
        <v>6062</v>
      </c>
      <c r="C77" s="14">
        <f>(5104/B77*100)</f>
        <v>84.196634774001978</v>
      </c>
      <c r="D77" s="15">
        <v>958</v>
      </c>
      <c r="E77" s="14">
        <v>32.859030500000003</v>
      </c>
      <c r="F77" s="16">
        <v>1.8676463599999999</v>
      </c>
      <c r="G77" s="14">
        <v>12.93361926</v>
      </c>
      <c r="H77" s="16">
        <v>1.1067023300000001</v>
      </c>
      <c r="I77" s="14">
        <v>1.0690064699999999</v>
      </c>
      <c r="J77" s="16">
        <v>0.38452196</v>
      </c>
      <c r="K77" s="14">
        <v>53.138343759999998</v>
      </c>
      <c r="L77" s="16">
        <v>1.90384336</v>
      </c>
      <c r="M77" s="14" t="s">
        <v>139</v>
      </c>
      <c r="N77" s="16" t="s">
        <v>139</v>
      </c>
      <c r="O77" s="14">
        <v>0</v>
      </c>
      <c r="P77" s="16">
        <v>0</v>
      </c>
      <c r="Q77" s="14">
        <v>0</v>
      </c>
      <c r="R77" s="16">
        <v>0</v>
      </c>
      <c r="S77" s="14">
        <v>0</v>
      </c>
      <c r="T77" s="16">
        <v>0</v>
      </c>
      <c r="U77" s="14">
        <v>0</v>
      </c>
      <c r="V77" s="16">
        <v>0</v>
      </c>
    </row>
    <row r="78" spans="1:22" x14ac:dyDescent="0.25">
      <c r="A78" s="11" t="s">
        <v>211</v>
      </c>
      <c r="B78" s="17" t="s">
        <v>154</v>
      </c>
      <c r="C78" s="17" t="s">
        <v>154</v>
      </c>
      <c r="D78" s="18" t="s">
        <v>154</v>
      </c>
      <c r="E78" s="17" t="s">
        <v>154</v>
      </c>
      <c r="F78" s="18" t="s">
        <v>154</v>
      </c>
      <c r="G78" s="17" t="s">
        <v>154</v>
      </c>
      <c r="H78" s="18" t="s">
        <v>154</v>
      </c>
      <c r="I78" s="17" t="s">
        <v>154</v>
      </c>
      <c r="J78" s="18" t="s">
        <v>154</v>
      </c>
      <c r="K78" s="17" t="s">
        <v>154</v>
      </c>
      <c r="L78" s="18" t="s">
        <v>154</v>
      </c>
      <c r="M78" s="17" t="s">
        <v>154</v>
      </c>
      <c r="N78" s="18" t="s">
        <v>154</v>
      </c>
      <c r="O78" s="17" t="s">
        <v>154</v>
      </c>
      <c r="P78" s="18" t="s">
        <v>154</v>
      </c>
      <c r="Q78" s="17" t="s">
        <v>154</v>
      </c>
      <c r="R78" s="18" t="s">
        <v>154</v>
      </c>
      <c r="S78" s="17" t="s">
        <v>154</v>
      </c>
      <c r="T78" s="18" t="s">
        <v>154</v>
      </c>
      <c r="U78" s="17" t="s">
        <v>154</v>
      </c>
      <c r="V78" s="18" t="s">
        <v>154</v>
      </c>
    </row>
    <row r="79" spans="1:22" ht="24.95" customHeight="1" x14ac:dyDescent="0.25">
      <c r="A79" s="11" t="s">
        <v>212</v>
      </c>
      <c r="B79" s="17" t="s">
        <v>154</v>
      </c>
      <c r="C79" s="17" t="s">
        <v>154</v>
      </c>
      <c r="D79" s="18" t="s">
        <v>154</v>
      </c>
      <c r="E79" s="17" t="s">
        <v>154</v>
      </c>
      <c r="F79" s="18" t="s">
        <v>154</v>
      </c>
      <c r="G79" s="17" t="s">
        <v>154</v>
      </c>
      <c r="H79" s="18" t="s">
        <v>154</v>
      </c>
      <c r="I79" s="17" t="s">
        <v>154</v>
      </c>
      <c r="J79" s="18" t="s">
        <v>154</v>
      </c>
      <c r="K79" s="17" t="s">
        <v>154</v>
      </c>
      <c r="L79" s="18" t="s">
        <v>154</v>
      </c>
      <c r="M79" s="17" t="s">
        <v>154</v>
      </c>
      <c r="N79" s="18" t="s">
        <v>154</v>
      </c>
      <c r="O79" s="17" t="s">
        <v>154</v>
      </c>
      <c r="P79" s="18" t="s">
        <v>154</v>
      </c>
      <c r="Q79" s="17" t="s">
        <v>154</v>
      </c>
      <c r="R79" s="18" t="s">
        <v>154</v>
      </c>
      <c r="S79" s="17" t="s">
        <v>154</v>
      </c>
      <c r="T79" s="18" t="s">
        <v>154</v>
      </c>
      <c r="U79" s="17" t="s">
        <v>154</v>
      </c>
      <c r="V79" s="18" t="s">
        <v>154</v>
      </c>
    </row>
    <row r="80" spans="1:22" x14ac:dyDescent="0.25">
      <c r="A80" s="11" t="s">
        <v>213</v>
      </c>
      <c r="B80" s="17" t="s">
        <v>154</v>
      </c>
      <c r="C80" s="17" t="s">
        <v>154</v>
      </c>
      <c r="D80" s="18" t="s">
        <v>154</v>
      </c>
      <c r="E80" s="17" t="s">
        <v>154</v>
      </c>
      <c r="F80" s="18" t="s">
        <v>154</v>
      </c>
      <c r="G80" s="17" t="s">
        <v>154</v>
      </c>
      <c r="H80" s="18" t="s">
        <v>154</v>
      </c>
      <c r="I80" s="17" t="s">
        <v>154</v>
      </c>
      <c r="J80" s="18" t="s">
        <v>154</v>
      </c>
      <c r="K80" s="17" t="s">
        <v>154</v>
      </c>
      <c r="L80" s="18" t="s">
        <v>154</v>
      </c>
      <c r="M80" s="17" t="s">
        <v>154</v>
      </c>
      <c r="N80" s="18" t="s">
        <v>154</v>
      </c>
      <c r="O80" s="17" t="s">
        <v>154</v>
      </c>
      <c r="P80" s="18" t="s">
        <v>154</v>
      </c>
      <c r="Q80" s="17" t="s">
        <v>154</v>
      </c>
      <c r="R80" s="18" t="s">
        <v>154</v>
      </c>
      <c r="S80" s="17" t="s">
        <v>154</v>
      </c>
      <c r="T80" s="18" t="s">
        <v>154</v>
      </c>
      <c r="U80" s="17" t="s">
        <v>154</v>
      </c>
      <c r="V80" s="18" t="s">
        <v>154</v>
      </c>
    </row>
    <row r="81" spans="1:22" x14ac:dyDescent="0.25">
      <c r="A81" s="19" t="s">
        <v>214</v>
      </c>
      <c r="B81" s="13">
        <v>8861</v>
      </c>
      <c r="C81" s="14">
        <f>(7356/B81*100)</f>
        <v>83.015461008915466</v>
      </c>
      <c r="D81" s="15">
        <v>1505</v>
      </c>
      <c r="E81" s="14">
        <v>23.456860219999999</v>
      </c>
      <c r="F81" s="16">
        <v>1.64292521</v>
      </c>
      <c r="G81" s="14">
        <v>18.548398500000001</v>
      </c>
      <c r="H81" s="16">
        <v>1.2422674499999999</v>
      </c>
      <c r="I81" s="14">
        <v>1.9068487999999999</v>
      </c>
      <c r="J81" s="16">
        <v>0.40304779000000002</v>
      </c>
      <c r="K81" s="14">
        <v>56.087892480000001</v>
      </c>
      <c r="L81" s="16">
        <v>1.79643945</v>
      </c>
      <c r="M81" s="14" t="s">
        <v>139</v>
      </c>
      <c r="N81" s="16" t="s">
        <v>139</v>
      </c>
      <c r="O81" s="14">
        <v>0</v>
      </c>
      <c r="P81" s="16">
        <v>0</v>
      </c>
      <c r="Q81" s="14">
        <v>0</v>
      </c>
      <c r="R81" s="16">
        <v>0</v>
      </c>
      <c r="S81" s="14">
        <v>0</v>
      </c>
      <c r="T81" s="16">
        <v>0</v>
      </c>
      <c r="U81" s="14">
        <v>0</v>
      </c>
      <c r="V81" s="16">
        <v>0</v>
      </c>
    </row>
    <row r="82" spans="1:22" x14ac:dyDescent="0.25">
      <c r="A82" s="20"/>
      <c r="B82" s="20" t="s">
        <v>215</v>
      </c>
      <c r="C82" s="20" t="s">
        <v>215</v>
      </c>
      <c r="D82" s="20" t="s">
        <v>215</v>
      </c>
      <c r="E82" s="20" t="s">
        <v>215</v>
      </c>
      <c r="F82" s="20" t="s">
        <v>215</v>
      </c>
      <c r="G82" s="20" t="s">
        <v>215</v>
      </c>
      <c r="H82" s="20" t="s">
        <v>215</v>
      </c>
      <c r="I82" s="20" t="s">
        <v>215</v>
      </c>
      <c r="J82" s="20" t="s">
        <v>215</v>
      </c>
      <c r="K82" s="20" t="s">
        <v>215</v>
      </c>
      <c r="L82" s="20" t="s">
        <v>215</v>
      </c>
      <c r="M82" s="20" t="s">
        <v>215</v>
      </c>
      <c r="N82" s="20" t="s">
        <v>215</v>
      </c>
      <c r="O82" s="20" t="s">
        <v>215</v>
      </c>
      <c r="P82" s="20" t="s">
        <v>215</v>
      </c>
      <c r="Q82" s="20" t="s">
        <v>215</v>
      </c>
      <c r="R82" s="20" t="s">
        <v>215</v>
      </c>
      <c r="S82" s="20" t="s">
        <v>215</v>
      </c>
      <c r="T82" s="20" t="s">
        <v>215</v>
      </c>
      <c r="U82" s="20" t="s">
        <v>215</v>
      </c>
      <c r="V82" s="20" t="s">
        <v>215</v>
      </c>
    </row>
    <row r="83" spans="1:22" x14ac:dyDescent="0.25">
      <c r="A83" s="3" t="s">
        <v>216</v>
      </c>
    </row>
    <row r="84" spans="1:22" x14ac:dyDescent="0.25">
      <c r="A84" s="22" t="s">
        <v>217</v>
      </c>
      <c r="B84" s="23"/>
      <c r="C84" s="23"/>
      <c r="D84" s="23"/>
      <c r="E84" s="23"/>
      <c r="F84" s="23"/>
      <c r="G84" s="23"/>
      <c r="H84" s="23"/>
      <c r="I84" s="23"/>
      <c r="J84" s="23"/>
      <c r="K84" s="23"/>
      <c r="L84" s="23"/>
      <c r="M84" s="23"/>
      <c r="N84" s="23"/>
      <c r="O84" s="23"/>
      <c r="P84" s="23"/>
      <c r="Q84" s="23"/>
      <c r="R84" s="23"/>
      <c r="S84" s="23"/>
      <c r="T84" s="23"/>
      <c r="U84" s="23"/>
      <c r="V84" s="23"/>
    </row>
    <row r="85" spans="1:22" x14ac:dyDescent="0.25">
      <c r="A85" s="22" t="s">
        <v>218</v>
      </c>
      <c r="B85" s="23"/>
      <c r="C85" s="23"/>
      <c r="D85" s="23"/>
      <c r="E85" s="23"/>
      <c r="F85" s="23"/>
      <c r="G85" s="23"/>
      <c r="H85" s="23"/>
      <c r="I85" s="23"/>
      <c r="J85" s="23"/>
      <c r="K85" s="23"/>
      <c r="L85" s="23"/>
      <c r="M85" s="23"/>
      <c r="N85" s="23"/>
      <c r="O85" s="23"/>
      <c r="P85" s="23"/>
      <c r="Q85" s="23"/>
      <c r="R85" s="23"/>
      <c r="S85" s="23"/>
      <c r="T85" s="23"/>
      <c r="U85" s="23"/>
      <c r="V85" s="23"/>
    </row>
    <row r="86" spans="1:22" ht="30" customHeight="1" x14ac:dyDescent="0.25">
      <c r="A86" s="22" t="s">
        <v>219</v>
      </c>
      <c r="B86" s="23"/>
      <c r="C86" s="23"/>
      <c r="D86" s="23"/>
      <c r="E86" s="23"/>
      <c r="F86" s="23"/>
      <c r="G86" s="23"/>
      <c r="H86" s="23"/>
      <c r="I86" s="23"/>
      <c r="J86" s="23"/>
      <c r="K86" s="23"/>
      <c r="L86" s="23"/>
      <c r="M86" s="23"/>
      <c r="N86" s="23"/>
      <c r="O86" s="23"/>
      <c r="P86" s="23"/>
      <c r="Q86" s="23"/>
      <c r="R86" s="23"/>
      <c r="S86" s="23"/>
      <c r="T86" s="23"/>
      <c r="U86" s="23"/>
      <c r="V86" s="23"/>
    </row>
    <row r="87" spans="1:22" ht="30" customHeight="1" x14ac:dyDescent="0.25">
      <c r="A87" s="22" t="s">
        <v>215</v>
      </c>
      <c r="B87" s="23"/>
      <c r="C87" s="23"/>
      <c r="D87" s="23"/>
      <c r="E87" s="23"/>
      <c r="F87" s="23"/>
      <c r="G87" s="23"/>
      <c r="H87" s="23"/>
      <c r="I87" s="23"/>
      <c r="J87" s="23"/>
      <c r="K87" s="23"/>
      <c r="L87" s="23"/>
      <c r="M87" s="23"/>
      <c r="N87" s="23"/>
      <c r="O87" s="23"/>
      <c r="P87" s="23"/>
      <c r="Q87" s="23"/>
      <c r="R87" s="23"/>
      <c r="S87" s="23"/>
      <c r="T87" s="23"/>
      <c r="U87" s="23"/>
      <c r="V87" s="23"/>
    </row>
    <row r="88" spans="1:22" ht="30" customHeight="1" x14ac:dyDescent="0.25">
      <c r="A88" s="22" t="s">
        <v>220</v>
      </c>
      <c r="B88" s="23"/>
      <c r="C88" s="23"/>
      <c r="D88" s="23"/>
      <c r="E88" s="23"/>
      <c r="F88" s="23"/>
      <c r="G88" s="23"/>
      <c r="H88" s="23"/>
      <c r="I88" s="23"/>
      <c r="J88" s="23"/>
      <c r="K88" s="23"/>
      <c r="L88" s="23"/>
      <c r="M88" s="23"/>
      <c r="N88" s="23"/>
      <c r="O88" s="23"/>
      <c r="P88" s="23"/>
      <c r="Q88" s="23"/>
      <c r="R88" s="23"/>
      <c r="S88" s="23"/>
      <c r="T88" s="23"/>
      <c r="U88" s="23"/>
      <c r="V88" s="23"/>
    </row>
    <row r="89" spans="1:22" ht="30" customHeight="1" x14ac:dyDescent="0.25">
      <c r="A89" s="22" t="s">
        <v>221</v>
      </c>
      <c r="B89" s="23"/>
      <c r="C89" s="23"/>
      <c r="D89" s="23"/>
      <c r="E89" s="23"/>
      <c r="F89" s="23"/>
      <c r="G89" s="23"/>
      <c r="H89" s="23"/>
      <c r="I89" s="23"/>
      <c r="J89" s="23"/>
      <c r="K89" s="23"/>
      <c r="L89" s="23"/>
      <c r="M89" s="23"/>
      <c r="N89" s="23"/>
      <c r="O89" s="23"/>
      <c r="P89" s="23"/>
      <c r="Q89" s="23"/>
      <c r="R89" s="23"/>
      <c r="S89" s="23"/>
      <c r="T89" s="23"/>
      <c r="U89" s="23"/>
      <c r="V89" s="23"/>
    </row>
    <row r="90" spans="1:22" ht="30" customHeight="1" x14ac:dyDescent="0.25">
      <c r="A90" s="22" t="s">
        <v>222</v>
      </c>
      <c r="B90" s="23"/>
      <c r="C90" s="23"/>
      <c r="D90" s="23"/>
      <c r="E90" s="23"/>
      <c r="F90" s="23"/>
      <c r="G90" s="23"/>
      <c r="H90" s="23"/>
      <c r="I90" s="23"/>
      <c r="J90" s="23"/>
      <c r="K90" s="23"/>
      <c r="L90" s="23"/>
      <c r="M90" s="23"/>
      <c r="N90" s="23"/>
      <c r="O90" s="23"/>
      <c r="P90" s="23"/>
      <c r="Q90" s="23"/>
      <c r="R90" s="23"/>
      <c r="S90" s="23"/>
      <c r="T90" s="23"/>
      <c r="U90" s="23"/>
      <c r="V90" s="23"/>
    </row>
    <row r="91" spans="1:22" ht="30" customHeight="1" x14ac:dyDescent="0.25">
      <c r="A91" s="22" t="s">
        <v>223</v>
      </c>
      <c r="B91" s="23"/>
      <c r="C91" s="23"/>
      <c r="D91" s="23"/>
      <c r="E91" s="23"/>
      <c r="F91" s="23"/>
      <c r="G91" s="23"/>
      <c r="H91" s="23"/>
      <c r="I91" s="23"/>
      <c r="J91" s="23"/>
      <c r="K91" s="23"/>
      <c r="L91" s="23"/>
      <c r="M91" s="23"/>
      <c r="N91" s="23"/>
      <c r="O91" s="23"/>
      <c r="P91" s="23"/>
      <c r="Q91" s="23"/>
      <c r="R91" s="23"/>
      <c r="S91" s="23"/>
      <c r="T91" s="23"/>
      <c r="U91" s="23"/>
      <c r="V91" s="23"/>
    </row>
    <row r="92" spans="1:22" ht="30" customHeight="1" x14ac:dyDescent="0.25">
      <c r="A92" s="22" t="s">
        <v>224</v>
      </c>
      <c r="B92" s="23"/>
      <c r="C92" s="23"/>
      <c r="D92" s="23"/>
      <c r="E92" s="23"/>
      <c r="F92" s="23"/>
      <c r="G92" s="23"/>
      <c r="H92" s="23"/>
      <c r="I92" s="23"/>
      <c r="J92" s="23"/>
      <c r="K92" s="23"/>
      <c r="L92" s="23"/>
      <c r="M92" s="23"/>
      <c r="N92" s="23"/>
      <c r="O92" s="23"/>
      <c r="P92" s="23"/>
      <c r="Q92" s="23"/>
      <c r="R92" s="23"/>
      <c r="S92" s="23"/>
      <c r="T92" s="23"/>
      <c r="U92" s="23"/>
      <c r="V92" s="23"/>
    </row>
    <row r="93" spans="1:22" ht="30" customHeight="1" x14ac:dyDescent="0.25">
      <c r="A93" s="22" t="s">
        <v>225</v>
      </c>
      <c r="B93" s="23"/>
      <c r="C93" s="23"/>
      <c r="D93" s="23"/>
      <c r="E93" s="23"/>
      <c r="F93" s="23"/>
      <c r="G93" s="23"/>
      <c r="H93" s="23"/>
      <c r="I93" s="23"/>
      <c r="J93" s="23"/>
      <c r="K93" s="23"/>
      <c r="L93" s="23"/>
      <c r="M93" s="23"/>
      <c r="N93" s="23"/>
      <c r="O93" s="23"/>
      <c r="P93" s="23"/>
      <c r="Q93" s="23"/>
      <c r="R93" s="23"/>
      <c r="S93" s="23"/>
      <c r="T93" s="23"/>
      <c r="U93" s="23"/>
      <c r="V93" s="23"/>
    </row>
    <row r="94" spans="1:22" ht="30" customHeight="1" x14ac:dyDescent="0.25">
      <c r="A94" s="22" t="s">
        <v>226</v>
      </c>
      <c r="B94" s="23"/>
      <c r="C94" s="23"/>
      <c r="D94" s="23"/>
      <c r="E94" s="23"/>
      <c r="F94" s="23"/>
      <c r="G94" s="23"/>
      <c r="H94" s="23"/>
      <c r="I94" s="23"/>
      <c r="J94" s="23"/>
      <c r="K94" s="23"/>
      <c r="L94" s="23"/>
      <c r="M94" s="23"/>
      <c r="N94" s="23"/>
      <c r="O94" s="23"/>
      <c r="P94" s="23"/>
      <c r="Q94" s="23"/>
      <c r="R94" s="23"/>
      <c r="S94" s="23"/>
      <c r="T94" s="23"/>
      <c r="U94" s="23"/>
      <c r="V94" s="23"/>
    </row>
    <row r="95" spans="1:22" ht="30" customHeight="1" x14ac:dyDescent="0.25">
      <c r="A95" s="22" t="s">
        <v>227</v>
      </c>
      <c r="B95" s="23"/>
      <c r="C95" s="23"/>
      <c r="D95" s="23"/>
      <c r="E95" s="23"/>
      <c r="F95" s="23"/>
      <c r="G95" s="23"/>
      <c r="H95" s="23"/>
      <c r="I95" s="23"/>
      <c r="J95" s="23"/>
      <c r="K95" s="23"/>
      <c r="L95" s="23"/>
      <c r="M95" s="23"/>
      <c r="N95" s="23"/>
      <c r="O95" s="23"/>
      <c r="P95" s="23"/>
      <c r="Q95" s="23"/>
      <c r="R95" s="23"/>
      <c r="S95" s="23"/>
      <c r="T95" s="23"/>
      <c r="U95" s="23"/>
      <c r="V95" s="23"/>
    </row>
    <row r="96" spans="1:22" ht="30" customHeight="1" x14ac:dyDescent="0.25">
      <c r="A96" s="22" t="s">
        <v>228</v>
      </c>
      <c r="B96" s="23"/>
      <c r="C96" s="23"/>
      <c r="D96" s="23"/>
      <c r="E96" s="23"/>
      <c r="F96" s="23"/>
      <c r="G96" s="23"/>
      <c r="H96" s="23"/>
      <c r="I96" s="23"/>
      <c r="J96" s="23"/>
      <c r="K96" s="23"/>
      <c r="L96" s="23"/>
      <c r="M96" s="23"/>
      <c r="N96" s="23"/>
      <c r="O96" s="23"/>
      <c r="P96" s="23"/>
      <c r="Q96" s="23"/>
      <c r="R96" s="23"/>
      <c r="S96" s="23"/>
      <c r="T96" s="23"/>
      <c r="U96" s="23"/>
      <c r="V96" s="23"/>
    </row>
  </sheetData>
  <mergeCells count="24">
    <mergeCell ref="O4:P4"/>
    <mergeCell ref="Q4:R4"/>
    <mergeCell ref="S4:T4"/>
    <mergeCell ref="U4:V4"/>
    <mergeCell ref="A1:V1"/>
    <mergeCell ref="A2:V2"/>
    <mergeCell ref="E4:F4"/>
    <mergeCell ref="G4:H4"/>
    <mergeCell ref="I4:J4"/>
    <mergeCell ref="K4:L4"/>
    <mergeCell ref="M4:N4"/>
    <mergeCell ref="A84:V84"/>
    <mergeCell ref="A85:V85"/>
    <mergeCell ref="A86:V86"/>
    <mergeCell ref="A87:V87"/>
    <mergeCell ref="A88:V88"/>
    <mergeCell ref="A94:V94"/>
    <mergeCell ref="A95:V95"/>
    <mergeCell ref="A96:V96"/>
    <mergeCell ref="A89:V89"/>
    <mergeCell ref="A90:V90"/>
    <mergeCell ref="A91:V91"/>
    <mergeCell ref="A92:V92"/>
    <mergeCell ref="A93:V93"/>
  </mergeCells>
  <pageMargins left="0.75" right="0.75" top="1" bottom="1" header="0.5" footer="0.5"/>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5"/>
  <dimension ref="A1:R96"/>
  <sheetViews>
    <sheetView zoomScale="80" workbookViewId="0">
      <pane xSplit="4" topLeftCell="E1" activePane="topRight" state="frozen"/>
      <selection sqref="A1:R1"/>
      <selection pane="topRight" sqref="A1:R1"/>
    </sheetView>
  </sheetViews>
  <sheetFormatPr defaultColWidth="11.42578125" defaultRowHeight="15" x14ac:dyDescent="0.25"/>
  <cols>
    <col min="1" max="1" width="50" customWidth="1"/>
  </cols>
  <sheetData>
    <row r="1" spans="1:18" x14ac:dyDescent="0.25">
      <c r="A1" s="26" t="s">
        <v>122</v>
      </c>
      <c r="B1" s="23"/>
      <c r="C1" s="23"/>
      <c r="D1" s="23"/>
      <c r="E1" s="23"/>
      <c r="F1" s="23"/>
      <c r="G1" s="23"/>
      <c r="H1" s="23"/>
      <c r="I1" s="23"/>
      <c r="J1" s="23"/>
      <c r="K1" s="23"/>
      <c r="L1" s="23"/>
      <c r="M1" s="23"/>
      <c r="N1" s="23"/>
      <c r="O1" s="23"/>
      <c r="P1" s="23"/>
      <c r="Q1" s="23"/>
      <c r="R1" s="23"/>
    </row>
    <row r="2" spans="1:18" x14ac:dyDescent="0.25">
      <c r="A2" s="27" t="s">
        <v>341</v>
      </c>
      <c r="B2" s="23"/>
      <c r="C2" s="23"/>
      <c r="D2" s="23"/>
      <c r="E2" s="23"/>
      <c r="F2" s="23"/>
      <c r="G2" s="23"/>
      <c r="H2" s="23"/>
      <c r="I2" s="23"/>
      <c r="J2" s="23"/>
      <c r="K2" s="23"/>
      <c r="L2" s="23"/>
      <c r="M2" s="23"/>
      <c r="N2" s="23"/>
      <c r="O2" s="23"/>
      <c r="P2" s="23"/>
      <c r="Q2" s="23"/>
      <c r="R2" s="23"/>
    </row>
    <row r="4" spans="1:18" ht="30" customHeight="1" x14ac:dyDescent="0.25">
      <c r="A4" s="4"/>
      <c r="B4" s="5" t="s">
        <v>123</v>
      </c>
      <c r="C4" s="5" t="s">
        <v>124</v>
      </c>
      <c r="D4" s="6" t="s">
        <v>123</v>
      </c>
      <c r="E4" s="24" t="s">
        <v>125</v>
      </c>
      <c r="F4" s="25"/>
      <c r="G4" s="24" t="s">
        <v>126</v>
      </c>
      <c r="H4" s="25"/>
      <c r="I4" s="24" t="s">
        <v>127</v>
      </c>
      <c r="J4" s="25"/>
      <c r="K4" s="24" t="s">
        <v>128</v>
      </c>
      <c r="L4" s="25"/>
      <c r="M4" s="24" t="s">
        <v>129</v>
      </c>
      <c r="N4" s="25"/>
      <c r="O4" s="24" t="s">
        <v>130</v>
      </c>
      <c r="P4" s="25"/>
      <c r="Q4" s="24" t="s">
        <v>131</v>
      </c>
      <c r="R4" s="25"/>
    </row>
    <row r="5" spans="1:18" x14ac:dyDescent="0.25">
      <c r="A5" s="7"/>
      <c r="B5" s="8" t="s">
        <v>132</v>
      </c>
      <c r="C5" s="8" t="s">
        <v>133</v>
      </c>
      <c r="D5" s="7" t="s">
        <v>134</v>
      </c>
      <c r="E5" s="8" t="s">
        <v>135</v>
      </c>
      <c r="F5" s="7" t="s">
        <v>136</v>
      </c>
      <c r="G5" s="8" t="s">
        <v>135</v>
      </c>
      <c r="H5" s="7" t="s">
        <v>136</v>
      </c>
      <c r="I5" s="8" t="s">
        <v>135</v>
      </c>
      <c r="J5" s="7" t="s">
        <v>136</v>
      </c>
      <c r="K5" s="8" t="s">
        <v>135</v>
      </c>
      <c r="L5" s="7" t="s">
        <v>136</v>
      </c>
      <c r="M5" s="8" t="s">
        <v>135</v>
      </c>
      <c r="N5" s="7" t="s">
        <v>136</v>
      </c>
      <c r="O5" s="8" t="s">
        <v>135</v>
      </c>
      <c r="P5" s="7" t="s">
        <v>136</v>
      </c>
      <c r="Q5" s="8" t="s">
        <v>135</v>
      </c>
      <c r="R5" s="7" t="s">
        <v>136</v>
      </c>
    </row>
    <row r="6" spans="1:18" x14ac:dyDescent="0.25">
      <c r="A6" s="9" t="s">
        <v>137</v>
      </c>
      <c r="B6" s="10"/>
      <c r="C6" s="10"/>
      <c r="D6" s="11"/>
      <c r="E6" s="10"/>
      <c r="F6" s="11"/>
      <c r="G6" s="10"/>
      <c r="H6" s="11"/>
      <c r="I6" s="10"/>
      <c r="J6" s="11"/>
      <c r="K6" s="10"/>
      <c r="L6" s="11"/>
      <c r="M6" s="10"/>
      <c r="N6" s="11"/>
      <c r="O6" s="10"/>
      <c r="P6" s="11"/>
      <c r="Q6" s="10"/>
      <c r="R6" s="12"/>
    </row>
    <row r="7" spans="1:18" x14ac:dyDescent="0.25">
      <c r="A7" s="11" t="s">
        <v>138</v>
      </c>
      <c r="B7" s="13">
        <v>14530</v>
      </c>
      <c r="C7" s="14">
        <f>(12104/B7*100)</f>
        <v>83.303509979353066</v>
      </c>
      <c r="D7" s="15">
        <v>2426</v>
      </c>
      <c r="E7" s="14">
        <v>44.838530599999999</v>
      </c>
      <c r="F7" s="16">
        <v>1.1968182700000001</v>
      </c>
      <c r="G7" s="14">
        <v>55.161469400000001</v>
      </c>
      <c r="H7" s="16">
        <v>1.1968182700000001</v>
      </c>
      <c r="I7" s="14" t="s">
        <v>139</v>
      </c>
      <c r="J7" s="16" t="s">
        <v>139</v>
      </c>
      <c r="K7" s="14">
        <v>0</v>
      </c>
      <c r="L7" s="16">
        <v>0</v>
      </c>
      <c r="M7" s="14">
        <v>0</v>
      </c>
      <c r="N7" s="16">
        <v>0</v>
      </c>
      <c r="O7" s="14">
        <v>0</v>
      </c>
      <c r="P7" s="16">
        <v>0</v>
      </c>
      <c r="Q7" s="14">
        <v>0</v>
      </c>
      <c r="R7" s="16">
        <v>0</v>
      </c>
    </row>
    <row r="8" spans="1:18" x14ac:dyDescent="0.25">
      <c r="A8" s="11" t="s">
        <v>140</v>
      </c>
      <c r="B8" s="13">
        <v>7007</v>
      </c>
      <c r="C8" s="14">
        <f>(5788/B8*100)</f>
        <v>82.603111174539748</v>
      </c>
      <c r="D8" s="15">
        <v>1219</v>
      </c>
      <c r="E8" s="14">
        <v>53.685819860000002</v>
      </c>
      <c r="F8" s="16">
        <v>1.60624162</v>
      </c>
      <c r="G8" s="14">
        <v>46.314180139999998</v>
      </c>
      <c r="H8" s="16">
        <v>1.60624162</v>
      </c>
      <c r="I8" s="14" t="s">
        <v>139</v>
      </c>
      <c r="J8" s="16" t="s">
        <v>139</v>
      </c>
      <c r="K8" s="14">
        <v>0</v>
      </c>
      <c r="L8" s="16">
        <v>0</v>
      </c>
      <c r="M8" s="14">
        <v>0</v>
      </c>
      <c r="N8" s="16">
        <v>0</v>
      </c>
      <c r="O8" s="14">
        <v>0</v>
      </c>
      <c r="P8" s="16">
        <v>0</v>
      </c>
      <c r="Q8" s="14">
        <v>0</v>
      </c>
      <c r="R8" s="16">
        <v>0</v>
      </c>
    </row>
    <row r="9" spans="1:18" x14ac:dyDescent="0.25">
      <c r="A9" s="11" t="s">
        <v>141</v>
      </c>
      <c r="B9" s="13">
        <v>9651</v>
      </c>
      <c r="C9" s="14">
        <f>(8085/B9*100)</f>
        <v>83.773702207025181</v>
      </c>
      <c r="D9" s="15">
        <v>1566</v>
      </c>
      <c r="E9" s="14">
        <v>52.658794819999997</v>
      </c>
      <c r="F9" s="16">
        <v>1.51798788</v>
      </c>
      <c r="G9" s="14">
        <v>47.341205180000003</v>
      </c>
      <c r="H9" s="16">
        <v>1.51798788</v>
      </c>
      <c r="I9" s="14" t="s">
        <v>139</v>
      </c>
      <c r="J9" s="16" t="s">
        <v>139</v>
      </c>
      <c r="K9" s="14">
        <v>0</v>
      </c>
      <c r="L9" s="16">
        <v>0</v>
      </c>
      <c r="M9" s="14">
        <v>0</v>
      </c>
      <c r="N9" s="16">
        <v>0</v>
      </c>
      <c r="O9" s="14">
        <v>0</v>
      </c>
      <c r="P9" s="16">
        <v>0</v>
      </c>
      <c r="Q9" s="14">
        <v>0</v>
      </c>
      <c r="R9" s="16">
        <v>0</v>
      </c>
    </row>
    <row r="10" spans="1:18" x14ac:dyDescent="0.25">
      <c r="A10" s="11" t="s">
        <v>142</v>
      </c>
      <c r="B10" s="13">
        <v>20058</v>
      </c>
      <c r="C10" s="14">
        <f>(16682/B10*100)</f>
        <v>83.168810449695883</v>
      </c>
      <c r="D10" s="15">
        <v>3376</v>
      </c>
      <c r="E10" s="14">
        <v>43.161409579999997</v>
      </c>
      <c r="F10" s="16">
        <v>1.2728610199999999</v>
      </c>
      <c r="G10" s="14">
        <v>56.838590420000003</v>
      </c>
      <c r="H10" s="16">
        <v>1.2728610199999999</v>
      </c>
      <c r="I10" s="14" t="s">
        <v>139</v>
      </c>
      <c r="J10" s="16" t="s">
        <v>139</v>
      </c>
      <c r="K10" s="14">
        <v>0</v>
      </c>
      <c r="L10" s="16">
        <v>0</v>
      </c>
      <c r="M10" s="14">
        <v>0</v>
      </c>
      <c r="N10" s="16">
        <v>0</v>
      </c>
      <c r="O10" s="14">
        <v>0</v>
      </c>
      <c r="P10" s="16">
        <v>0</v>
      </c>
      <c r="Q10" s="14">
        <v>0</v>
      </c>
      <c r="R10" s="16">
        <v>0</v>
      </c>
    </row>
    <row r="11" spans="1:18" x14ac:dyDescent="0.25">
      <c r="A11" s="11" t="s">
        <v>143</v>
      </c>
      <c r="B11" s="13">
        <v>7053</v>
      </c>
      <c r="C11" s="14">
        <f>(5879/B11*100)</f>
        <v>83.354600879058566</v>
      </c>
      <c r="D11" s="15">
        <v>1174</v>
      </c>
      <c r="E11" s="14">
        <v>57.408029980000002</v>
      </c>
      <c r="F11" s="16">
        <v>1.82807743</v>
      </c>
      <c r="G11" s="14">
        <v>42.591970019999998</v>
      </c>
      <c r="H11" s="16">
        <v>1.82807743</v>
      </c>
      <c r="I11" s="14" t="s">
        <v>139</v>
      </c>
      <c r="J11" s="16" t="s">
        <v>139</v>
      </c>
      <c r="K11" s="14">
        <v>0</v>
      </c>
      <c r="L11" s="16">
        <v>0</v>
      </c>
      <c r="M11" s="14">
        <v>0</v>
      </c>
      <c r="N11" s="16">
        <v>0</v>
      </c>
      <c r="O11" s="14">
        <v>0</v>
      </c>
      <c r="P11" s="16">
        <v>0</v>
      </c>
      <c r="Q11" s="14">
        <v>0</v>
      </c>
      <c r="R11" s="16">
        <v>0</v>
      </c>
    </row>
    <row r="12" spans="1:18" x14ac:dyDescent="0.25">
      <c r="A12" s="11" t="s">
        <v>144</v>
      </c>
      <c r="B12" s="13">
        <v>6894</v>
      </c>
      <c r="C12" s="14">
        <f>(5739/B12*100)</f>
        <v>83.246301131418619</v>
      </c>
      <c r="D12" s="15">
        <v>1155</v>
      </c>
      <c r="E12" s="14">
        <v>52.243760129999998</v>
      </c>
      <c r="F12" s="16">
        <v>1.5361349200000001</v>
      </c>
      <c r="G12" s="14">
        <v>47.756239870000002</v>
      </c>
      <c r="H12" s="16">
        <v>1.5361349200000001</v>
      </c>
      <c r="I12" s="14" t="s">
        <v>139</v>
      </c>
      <c r="J12" s="16" t="s">
        <v>139</v>
      </c>
      <c r="K12" s="14">
        <v>0</v>
      </c>
      <c r="L12" s="16">
        <v>0</v>
      </c>
      <c r="M12" s="14">
        <v>0</v>
      </c>
      <c r="N12" s="16">
        <v>0</v>
      </c>
      <c r="O12" s="14">
        <v>0</v>
      </c>
      <c r="P12" s="16">
        <v>0</v>
      </c>
      <c r="Q12" s="14">
        <v>0</v>
      </c>
      <c r="R12" s="16">
        <v>0</v>
      </c>
    </row>
    <row r="13" spans="1:18" x14ac:dyDescent="0.25">
      <c r="A13" s="11" t="s">
        <v>145</v>
      </c>
      <c r="B13" s="13">
        <v>7161</v>
      </c>
      <c r="C13" s="14">
        <f>(6014/B13*100)</f>
        <v>83.98268398268398</v>
      </c>
      <c r="D13" s="15">
        <v>1147</v>
      </c>
      <c r="E13" s="14">
        <v>45.597912950000001</v>
      </c>
      <c r="F13" s="16">
        <v>1.90509975</v>
      </c>
      <c r="G13" s="14">
        <v>54.402087049999999</v>
      </c>
      <c r="H13" s="16">
        <v>1.90509975</v>
      </c>
      <c r="I13" s="14" t="s">
        <v>139</v>
      </c>
      <c r="J13" s="16" t="s">
        <v>139</v>
      </c>
      <c r="K13" s="14">
        <v>0</v>
      </c>
      <c r="L13" s="16">
        <v>0</v>
      </c>
      <c r="M13" s="14">
        <v>0</v>
      </c>
      <c r="N13" s="16">
        <v>0</v>
      </c>
      <c r="O13" s="14">
        <v>0</v>
      </c>
      <c r="P13" s="16">
        <v>0</v>
      </c>
      <c r="Q13" s="14">
        <v>0</v>
      </c>
      <c r="R13" s="16">
        <v>0</v>
      </c>
    </row>
    <row r="14" spans="1:18" x14ac:dyDescent="0.25">
      <c r="A14" s="11" t="s">
        <v>146</v>
      </c>
      <c r="B14" s="13">
        <v>5587</v>
      </c>
      <c r="C14" s="14">
        <f>(4630/B14*100)</f>
        <v>82.870950420619295</v>
      </c>
      <c r="D14" s="15">
        <v>957</v>
      </c>
      <c r="E14" s="14">
        <v>44.030383479999998</v>
      </c>
      <c r="F14" s="16">
        <v>1.65340168</v>
      </c>
      <c r="G14" s="14">
        <v>55.969616520000002</v>
      </c>
      <c r="H14" s="16">
        <v>1.65340168</v>
      </c>
      <c r="I14" s="14" t="s">
        <v>139</v>
      </c>
      <c r="J14" s="16" t="s">
        <v>139</v>
      </c>
      <c r="K14" s="14">
        <v>0</v>
      </c>
      <c r="L14" s="16">
        <v>0</v>
      </c>
      <c r="M14" s="14">
        <v>0</v>
      </c>
      <c r="N14" s="16">
        <v>0</v>
      </c>
      <c r="O14" s="14">
        <v>0</v>
      </c>
      <c r="P14" s="16">
        <v>0</v>
      </c>
      <c r="Q14" s="14">
        <v>0</v>
      </c>
      <c r="R14" s="16">
        <v>0</v>
      </c>
    </row>
    <row r="15" spans="1:18" x14ac:dyDescent="0.25">
      <c r="A15" s="11" t="s">
        <v>147</v>
      </c>
      <c r="B15" s="13">
        <v>5882</v>
      </c>
      <c r="C15" s="14">
        <f>(4876/B15*100)</f>
        <v>82.896973818429103</v>
      </c>
      <c r="D15" s="15">
        <v>1006</v>
      </c>
      <c r="E15" s="14">
        <v>46.244403200000001</v>
      </c>
      <c r="F15" s="16">
        <v>1.4981200699999999</v>
      </c>
      <c r="G15" s="14">
        <v>53.755596799999999</v>
      </c>
      <c r="H15" s="16">
        <v>1.4981200699999999</v>
      </c>
      <c r="I15" s="14" t="s">
        <v>139</v>
      </c>
      <c r="J15" s="16" t="s">
        <v>139</v>
      </c>
      <c r="K15" s="14">
        <v>0</v>
      </c>
      <c r="L15" s="16">
        <v>0</v>
      </c>
      <c r="M15" s="14">
        <v>0</v>
      </c>
      <c r="N15" s="16">
        <v>0</v>
      </c>
      <c r="O15" s="14">
        <v>0</v>
      </c>
      <c r="P15" s="16">
        <v>0</v>
      </c>
      <c r="Q15" s="14">
        <v>0</v>
      </c>
      <c r="R15" s="16">
        <v>0</v>
      </c>
    </row>
    <row r="16" spans="1:18" x14ac:dyDescent="0.25">
      <c r="A16" s="11" t="s">
        <v>148</v>
      </c>
      <c r="B16" s="13">
        <v>6108</v>
      </c>
      <c r="C16" s="14">
        <f>(5090/B16*100)</f>
        <v>83.333333333333343</v>
      </c>
      <c r="D16" s="15">
        <v>1018</v>
      </c>
      <c r="E16" s="14">
        <v>51.364492920000004</v>
      </c>
      <c r="F16" s="16">
        <v>1.6507094200000001</v>
      </c>
      <c r="G16" s="14">
        <v>48.635507079999996</v>
      </c>
      <c r="H16" s="16">
        <v>1.6507094200000001</v>
      </c>
      <c r="I16" s="14" t="s">
        <v>139</v>
      </c>
      <c r="J16" s="16" t="s">
        <v>139</v>
      </c>
      <c r="K16" s="14">
        <v>0</v>
      </c>
      <c r="L16" s="16">
        <v>0</v>
      </c>
      <c r="M16" s="14">
        <v>0</v>
      </c>
      <c r="N16" s="16">
        <v>0</v>
      </c>
      <c r="O16" s="14">
        <v>0</v>
      </c>
      <c r="P16" s="16">
        <v>0</v>
      </c>
      <c r="Q16" s="14">
        <v>0</v>
      </c>
      <c r="R16" s="16">
        <v>0</v>
      </c>
    </row>
    <row r="17" spans="1:18" x14ac:dyDescent="0.25">
      <c r="A17" s="11" t="s">
        <v>149</v>
      </c>
      <c r="B17" s="13">
        <v>6504</v>
      </c>
      <c r="C17" s="14">
        <f>(5420/B17*100)</f>
        <v>83.333333333333343</v>
      </c>
      <c r="D17" s="15">
        <v>1084</v>
      </c>
      <c r="E17" s="14">
        <v>47.604809889999999</v>
      </c>
      <c r="F17" s="16">
        <v>1.5915756299999999</v>
      </c>
      <c r="G17" s="14">
        <v>52.395190110000001</v>
      </c>
      <c r="H17" s="16">
        <v>1.5915756299999999</v>
      </c>
      <c r="I17" s="14" t="s">
        <v>139</v>
      </c>
      <c r="J17" s="16" t="s">
        <v>139</v>
      </c>
      <c r="K17" s="14">
        <v>0</v>
      </c>
      <c r="L17" s="16">
        <v>0</v>
      </c>
      <c r="M17" s="14">
        <v>0</v>
      </c>
      <c r="N17" s="16">
        <v>0</v>
      </c>
      <c r="O17" s="14">
        <v>0</v>
      </c>
      <c r="P17" s="16">
        <v>0</v>
      </c>
      <c r="Q17" s="14">
        <v>0</v>
      </c>
      <c r="R17" s="16">
        <v>0</v>
      </c>
    </row>
    <row r="18" spans="1:18" x14ac:dyDescent="0.25">
      <c r="A18" s="11" t="s">
        <v>150</v>
      </c>
      <c r="B18" s="13">
        <v>5532</v>
      </c>
      <c r="C18" s="14">
        <f>(4585/B18*100)</f>
        <v>82.881417208966013</v>
      </c>
      <c r="D18" s="15">
        <v>947</v>
      </c>
      <c r="E18" s="14">
        <v>67.354897379999997</v>
      </c>
      <c r="F18" s="16">
        <v>1.4815829199999999</v>
      </c>
      <c r="G18" s="14">
        <v>32.645102620000003</v>
      </c>
      <c r="H18" s="16">
        <v>1.4815829199999999</v>
      </c>
      <c r="I18" s="14" t="s">
        <v>139</v>
      </c>
      <c r="J18" s="16" t="s">
        <v>139</v>
      </c>
      <c r="K18" s="14">
        <v>0</v>
      </c>
      <c r="L18" s="16">
        <v>0</v>
      </c>
      <c r="M18" s="14">
        <v>0</v>
      </c>
      <c r="N18" s="16">
        <v>0</v>
      </c>
      <c r="O18" s="14">
        <v>0</v>
      </c>
      <c r="P18" s="16">
        <v>0</v>
      </c>
      <c r="Q18" s="14">
        <v>0</v>
      </c>
      <c r="R18" s="16">
        <v>0</v>
      </c>
    </row>
    <row r="19" spans="1:18" x14ac:dyDescent="0.25">
      <c r="A19" s="11" t="s">
        <v>151</v>
      </c>
      <c r="B19" s="13">
        <v>5658</v>
      </c>
      <c r="C19" s="14">
        <f>(4718/B19*100)</f>
        <v>83.38635560268645</v>
      </c>
      <c r="D19" s="15">
        <v>940</v>
      </c>
      <c r="E19" s="14">
        <v>69.252849380000001</v>
      </c>
      <c r="F19" s="16">
        <v>1.6373416700000001</v>
      </c>
      <c r="G19" s="14">
        <v>30.747150619999999</v>
      </c>
      <c r="H19" s="16">
        <v>1.6373416700000001</v>
      </c>
      <c r="I19" s="14" t="s">
        <v>139</v>
      </c>
      <c r="J19" s="16" t="s">
        <v>139</v>
      </c>
      <c r="K19" s="14">
        <v>0</v>
      </c>
      <c r="L19" s="16">
        <v>0</v>
      </c>
      <c r="M19" s="14">
        <v>0</v>
      </c>
      <c r="N19" s="16">
        <v>0</v>
      </c>
      <c r="O19" s="14">
        <v>0</v>
      </c>
      <c r="P19" s="16">
        <v>0</v>
      </c>
      <c r="Q19" s="14">
        <v>0</v>
      </c>
      <c r="R19" s="16">
        <v>0</v>
      </c>
    </row>
    <row r="20" spans="1:18" x14ac:dyDescent="0.25">
      <c r="A20" s="11" t="s">
        <v>152</v>
      </c>
      <c r="B20" s="13">
        <v>3371</v>
      </c>
      <c r="C20" s="14">
        <f>(2807/B20*100)</f>
        <v>83.26905962622368</v>
      </c>
      <c r="D20" s="15">
        <v>564</v>
      </c>
      <c r="E20" s="14">
        <v>51.658077990000002</v>
      </c>
      <c r="F20" s="16">
        <v>2.3286793100000001</v>
      </c>
      <c r="G20" s="14">
        <v>48.341922009999998</v>
      </c>
      <c r="H20" s="16">
        <v>2.3286793100000001</v>
      </c>
      <c r="I20" s="14" t="s">
        <v>139</v>
      </c>
      <c r="J20" s="16" t="s">
        <v>139</v>
      </c>
      <c r="K20" s="14">
        <v>0</v>
      </c>
      <c r="L20" s="16">
        <v>0</v>
      </c>
      <c r="M20" s="14">
        <v>0</v>
      </c>
      <c r="N20" s="16">
        <v>0</v>
      </c>
      <c r="O20" s="14">
        <v>0</v>
      </c>
      <c r="P20" s="16">
        <v>0</v>
      </c>
      <c r="Q20" s="14">
        <v>0</v>
      </c>
      <c r="R20" s="16">
        <v>0</v>
      </c>
    </row>
    <row r="21" spans="1:18" x14ac:dyDescent="0.25">
      <c r="A21" s="11" t="s">
        <v>153</v>
      </c>
      <c r="B21" s="17" t="s">
        <v>154</v>
      </c>
      <c r="C21" s="17" t="s">
        <v>154</v>
      </c>
      <c r="D21" s="18" t="s">
        <v>154</v>
      </c>
      <c r="E21" s="17" t="s">
        <v>154</v>
      </c>
      <c r="F21" s="18" t="s">
        <v>154</v>
      </c>
      <c r="G21" s="17" t="s">
        <v>154</v>
      </c>
      <c r="H21" s="18" t="s">
        <v>154</v>
      </c>
      <c r="I21" s="17" t="s">
        <v>154</v>
      </c>
      <c r="J21" s="18" t="s">
        <v>154</v>
      </c>
      <c r="K21" s="17" t="s">
        <v>154</v>
      </c>
      <c r="L21" s="18" t="s">
        <v>154</v>
      </c>
      <c r="M21" s="17" t="s">
        <v>154</v>
      </c>
      <c r="N21" s="18" t="s">
        <v>154</v>
      </c>
      <c r="O21" s="17" t="s">
        <v>154</v>
      </c>
      <c r="P21" s="18" t="s">
        <v>154</v>
      </c>
      <c r="Q21" s="17" t="s">
        <v>154</v>
      </c>
      <c r="R21" s="18" t="s">
        <v>154</v>
      </c>
    </row>
    <row r="22" spans="1:18" x14ac:dyDescent="0.25">
      <c r="A22" s="11" t="s">
        <v>155</v>
      </c>
      <c r="B22" s="13">
        <v>6598</v>
      </c>
      <c r="C22" s="14">
        <f>(5584/B22*100)</f>
        <v>84.631706577750833</v>
      </c>
      <c r="D22" s="15">
        <v>1014</v>
      </c>
      <c r="E22" s="14">
        <v>54.24217084</v>
      </c>
      <c r="F22" s="16">
        <v>1.70369302</v>
      </c>
      <c r="G22" s="14">
        <v>45.75782916</v>
      </c>
      <c r="H22" s="16">
        <v>1.70369302</v>
      </c>
      <c r="I22" s="14" t="s">
        <v>139</v>
      </c>
      <c r="J22" s="16" t="s">
        <v>139</v>
      </c>
      <c r="K22" s="14">
        <v>0</v>
      </c>
      <c r="L22" s="16">
        <v>0</v>
      </c>
      <c r="M22" s="14">
        <v>0</v>
      </c>
      <c r="N22" s="16">
        <v>0</v>
      </c>
      <c r="O22" s="14">
        <v>0</v>
      </c>
      <c r="P22" s="16">
        <v>0</v>
      </c>
      <c r="Q22" s="14">
        <v>0</v>
      </c>
      <c r="R22" s="16">
        <v>0</v>
      </c>
    </row>
    <row r="23" spans="1:18" x14ac:dyDescent="0.25">
      <c r="A23" s="11" t="s">
        <v>156</v>
      </c>
      <c r="B23" s="13">
        <v>11583</v>
      </c>
      <c r="C23" s="14">
        <f>(9600/B23*100)</f>
        <v>82.880082880082881</v>
      </c>
      <c r="D23" s="15">
        <v>1983</v>
      </c>
      <c r="E23" s="14">
        <v>60.716126899999999</v>
      </c>
      <c r="F23" s="16">
        <v>1.2859918400000001</v>
      </c>
      <c r="G23" s="14">
        <v>39.283873100000001</v>
      </c>
      <c r="H23" s="16">
        <v>1.2859918400000001</v>
      </c>
      <c r="I23" s="14" t="s">
        <v>139</v>
      </c>
      <c r="J23" s="16" t="s">
        <v>139</v>
      </c>
      <c r="K23" s="14">
        <v>0</v>
      </c>
      <c r="L23" s="16">
        <v>0</v>
      </c>
      <c r="M23" s="14">
        <v>0</v>
      </c>
      <c r="N23" s="16">
        <v>0</v>
      </c>
      <c r="O23" s="14">
        <v>0</v>
      </c>
      <c r="P23" s="16">
        <v>0</v>
      </c>
      <c r="Q23" s="14">
        <v>0</v>
      </c>
      <c r="R23" s="16">
        <v>0</v>
      </c>
    </row>
    <row r="24" spans="1:18" x14ac:dyDescent="0.25">
      <c r="A24" s="11" t="s">
        <v>157</v>
      </c>
      <c r="B24" s="13">
        <v>6647</v>
      </c>
      <c r="C24" s="14">
        <f>(5501/B24*100)</f>
        <v>82.759139461411152</v>
      </c>
      <c r="D24" s="15">
        <v>1146</v>
      </c>
      <c r="E24" s="14">
        <v>33.528916389999999</v>
      </c>
      <c r="F24" s="16">
        <v>1.3200854200000001</v>
      </c>
      <c r="G24" s="14">
        <v>66.471083609999994</v>
      </c>
      <c r="H24" s="16">
        <v>1.3200854200000001</v>
      </c>
      <c r="I24" s="14" t="s">
        <v>139</v>
      </c>
      <c r="J24" s="16" t="s">
        <v>139</v>
      </c>
      <c r="K24" s="14">
        <v>0</v>
      </c>
      <c r="L24" s="16">
        <v>0</v>
      </c>
      <c r="M24" s="14">
        <v>0</v>
      </c>
      <c r="N24" s="16">
        <v>0</v>
      </c>
      <c r="O24" s="14">
        <v>0</v>
      </c>
      <c r="P24" s="16">
        <v>0</v>
      </c>
      <c r="Q24" s="14">
        <v>0</v>
      </c>
      <c r="R24" s="16">
        <v>0</v>
      </c>
    </row>
    <row r="25" spans="1:18" x14ac:dyDescent="0.25">
      <c r="A25" s="11" t="s">
        <v>158</v>
      </c>
      <c r="B25" s="13">
        <v>5581</v>
      </c>
      <c r="C25" s="14">
        <f>(4615/B25*100)</f>
        <v>82.691273965239205</v>
      </c>
      <c r="D25" s="15">
        <v>966</v>
      </c>
      <c r="E25" s="14">
        <v>51.963202269999996</v>
      </c>
      <c r="F25" s="16">
        <v>1.73074529</v>
      </c>
      <c r="G25" s="14">
        <v>48.036797730000004</v>
      </c>
      <c r="H25" s="16">
        <v>1.73074529</v>
      </c>
      <c r="I25" s="14" t="s">
        <v>139</v>
      </c>
      <c r="J25" s="16" t="s">
        <v>139</v>
      </c>
      <c r="K25" s="14">
        <v>0</v>
      </c>
      <c r="L25" s="16">
        <v>0</v>
      </c>
      <c r="M25" s="14">
        <v>0</v>
      </c>
      <c r="N25" s="16">
        <v>0</v>
      </c>
      <c r="O25" s="14">
        <v>0</v>
      </c>
      <c r="P25" s="16">
        <v>0</v>
      </c>
      <c r="Q25" s="14">
        <v>0</v>
      </c>
      <c r="R25" s="16">
        <v>0</v>
      </c>
    </row>
    <row r="26" spans="1:18" x14ac:dyDescent="0.25">
      <c r="A26" s="11" t="s">
        <v>159</v>
      </c>
      <c r="B26" s="13">
        <v>4869</v>
      </c>
      <c r="C26" s="14">
        <f>(4038/B26*100)</f>
        <v>82.932840418977207</v>
      </c>
      <c r="D26" s="15">
        <v>831</v>
      </c>
      <c r="E26" s="14">
        <v>58.953850760000002</v>
      </c>
      <c r="F26" s="16">
        <v>1.79357784</v>
      </c>
      <c r="G26" s="14">
        <v>41.046149239999998</v>
      </c>
      <c r="H26" s="16">
        <v>1.79357784</v>
      </c>
      <c r="I26" s="14" t="s">
        <v>139</v>
      </c>
      <c r="J26" s="16" t="s">
        <v>139</v>
      </c>
      <c r="K26" s="14">
        <v>0</v>
      </c>
      <c r="L26" s="16">
        <v>0</v>
      </c>
      <c r="M26" s="14">
        <v>0</v>
      </c>
      <c r="N26" s="16">
        <v>0</v>
      </c>
      <c r="O26" s="14">
        <v>0</v>
      </c>
      <c r="P26" s="16">
        <v>0</v>
      </c>
      <c r="Q26" s="14">
        <v>0</v>
      </c>
      <c r="R26" s="16">
        <v>0</v>
      </c>
    </row>
    <row r="27" spans="1:18" x14ac:dyDescent="0.25">
      <c r="A27" s="11" t="s">
        <v>160</v>
      </c>
      <c r="B27" s="13">
        <v>5299</v>
      </c>
      <c r="C27" s="14">
        <f>(4417/B27*100)</f>
        <v>83.355350066050192</v>
      </c>
      <c r="D27" s="15">
        <v>882</v>
      </c>
      <c r="E27" s="14">
        <v>52.984264660000001</v>
      </c>
      <c r="F27" s="16">
        <v>1.6979558699999999</v>
      </c>
      <c r="G27" s="14">
        <v>47.015735339999999</v>
      </c>
      <c r="H27" s="16">
        <v>1.6979558699999999</v>
      </c>
      <c r="I27" s="14" t="s">
        <v>139</v>
      </c>
      <c r="J27" s="16" t="s">
        <v>139</v>
      </c>
      <c r="K27" s="14">
        <v>0</v>
      </c>
      <c r="L27" s="16">
        <v>0</v>
      </c>
      <c r="M27" s="14">
        <v>0</v>
      </c>
      <c r="N27" s="16">
        <v>0</v>
      </c>
      <c r="O27" s="14">
        <v>0</v>
      </c>
      <c r="P27" s="16">
        <v>0</v>
      </c>
      <c r="Q27" s="14">
        <v>0</v>
      </c>
      <c r="R27" s="16">
        <v>0</v>
      </c>
    </row>
    <row r="28" spans="1:18" x14ac:dyDescent="0.25">
      <c r="A28" s="11" t="s">
        <v>161</v>
      </c>
      <c r="B28" s="13">
        <v>7568</v>
      </c>
      <c r="C28" s="14">
        <f>(6373/B28*100)</f>
        <v>84.209830866807607</v>
      </c>
      <c r="D28" s="15">
        <v>1195</v>
      </c>
      <c r="E28" s="14">
        <v>64.420462560000004</v>
      </c>
      <c r="F28" s="16">
        <v>1.29744134</v>
      </c>
      <c r="G28" s="14">
        <v>35.579537440000003</v>
      </c>
      <c r="H28" s="16">
        <v>1.29744134</v>
      </c>
      <c r="I28" s="14" t="s">
        <v>139</v>
      </c>
      <c r="J28" s="16" t="s">
        <v>139</v>
      </c>
      <c r="K28" s="14">
        <v>0</v>
      </c>
      <c r="L28" s="16">
        <v>0</v>
      </c>
      <c r="M28" s="14">
        <v>0</v>
      </c>
      <c r="N28" s="16">
        <v>0</v>
      </c>
      <c r="O28" s="14">
        <v>0</v>
      </c>
      <c r="P28" s="16">
        <v>0</v>
      </c>
      <c r="Q28" s="14">
        <v>0</v>
      </c>
      <c r="R28" s="16">
        <v>0</v>
      </c>
    </row>
    <row r="29" spans="1:18" x14ac:dyDescent="0.25">
      <c r="A29" s="11" t="s">
        <v>162</v>
      </c>
      <c r="B29" s="13">
        <v>5385</v>
      </c>
      <c r="C29" s="14">
        <f>(4500/B29*100)</f>
        <v>83.565459610027858</v>
      </c>
      <c r="D29" s="15">
        <v>885</v>
      </c>
      <c r="E29" s="14">
        <v>48.684946250000003</v>
      </c>
      <c r="F29" s="16">
        <v>1.7034843500000001</v>
      </c>
      <c r="G29" s="14">
        <v>51.315053749999997</v>
      </c>
      <c r="H29" s="16">
        <v>1.7034843500000001</v>
      </c>
      <c r="I29" s="14" t="s">
        <v>139</v>
      </c>
      <c r="J29" s="16" t="s">
        <v>139</v>
      </c>
      <c r="K29" s="14">
        <v>0</v>
      </c>
      <c r="L29" s="16">
        <v>0</v>
      </c>
      <c r="M29" s="14">
        <v>0</v>
      </c>
      <c r="N29" s="16">
        <v>0</v>
      </c>
      <c r="O29" s="14">
        <v>0</v>
      </c>
      <c r="P29" s="16">
        <v>0</v>
      </c>
      <c r="Q29" s="14">
        <v>0</v>
      </c>
      <c r="R29" s="16">
        <v>0</v>
      </c>
    </row>
    <row r="30" spans="1:18" x14ac:dyDescent="0.25">
      <c r="A30" s="11" t="s">
        <v>163</v>
      </c>
      <c r="B30" s="13">
        <v>4520</v>
      </c>
      <c r="C30" s="14">
        <f>(3802/B30*100)</f>
        <v>84.115044247787608</v>
      </c>
      <c r="D30" s="15">
        <v>718</v>
      </c>
      <c r="E30" s="14">
        <v>46.40675658</v>
      </c>
      <c r="F30" s="16">
        <v>2.1530387599999998</v>
      </c>
      <c r="G30" s="14">
        <v>53.59324342</v>
      </c>
      <c r="H30" s="16">
        <v>2.1530387599999998</v>
      </c>
      <c r="I30" s="14" t="s">
        <v>139</v>
      </c>
      <c r="J30" s="16" t="s">
        <v>139</v>
      </c>
      <c r="K30" s="14">
        <v>0</v>
      </c>
      <c r="L30" s="16">
        <v>0</v>
      </c>
      <c r="M30" s="14">
        <v>0</v>
      </c>
      <c r="N30" s="16">
        <v>0</v>
      </c>
      <c r="O30" s="14">
        <v>0</v>
      </c>
      <c r="P30" s="16">
        <v>0</v>
      </c>
      <c r="Q30" s="14">
        <v>0</v>
      </c>
      <c r="R30" s="16">
        <v>0</v>
      </c>
    </row>
    <row r="31" spans="1:18" x14ac:dyDescent="0.25">
      <c r="A31" s="11" t="s">
        <v>164</v>
      </c>
      <c r="B31" s="13">
        <v>5456</v>
      </c>
      <c r="C31" s="14">
        <f>(4547/B31*100)</f>
        <v>83.339442815249271</v>
      </c>
      <c r="D31" s="15">
        <v>909</v>
      </c>
      <c r="E31" s="14">
        <v>48.635744119999998</v>
      </c>
      <c r="F31" s="16">
        <v>1.8250606899999999</v>
      </c>
      <c r="G31" s="14">
        <v>51.364255880000002</v>
      </c>
      <c r="H31" s="16">
        <v>1.8250606899999999</v>
      </c>
      <c r="I31" s="14" t="s">
        <v>139</v>
      </c>
      <c r="J31" s="16" t="s">
        <v>139</v>
      </c>
      <c r="K31" s="14">
        <v>0</v>
      </c>
      <c r="L31" s="16">
        <v>0</v>
      </c>
      <c r="M31" s="14">
        <v>0</v>
      </c>
      <c r="N31" s="16">
        <v>0</v>
      </c>
      <c r="O31" s="14">
        <v>0</v>
      </c>
      <c r="P31" s="16">
        <v>0</v>
      </c>
      <c r="Q31" s="14">
        <v>0</v>
      </c>
      <c r="R31" s="16">
        <v>0</v>
      </c>
    </row>
    <row r="32" spans="1:18" x14ac:dyDescent="0.25">
      <c r="A32" s="11" t="s">
        <v>165</v>
      </c>
      <c r="B32" s="17" t="s">
        <v>154</v>
      </c>
      <c r="C32" s="17" t="s">
        <v>154</v>
      </c>
      <c r="D32" s="18" t="s">
        <v>154</v>
      </c>
      <c r="E32" s="17" t="s">
        <v>154</v>
      </c>
      <c r="F32" s="18" t="s">
        <v>154</v>
      </c>
      <c r="G32" s="17" t="s">
        <v>154</v>
      </c>
      <c r="H32" s="18" t="s">
        <v>154</v>
      </c>
      <c r="I32" s="17" t="s">
        <v>154</v>
      </c>
      <c r="J32" s="18" t="s">
        <v>154</v>
      </c>
      <c r="K32" s="17" t="s">
        <v>154</v>
      </c>
      <c r="L32" s="18" t="s">
        <v>154</v>
      </c>
      <c r="M32" s="17" t="s">
        <v>154</v>
      </c>
      <c r="N32" s="18" t="s">
        <v>154</v>
      </c>
      <c r="O32" s="17" t="s">
        <v>154</v>
      </c>
      <c r="P32" s="18" t="s">
        <v>154</v>
      </c>
      <c r="Q32" s="17" t="s">
        <v>154</v>
      </c>
      <c r="R32" s="18" t="s">
        <v>154</v>
      </c>
    </row>
    <row r="33" spans="1:18" x14ac:dyDescent="0.25">
      <c r="A33" s="11" t="s">
        <v>166</v>
      </c>
      <c r="B33" s="13">
        <v>7325</v>
      </c>
      <c r="C33" s="14">
        <f>(6119/B33*100)</f>
        <v>83.535836177474394</v>
      </c>
      <c r="D33" s="15">
        <v>1206</v>
      </c>
      <c r="E33" s="14">
        <v>46.371649009999999</v>
      </c>
      <c r="F33" s="16">
        <v>1.6907447499999999</v>
      </c>
      <c r="G33" s="14">
        <v>53.628350990000001</v>
      </c>
      <c r="H33" s="16">
        <v>1.6907447499999999</v>
      </c>
      <c r="I33" s="14" t="s">
        <v>139</v>
      </c>
      <c r="J33" s="16" t="s">
        <v>139</v>
      </c>
      <c r="K33" s="14">
        <v>0</v>
      </c>
      <c r="L33" s="16">
        <v>0</v>
      </c>
      <c r="M33" s="14">
        <v>0</v>
      </c>
      <c r="N33" s="16">
        <v>0</v>
      </c>
      <c r="O33" s="14">
        <v>0</v>
      </c>
      <c r="P33" s="16">
        <v>0</v>
      </c>
      <c r="Q33" s="14">
        <v>0</v>
      </c>
      <c r="R33" s="16">
        <v>0</v>
      </c>
    </row>
    <row r="34" spans="1:18" x14ac:dyDescent="0.25">
      <c r="A34" s="11" t="s">
        <v>167</v>
      </c>
      <c r="B34" s="13">
        <v>6350</v>
      </c>
      <c r="C34" s="14">
        <f>(5317/B34*100)</f>
        <v>83.732283464566919</v>
      </c>
      <c r="D34" s="15">
        <v>1033</v>
      </c>
      <c r="E34" s="14">
        <v>67.567577869999994</v>
      </c>
      <c r="F34" s="16">
        <v>1.5652219000000001</v>
      </c>
      <c r="G34" s="14">
        <v>32.432422129999999</v>
      </c>
      <c r="H34" s="16">
        <v>1.5652219000000001</v>
      </c>
      <c r="I34" s="14" t="s">
        <v>139</v>
      </c>
      <c r="J34" s="16" t="s">
        <v>139</v>
      </c>
      <c r="K34" s="14">
        <v>0</v>
      </c>
      <c r="L34" s="16">
        <v>0</v>
      </c>
      <c r="M34" s="14">
        <v>0</v>
      </c>
      <c r="N34" s="16">
        <v>0</v>
      </c>
      <c r="O34" s="14">
        <v>0</v>
      </c>
      <c r="P34" s="16">
        <v>0</v>
      </c>
      <c r="Q34" s="14">
        <v>0</v>
      </c>
      <c r="R34" s="16">
        <v>0</v>
      </c>
    </row>
    <row r="35" spans="1:18" x14ac:dyDescent="0.25">
      <c r="A35" s="11" t="s">
        <v>168</v>
      </c>
      <c r="B35" s="13">
        <v>6406</v>
      </c>
      <c r="C35" s="14">
        <f>(5352/B35*100)</f>
        <v>83.546674992194809</v>
      </c>
      <c r="D35" s="15">
        <v>1054</v>
      </c>
      <c r="E35" s="14">
        <v>58.703597170000002</v>
      </c>
      <c r="F35" s="16">
        <v>1.9859494499999999</v>
      </c>
      <c r="G35" s="14">
        <v>41.296402829999998</v>
      </c>
      <c r="H35" s="16">
        <v>1.9859494499999999</v>
      </c>
      <c r="I35" s="14" t="s">
        <v>139</v>
      </c>
      <c r="J35" s="16" t="s">
        <v>139</v>
      </c>
      <c r="K35" s="14">
        <v>0</v>
      </c>
      <c r="L35" s="16">
        <v>0</v>
      </c>
      <c r="M35" s="14">
        <v>0</v>
      </c>
      <c r="N35" s="16">
        <v>0</v>
      </c>
      <c r="O35" s="14">
        <v>0</v>
      </c>
      <c r="P35" s="16">
        <v>0</v>
      </c>
      <c r="Q35" s="14">
        <v>0</v>
      </c>
      <c r="R35" s="16">
        <v>0</v>
      </c>
    </row>
    <row r="36" spans="1:18" x14ac:dyDescent="0.25">
      <c r="A36" s="11" t="s">
        <v>169</v>
      </c>
      <c r="B36" s="13">
        <v>6736</v>
      </c>
      <c r="C36" s="14">
        <f>(5610/B36*100)</f>
        <v>83.283847980997621</v>
      </c>
      <c r="D36" s="15">
        <v>1126</v>
      </c>
      <c r="E36" s="14">
        <v>47.573512739999998</v>
      </c>
      <c r="F36" s="16">
        <v>1.5483524099999999</v>
      </c>
      <c r="G36" s="14">
        <v>52.426487260000002</v>
      </c>
      <c r="H36" s="16">
        <v>1.5483524099999999</v>
      </c>
      <c r="I36" s="14" t="s">
        <v>139</v>
      </c>
      <c r="J36" s="16" t="s">
        <v>139</v>
      </c>
      <c r="K36" s="14">
        <v>0</v>
      </c>
      <c r="L36" s="16">
        <v>0</v>
      </c>
      <c r="M36" s="14">
        <v>0</v>
      </c>
      <c r="N36" s="16">
        <v>0</v>
      </c>
      <c r="O36" s="14">
        <v>0</v>
      </c>
      <c r="P36" s="16">
        <v>0</v>
      </c>
      <c r="Q36" s="14">
        <v>0</v>
      </c>
      <c r="R36" s="16">
        <v>0</v>
      </c>
    </row>
    <row r="37" spans="1:18" x14ac:dyDescent="0.25">
      <c r="A37" s="11" t="s">
        <v>170</v>
      </c>
      <c r="B37" s="13">
        <v>5458</v>
      </c>
      <c r="C37" s="14">
        <f>(4571/B37*100)</f>
        <v>83.748625870282154</v>
      </c>
      <c r="D37" s="15">
        <v>887</v>
      </c>
      <c r="E37" s="14">
        <v>52.626832010000001</v>
      </c>
      <c r="F37" s="16">
        <v>1.62234247</v>
      </c>
      <c r="G37" s="14">
        <v>47.373167989999999</v>
      </c>
      <c r="H37" s="16">
        <v>1.62234247</v>
      </c>
      <c r="I37" s="14" t="s">
        <v>139</v>
      </c>
      <c r="J37" s="16" t="s">
        <v>139</v>
      </c>
      <c r="K37" s="14">
        <v>0</v>
      </c>
      <c r="L37" s="16">
        <v>0</v>
      </c>
      <c r="M37" s="14">
        <v>0</v>
      </c>
      <c r="N37" s="16">
        <v>0</v>
      </c>
      <c r="O37" s="14">
        <v>0</v>
      </c>
      <c r="P37" s="16">
        <v>0</v>
      </c>
      <c r="Q37" s="14">
        <v>0</v>
      </c>
      <c r="R37" s="16">
        <v>0</v>
      </c>
    </row>
    <row r="38" spans="1:18" x14ac:dyDescent="0.25">
      <c r="A38" s="11" t="s">
        <v>171</v>
      </c>
      <c r="B38" s="17" t="s">
        <v>154</v>
      </c>
      <c r="C38" s="17" t="s">
        <v>154</v>
      </c>
      <c r="D38" s="18" t="s">
        <v>154</v>
      </c>
      <c r="E38" s="17" t="s">
        <v>154</v>
      </c>
      <c r="F38" s="18" t="s">
        <v>154</v>
      </c>
      <c r="G38" s="17" t="s">
        <v>154</v>
      </c>
      <c r="H38" s="18" t="s">
        <v>154</v>
      </c>
      <c r="I38" s="17" t="s">
        <v>154</v>
      </c>
      <c r="J38" s="18" t="s">
        <v>154</v>
      </c>
      <c r="K38" s="17" t="s">
        <v>154</v>
      </c>
      <c r="L38" s="18" t="s">
        <v>154</v>
      </c>
      <c r="M38" s="17" t="s">
        <v>154</v>
      </c>
      <c r="N38" s="18" t="s">
        <v>154</v>
      </c>
      <c r="O38" s="17" t="s">
        <v>154</v>
      </c>
      <c r="P38" s="18" t="s">
        <v>154</v>
      </c>
      <c r="Q38" s="17" t="s">
        <v>154</v>
      </c>
      <c r="R38" s="18" t="s">
        <v>154</v>
      </c>
    </row>
    <row r="39" spans="1:18" x14ac:dyDescent="0.25">
      <c r="A39" s="11" t="s">
        <v>172</v>
      </c>
      <c r="B39" s="13">
        <v>5895</v>
      </c>
      <c r="C39" s="14">
        <f>(4863/B39*100)</f>
        <v>82.493638676844782</v>
      </c>
      <c r="D39" s="15">
        <v>1032</v>
      </c>
      <c r="E39" s="14">
        <v>72.683077969999999</v>
      </c>
      <c r="F39" s="16">
        <v>1.3638215499999999</v>
      </c>
      <c r="G39" s="14">
        <v>27.316922030000001</v>
      </c>
      <c r="H39" s="16">
        <v>1.3638215499999999</v>
      </c>
      <c r="I39" s="14" t="s">
        <v>139</v>
      </c>
      <c r="J39" s="16" t="s">
        <v>139</v>
      </c>
      <c r="K39" s="14">
        <v>0</v>
      </c>
      <c r="L39" s="16">
        <v>0</v>
      </c>
      <c r="M39" s="14">
        <v>0</v>
      </c>
      <c r="N39" s="16">
        <v>0</v>
      </c>
      <c r="O39" s="14">
        <v>0</v>
      </c>
      <c r="P39" s="16">
        <v>0</v>
      </c>
      <c r="Q39" s="14">
        <v>0</v>
      </c>
      <c r="R39" s="16">
        <v>0</v>
      </c>
    </row>
    <row r="40" spans="1:18" x14ac:dyDescent="0.25">
      <c r="A40" s="11" t="s">
        <v>173</v>
      </c>
      <c r="B40" s="13">
        <v>14157</v>
      </c>
      <c r="C40" s="14">
        <f>(11750/B40*100)</f>
        <v>82.997810270537542</v>
      </c>
      <c r="D40" s="15">
        <v>2407</v>
      </c>
      <c r="E40" s="14">
        <v>48.49317714</v>
      </c>
      <c r="F40" s="16">
        <v>1.6123732099999999</v>
      </c>
      <c r="G40" s="14">
        <v>51.50682286</v>
      </c>
      <c r="H40" s="16">
        <v>1.6123732099999999</v>
      </c>
      <c r="I40" s="14" t="s">
        <v>139</v>
      </c>
      <c r="J40" s="16" t="s">
        <v>139</v>
      </c>
      <c r="K40" s="14">
        <v>0</v>
      </c>
      <c r="L40" s="16">
        <v>0</v>
      </c>
      <c r="M40" s="14">
        <v>0</v>
      </c>
      <c r="N40" s="16">
        <v>0</v>
      </c>
      <c r="O40" s="14">
        <v>0</v>
      </c>
      <c r="P40" s="16">
        <v>0</v>
      </c>
      <c r="Q40" s="14">
        <v>0</v>
      </c>
      <c r="R40" s="16">
        <v>0</v>
      </c>
    </row>
    <row r="41" spans="1:18" x14ac:dyDescent="0.25">
      <c r="A41" s="11" t="s">
        <v>174</v>
      </c>
      <c r="B41" s="13">
        <v>5712</v>
      </c>
      <c r="C41" s="14">
        <f>(4743/B41*100)</f>
        <v>83.035714285714292</v>
      </c>
      <c r="D41" s="15">
        <v>969</v>
      </c>
      <c r="E41" s="14">
        <v>53.299216979999997</v>
      </c>
      <c r="F41" s="16">
        <v>1.8094971200000001</v>
      </c>
      <c r="G41" s="14">
        <v>46.700783020000003</v>
      </c>
      <c r="H41" s="16">
        <v>1.8094971200000001</v>
      </c>
      <c r="I41" s="14" t="s">
        <v>139</v>
      </c>
      <c r="J41" s="16" t="s">
        <v>139</v>
      </c>
      <c r="K41" s="14">
        <v>0</v>
      </c>
      <c r="L41" s="16">
        <v>0</v>
      </c>
      <c r="M41" s="14">
        <v>0</v>
      </c>
      <c r="N41" s="16">
        <v>0</v>
      </c>
      <c r="O41" s="14">
        <v>0</v>
      </c>
      <c r="P41" s="16">
        <v>0</v>
      </c>
      <c r="Q41" s="14">
        <v>0</v>
      </c>
      <c r="R41" s="16">
        <v>0</v>
      </c>
    </row>
    <row r="42" spans="1:18" x14ac:dyDescent="0.25">
      <c r="A42" s="11" t="s">
        <v>175</v>
      </c>
      <c r="B42" s="13">
        <f>IF(COUNT(B7:B41) &gt; 0, AVERAGE(B7:B41), "\u2014")</f>
        <v>7266.90625</v>
      </c>
      <c r="C42" s="14">
        <f>IF(COUNT(C7:C41) &gt; 0, AVERAGE(C7:C41), "—")</f>
        <v>83.320585805480079</v>
      </c>
      <c r="D42" s="15">
        <f>IF(COUNT(D7:D41) &gt; 0, AVERAGE(D7:D41), "—")</f>
        <v>1213.1875</v>
      </c>
      <c r="E42" s="14">
        <f>IF(COUNT(E7:E41) &gt; 0, AVERAGE(E7:E41), "—")</f>
        <v>52.967476699375005</v>
      </c>
      <c r="F42" s="16">
        <f>IF(COUNT(F7:F41) &gt; 0, SQRT(SUMSQ(F7:F41)/(COUNT(F7:F41)*COUNT(F7:F41)) ), "—")</f>
        <v>0.29275868233664643</v>
      </c>
      <c r="G42" s="14">
        <f>IF(COUNT(G7:G41) &gt; 0, AVERAGE(G7:G41), "—")</f>
        <v>47.032523300624995</v>
      </c>
      <c r="H42" s="16">
        <f>IF(COUNT(H7:H41) &gt; 0, SQRT(SUMSQ(H7:H41)/(COUNT(H7:H41)*COUNT(H7:H41)) ), "—")</f>
        <v>0.29275868233664643</v>
      </c>
      <c r="I42" s="14" t="str">
        <f>IF(COUNT(I7:I41) &gt; 0, AVERAGE(I7:I41), "—")</f>
        <v>—</v>
      </c>
      <c r="J42" s="16" t="str">
        <f>IF(COUNT(J7:J41) &gt; 0, SQRT(SUMSQ(J7:J41)/(COUNT(J7:J41)*COUNT(J7:J41)) ), "—")</f>
        <v>—</v>
      </c>
      <c r="K42" s="14">
        <f>IF(COUNT(K7:K41) &gt; 0, AVERAGE(K7:K41), "—")</f>
        <v>0</v>
      </c>
      <c r="L42" s="16">
        <f>IF(COUNT(L7:L41) &gt; 0, SQRT(SUMSQ(L7:L41)/(COUNT(L7:L41)*COUNT(L7:L41)) ), "—")</f>
        <v>0</v>
      </c>
      <c r="M42" s="14">
        <f>IF(COUNT(M7:M41) &gt; 0, AVERAGE(M7:M41), "—")</f>
        <v>0</v>
      </c>
      <c r="N42" s="16">
        <f>IF(COUNT(N7:N41) &gt; 0, SQRT(SUMSQ(N7:N41)/(COUNT(N7:N41)*COUNT(N7:N41)) ), "—")</f>
        <v>0</v>
      </c>
      <c r="O42" s="14">
        <f>IF(COUNT(O7:O41) &gt; 0, AVERAGE(O7:O41), "—")</f>
        <v>0</v>
      </c>
      <c r="P42" s="16">
        <f>IF(COUNT(P7:P41) &gt; 0, SQRT(SUMSQ(P7:P41)/(COUNT(P7:P41)*COUNT(P7:P41)) ), "—")</f>
        <v>0</v>
      </c>
      <c r="Q42" s="14">
        <f>IF(COUNT(Q7:Q41) &gt; 0, AVERAGE(Q7:Q41), "—")</f>
        <v>0</v>
      </c>
      <c r="R42" s="16">
        <f>IF(COUNT(R7:R41) &gt; 0, SQRT(SUMSQ(R7:R41)/(COUNT(R7:R41)*COUNT(R7:R41)) ), "—")</f>
        <v>0</v>
      </c>
    </row>
    <row r="43" spans="1:18" x14ac:dyDescent="0.25">
      <c r="A43" s="9" t="s">
        <v>176</v>
      </c>
      <c r="B43" s="10"/>
      <c r="C43" s="10"/>
      <c r="D43" s="11"/>
      <c r="E43" s="10"/>
      <c r="F43" s="11"/>
      <c r="G43" s="10"/>
      <c r="H43" s="11"/>
      <c r="I43" s="10"/>
      <c r="J43" s="11"/>
      <c r="K43" s="10"/>
      <c r="L43" s="11"/>
      <c r="M43" s="10"/>
      <c r="N43" s="11"/>
      <c r="O43" s="10"/>
      <c r="P43" s="11"/>
      <c r="Q43" s="10"/>
      <c r="R43" s="12"/>
    </row>
    <row r="44" spans="1:18" x14ac:dyDescent="0.25">
      <c r="A44" s="11" t="s">
        <v>177</v>
      </c>
      <c r="B44" s="17" t="s">
        <v>154</v>
      </c>
      <c r="C44" s="17" t="s">
        <v>154</v>
      </c>
      <c r="D44" s="18" t="s">
        <v>154</v>
      </c>
      <c r="E44" s="17" t="s">
        <v>154</v>
      </c>
      <c r="F44" s="18" t="s">
        <v>154</v>
      </c>
      <c r="G44" s="17" t="s">
        <v>154</v>
      </c>
      <c r="H44" s="18" t="s">
        <v>154</v>
      </c>
      <c r="I44" s="17" t="s">
        <v>154</v>
      </c>
      <c r="J44" s="18" t="s">
        <v>154</v>
      </c>
      <c r="K44" s="17" t="s">
        <v>154</v>
      </c>
      <c r="L44" s="18" t="s">
        <v>154</v>
      </c>
      <c r="M44" s="17" t="s">
        <v>154</v>
      </c>
      <c r="N44" s="18" t="s">
        <v>154</v>
      </c>
      <c r="O44" s="17" t="s">
        <v>154</v>
      </c>
      <c r="P44" s="18" t="s">
        <v>154</v>
      </c>
      <c r="Q44" s="17" t="s">
        <v>154</v>
      </c>
      <c r="R44" s="18" t="s">
        <v>154</v>
      </c>
    </row>
    <row r="45" spans="1:18" x14ac:dyDescent="0.25">
      <c r="A45" s="11" t="s">
        <v>178</v>
      </c>
      <c r="B45" s="17" t="s">
        <v>154</v>
      </c>
      <c r="C45" s="17" t="s">
        <v>154</v>
      </c>
      <c r="D45" s="18" t="s">
        <v>154</v>
      </c>
      <c r="E45" s="17" t="s">
        <v>154</v>
      </c>
      <c r="F45" s="18" t="s">
        <v>154</v>
      </c>
      <c r="G45" s="17" t="s">
        <v>154</v>
      </c>
      <c r="H45" s="18" t="s">
        <v>154</v>
      </c>
      <c r="I45" s="17" t="s">
        <v>154</v>
      </c>
      <c r="J45" s="18" t="s">
        <v>154</v>
      </c>
      <c r="K45" s="17" t="s">
        <v>154</v>
      </c>
      <c r="L45" s="18" t="s">
        <v>154</v>
      </c>
      <c r="M45" s="17" t="s">
        <v>154</v>
      </c>
      <c r="N45" s="18" t="s">
        <v>154</v>
      </c>
      <c r="O45" s="17" t="s">
        <v>154</v>
      </c>
      <c r="P45" s="18" t="s">
        <v>154</v>
      </c>
      <c r="Q45" s="17" t="s">
        <v>154</v>
      </c>
      <c r="R45" s="18" t="s">
        <v>154</v>
      </c>
    </row>
    <row r="46" spans="1:18" x14ac:dyDescent="0.25">
      <c r="A46" s="11" t="s">
        <v>179</v>
      </c>
      <c r="B46" s="13">
        <v>23141</v>
      </c>
      <c r="C46" s="14">
        <f>(20147/B46*100)</f>
        <v>87.061924722354263</v>
      </c>
      <c r="D46" s="15">
        <v>2994</v>
      </c>
      <c r="E46" s="14">
        <v>73.874858599999996</v>
      </c>
      <c r="F46" s="16">
        <v>1.20318788</v>
      </c>
      <c r="G46" s="14">
        <v>26.1251414</v>
      </c>
      <c r="H46" s="16">
        <v>1.20318788</v>
      </c>
      <c r="I46" s="14" t="s">
        <v>139</v>
      </c>
      <c r="J46" s="16" t="s">
        <v>139</v>
      </c>
      <c r="K46" s="14">
        <v>0</v>
      </c>
      <c r="L46" s="16">
        <v>0</v>
      </c>
      <c r="M46" s="14">
        <v>0</v>
      </c>
      <c r="N46" s="16">
        <v>0</v>
      </c>
      <c r="O46" s="14">
        <v>0</v>
      </c>
      <c r="P46" s="16">
        <v>0</v>
      </c>
      <c r="Q46" s="14">
        <v>0</v>
      </c>
      <c r="R46" s="16">
        <v>0</v>
      </c>
    </row>
    <row r="47" spans="1:18" x14ac:dyDescent="0.25">
      <c r="A47" s="11" t="s">
        <v>180</v>
      </c>
      <c r="B47" s="13">
        <v>5928</v>
      </c>
      <c r="C47" s="14">
        <f>(4966/B47*100)</f>
        <v>83.771929824561411</v>
      </c>
      <c r="D47" s="15">
        <v>962</v>
      </c>
      <c r="E47" s="14">
        <v>63.069170309999997</v>
      </c>
      <c r="F47" s="16">
        <v>1.64985315</v>
      </c>
      <c r="G47" s="14">
        <v>36.930829690000003</v>
      </c>
      <c r="H47" s="16">
        <v>1.64985315</v>
      </c>
      <c r="I47" s="14" t="s">
        <v>139</v>
      </c>
      <c r="J47" s="16" t="s">
        <v>139</v>
      </c>
      <c r="K47" s="14">
        <v>0</v>
      </c>
      <c r="L47" s="16">
        <v>0</v>
      </c>
      <c r="M47" s="14">
        <v>0</v>
      </c>
      <c r="N47" s="16">
        <v>0</v>
      </c>
      <c r="O47" s="14">
        <v>0</v>
      </c>
      <c r="P47" s="16">
        <v>0</v>
      </c>
      <c r="Q47" s="14">
        <v>0</v>
      </c>
      <c r="R47" s="16">
        <v>0</v>
      </c>
    </row>
    <row r="48" spans="1:18" x14ac:dyDescent="0.25">
      <c r="A48" s="11" t="s">
        <v>181</v>
      </c>
      <c r="B48" s="13">
        <v>9841</v>
      </c>
      <c r="C48" s="14">
        <f>(8178/B48*100)</f>
        <v>83.101310842394057</v>
      </c>
      <c r="D48" s="15">
        <v>1663</v>
      </c>
      <c r="E48" s="14">
        <v>55.806609260000002</v>
      </c>
      <c r="F48" s="16">
        <v>1.57045725</v>
      </c>
      <c r="G48" s="14">
        <v>44.193390739999998</v>
      </c>
      <c r="H48" s="16">
        <v>1.57045725</v>
      </c>
      <c r="I48" s="14" t="s">
        <v>139</v>
      </c>
      <c r="J48" s="16" t="s">
        <v>139</v>
      </c>
      <c r="K48" s="14">
        <v>0</v>
      </c>
      <c r="L48" s="16">
        <v>0</v>
      </c>
      <c r="M48" s="14">
        <v>0</v>
      </c>
      <c r="N48" s="16">
        <v>0</v>
      </c>
      <c r="O48" s="14">
        <v>0</v>
      </c>
      <c r="P48" s="16">
        <v>0</v>
      </c>
      <c r="Q48" s="14">
        <v>0</v>
      </c>
      <c r="R48" s="16">
        <v>0</v>
      </c>
    </row>
    <row r="49" spans="1:18" x14ac:dyDescent="0.25">
      <c r="A49" s="11" t="s">
        <v>182</v>
      </c>
      <c r="B49" s="17" t="s">
        <v>154</v>
      </c>
      <c r="C49" s="17" t="s">
        <v>154</v>
      </c>
      <c r="D49" s="18" t="s">
        <v>154</v>
      </c>
      <c r="E49" s="17" t="s">
        <v>154</v>
      </c>
      <c r="F49" s="18" t="s">
        <v>154</v>
      </c>
      <c r="G49" s="17" t="s">
        <v>154</v>
      </c>
      <c r="H49" s="18" t="s">
        <v>154</v>
      </c>
      <c r="I49" s="17" t="s">
        <v>154</v>
      </c>
      <c r="J49" s="18" t="s">
        <v>154</v>
      </c>
      <c r="K49" s="17" t="s">
        <v>154</v>
      </c>
      <c r="L49" s="18" t="s">
        <v>154</v>
      </c>
      <c r="M49" s="17" t="s">
        <v>154</v>
      </c>
      <c r="N49" s="18" t="s">
        <v>154</v>
      </c>
      <c r="O49" s="17" t="s">
        <v>154</v>
      </c>
      <c r="P49" s="18" t="s">
        <v>154</v>
      </c>
      <c r="Q49" s="17" t="s">
        <v>154</v>
      </c>
      <c r="R49" s="18" t="s">
        <v>154</v>
      </c>
    </row>
    <row r="50" spans="1:18" x14ac:dyDescent="0.25">
      <c r="A50" s="11" t="s">
        <v>183</v>
      </c>
      <c r="B50" s="13">
        <v>11795</v>
      </c>
      <c r="C50" s="14">
        <f>(9867/B50*100)</f>
        <v>83.654090716405264</v>
      </c>
      <c r="D50" s="15">
        <v>1928</v>
      </c>
      <c r="E50" s="14">
        <v>63.393513570000003</v>
      </c>
      <c r="F50" s="16">
        <v>1.63777174</v>
      </c>
      <c r="G50" s="14">
        <v>36.606486429999997</v>
      </c>
      <c r="H50" s="16">
        <v>1.63777174</v>
      </c>
      <c r="I50" s="14" t="s">
        <v>139</v>
      </c>
      <c r="J50" s="16" t="s">
        <v>139</v>
      </c>
      <c r="K50" s="14">
        <v>0</v>
      </c>
      <c r="L50" s="16">
        <v>0</v>
      </c>
      <c r="M50" s="14">
        <v>0</v>
      </c>
      <c r="N50" s="16">
        <v>0</v>
      </c>
      <c r="O50" s="14">
        <v>0</v>
      </c>
      <c r="P50" s="16">
        <v>0</v>
      </c>
      <c r="Q50" s="14">
        <v>0</v>
      </c>
      <c r="R50" s="16">
        <v>0</v>
      </c>
    </row>
    <row r="51" spans="1:18" x14ac:dyDescent="0.25">
      <c r="A51" s="11" t="s">
        <v>184</v>
      </c>
      <c r="B51" s="13">
        <v>6866</v>
      </c>
      <c r="C51" s="14">
        <f>(5870/B51*100)</f>
        <v>85.493737256044284</v>
      </c>
      <c r="D51" s="15">
        <v>996</v>
      </c>
      <c r="E51" s="14">
        <v>66.81954331</v>
      </c>
      <c r="F51" s="16">
        <v>1.6279056599999999</v>
      </c>
      <c r="G51" s="14">
        <v>33.18045669</v>
      </c>
      <c r="H51" s="16">
        <v>1.6279056599999999</v>
      </c>
      <c r="I51" s="14" t="s">
        <v>139</v>
      </c>
      <c r="J51" s="16" t="s">
        <v>139</v>
      </c>
      <c r="K51" s="14">
        <v>0</v>
      </c>
      <c r="L51" s="16">
        <v>0</v>
      </c>
      <c r="M51" s="14">
        <v>0</v>
      </c>
      <c r="N51" s="16">
        <v>0</v>
      </c>
      <c r="O51" s="14">
        <v>0</v>
      </c>
      <c r="P51" s="16">
        <v>0</v>
      </c>
      <c r="Q51" s="14">
        <v>0</v>
      </c>
      <c r="R51" s="16">
        <v>0</v>
      </c>
    </row>
    <row r="52" spans="1:18" x14ac:dyDescent="0.25">
      <c r="A52" s="11" t="s">
        <v>185</v>
      </c>
      <c r="B52" s="13">
        <v>5809</v>
      </c>
      <c r="C52" s="14">
        <f>(4842/B52*100)</f>
        <v>83.353417111378889</v>
      </c>
      <c r="D52" s="15">
        <v>967</v>
      </c>
      <c r="E52" s="14">
        <v>70.337223499999993</v>
      </c>
      <c r="F52" s="16">
        <v>1.6402549</v>
      </c>
      <c r="G52" s="14">
        <v>29.6627765</v>
      </c>
      <c r="H52" s="16">
        <v>1.6402549</v>
      </c>
      <c r="I52" s="14" t="s">
        <v>139</v>
      </c>
      <c r="J52" s="16" t="s">
        <v>139</v>
      </c>
      <c r="K52" s="14">
        <v>0</v>
      </c>
      <c r="L52" s="16">
        <v>0</v>
      </c>
      <c r="M52" s="14">
        <v>0</v>
      </c>
      <c r="N52" s="16">
        <v>0</v>
      </c>
      <c r="O52" s="14">
        <v>0</v>
      </c>
      <c r="P52" s="16">
        <v>0</v>
      </c>
      <c r="Q52" s="14">
        <v>0</v>
      </c>
      <c r="R52" s="16">
        <v>0</v>
      </c>
    </row>
    <row r="53" spans="1:18" x14ac:dyDescent="0.25">
      <c r="A53" s="11" t="s">
        <v>186</v>
      </c>
      <c r="B53" s="13">
        <v>5571</v>
      </c>
      <c r="C53" s="14">
        <f>(4658/B53*100)</f>
        <v>83.611559863579259</v>
      </c>
      <c r="D53" s="15">
        <v>913</v>
      </c>
      <c r="E53" s="14">
        <v>69.042192180000001</v>
      </c>
      <c r="F53" s="16">
        <v>1.5835077799999999</v>
      </c>
      <c r="G53" s="14">
        <v>30.957807819999999</v>
      </c>
      <c r="H53" s="16">
        <v>1.5835077799999999</v>
      </c>
      <c r="I53" s="14" t="s">
        <v>139</v>
      </c>
      <c r="J53" s="16" t="s">
        <v>139</v>
      </c>
      <c r="K53" s="14">
        <v>0</v>
      </c>
      <c r="L53" s="16">
        <v>0</v>
      </c>
      <c r="M53" s="14">
        <v>0</v>
      </c>
      <c r="N53" s="16">
        <v>0</v>
      </c>
      <c r="O53" s="14">
        <v>0</v>
      </c>
      <c r="P53" s="16">
        <v>0</v>
      </c>
      <c r="Q53" s="14">
        <v>0</v>
      </c>
      <c r="R53" s="16">
        <v>0</v>
      </c>
    </row>
    <row r="54" spans="1:18" x14ac:dyDescent="0.25">
      <c r="A54" s="11" t="s">
        <v>187</v>
      </c>
      <c r="B54" s="17" t="s">
        <v>154</v>
      </c>
      <c r="C54" s="17" t="s">
        <v>154</v>
      </c>
      <c r="D54" s="18" t="s">
        <v>154</v>
      </c>
      <c r="E54" s="17" t="s">
        <v>154</v>
      </c>
      <c r="F54" s="18" t="s">
        <v>154</v>
      </c>
      <c r="G54" s="17" t="s">
        <v>154</v>
      </c>
      <c r="H54" s="18" t="s">
        <v>154</v>
      </c>
      <c r="I54" s="17" t="s">
        <v>154</v>
      </c>
      <c r="J54" s="18" t="s">
        <v>154</v>
      </c>
      <c r="K54" s="17" t="s">
        <v>154</v>
      </c>
      <c r="L54" s="18" t="s">
        <v>154</v>
      </c>
      <c r="M54" s="17" t="s">
        <v>154</v>
      </c>
      <c r="N54" s="18" t="s">
        <v>154</v>
      </c>
      <c r="O54" s="17" t="s">
        <v>154</v>
      </c>
      <c r="P54" s="18" t="s">
        <v>154</v>
      </c>
      <c r="Q54" s="17" t="s">
        <v>154</v>
      </c>
      <c r="R54" s="18" t="s">
        <v>154</v>
      </c>
    </row>
    <row r="55" spans="1:18" x14ac:dyDescent="0.25">
      <c r="A55" s="11" t="s">
        <v>188</v>
      </c>
      <c r="B55" s="17" t="s">
        <v>154</v>
      </c>
      <c r="C55" s="17" t="s">
        <v>154</v>
      </c>
      <c r="D55" s="18" t="s">
        <v>154</v>
      </c>
      <c r="E55" s="17" t="s">
        <v>154</v>
      </c>
      <c r="F55" s="18" t="s">
        <v>154</v>
      </c>
      <c r="G55" s="17" t="s">
        <v>154</v>
      </c>
      <c r="H55" s="18" t="s">
        <v>154</v>
      </c>
      <c r="I55" s="17" t="s">
        <v>154</v>
      </c>
      <c r="J55" s="18" t="s">
        <v>154</v>
      </c>
      <c r="K55" s="17" t="s">
        <v>154</v>
      </c>
      <c r="L55" s="18" t="s">
        <v>154</v>
      </c>
      <c r="M55" s="17" t="s">
        <v>154</v>
      </c>
      <c r="N55" s="18" t="s">
        <v>154</v>
      </c>
      <c r="O55" s="17" t="s">
        <v>154</v>
      </c>
      <c r="P55" s="18" t="s">
        <v>154</v>
      </c>
      <c r="Q55" s="17" t="s">
        <v>154</v>
      </c>
      <c r="R55" s="18" t="s">
        <v>154</v>
      </c>
    </row>
    <row r="56" spans="1:18" x14ac:dyDescent="0.25">
      <c r="A56" s="11" t="s">
        <v>189</v>
      </c>
      <c r="B56" s="13">
        <v>5359</v>
      </c>
      <c r="C56" s="14">
        <f>(4453/B56*100)</f>
        <v>83.093860794924424</v>
      </c>
      <c r="D56" s="15">
        <v>906</v>
      </c>
      <c r="E56" s="14">
        <v>36.451537700000003</v>
      </c>
      <c r="F56" s="16">
        <v>1.65771589</v>
      </c>
      <c r="G56" s="14">
        <v>63.548462299999997</v>
      </c>
      <c r="H56" s="16">
        <v>1.65771589</v>
      </c>
      <c r="I56" s="14" t="s">
        <v>139</v>
      </c>
      <c r="J56" s="16" t="s">
        <v>139</v>
      </c>
      <c r="K56" s="14">
        <v>0</v>
      </c>
      <c r="L56" s="16">
        <v>0</v>
      </c>
      <c r="M56" s="14">
        <v>0</v>
      </c>
      <c r="N56" s="16">
        <v>0</v>
      </c>
      <c r="O56" s="14">
        <v>0</v>
      </c>
      <c r="P56" s="16">
        <v>0</v>
      </c>
      <c r="Q56" s="14">
        <v>0</v>
      </c>
      <c r="R56" s="16">
        <v>0</v>
      </c>
    </row>
    <row r="57" spans="1:18" x14ac:dyDescent="0.25">
      <c r="A57" s="11" t="s">
        <v>190</v>
      </c>
      <c r="B57" s="17" t="s">
        <v>154</v>
      </c>
      <c r="C57" s="17" t="s">
        <v>154</v>
      </c>
      <c r="D57" s="18" t="s">
        <v>154</v>
      </c>
      <c r="E57" s="17" t="s">
        <v>154</v>
      </c>
      <c r="F57" s="18" t="s">
        <v>154</v>
      </c>
      <c r="G57" s="17" t="s">
        <v>154</v>
      </c>
      <c r="H57" s="18" t="s">
        <v>154</v>
      </c>
      <c r="I57" s="17" t="s">
        <v>154</v>
      </c>
      <c r="J57" s="18" t="s">
        <v>154</v>
      </c>
      <c r="K57" s="17" t="s">
        <v>154</v>
      </c>
      <c r="L57" s="18" t="s">
        <v>154</v>
      </c>
      <c r="M57" s="17" t="s">
        <v>154</v>
      </c>
      <c r="N57" s="18" t="s">
        <v>154</v>
      </c>
      <c r="O57" s="17" t="s">
        <v>154</v>
      </c>
      <c r="P57" s="18" t="s">
        <v>154</v>
      </c>
      <c r="Q57" s="17" t="s">
        <v>154</v>
      </c>
      <c r="R57" s="18" t="s">
        <v>154</v>
      </c>
    </row>
    <row r="58" spans="1:18" x14ac:dyDescent="0.25">
      <c r="A58" s="11" t="s">
        <v>191</v>
      </c>
      <c r="B58" s="17" t="s">
        <v>154</v>
      </c>
      <c r="C58" s="17" t="s">
        <v>154</v>
      </c>
      <c r="D58" s="18" t="s">
        <v>154</v>
      </c>
      <c r="E58" s="17" t="s">
        <v>154</v>
      </c>
      <c r="F58" s="18" t="s">
        <v>154</v>
      </c>
      <c r="G58" s="17" t="s">
        <v>154</v>
      </c>
      <c r="H58" s="18" t="s">
        <v>154</v>
      </c>
      <c r="I58" s="17" t="s">
        <v>154</v>
      </c>
      <c r="J58" s="18" t="s">
        <v>154</v>
      </c>
      <c r="K58" s="17" t="s">
        <v>154</v>
      </c>
      <c r="L58" s="18" t="s">
        <v>154</v>
      </c>
      <c r="M58" s="17" t="s">
        <v>154</v>
      </c>
      <c r="N58" s="18" t="s">
        <v>154</v>
      </c>
      <c r="O58" s="17" t="s">
        <v>154</v>
      </c>
      <c r="P58" s="18" t="s">
        <v>154</v>
      </c>
      <c r="Q58" s="17" t="s">
        <v>154</v>
      </c>
      <c r="R58" s="18" t="s">
        <v>154</v>
      </c>
    </row>
    <row r="59" spans="1:18" x14ac:dyDescent="0.25">
      <c r="A59" s="11" t="s">
        <v>192</v>
      </c>
      <c r="B59" s="17" t="s">
        <v>154</v>
      </c>
      <c r="C59" s="17" t="s">
        <v>154</v>
      </c>
      <c r="D59" s="18" t="s">
        <v>154</v>
      </c>
      <c r="E59" s="17" t="s">
        <v>154</v>
      </c>
      <c r="F59" s="18" t="s">
        <v>154</v>
      </c>
      <c r="G59" s="17" t="s">
        <v>154</v>
      </c>
      <c r="H59" s="18" t="s">
        <v>154</v>
      </c>
      <c r="I59" s="17" t="s">
        <v>154</v>
      </c>
      <c r="J59" s="18" t="s">
        <v>154</v>
      </c>
      <c r="K59" s="17" t="s">
        <v>154</v>
      </c>
      <c r="L59" s="18" t="s">
        <v>154</v>
      </c>
      <c r="M59" s="17" t="s">
        <v>154</v>
      </c>
      <c r="N59" s="18" t="s">
        <v>154</v>
      </c>
      <c r="O59" s="17" t="s">
        <v>154</v>
      </c>
      <c r="P59" s="18" t="s">
        <v>154</v>
      </c>
      <c r="Q59" s="17" t="s">
        <v>154</v>
      </c>
      <c r="R59" s="18" t="s">
        <v>154</v>
      </c>
    </row>
    <row r="60" spans="1:18" x14ac:dyDescent="0.25">
      <c r="A60" s="11" t="s">
        <v>193</v>
      </c>
      <c r="B60" s="17" t="s">
        <v>154</v>
      </c>
      <c r="C60" s="17" t="s">
        <v>154</v>
      </c>
      <c r="D60" s="18" t="s">
        <v>154</v>
      </c>
      <c r="E60" s="17" t="s">
        <v>154</v>
      </c>
      <c r="F60" s="18" t="s">
        <v>154</v>
      </c>
      <c r="G60" s="17" t="s">
        <v>154</v>
      </c>
      <c r="H60" s="18" t="s">
        <v>154</v>
      </c>
      <c r="I60" s="17" t="s">
        <v>154</v>
      </c>
      <c r="J60" s="18" t="s">
        <v>154</v>
      </c>
      <c r="K60" s="17" t="s">
        <v>154</v>
      </c>
      <c r="L60" s="18" t="s">
        <v>154</v>
      </c>
      <c r="M60" s="17" t="s">
        <v>154</v>
      </c>
      <c r="N60" s="18" t="s">
        <v>154</v>
      </c>
      <c r="O60" s="17" t="s">
        <v>154</v>
      </c>
      <c r="P60" s="18" t="s">
        <v>154</v>
      </c>
      <c r="Q60" s="17" t="s">
        <v>154</v>
      </c>
      <c r="R60" s="18" t="s">
        <v>154</v>
      </c>
    </row>
    <row r="61" spans="1:18" x14ac:dyDescent="0.25">
      <c r="A61" s="11" t="s">
        <v>194</v>
      </c>
      <c r="B61" s="13">
        <v>6525</v>
      </c>
      <c r="C61" s="14">
        <f>(5437/B61*100)</f>
        <v>83.325670498084293</v>
      </c>
      <c r="D61" s="15">
        <v>1088</v>
      </c>
      <c r="E61" s="14">
        <v>60.050690750000001</v>
      </c>
      <c r="F61" s="16">
        <v>1.7682617599999999</v>
      </c>
      <c r="G61" s="14">
        <v>39.949309249999999</v>
      </c>
      <c r="H61" s="16">
        <v>1.7682617599999999</v>
      </c>
      <c r="I61" s="14" t="s">
        <v>139</v>
      </c>
      <c r="J61" s="16" t="s">
        <v>139</v>
      </c>
      <c r="K61" s="14">
        <v>0</v>
      </c>
      <c r="L61" s="16">
        <v>0</v>
      </c>
      <c r="M61" s="14">
        <v>0</v>
      </c>
      <c r="N61" s="16">
        <v>0</v>
      </c>
      <c r="O61" s="14">
        <v>0</v>
      </c>
      <c r="P61" s="16">
        <v>0</v>
      </c>
      <c r="Q61" s="14">
        <v>0</v>
      </c>
      <c r="R61" s="16">
        <v>0</v>
      </c>
    </row>
    <row r="62" spans="1:18" x14ac:dyDescent="0.25">
      <c r="A62" s="11" t="s">
        <v>195</v>
      </c>
      <c r="B62" s="13">
        <v>4476</v>
      </c>
      <c r="C62" s="14">
        <f>(3710/B62*100)</f>
        <v>82.886505808757818</v>
      </c>
      <c r="D62" s="15">
        <v>766</v>
      </c>
      <c r="E62" s="14">
        <v>38.544647130000001</v>
      </c>
      <c r="F62" s="16">
        <v>1.94554604</v>
      </c>
      <c r="G62" s="14">
        <v>61.455352869999999</v>
      </c>
      <c r="H62" s="16">
        <v>1.94554604</v>
      </c>
      <c r="I62" s="14" t="s">
        <v>139</v>
      </c>
      <c r="J62" s="16" t="s">
        <v>139</v>
      </c>
      <c r="K62" s="14">
        <v>0</v>
      </c>
      <c r="L62" s="16">
        <v>0</v>
      </c>
      <c r="M62" s="14">
        <v>0</v>
      </c>
      <c r="N62" s="16">
        <v>0</v>
      </c>
      <c r="O62" s="14">
        <v>0</v>
      </c>
      <c r="P62" s="16">
        <v>0</v>
      </c>
      <c r="Q62" s="14">
        <v>0</v>
      </c>
      <c r="R62" s="16">
        <v>0</v>
      </c>
    </row>
    <row r="63" spans="1:18" x14ac:dyDescent="0.25">
      <c r="A63" s="11" t="s">
        <v>196</v>
      </c>
      <c r="B63" s="17" t="s">
        <v>154</v>
      </c>
      <c r="C63" s="17" t="s">
        <v>154</v>
      </c>
      <c r="D63" s="18" t="s">
        <v>154</v>
      </c>
      <c r="E63" s="17" t="s">
        <v>154</v>
      </c>
      <c r="F63" s="18" t="s">
        <v>154</v>
      </c>
      <c r="G63" s="17" t="s">
        <v>154</v>
      </c>
      <c r="H63" s="18" t="s">
        <v>154</v>
      </c>
      <c r="I63" s="17" t="s">
        <v>154</v>
      </c>
      <c r="J63" s="18" t="s">
        <v>154</v>
      </c>
      <c r="K63" s="17" t="s">
        <v>154</v>
      </c>
      <c r="L63" s="18" t="s">
        <v>154</v>
      </c>
      <c r="M63" s="17" t="s">
        <v>154</v>
      </c>
      <c r="N63" s="18" t="s">
        <v>154</v>
      </c>
      <c r="O63" s="17" t="s">
        <v>154</v>
      </c>
      <c r="P63" s="18" t="s">
        <v>154</v>
      </c>
      <c r="Q63" s="17" t="s">
        <v>154</v>
      </c>
      <c r="R63" s="18" t="s">
        <v>154</v>
      </c>
    </row>
    <row r="64" spans="1:18" x14ac:dyDescent="0.25">
      <c r="A64" s="11" t="s">
        <v>197</v>
      </c>
      <c r="B64" s="17" t="s">
        <v>154</v>
      </c>
      <c r="C64" s="17" t="s">
        <v>154</v>
      </c>
      <c r="D64" s="18" t="s">
        <v>154</v>
      </c>
      <c r="E64" s="17" t="s">
        <v>154</v>
      </c>
      <c r="F64" s="18" t="s">
        <v>154</v>
      </c>
      <c r="G64" s="17" t="s">
        <v>154</v>
      </c>
      <c r="H64" s="18" t="s">
        <v>154</v>
      </c>
      <c r="I64" s="17" t="s">
        <v>154</v>
      </c>
      <c r="J64" s="18" t="s">
        <v>154</v>
      </c>
      <c r="K64" s="17" t="s">
        <v>154</v>
      </c>
      <c r="L64" s="18" t="s">
        <v>154</v>
      </c>
      <c r="M64" s="17" t="s">
        <v>154</v>
      </c>
      <c r="N64" s="18" t="s">
        <v>154</v>
      </c>
      <c r="O64" s="17" t="s">
        <v>154</v>
      </c>
      <c r="P64" s="18" t="s">
        <v>154</v>
      </c>
      <c r="Q64" s="17" t="s">
        <v>154</v>
      </c>
      <c r="R64" s="18" t="s">
        <v>154</v>
      </c>
    </row>
    <row r="65" spans="1:18" x14ac:dyDescent="0.25">
      <c r="A65" s="11" t="s">
        <v>198</v>
      </c>
      <c r="B65" s="17" t="s">
        <v>154</v>
      </c>
      <c r="C65" s="17" t="s">
        <v>154</v>
      </c>
      <c r="D65" s="18" t="s">
        <v>154</v>
      </c>
      <c r="E65" s="17" t="s">
        <v>154</v>
      </c>
      <c r="F65" s="18" t="s">
        <v>154</v>
      </c>
      <c r="G65" s="17" t="s">
        <v>154</v>
      </c>
      <c r="H65" s="18" t="s">
        <v>154</v>
      </c>
      <c r="I65" s="17" t="s">
        <v>154</v>
      </c>
      <c r="J65" s="18" t="s">
        <v>154</v>
      </c>
      <c r="K65" s="17" t="s">
        <v>154</v>
      </c>
      <c r="L65" s="18" t="s">
        <v>154</v>
      </c>
      <c r="M65" s="17" t="s">
        <v>154</v>
      </c>
      <c r="N65" s="18" t="s">
        <v>154</v>
      </c>
      <c r="O65" s="17" t="s">
        <v>154</v>
      </c>
      <c r="P65" s="18" t="s">
        <v>154</v>
      </c>
      <c r="Q65" s="17" t="s">
        <v>154</v>
      </c>
      <c r="R65" s="18" t="s">
        <v>154</v>
      </c>
    </row>
    <row r="66" spans="1:18" x14ac:dyDescent="0.25">
      <c r="A66" s="11" t="s">
        <v>199</v>
      </c>
      <c r="B66" s="13">
        <v>5665</v>
      </c>
      <c r="C66" s="14">
        <f>(4745/B66*100)</f>
        <v>83.759929390997357</v>
      </c>
      <c r="D66" s="15">
        <v>920</v>
      </c>
      <c r="E66" s="14">
        <v>74.171861320000005</v>
      </c>
      <c r="F66" s="16">
        <v>1.45555656</v>
      </c>
      <c r="G66" s="14">
        <v>25.828138679999999</v>
      </c>
      <c r="H66" s="16">
        <v>1.45555656</v>
      </c>
      <c r="I66" s="14" t="s">
        <v>139</v>
      </c>
      <c r="J66" s="16" t="s">
        <v>139</v>
      </c>
      <c r="K66" s="14">
        <v>0</v>
      </c>
      <c r="L66" s="16">
        <v>0</v>
      </c>
      <c r="M66" s="14">
        <v>0</v>
      </c>
      <c r="N66" s="16">
        <v>0</v>
      </c>
      <c r="O66" s="14">
        <v>0</v>
      </c>
      <c r="P66" s="16">
        <v>0</v>
      </c>
      <c r="Q66" s="14">
        <v>0</v>
      </c>
      <c r="R66" s="16">
        <v>0</v>
      </c>
    </row>
    <row r="67" spans="1:18" x14ac:dyDescent="0.25">
      <c r="A67" s="11" t="s">
        <v>200</v>
      </c>
      <c r="B67" s="13">
        <v>6971</v>
      </c>
      <c r="C67" s="14">
        <f>(5950/B67*100)</f>
        <v>85.353607803758422</v>
      </c>
      <c r="D67" s="15">
        <v>1021</v>
      </c>
      <c r="E67" s="14">
        <v>63.314229570000002</v>
      </c>
      <c r="F67" s="16">
        <v>1.7139499899999999</v>
      </c>
      <c r="G67" s="14">
        <v>36.685770429999998</v>
      </c>
      <c r="H67" s="16">
        <v>1.7139499899999999</v>
      </c>
      <c r="I67" s="14" t="s">
        <v>139</v>
      </c>
      <c r="J67" s="16" t="s">
        <v>139</v>
      </c>
      <c r="K67" s="14">
        <v>0</v>
      </c>
      <c r="L67" s="16">
        <v>0</v>
      </c>
      <c r="M67" s="14">
        <v>0</v>
      </c>
      <c r="N67" s="16">
        <v>0</v>
      </c>
      <c r="O67" s="14">
        <v>0</v>
      </c>
      <c r="P67" s="16">
        <v>0</v>
      </c>
      <c r="Q67" s="14">
        <v>0</v>
      </c>
      <c r="R67" s="16">
        <v>0</v>
      </c>
    </row>
    <row r="68" spans="1:18" x14ac:dyDescent="0.25">
      <c r="A68" s="11" t="s">
        <v>201</v>
      </c>
      <c r="B68" s="17" t="s">
        <v>154</v>
      </c>
      <c r="C68" s="17" t="s">
        <v>154</v>
      </c>
      <c r="D68" s="18" t="s">
        <v>154</v>
      </c>
      <c r="E68" s="17" t="s">
        <v>154</v>
      </c>
      <c r="F68" s="18" t="s">
        <v>154</v>
      </c>
      <c r="G68" s="17" t="s">
        <v>154</v>
      </c>
      <c r="H68" s="18" t="s">
        <v>154</v>
      </c>
      <c r="I68" s="17" t="s">
        <v>154</v>
      </c>
      <c r="J68" s="18" t="s">
        <v>154</v>
      </c>
      <c r="K68" s="17" t="s">
        <v>154</v>
      </c>
      <c r="L68" s="18" t="s">
        <v>154</v>
      </c>
      <c r="M68" s="17" t="s">
        <v>154</v>
      </c>
      <c r="N68" s="18" t="s">
        <v>154</v>
      </c>
      <c r="O68" s="17" t="s">
        <v>154</v>
      </c>
      <c r="P68" s="18" t="s">
        <v>154</v>
      </c>
      <c r="Q68" s="17" t="s">
        <v>154</v>
      </c>
      <c r="R68" s="18" t="s">
        <v>154</v>
      </c>
    </row>
    <row r="69" spans="1:18" x14ac:dyDescent="0.25">
      <c r="A69" s="11" t="s">
        <v>202</v>
      </c>
      <c r="B69" s="17" t="s">
        <v>154</v>
      </c>
      <c r="C69" s="17" t="s">
        <v>154</v>
      </c>
      <c r="D69" s="18" t="s">
        <v>154</v>
      </c>
      <c r="E69" s="17" t="s">
        <v>154</v>
      </c>
      <c r="F69" s="18" t="s">
        <v>154</v>
      </c>
      <c r="G69" s="17" t="s">
        <v>154</v>
      </c>
      <c r="H69" s="18" t="s">
        <v>154</v>
      </c>
      <c r="I69" s="17" t="s">
        <v>154</v>
      </c>
      <c r="J69" s="18" t="s">
        <v>154</v>
      </c>
      <c r="K69" s="17" t="s">
        <v>154</v>
      </c>
      <c r="L69" s="18" t="s">
        <v>154</v>
      </c>
      <c r="M69" s="17" t="s">
        <v>154</v>
      </c>
      <c r="N69" s="18" t="s">
        <v>154</v>
      </c>
      <c r="O69" s="17" t="s">
        <v>154</v>
      </c>
      <c r="P69" s="18" t="s">
        <v>154</v>
      </c>
      <c r="Q69" s="17" t="s">
        <v>154</v>
      </c>
      <c r="R69" s="18" t="s">
        <v>154</v>
      </c>
    </row>
    <row r="70" spans="1:18" x14ac:dyDescent="0.25">
      <c r="A70" s="11" t="s">
        <v>203</v>
      </c>
      <c r="B70" s="13">
        <v>6036</v>
      </c>
      <c r="C70" s="14">
        <f>(5024/B70*100)</f>
        <v>83.233929754804507</v>
      </c>
      <c r="D70" s="15">
        <v>1012</v>
      </c>
      <c r="E70" s="14">
        <v>57.434980099999997</v>
      </c>
      <c r="F70" s="16">
        <v>1.62244524</v>
      </c>
      <c r="G70" s="14">
        <v>42.565019900000003</v>
      </c>
      <c r="H70" s="16">
        <v>1.62244524</v>
      </c>
      <c r="I70" s="14" t="s">
        <v>139</v>
      </c>
      <c r="J70" s="16" t="s">
        <v>139</v>
      </c>
      <c r="K70" s="14">
        <v>0</v>
      </c>
      <c r="L70" s="16">
        <v>0</v>
      </c>
      <c r="M70" s="14">
        <v>0</v>
      </c>
      <c r="N70" s="16">
        <v>0</v>
      </c>
      <c r="O70" s="14">
        <v>0</v>
      </c>
      <c r="P70" s="16">
        <v>0</v>
      </c>
      <c r="Q70" s="14">
        <v>0</v>
      </c>
      <c r="R70" s="16">
        <v>0</v>
      </c>
    </row>
    <row r="71" spans="1:18" x14ac:dyDescent="0.25">
      <c r="A71" s="11" t="s">
        <v>204</v>
      </c>
      <c r="B71" s="17" t="s">
        <v>154</v>
      </c>
      <c r="C71" s="17" t="s">
        <v>154</v>
      </c>
      <c r="D71" s="18" t="s">
        <v>154</v>
      </c>
      <c r="E71" s="17" t="s">
        <v>154</v>
      </c>
      <c r="F71" s="18" t="s">
        <v>154</v>
      </c>
      <c r="G71" s="17" t="s">
        <v>154</v>
      </c>
      <c r="H71" s="18" t="s">
        <v>154</v>
      </c>
      <c r="I71" s="17" t="s">
        <v>154</v>
      </c>
      <c r="J71" s="18" t="s">
        <v>154</v>
      </c>
      <c r="K71" s="17" t="s">
        <v>154</v>
      </c>
      <c r="L71" s="18" t="s">
        <v>154</v>
      </c>
      <c r="M71" s="17" t="s">
        <v>154</v>
      </c>
      <c r="N71" s="18" t="s">
        <v>154</v>
      </c>
      <c r="O71" s="17" t="s">
        <v>154</v>
      </c>
      <c r="P71" s="18" t="s">
        <v>154</v>
      </c>
      <c r="Q71" s="17" t="s">
        <v>154</v>
      </c>
      <c r="R71" s="18" t="s">
        <v>154</v>
      </c>
    </row>
    <row r="72" spans="1:18" x14ac:dyDescent="0.25">
      <c r="A72" s="11" t="s">
        <v>205</v>
      </c>
      <c r="B72" s="13">
        <v>7708</v>
      </c>
      <c r="C72" s="14">
        <f>(6366/B72*100)</f>
        <v>82.589517384535554</v>
      </c>
      <c r="D72" s="15">
        <v>1342</v>
      </c>
      <c r="E72" s="14">
        <v>48.199453980000001</v>
      </c>
      <c r="F72" s="16">
        <v>1.5640919</v>
      </c>
      <c r="G72" s="14">
        <v>51.800546019999999</v>
      </c>
      <c r="H72" s="16">
        <v>1.5640919</v>
      </c>
      <c r="I72" s="14" t="s">
        <v>139</v>
      </c>
      <c r="J72" s="16" t="s">
        <v>139</v>
      </c>
      <c r="K72" s="14">
        <v>0</v>
      </c>
      <c r="L72" s="16">
        <v>0</v>
      </c>
      <c r="M72" s="14">
        <v>0</v>
      </c>
      <c r="N72" s="16">
        <v>0</v>
      </c>
      <c r="O72" s="14">
        <v>0</v>
      </c>
      <c r="P72" s="16">
        <v>0</v>
      </c>
      <c r="Q72" s="14">
        <v>0</v>
      </c>
      <c r="R72" s="16">
        <v>0</v>
      </c>
    </row>
    <row r="73" spans="1:18" x14ac:dyDescent="0.25">
      <c r="A73" s="11" t="s">
        <v>206</v>
      </c>
      <c r="B73" s="13">
        <v>8249</v>
      </c>
      <c r="C73" s="14">
        <f>(6930/B73*100)</f>
        <v>84.010183052491215</v>
      </c>
      <c r="D73" s="15">
        <v>1319</v>
      </c>
      <c r="E73" s="14">
        <v>70.415386609999999</v>
      </c>
      <c r="F73" s="16">
        <v>1.6049351700000001</v>
      </c>
      <c r="G73" s="14">
        <v>29.584613390000001</v>
      </c>
      <c r="H73" s="16">
        <v>1.6049351700000001</v>
      </c>
      <c r="I73" s="14" t="s">
        <v>139</v>
      </c>
      <c r="J73" s="16" t="s">
        <v>139</v>
      </c>
      <c r="K73" s="14">
        <v>0</v>
      </c>
      <c r="L73" s="16">
        <v>0</v>
      </c>
      <c r="M73" s="14">
        <v>0</v>
      </c>
      <c r="N73" s="16">
        <v>0</v>
      </c>
      <c r="O73" s="14">
        <v>0</v>
      </c>
      <c r="P73" s="16">
        <v>0</v>
      </c>
      <c r="Q73" s="14">
        <v>0</v>
      </c>
      <c r="R73" s="16">
        <v>0</v>
      </c>
    </row>
    <row r="74" spans="1:18" x14ac:dyDescent="0.25">
      <c r="A74" s="11" t="s">
        <v>207</v>
      </c>
      <c r="B74" s="17" t="s">
        <v>154</v>
      </c>
      <c r="C74" s="17" t="s">
        <v>154</v>
      </c>
      <c r="D74" s="18" t="s">
        <v>154</v>
      </c>
      <c r="E74" s="17" t="s">
        <v>154</v>
      </c>
      <c r="F74" s="18" t="s">
        <v>154</v>
      </c>
      <c r="G74" s="17" t="s">
        <v>154</v>
      </c>
      <c r="H74" s="18" t="s">
        <v>154</v>
      </c>
      <c r="I74" s="17" t="s">
        <v>154</v>
      </c>
      <c r="J74" s="18" t="s">
        <v>154</v>
      </c>
      <c r="K74" s="17" t="s">
        <v>154</v>
      </c>
      <c r="L74" s="18" t="s">
        <v>154</v>
      </c>
      <c r="M74" s="17" t="s">
        <v>154</v>
      </c>
      <c r="N74" s="18" t="s">
        <v>154</v>
      </c>
      <c r="O74" s="17" t="s">
        <v>154</v>
      </c>
      <c r="P74" s="18" t="s">
        <v>154</v>
      </c>
      <c r="Q74" s="17" t="s">
        <v>154</v>
      </c>
      <c r="R74" s="18" t="s">
        <v>154</v>
      </c>
    </row>
    <row r="75" spans="1:18" x14ac:dyDescent="0.25">
      <c r="A75" s="11" t="s">
        <v>208</v>
      </c>
      <c r="B75" s="13">
        <v>5375</v>
      </c>
      <c r="C75" s="14">
        <f>(4570/B75*100)</f>
        <v>85.023255813953497</v>
      </c>
      <c r="D75" s="15">
        <v>805</v>
      </c>
      <c r="E75" s="14">
        <v>70.186981009999997</v>
      </c>
      <c r="F75" s="16">
        <v>1.4005358400000001</v>
      </c>
      <c r="G75" s="14">
        <v>29.81301899</v>
      </c>
      <c r="H75" s="16">
        <v>1.4005358400000001</v>
      </c>
      <c r="I75" s="14" t="s">
        <v>139</v>
      </c>
      <c r="J75" s="16" t="s">
        <v>139</v>
      </c>
      <c r="K75" s="14">
        <v>0</v>
      </c>
      <c r="L75" s="16">
        <v>0</v>
      </c>
      <c r="M75" s="14">
        <v>0</v>
      </c>
      <c r="N75" s="16">
        <v>0</v>
      </c>
      <c r="O75" s="14">
        <v>0</v>
      </c>
      <c r="P75" s="16">
        <v>0</v>
      </c>
      <c r="Q75" s="14">
        <v>0</v>
      </c>
      <c r="R75" s="16">
        <v>0</v>
      </c>
    </row>
    <row r="76" spans="1:18" x14ac:dyDescent="0.25">
      <c r="A76" s="11" t="s">
        <v>209</v>
      </c>
      <c r="B76" s="13">
        <v>14167</v>
      </c>
      <c r="C76" s="14">
        <f>(11781/B76*100)</f>
        <v>83.158043340156709</v>
      </c>
      <c r="D76" s="15">
        <v>2386</v>
      </c>
      <c r="E76" s="14">
        <v>64.498063900000005</v>
      </c>
      <c r="F76" s="16">
        <v>1.1806559999999999</v>
      </c>
      <c r="G76" s="14">
        <v>35.501936100000002</v>
      </c>
      <c r="H76" s="16">
        <v>1.1806559999999999</v>
      </c>
      <c r="I76" s="14" t="s">
        <v>139</v>
      </c>
      <c r="J76" s="16" t="s">
        <v>139</v>
      </c>
      <c r="K76" s="14">
        <v>0</v>
      </c>
      <c r="L76" s="16">
        <v>0</v>
      </c>
      <c r="M76" s="14">
        <v>0</v>
      </c>
      <c r="N76" s="16">
        <v>0</v>
      </c>
      <c r="O76" s="14">
        <v>0</v>
      </c>
      <c r="P76" s="16">
        <v>0</v>
      </c>
      <c r="Q76" s="14">
        <v>0</v>
      </c>
      <c r="R76" s="16">
        <v>0</v>
      </c>
    </row>
    <row r="77" spans="1:18" x14ac:dyDescent="0.25">
      <c r="A77" s="11" t="s">
        <v>210</v>
      </c>
      <c r="B77" s="13">
        <v>6062</v>
      </c>
      <c r="C77" s="14">
        <f>(5104/B77*100)</f>
        <v>84.196634774001978</v>
      </c>
      <c r="D77" s="15">
        <v>958</v>
      </c>
      <c r="E77" s="14">
        <v>63.574470740000002</v>
      </c>
      <c r="F77" s="16">
        <v>1.8108707399999999</v>
      </c>
      <c r="G77" s="14">
        <v>36.425529259999998</v>
      </c>
      <c r="H77" s="16">
        <v>1.8108707399999999</v>
      </c>
      <c r="I77" s="14" t="s">
        <v>139</v>
      </c>
      <c r="J77" s="16" t="s">
        <v>139</v>
      </c>
      <c r="K77" s="14">
        <v>0</v>
      </c>
      <c r="L77" s="16">
        <v>0</v>
      </c>
      <c r="M77" s="14">
        <v>0</v>
      </c>
      <c r="N77" s="16">
        <v>0</v>
      </c>
      <c r="O77" s="14">
        <v>0</v>
      </c>
      <c r="P77" s="16">
        <v>0</v>
      </c>
      <c r="Q77" s="14">
        <v>0</v>
      </c>
      <c r="R77" s="16">
        <v>0</v>
      </c>
    </row>
    <row r="78" spans="1:18" x14ac:dyDescent="0.25">
      <c r="A78" s="11" t="s">
        <v>211</v>
      </c>
      <c r="B78" s="17" t="s">
        <v>154</v>
      </c>
      <c r="C78" s="17" t="s">
        <v>154</v>
      </c>
      <c r="D78" s="18" t="s">
        <v>154</v>
      </c>
      <c r="E78" s="17" t="s">
        <v>154</v>
      </c>
      <c r="F78" s="18" t="s">
        <v>154</v>
      </c>
      <c r="G78" s="17" t="s">
        <v>154</v>
      </c>
      <c r="H78" s="18" t="s">
        <v>154</v>
      </c>
      <c r="I78" s="17" t="s">
        <v>154</v>
      </c>
      <c r="J78" s="18" t="s">
        <v>154</v>
      </c>
      <c r="K78" s="17" t="s">
        <v>154</v>
      </c>
      <c r="L78" s="18" t="s">
        <v>154</v>
      </c>
      <c r="M78" s="17" t="s">
        <v>154</v>
      </c>
      <c r="N78" s="18" t="s">
        <v>154</v>
      </c>
      <c r="O78" s="17" t="s">
        <v>154</v>
      </c>
      <c r="P78" s="18" t="s">
        <v>154</v>
      </c>
      <c r="Q78" s="17" t="s">
        <v>154</v>
      </c>
      <c r="R78" s="18" t="s">
        <v>154</v>
      </c>
    </row>
    <row r="79" spans="1:18" ht="24.95" customHeight="1" x14ac:dyDescent="0.25">
      <c r="A79" s="11" t="s">
        <v>212</v>
      </c>
      <c r="B79" s="17" t="s">
        <v>154</v>
      </c>
      <c r="C79" s="17" t="s">
        <v>154</v>
      </c>
      <c r="D79" s="18" t="s">
        <v>154</v>
      </c>
      <c r="E79" s="17" t="s">
        <v>154</v>
      </c>
      <c r="F79" s="18" t="s">
        <v>154</v>
      </c>
      <c r="G79" s="17" t="s">
        <v>154</v>
      </c>
      <c r="H79" s="18" t="s">
        <v>154</v>
      </c>
      <c r="I79" s="17" t="s">
        <v>154</v>
      </c>
      <c r="J79" s="18" t="s">
        <v>154</v>
      </c>
      <c r="K79" s="17" t="s">
        <v>154</v>
      </c>
      <c r="L79" s="18" t="s">
        <v>154</v>
      </c>
      <c r="M79" s="17" t="s">
        <v>154</v>
      </c>
      <c r="N79" s="18" t="s">
        <v>154</v>
      </c>
      <c r="O79" s="17" t="s">
        <v>154</v>
      </c>
      <c r="P79" s="18" t="s">
        <v>154</v>
      </c>
      <c r="Q79" s="17" t="s">
        <v>154</v>
      </c>
      <c r="R79" s="18" t="s">
        <v>154</v>
      </c>
    </row>
    <row r="80" spans="1:18" x14ac:dyDescent="0.25">
      <c r="A80" s="11" t="s">
        <v>213</v>
      </c>
      <c r="B80" s="17" t="s">
        <v>154</v>
      </c>
      <c r="C80" s="17" t="s">
        <v>154</v>
      </c>
      <c r="D80" s="18" t="s">
        <v>154</v>
      </c>
      <c r="E80" s="17" t="s">
        <v>154</v>
      </c>
      <c r="F80" s="18" t="s">
        <v>154</v>
      </c>
      <c r="G80" s="17" t="s">
        <v>154</v>
      </c>
      <c r="H80" s="18" t="s">
        <v>154</v>
      </c>
      <c r="I80" s="17" t="s">
        <v>154</v>
      </c>
      <c r="J80" s="18" t="s">
        <v>154</v>
      </c>
      <c r="K80" s="17" t="s">
        <v>154</v>
      </c>
      <c r="L80" s="18" t="s">
        <v>154</v>
      </c>
      <c r="M80" s="17" t="s">
        <v>154</v>
      </c>
      <c r="N80" s="18" t="s">
        <v>154</v>
      </c>
      <c r="O80" s="17" t="s">
        <v>154</v>
      </c>
      <c r="P80" s="18" t="s">
        <v>154</v>
      </c>
      <c r="Q80" s="17" t="s">
        <v>154</v>
      </c>
      <c r="R80" s="18" t="s">
        <v>154</v>
      </c>
    </row>
    <row r="81" spans="1:18" x14ac:dyDescent="0.25">
      <c r="A81" s="19" t="s">
        <v>214</v>
      </c>
      <c r="B81" s="13">
        <v>8861</v>
      </c>
      <c r="C81" s="14">
        <f>(7356/B81*100)</f>
        <v>83.015461008915466</v>
      </c>
      <c r="D81" s="15">
        <v>1505</v>
      </c>
      <c r="E81" s="14">
        <v>67.159717209999997</v>
      </c>
      <c r="F81" s="16">
        <v>1.5724435400000001</v>
      </c>
      <c r="G81" s="14">
        <v>32.840282790000003</v>
      </c>
      <c r="H81" s="16">
        <v>1.5724435400000001</v>
      </c>
      <c r="I81" s="14" t="s">
        <v>139</v>
      </c>
      <c r="J81" s="16" t="s">
        <v>139</v>
      </c>
      <c r="K81" s="14">
        <v>0</v>
      </c>
      <c r="L81" s="16">
        <v>0</v>
      </c>
      <c r="M81" s="14">
        <v>0</v>
      </c>
      <c r="N81" s="16">
        <v>0</v>
      </c>
      <c r="O81" s="14">
        <v>0</v>
      </c>
      <c r="P81" s="16">
        <v>0</v>
      </c>
      <c r="Q81" s="14">
        <v>0</v>
      </c>
      <c r="R81" s="16">
        <v>0</v>
      </c>
    </row>
    <row r="82" spans="1:18" x14ac:dyDescent="0.25">
      <c r="A82" s="20"/>
      <c r="B82" s="20" t="s">
        <v>215</v>
      </c>
      <c r="C82" s="20" t="s">
        <v>215</v>
      </c>
      <c r="D82" s="20" t="s">
        <v>215</v>
      </c>
      <c r="E82" s="20" t="s">
        <v>215</v>
      </c>
      <c r="F82" s="20" t="s">
        <v>215</v>
      </c>
      <c r="G82" s="20" t="s">
        <v>215</v>
      </c>
      <c r="H82" s="20" t="s">
        <v>215</v>
      </c>
      <c r="I82" s="20" t="s">
        <v>215</v>
      </c>
      <c r="J82" s="20" t="s">
        <v>215</v>
      </c>
      <c r="K82" s="20" t="s">
        <v>215</v>
      </c>
      <c r="L82" s="20" t="s">
        <v>215</v>
      </c>
      <c r="M82" s="20" t="s">
        <v>215</v>
      </c>
      <c r="N82" s="20" t="s">
        <v>215</v>
      </c>
      <c r="O82" s="20" t="s">
        <v>215</v>
      </c>
      <c r="P82" s="20" t="s">
        <v>215</v>
      </c>
      <c r="Q82" s="20" t="s">
        <v>215</v>
      </c>
      <c r="R82" s="20" t="s">
        <v>215</v>
      </c>
    </row>
    <row r="83" spans="1:18" x14ac:dyDescent="0.25">
      <c r="A83" s="3" t="s">
        <v>216</v>
      </c>
    </row>
    <row r="84" spans="1:18" x14ac:dyDescent="0.25">
      <c r="A84" s="22" t="s">
        <v>217</v>
      </c>
      <c r="B84" s="23"/>
      <c r="C84" s="23"/>
      <c r="D84" s="23"/>
      <c r="E84" s="23"/>
      <c r="F84" s="23"/>
      <c r="G84" s="23"/>
      <c r="H84" s="23"/>
      <c r="I84" s="23"/>
      <c r="J84" s="23"/>
      <c r="K84" s="23"/>
      <c r="L84" s="23"/>
      <c r="M84" s="23"/>
      <c r="N84" s="23"/>
      <c r="O84" s="23"/>
      <c r="P84" s="23"/>
      <c r="Q84" s="23"/>
      <c r="R84" s="23"/>
    </row>
    <row r="85" spans="1:18" x14ac:dyDescent="0.25">
      <c r="A85" s="22" t="s">
        <v>218</v>
      </c>
      <c r="B85" s="23"/>
      <c r="C85" s="23"/>
      <c r="D85" s="23"/>
      <c r="E85" s="23"/>
      <c r="F85" s="23"/>
      <c r="G85" s="23"/>
      <c r="H85" s="23"/>
      <c r="I85" s="23"/>
      <c r="J85" s="23"/>
      <c r="K85" s="23"/>
      <c r="L85" s="23"/>
      <c r="M85" s="23"/>
      <c r="N85" s="23"/>
      <c r="O85" s="23"/>
      <c r="P85" s="23"/>
      <c r="Q85" s="23"/>
      <c r="R85" s="23"/>
    </row>
    <row r="86" spans="1:18" ht="30" customHeight="1" x14ac:dyDescent="0.25">
      <c r="A86" s="22" t="s">
        <v>219</v>
      </c>
      <c r="B86" s="23"/>
      <c r="C86" s="23"/>
      <c r="D86" s="23"/>
      <c r="E86" s="23"/>
      <c r="F86" s="23"/>
      <c r="G86" s="23"/>
      <c r="H86" s="23"/>
      <c r="I86" s="23"/>
      <c r="J86" s="23"/>
      <c r="K86" s="23"/>
      <c r="L86" s="23"/>
      <c r="M86" s="23"/>
      <c r="N86" s="23"/>
      <c r="O86" s="23"/>
      <c r="P86" s="23"/>
      <c r="Q86" s="23"/>
      <c r="R86" s="23"/>
    </row>
    <row r="87" spans="1:18" ht="30" customHeight="1" x14ac:dyDescent="0.25">
      <c r="A87" s="22" t="s">
        <v>215</v>
      </c>
      <c r="B87" s="23"/>
      <c r="C87" s="23"/>
      <c r="D87" s="23"/>
      <c r="E87" s="23"/>
      <c r="F87" s="23"/>
      <c r="G87" s="23"/>
      <c r="H87" s="23"/>
      <c r="I87" s="23"/>
      <c r="J87" s="23"/>
      <c r="K87" s="23"/>
      <c r="L87" s="23"/>
      <c r="M87" s="23"/>
      <c r="N87" s="23"/>
      <c r="O87" s="23"/>
      <c r="P87" s="23"/>
      <c r="Q87" s="23"/>
      <c r="R87" s="23"/>
    </row>
    <row r="88" spans="1:18" ht="30" customHeight="1" x14ac:dyDescent="0.25">
      <c r="A88" s="22" t="s">
        <v>220</v>
      </c>
      <c r="B88" s="23"/>
      <c r="C88" s="23"/>
      <c r="D88" s="23"/>
      <c r="E88" s="23"/>
      <c r="F88" s="23"/>
      <c r="G88" s="23"/>
      <c r="H88" s="23"/>
      <c r="I88" s="23"/>
      <c r="J88" s="23"/>
      <c r="K88" s="23"/>
      <c r="L88" s="23"/>
      <c r="M88" s="23"/>
      <c r="N88" s="23"/>
      <c r="O88" s="23"/>
      <c r="P88" s="23"/>
      <c r="Q88" s="23"/>
      <c r="R88" s="23"/>
    </row>
    <row r="89" spans="1:18" ht="30" customHeight="1" x14ac:dyDescent="0.25">
      <c r="A89" s="22" t="s">
        <v>221</v>
      </c>
      <c r="B89" s="23"/>
      <c r="C89" s="23"/>
      <c r="D89" s="23"/>
      <c r="E89" s="23"/>
      <c r="F89" s="23"/>
      <c r="G89" s="23"/>
      <c r="H89" s="23"/>
      <c r="I89" s="23"/>
      <c r="J89" s="23"/>
      <c r="K89" s="23"/>
      <c r="L89" s="23"/>
      <c r="M89" s="23"/>
      <c r="N89" s="23"/>
      <c r="O89" s="23"/>
      <c r="P89" s="23"/>
      <c r="Q89" s="23"/>
      <c r="R89" s="23"/>
    </row>
    <row r="90" spans="1:18" ht="30" customHeight="1" x14ac:dyDescent="0.25">
      <c r="A90" s="22" t="s">
        <v>222</v>
      </c>
      <c r="B90" s="23"/>
      <c r="C90" s="23"/>
      <c r="D90" s="23"/>
      <c r="E90" s="23"/>
      <c r="F90" s="23"/>
      <c r="G90" s="23"/>
      <c r="H90" s="23"/>
      <c r="I90" s="23"/>
      <c r="J90" s="23"/>
      <c r="K90" s="23"/>
      <c r="L90" s="23"/>
      <c r="M90" s="23"/>
      <c r="N90" s="23"/>
      <c r="O90" s="23"/>
      <c r="P90" s="23"/>
      <c r="Q90" s="23"/>
      <c r="R90" s="23"/>
    </row>
    <row r="91" spans="1:18" ht="30" customHeight="1" x14ac:dyDescent="0.25">
      <c r="A91" s="22" t="s">
        <v>223</v>
      </c>
      <c r="B91" s="23"/>
      <c r="C91" s="23"/>
      <c r="D91" s="23"/>
      <c r="E91" s="23"/>
      <c r="F91" s="23"/>
      <c r="G91" s="23"/>
      <c r="H91" s="23"/>
      <c r="I91" s="23"/>
      <c r="J91" s="23"/>
      <c r="K91" s="23"/>
      <c r="L91" s="23"/>
      <c r="M91" s="23"/>
      <c r="N91" s="23"/>
      <c r="O91" s="23"/>
      <c r="P91" s="23"/>
      <c r="Q91" s="23"/>
      <c r="R91" s="23"/>
    </row>
    <row r="92" spans="1:18" ht="30" customHeight="1" x14ac:dyDescent="0.25">
      <c r="A92" s="22" t="s">
        <v>224</v>
      </c>
      <c r="B92" s="23"/>
      <c r="C92" s="23"/>
      <c r="D92" s="23"/>
      <c r="E92" s="23"/>
      <c r="F92" s="23"/>
      <c r="G92" s="23"/>
      <c r="H92" s="23"/>
      <c r="I92" s="23"/>
      <c r="J92" s="23"/>
      <c r="K92" s="23"/>
      <c r="L92" s="23"/>
      <c r="M92" s="23"/>
      <c r="N92" s="23"/>
      <c r="O92" s="23"/>
      <c r="P92" s="23"/>
      <c r="Q92" s="23"/>
      <c r="R92" s="23"/>
    </row>
    <row r="93" spans="1:18" ht="30" customHeight="1" x14ac:dyDescent="0.25">
      <c r="A93" s="22" t="s">
        <v>225</v>
      </c>
      <c r="B93" s="23"/>
      <c r="C93" s="23"/>
      <c r="D93" s="23"/>
      <c r="E93" s="23"/>
      <c r="F93" s="23"/>
      <c r="G93" s="23"/>
      <c r="H93" s="23"/>
      <c r="I93" s="23"/>
      <c r="J93" s="23"/>
      <c r="K93" s="23"/>
      <c r="L93" s="23"/>
      <c r="M93" s="23"/>
      <c r="N93" s="23"/>
      <c r="O93" s="23"/>
      <c r="P93" s="23"/>
      <c r="Q93" s="23"/>
      <c r="R93" s="23"/>
    </row>
    <row r="94" spans="1:18" ht="30" customHeight="1" x14ac:dyDescent="0.25">
      <c r="A94" s="22" t="s">
        <v>226</v>
      </c>
      <c r="B94" s="23"/>
      <c r="C94" s="23"/>
      <c r="D94" s="23"/>
      <c r="E94" s="23"/>
      <c r="F94" s="23"/>
      <c r="G94" s="23"/>
      <c r="H94" s="23"/>
      <c r="I94" s="23"/>
      <c r="J94" s="23"/>
      <c r="K94" s="23"/>
      <c r="L94" s="23"/>
      <c r="M94" s="23"/>
      <c r="N94" s="23"/>
      <c r="O94" s="23"/>
      <c r="P94" s="23"/>
      <c r="Q94" s="23"/>
      <c r="R94" s="23"/>
    </row>
    <row r="95" spans="1:18" ht="30" customHeight="1" x14ac:dyDescent="0.25">
      <c r="A95" s="22" t="s">
        <v>227</v>
      </c>
      <c r="B95" s="23"/>
      <c r="C95" s="23"/>
      <c r="D95" s="23"/>
      <c r="E95" s="23"/>
      <c r="F95" s="23"/>
      <c r="G95" s="23"/>
      <c r="H95" s="23"/>
      <c r="I95" s="23"/>
      <c r="J95" s="23"/>
      <c r="K95" s="23"/>
      <c r="L95" s="23"/>
      <c r="M95" s="23"/>
      <c r="N95" s="23"/>
      <c r="O95" s="23"/>
      <c r="P95" s="23"/>
      <c r="Q95" s="23"/>
      <c r="R95" s="23"/>
    </row>
    <row r="96" spans="1:18" ht="30" customHeight="1" x14ac:dyDescent="0.25">
      <c r="A96" s="22" t="s">
        <v>228</v>
      </c>
      <c r="B96" s="23"/>
      <c r="C96" s="23"/>
      <c r="D96" s="23"/>
      <c r="E96" s="23"/>
      <c r="F96" s="23"/>
      <c r="G96" s="23"/>
      <c r="H96" s="23"/>
      <c r="I96" s="23"/>
      <c r="J96" s="23"/>
      <c r="K96" s="23"/>
      <c r="L96" s="23"/>
      <c r="M96" s="23"/>
      <c r="N96" s="23"/>
      <c r="O96" s="23"/>
      <c r="P96" s="23"/>
      <c r="Q96" s="23"/>
      <c r="R96" s="23"/>
    </row>
  </sheetData>
  <mergeCells count="22">
    <mergeCell ref="O4:P4"/>
    <mergeCell ref="Q4:R4"/>
    <mergeCell ref="A1:R1"/>
    <mergeCell ref="A2:R2"/>
    <mergeCell ref="A84:R84"/>
    <mergeCell ref="E4:F4"/>
    <mergeCell ref="G4:H4"/>
    <mergeCell ref="I4:J4"/>
    <mergeCell ref="K4:L4"/>
    <mergeCell ref="M4:N4"/>
    <mergeCell ref="A85:R85"/>
    <mergeCell ref="A86:R86"/>
    <mergeCell ref="A87:R87"/>
    <mergeCell ref="A88:R88"/>
    <mergeCell ref="A89:R89"/>
    <mergeCell ref="A95:R95"/>
    <mergeCell ref="A96:R96"/>
    <mergeCell ref="A90:R90"/>
    <mergeCell ref="A91:R91"/>
    <mergeCell ref="A92:R92"/>
    <mergeCell ref="A93:R93"/>
    <mergeCell ref="A94:R94"/>
  </mergeCells>
  <pageMargins left="0.75" right="0.75" top="1" bottom="1" header="0.5" footer="0.5"/>
</worksheet>
</file>

<file path=xl/worksheets/sheet1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6"/>
  <dimension ref="A1:T96"/>
  <sheetViews>
    <sheetView zoomScale="80" workbookViewId="0">
      <pane xSplit="4" topLeftCell="E1" activePane="topRight" state="frozen"/>
      <selection sqref="A1:R1"/>
      <selection pane="topRight" sqref="A1:T1"/>
    </sheetView>
  </sheetViews>
  <sheetFormatPr defaultColWidth="11.42578125" defaultRowHeight="15" x14ac:dyDescent="0.25"/>
  <cols>
    <col min="1" max="1" width="50" customWidth="1"/>
  </cols>
  <sheetData>
    <row r="1" spans="1:20" x14ac:dyDescent="0.25">
      <c r="A1" s="26" t="s">
        <v>122</v>
      </c>
      <c r="B1" s="23"/>
      <c r="C1" s="23"/>
      <c r="D1" s="23"/>
      <c r="E1" s="23"/>
      <c r="F1" s="23"/>
      <c r="G1" s="23"/>
      <c r="H1" s="23"/>
      <c r="I1" s="23"/>
      <c r="J1" s="23"/>
      <c r="K1" s="23"/>
      <c r="L1" s="23"/>
      <c r="M1" s="23"/>
      <c r="N1" s="23"/>
      <c r="O1" s="23"/>
      <c r="P1" s="23"/>
      <c r="Q1" s="23"/>
      <c r="R1" s="23"/>
      <c r="S1" s="23"/>
      <c r="T1" s="23"/>
    </row>
    <row r="2" spans="1:20" x14ac:dyDescent="0.25">
      <c r="A2" s="27" t="s">
        <v>342</v>
      </c>
      <c r="B2" s="23"/>
      <c r="C2" s="23"/>
      <c r="D2" s="23"/>
      <c r="E2" s="23"/>
      <c r="F2" s="23"/>
      <c r="G2" s="23"/>
      <c r="H2" s="23"/>
      <c r="I2" s="23"/>
      <c r="J2" s="23"/>
      <c r="K2" s="23"/>
      <c r="L2" s="23"/>
      <c r="M2" s="23"/>
      <c r="N2" s="23"/>
      <c r="O2" s="23"/>
      <c r="P2" s="23"/>
      <c r="Q2" s="23"/>
      <c r="R2" s="23"/>
      <c r="S2" s="23"/>
      <c r="T2" s="23"/>
    </row>
    <row r="4" spans="1:20" ht="30" customHeight="1" x14ac:dyDescent="0.25">
      <c r="A4" s="4"/>
      <c r="B4" s="5" t="s">
        <v>123</v>
      </c>
      <c r="C4" s="5" t="s">
        <v>124</v>
      </c>
      <c r="D4" s="6" t="s">
        <v>123</v>
      </c>
      <c r="E4" s="24" t="s">
        <v>125</v>
      </c>
      <c r="F4" s="25"/>
      <c r="G4" s="24" t="s">
        <v>233</v>
      </c>
      <c r="H4" s="25"/>
      <c r="I4" s="24" t="s">
        <v>234</v>
      </c>
      <c r="J4" s="25"/>
      <c r="K4" s="24" t="s">
        <v>127</v>
      </c>
      <c r="L4" s="25"/>
      <c r="M4" s="24" t="s">
        <v>128</v>
      </c>
      <c r="N4" s="25"/>
      <c r="O4" s="24" t="s">
        <v>129</v>
      </c>
      <c r="P4" s="25"/>
      <c r="Q4" s="24" t="s">
        <v>130</v>
      </c>
      <c r="R4" s="25"/>
      <c r="S4" s="24" t="s">
        <v>131</v>
      </c>
      <c r="T4" s="25"/>
    </row>
    <row r="5" spans="1:20" x14ac:dyDescent="0.25">
      <c r="A5" s="7"/>
      <c r="B5" s="8" t="s">
        <v>132</v>
      </c>
      <c r="C5" s="8" t="s">
        <v>133</v>
      </c>
      <c r="D5" s="7" t="s">
        <v>134</v>
      </c>
      <c r="E5" s="8" t="s">
        <v>135</v>
      </c>
      <c r="F5" s="7" t="s">
        <v>136</v>
      </c>
      <c r="G5" s="8" t="s">
        <v>135</v>
      </c>
      <c r="H5" s="7" t="s">
        <v>136</v>
      </c>
      <c r="I5" s="8" t="s">
        <v>135</v>
      </c>
      <c r="J5" s="7" t="s">
        <v>136</v>
      </c>
      <c r="K5" s="8" t="s">
        <v>135</v>
      </c>
      <c r="L5" s="7" t="s">
        <v>136</v>
      </c>
      <c r="M5" s="8" t="s">
        <v>135</v>
      </c>
      <c r="N5" s="7" t="s">
        <v>136</v>
      </c>
      <c r="O5" s="8" t="s">
        <v>135</v>
      </c>
      <c r="P5" s="7" t="s">
        <v>136</v>
      </c>
      <c r="Q5" s="8" t="s">
        <v>135</v>
      </c>
      <c r="R5" s="7" t="s">
        <v>136</v>
      </c>
      <c r="S5" s="8" t="s">
        <v>135</v>
      </c>
      <c r="T5" s="7" t="s">
        <v>136</v>
      </c>
    </row>
    <row r="6" spans="1:20" x14ac:dyDescent="0.25">
      <c r="A6" s="9" t="s">
        <v>137</v>
      </c>
      <c r="B6" s="10"/>
      <c r="C6" s="10"/>
      <c r="D6" s="11"/>
      <c r="E6" s="10"/>
      <c r="F6" s="11"/>
      <c r="G6" s="10"/>
      <c r="H6" s="11"/>
      <c r="I6" s="10"/>
      <c r="J6" s="11"/>
      <c r="K6" s="10"/>
      <c r="L6" s="11"/>
      <c r="M6" s="10"/>
      <c r="N6" s="11"/>
      <c r="O6" s="10"/>
      <c r="P6" s="11"/>
      <c r="Q6" s="10"/>
      <c r="R6" s="11"/>
      <c r="S6" s="10"/>
      <c r="T6" s="12"/>
    </row>
    <row r="7" spans="1:20" x14ac:dyDescent="0.25">
      <c r="A7" s="11" t="s">
        <v>138</v>
      </c>
      <c r="B7" s="13">
        <v>14530</v>
      </c>
      <c r="C7" s="14">
        <f>(12104/B7*100)</f>
        <v>83.303509979353066</v>
      </c>
      <c r="D7" s="15">
        <v>2426</v>
      </c>
      <c r="E7" s="14">
        <v>36.532987259999999</v>
      </c>
      <c r="F7" s="16">
        <v>1.18197884</v>
      </c>
      <c r="G7" s="14">
        <v>56.03956445</v>
      </c>
      <c r="H7" s="16">
        <v>1.2598476599999999</v>
      </c>
      <c r="I7" s="14">
        <v>7.4274482900000001</v>
      </c>
      <c r="J7" s="16">
        <v>0.69547797</v>
      </c>
      <c r="K7" s="14" t="s">
        <v>139</v>
      </c>
      <c r="L7" s="16" t="s">
        <v>139</v>
      </c>
      <c r="M7" s="14">
        <v>0</v>
      </c>
      <c r="N7" s="16">
        <v>0</v>
      </c>
      <c r="O7" s="14">
        <v>0</v>
      </c>
      <c r="P7" s="16">
        <v>0</v>
      </c>
      <c r="Q7" s="14">
        <v>0</v>
      </c>
      <c r="R7" s="16">
        <v>0</v>
      </c>
      <c r="S7" s="14">
        <v>0</v>
      </c>
      <c r="T7" s="16">
        <v>0</v>
      </c>
    </row>
    <row r="8" spans="1:20" x14ac:dyDescent="0.25">
      <c r="A8" s="11" t="s">
        <v>140</v>
      </c>
      <c r="B8" s="13">
        <v>7007</v>
      </c>
      <c r="C8" s="14">
        <f>(5788/B8*100)</f>
        <v>82.603111174539748</v>
      </c>
      <c r="D8" s="15">
        <v>1219</v>
      </c>
      <c r="E8" s="14">
        <v>35.501338179999998</v>
      </c>
      <c r="F8" s="16">
        <v>1.56378679</v>
      </c>
      <c r="G8" s="14">
        <v>56.859782379999999</v>
      </c>
      <c r="H8" s="16">
        <v>1.53889973</v>
      </c>
      <c r="I8" s="14">
        <v>7.6388794400000002</v>
      </c>
      <c r="J8" s="16">
        <v>0.87957200000000002</v>
      </c>
      <c r="K8" s="14" t="s">
        <v>139</v>
      </c>
      <c r="L8" s="16" t="s">
        <v>139</v>
      </c>
      <c r="M8" s="14">
        <v>0</v>
      </c>
      <c r="N8" s="16">
        <v>0</v>
      </c>
      <c r="O8" s="14">
        <v>0</v>
      </c>
      <c r="P8" s="16">
        <v>0</v>
      </c>
      <c r="Q8" s="14">
        <v>0</v>
      </c>
      <c r="R8" s="16">
        <v>0</v>
      </c>
      <c r="S8" s="14">
        <v>0</v>
      </c>
      <c r="T8" s="16">
        <v>0</v>
      </c>
    </row>
    <row r="9" spans="1:20" x14ac:dyDescent="0.25">
      <c r="A9" s="11" t="s">
        <v>141</v>
      </c>
      <c r="B9" s="13">
        <v>9651</v>
      </c>
      <c r="C9" s="14">
        <f>(8085/B9*100)</f>
        <v>83.773702207025181</v>
      </c>
      <c r="D9" s="15">
        <v>1566</v>
      </c>
      <c r="E9" s="14">
        <v>43.943593960000001</v>
      </c>
      <c r="F9" s="16">
        <v>1.24928032</v>
      </c>
      <c r="G9" s="14">
        <v>47.466686789999997</v>
      </c>
      <c r="H9" s="16">
        <v>1.3079223200000001</v>
      </c>
      <c r="I9" s="14">
        <v>8.5897192499999999</v>
      </c>
      <c r="J9" s="16">
        <v>0.70822585000000005</v>
      </c>
      <c r="K9" s="14" t="s">
        <v>139</v>
      </c>
      <c r="L9" s="16" t="s">
        <v>139</v>
      </c>
      <c r="M9" s="14">
        <v>0</v>
      </c>
      <c r="N9" s="16">
        <v>0</v>
      </c>
      <c r="O9" s="14">
        <v>0</v>
      </c>
      <c r="P9" s="16">
        <v>0</v>
      </c>
      <c r="Q9" s="14">
        <v>0</v>
      </c>
      <c r="R9" s="16">
        <v>0</v>
      </c>
      <c r="S9" s="14">
        <v>0</v>
      </c>
      <c r="T9" s="16">
        <v>0</v>
      </c>
    </row>
    <row r="10" spans="1:20" x14ac:dyDescent="0.25">
      <c r="A10" s="11" t="s">
        <v>142</v>
      </c>
      <c r="B10" s="13">
        <v>20058</v>
      </c>
      <c r="C10" s="14">
        <f>(16682/B10*100)</f>
        <v>83.168810449695883</v>
      </c>
      <c r="D10" s="15">
        <v>3376</v>
      </c>
      <c r="E10" s="14">
        <v>43.381393639999999</v>
      </c>
      <c r="F10" s="16">
        <v>1.27774487</v>
      </c>
      <c r="G10" s="14">
        <v>48.68029465</v>
      </c>
      <c r="H10" s="16">
        <v>1.3044818199999999</v>
      </c>
      <c r="I10" s="14">
        <v>7.9383117099999998</v>
      </c>
      <c r="J10" s="16">
        <v>0.64342043999999998</v>
      </c>
      <c r="K10" s="14" t="s">
        <v>139</v>
      </c>
      <c r="L10" s="16" t="s">
        <v>139</v>
      </c>
      <c r="M10" s="14">
        <v>0</v>
      </c>
      <c r="N10" s="16">
        <v>0</v>
      </c>
      <c r="O10" s="14">
        <v>0</v>
      </c>
      <c r="P10" s="16">
        <v>0</v>
      </c>
      <c r="Q10" s="14">
        <v>0</v>
      </c>
      <c r="R10" s="16">
        <v>0</v>
      </c>
      <c r="S10" s="14">
        <v>0</v>
      </c>
      <c r="T10" s="16">
        <v>0</v>
      </c>
    </row>
    <row r="11" spans="1:20" x14ac:dyDescent="0.25">
      <c r="A11" s="11" t="s">
        <v>143</v>
      </c>
      <c r="B11" s="13">
        <v>7053</v>
      </c>
      <c r="C11" s="14">
        <f>(5879/B11*100)</f>
        <v>83.354600879058566</v>
      </c>
      <c r="D11" s="15">
        <v>1174</v>
      </c>
      <c r="E11" s="14">
        <v>52.120327119999999</v>
      </c>
      <c r="F11" s="16">
        <v>1.7031468400000001</v>
      </c>
      <c r="G11" s="14">
        <v>36.858408259999997</v>
      </c>
      <c r="H11" s="16">
        <v>1.7516966599999999</v>
      </c>
      <c r="I11" s="14">
        <v>11.021264629999999</v>
      </c>
      <c r="J11" s="16">
        <v>1.0184336</v>
      </c>
      <c r="K11" s="14" t="s">
        <v>139</v>
      </c>
      <c r="L11" s="16" t="s">
        <v>139</v>
      </c>
      <c r="M11" s="14">
        <v>0</v>
      </c>
      <c r="N11" s="16">
        <v>0</v>
      </c>
      <c r="O11" s="14">
        <v>0</v>
      </c>
      <c r="P11" s="16">
        <v>0</v>
      </c>
      <c r="Q11" s="14">
        <v>0</v>
      </c>
      <c r="R11" s="16">
        <v>0</v>
      </c>
      <c r="S11" s="14">
        <v>0</v>
      </c>
      <c r="T11" s="16">
        <v>0</v>
      </c>
    </row>
    <row r="12" spans="1:20" x14ac:dyDescent="0.25">
      <c r="A12" s="11" t="s">
        <v>144</v>
      </c>
      <c r="B12" s="13">
        <v>6894</v>
      </c>
      <c r="C12" s="14">
        <f>(5739/B12*100)</f>
        <v>83.246301131418619</v>
      </c>
      <c r="D12" s="15">
        <v>1155</v>
      </c>
      <c r="E12" s="14">
        <v>36.080677970000004</v>
      </c>
      <c r="F12" s="16">
        <v>1.3885184699999999</v>
      </c>
      <c r="G12" s="14">
        <v>53.85895592</v>
      </c>
      <c r="H12" s="16">
        <v>1.5520897899999999</v>
      </c>
      <c r="I12" s="14">
        <v>10.06036611</v>
      </c>
      <c r="J12" s="16">
        <v>1.0690472</v>
      </c>
      <c r="K12" s="14" t="s">
        <v>139</v>
      </c>
      <c r="L12" s="16" t="s">
        <v>139</v>
      </c>
      <c r="M12" s="14">
        <v>0</v>
      </c>
      <c r="N12" s="16">
        <v>0</v>
      </c>
      <c r="O12" s="14">
        <v>0</v>
      </c>
      <c r="P12" s="16">
        <v>0</v>
      </c>
      <c r="Q12" s="14">
        <v>0</v>
      </c>
      <c r="R12" s="16">
        <v>0</v>
      </c>
      <c r="S12" s="14">
        <v>0</v>
      </c>
      <c r="T12" s="16">
        <v>0</v>
      </c>
    </row>
    <row r="13" spans="1:20" x14ac:dyDescent="0.25">
      <c r="A13" s="11" t="s">
        <v>145</v>
      </c>
      <c r="B13" s="13">
        <v>7161</v>
      </c>
      <c r="C13" s="14">
        <f>(6014/B13*100)</f>
        <v>83.98268398268398</v>
      </c>
      <c r="D13" s="15">
        <v>1147</v>
      </c>
      <c r="E13" s="14">
        <v>31.955738289999999</v>
      </c>
      <c r="F13" s="16">
        <v>1.5995293399999999</v>
      </c>
      <c r="G13" s="14">
        <v>61.779351839999997</v>
      </c>
      <c r="H13" s="16">
        <v>1.77504825</v>
      </c>
      <c r="I13" s="14">
        <v>6.2649098700000003</v>
      </c>
      <c r="J13" s="16">
        <v>0.90094578999999997</v>
      </c>
      <c r="K13" s="14" t="s">
        <v>139</v>
      </c>
      <c r="L13" s="16" t="s">
        <v>139</v>
      </c>
      <c r="M13" s="14">
        <v>0</v>
      </c>
      <c r="N13" s="16">
        <v>0</v>
      </c>
      <c r="O13" s="14">
        <v>0</v>
      </c>
      <c r="P13" s="16">
        <v>0</v>
      </c>
      <c r="Q13" s="14">
        <v>0</v>
      </c>
      <c r="R13" s="16">
        <v>0</v>
      </c>
      <c r="S13" s="14">
        <v>0</v>
      </c>
      <c r="T13" s="16">
        <v>0</v>
      </c>
    </row>
    <row r="14" spans="1:20" x14ac:dyDescent="0.25">
      <c r="A14" s="11" t="s">
        <v>146</v>
      </c>
      <c r="B14" s="13">
        <v>5587</v>
      </c>
      <c r="C14" s="14">
        <f>(4630/B14*100)</f>
        <v>82.870950420619295</v>
      </c>
      <c r="D14" s="15">
        <v>957</v>
      </c>
      <c r="E14" s="14">
        <v>35.942771309999998</v>
      </c>
      <c r="F14" s="16">
        <v>1.75551035</v>
      </c>
      <c r="G14" s="14">
        <v>56.93954446</v>
      </c>
      <c r="H14" s="16">
        <v>1.7772380400000001</v>
      </c>
      <c r="I14" s="14">
        <v>7.1176842300000001</v>
      </c>
      <c r="J14" s="16">
        <v>0.81712280000000004</v>
      </c>
      <c r="K14" s="14" t="s">
        <v>139</v>
      </c>
      <c r="L14" s="16" t="s">
        <v>139</v>
      </c>
      <c r="M14" s="14">
        <v>0</v>
      </c>
      <c r="N14" s="16">
        <v>0</v>
      </c>
      <c r="O14" s="14">
        <v>0</v>
      </c>
      <c r="P14" s="16">
        <v>0</v>
      </c>
      <c r="Q14" s="14">
        <v>0</v>
      </c>
      <c r="R14" s="16">
        <v>0</v>
      </c>
      <c r="S14" s="14">
        <v>0</v>
      </c>
      <c r="T14" s="16">
        <v>0</v>
      </c>
    </row>
    <row r="15" spans="1:20" x14ac:dyDescent="0.25">
      <c r="A15" s="11" t="s">
        <v>147</v>
      </c>
      <c r="B15" s="13">
        <v>5882</v>
      </c>
      <c r="C15" s="14">
        <f>(4876/B15*100)</f>
        <v>82.896973818429103</v>
      </c>
      <c r="D15" s="15">
        <v>1006</v>
      </c>
      <c r="E15" s="14">
        <v>39.86130576</v>
      </c>
      <c r="F15" s="16">
        <v>1.7623034399999999</v>
      </c>
      <c r="G15" s="14">
        <v>50.574969840000001</v>
      </c>
      <c r="H15" s="16">
        <v>1.8592931800000001</v>
      </c>
      <c r="I15" s="14">
        <v>9.5637243999999999</v>
      </c>
      <c r="J15" s="16">
        <v>0.88061405000000004</v>
      </c>
      <c r="K15" s="14" t="s">
        <v>139</v>
      </c>
      <c r="L15" s="16" t="s">
        <v>139</v>
      </c>
      <c r="M15" s="14">
        <v>0</v>
      </c>
      <c r="N15" s="16">
        <v>0</v>
      </c>
      <c r="O15" s="14">
        <v>0</v>
      </c>
      <c r="P15" s="16">
        <v>0</v>
      </c>
      <c r="Q15" s="14">
        <v>0</v>
      </c>
      <c r="R15" s="16">
        <v>0</v>
      </c>
      <c r="S15" s="14">
        <v>0</v>
      </c>
      <c r="T15" s="16">
        <v>0</v>
      </c>
    </row>
    <row r="16" spans="1:20" x14ac:dyDescent="0.25">
      <c r="A16" s="11" t="s">
        <v>148</v>
      </c>
      <c r="B16" s="13">
        <v>6108</v>
      </c>
      <c r="C16" s="14">
        <f>(5090/B16*100)</f>
        <v>83.333333333333343</v>
      </c>
      <c r="D16" s="15">
        <v>1018</v>
      </c>
      <c r="E16" s="14">
        <v>49.300090179999998</v>
      </c>
      <c r="F16" s="16">
        <v>1.2836657199999999</v>
      </c>
      <c r="G16" s="14">
        <v>42.664430500000002</v>
      </c>
      <c r="H16" s="16">
        <v>1.2355177100000001</v>
      </c>
      <c r="I16" s="14">
        <v>8.0354793099999995</v>
      </c>
      <c r="J16" s="16">
        <v>0.80492781000000002</v>
      </c>
      <c r="K16" s="14" t="s">
        <v>139</v>
      </c>
      <c r="L16" s="16" t="s">
        <v>139</v>
      </c>
      <c r="M16" s="14">
        <v>0</v>
      </c>
      <c r="N16" s="16">
        <v>0</v>
      </c>
      <c r="O16" s="14">
        <v>0</v>
      </c>
      <c r="P16" s="16">
        <v>0</v>
      </c>
      <c r="Q16" s="14">
        <v>0</v>
      </c>
      <c r="R16" s="16">
        <v>0</v>
      </c>
      <c r="S16" s="14">
        <v>0</v>
      </c>
      <c r="T16" s="16">
        <v>0</v>
      </c>
    </row>
    <row r="17" spans="1:20" x14ac:dyDescent="0.25">
      <c r="A17" s="11" t="s">
        <v>149</v>
      </c>
      <c r="B17" s="13">
        <v>6504</v>
      </c>
      <c r="C17" s="14">
        <f>(5420/B17*100)</f>
        <v>83.333333333333343</v>
      </c>
      <c r="D17" s="15">
        <v>1084</v>
      </c>
      <c r="E17" s="14">
        <v>35.074780830000002</v>
      </c>
      <c r="F17" s="16">
        <v>1.44274575</v>
      </c>
      <c r="G17" s="14">
        <v>57.214139260000003</v>
      </c>
      <c r="H17" s="16">
        <v>1.6228635</v>
      </c>
      <c r="I17" s="14">
        <v>7.7110799099999996</v>
      </c>
      <c r="J17" s="16">
        <v>0.87623004999999998</v>
      </c>
      <c r="K17" s="14" t="s">
        <v>139</v>
      </c>
      <c r="L17" s="16" t="s">
        <v>139</v>
      </c>
      <c r="M17" s="14">
        <v>0</v>
      </c>
      <c r="N17" s="16">
        <v>0</v>
      </c>
      <c r="O17" s="14">
        <v>0</v>
      </c>
      <c r="P17" s="16">
        <v>0</v>
      </c>
      <c r="Q17" s="14">
        <v>0</v>
      </c>
      <c r="R17" s="16">
        <v>0</v>
      </c>
      <c r="S17" s="14">
        <v>0</v>
      </c>
      <c r="T17" s="16">
        <v>0</v>
      </c>
    </row>
    <row r="18" spans="1:20" x14ac:dyDescent="0.25">
      <c r="A18" s="11" t="s">
        <v>150</v>
      </c>
      <c r="B18" s="13">
        <v>5532</v>
      </c>
      <c r="C18" s="14">
        <f>(4585/B18*100)</f>
        <v>82.881417208966013</v>
      </c>
      <c r="D18" s="15">
        <v>947</v>
      </c>
      <c r="E18" s="14">
        <v>47.319061929999997</v>
      </c>
      <c r="F18" s="16">
        <v>1.8699083400000001</v>
      </c>
      <c r="G18" s="14">
        <v>37.303998669999999</v>
      </c>
      <c r="H18" s="16">
        <v>1.6553839699999999</v>
      </c>
      <c r="I18" s="14">
        <v>15.376939399999999</v>
      </c>
      <c r="J18" s="16">
        <v>1.13162209</v>
      </c>
      <c r="K18" s="14" t="s">
        <v>139</v>
      </c>
      <c r="L18" s="16" t="s">
        <v>139</v>
      </c>
      <c r="M18" s="14">
        <v>0</v>
      </c>
      <c r="N18" s="16">
        <v>0</v>
      </c>
      <c r="O18" s="14">
        <v>0</v>
      </c>
      <c r="P18" s="16">
        <v>0</v>
      </c>
      <c r="Q18" s="14">
        <v>0</v>
      </c>
      <c r="R18" s="16">
        <v>0</v>
      </c>
      <c r="S18" s="14">
        <v>0</v>
      </c>
      <c r="T18" s="16">
        <v>0</v>
      </c>
    </row>
    <row r="19" spans="1:20" x14ac:dyDescent="0.25">
      <c r="A19" s="11" t="s">
        <v>151</v>
      </c>
      <c r="B19" s="13">
        <v>5658</v>
      </c>
      <c r="C19" s="14">
        <f>(4718/B19*100)</f>
        <v>83.38635560268645</v>
      </c>
      <c r="D19" s="15">
        <v>940</v>
      </c>
      <c r="E19" s="14">
        <v>42.695903549999997</v>
      </c>
      <c r="F19" s="16">
        <v>1.7484309099999999</v>
      </c>
      <c r="G19" s="14">
        <v>49.451496820000003</v>
      </c>
      <c r="H19" s="16">
        <v>1.7528832599999999</v>
      </c>
      <c r="I19" s="14">
        <v>7.8525996300000003</v>
      </c>
      <c r="J19" s="16">
        <v>0.77371427000000004</v>
      </c>
      <c r="K19" s="14" t="s">
        <v>139</v>
      </c>
      <c r="L19" s="16" t="s">
        <v>139</v>
      </c>
      <c r="M19" s="14">
        <v>0</v>
      </c>
      <c r="N19" s="16">
        <v>0</v>
      </c>
      <c r="O19" s="14">
        <v>0</v>
      </c>
      <c r="P19" s="16">
        <v>0</v>
      </c>
      <c r="Q19" s="14">
        <v>0</v>
      </c>
      <c r="R19" s="16">
        <v>0</v>
      </c>
      <c r="S19" s="14">
        <v>0</v>
      </c>
      <c r="T19" s="16">
        <v>0</v>
      </c>
    </row>
    <row r="20" spans="1:20" x14ac:dyDescent="0.25">
      <c r="A20" s="11" t="s">
        <v>152</v>
      </c>
      <c r="B20" s="13">
        <v>3371</v>
      </c>
      <c r="C20" s="14">
        <f>(2807/B20*100)</f>
        <v>83.26905962622368</v>
      </c>
      <c r="D20" s="15">
        <v>564</v>
      </c>
      <c r="E20" s="14">
        <v>49.355920849999997</v>
      </c>
      <c r="F20" s="16">
        <v>2.4474972500000001</v>
      </c>
      <c r="G20" s="14">
        <v>39.992032010000003</v>
      </c>
      <c r="H20" s="16">
        <v>2.2051360799999999</v>
      </c>
      <c r="I20" s="14">
        <v>10.652047140000001</v>
      </c>
      <c r="J20" s="16">
        <v>1.4400130600000001</v>
      </c>
      <c r="K20" s="14" t="s">
        <v>139</v>
      </c>
      <c r="L20" s="16" t="s">
        <v>139</v>
      </c>
      <c r="M20" s="14">
        <v>0</v>
      </c>
      <c r="N20" s="16">
        <v>0</v>
      </c>
      <c r="O20" s="14">
        <v>0</v>
      </c>
      <c r="P20" s="16">
        <v>0</v>
      </c>
      <c r="Q20" s="14">
        <v>0</v>
      </c>
      <c r="R20" s="16">
        <v>0</v>
      </c>
      <c r="S20" s="14">
        <v>0</v>
      </c>
      <c r="T20" s="16">
        <v>0</v>
      </c>
    </row>
    <row r="21" spans="1:20" x14ac:dyDescent="0.25">
      <c r="A21" s="11" t="s">
        <v>153</v>
      </c>
      <c r="B21" s="17" t="s">
        <v>154</v>
      </c>
      <c r="C21" s="17" t="s">
        <v>154</v>
      </c>
      <c r="D21" s="18" t="s">
        <v>154</v>
      </c>
      <c r="E21" s="17" t="s">
        <v>154</v>
      </c>
      <c r="F21" s="18" t="s">
        <v>154</v>
      </c>
      <c r="G21" s="17" t="s">
        <v>154</v>
      </c>
      <c r="H21" s="18" t="s">
        <v>154</v>
      </c>
      <c r="I21" s="17" t="s">
        <v>154</v>
      </c>
      <c r="J21" s="18" t="s">
        <v>154</v>
      </c>
      <c r="K21" s="17" t="s">
        <v>154</v>
      </c>
      <c r="L21" s="18" t="s">
        <v>154</v>
      </c>
      <c r="M21" s="17" t="s">
        <v>154</v>
      </c>
      <c r="N21" s="18" t="s">
        <v>154</v>
      </c>
      <c r="O21" s="17" t="s">
        <v>154</v>
      </c>
      <c r="P21" s="18" t="s">
        <v>154</v>
      </c>
      <c r="Q21" s="17" t="s">
        <v>154</v>
      </c>
      <c r="R21" s="18" t="s">
        <v>154</v>
      </c>
      <c r="S21" s="17" t="s">
        <v>154</v>
      </c>
      <c r="T21" s="18" t="s">
        <v>154</v>
      </c>
    </row>
    <row r="22" spans="1:20" x14ac:dyDescent="0.25">
      <c r="A22" s="11" t="s">
        <v>155</v>
      </c>
      <c r="B22" s="13">
        <v>6598</v>
      </c>
      <c r="C22" s="14">
        <f>(5584/B22*100)</f>
        <v>84.631706577750833</v>
      </c>
      <c r="D22" s="15">
        <v>1014</v>
      </c>
      <c r="E22" s="14">
        <v>53.811809439999998</v>
      </c>
      <c r="F22" s="16">
        <v>1.63467261</v>
      </c>
      <c r="G22" s="14">
        <v>37.075525630000001</v>
      </c>
      <c r="H22" s="16">
        <v>1.5428285799999999</v>
      </c>
      <c r="I22" s="14">
        <v>9.1126649299999993</v>
      </c>
      <c r="J22" s="16">
        <v>0.91916286999999997</v>
      </c>
      <c r="K22" s="14" t="s">
        <v>139</v>
      </c>
      <c r="L22" s="16" t="s">
        <v>139</v>
      </c>
      <c r="M22" s="14">
        <v>0</v>
      </c>
      <c r="N22" s="16">
        <v>0</v>
      </c>
      <c r="O22" s="14">
        <v>0</v>
      </c>
      <c r="P22" s="16">
        <v>0</v>
      </c>
      <c r="Q22" s="14">
        <v>0</v>
      </c>
      <c r="R22" s="16">
        <v>0</v>
      </c>
      <c r="S22" s="14">
        <v>0</v>
      </c>
      <c r="T22" s="16">
        <v>0</v>
      </c>
    </row>
    <row r="23" spans="1:20" x14ac:dyDescent="0.25">
      <c r="A23" s="11" t="s">
        <v>156</v>
      </c>
      <c r="B23" s="13">
        <v>11583</v>
      </c>
      <c r="C23" s="14">
        <f>(9600/B23*100)</f>
        <v>82.880082880082881</v>
      </c>
      <c r="D23" s="15">
        <v>1983</v>
      </c>
      <c r="E23" s="14">
        <v>45.868034559999998</v>
      </c>
      <c r="F23" s="16">
        <v>1.59431721</v>
      </c>
      <c r="G23" s="14">
        <v>43.405485069999997</v>
      </c>
      <c r="H23" s="16">
        <v>1.7898572699999999</v>
      </c>
      <c r="I23" s="14">
        <v>10.726480370000001</v>
      </c>
      <c r="J23" s="16">
        <v>0.96238643999999995</v>
      </c>
      <c r="K23" s="14" t="s">
        <v>139</v>
      </c>
      <c r="L23" s="16" t="s">
        <v>139</v>
      </c>
      <c r="M23" s="14">
        <v>0</v>
      </c>
      <c r="N23" s="16">
        <v>0</v>
      </c>
      <c r="O23" s="14">
        <v>0</v>
      </c>
      <c r="P23" s="16">
        <v>0</v>
      </c>
      <c r="Q23" s="14">
        <v>0</v>
      </c>
      <c r="R23" s="16">
        <v>0</v>
      </c>
      <c r="S23" s="14">
        <v>0</v>
      </c>
      <c r="T23" s="16">
        <v>0</v>
      </c>
    </row>
    <row r="24" spans="1:20" x14ac:dyDescent="0.25">
      <c r="A24" s="11" t="s">
        <v>157</v>
      </c>
      <c r="B24" s="13">
        <v>6647</v>
      </c>
      <c r="C24" s="14">
        <f>(5501/B24*100)</f>
        <v>82.759139461411152</v>
      </c>
      <c r="D24" s="15">
        <v>1146</v>
      </c>
      <c r="E24" s="14">
        <v>26.590661480000001</v>
      </c>
      <c r="F24" s="16">
        <v>1.33437055</v>
      </c>
      <c r="G24" s="14">
        <v>65.817373040000007</v>
      </c>
      <c r="H24" s="16">
        <v>1.42692446</v>
      </c>
      <c r="I24" s="14">
        <v>7.5919654799999998</v>
      </c>
      <c r="J24" s="16">
        <v>0.86301371000000004</v>
      </c>
      <c r="K24" s="14" t="s">
        <v>139</v>
      </c>
      <c r="L24" s="16" t="s">
        <v>139</v>
      </c>
      <c r="M24" s="14">
        <v>0</v>
      </c>
      <c r="N24" s="16">
        <v>0</v>
      </c>
      <c r="O24" s="14">
        <v>0</v>
      </c>
      <c r="P24" s="16">
        <v>0</v>
      </c>
      <c r="Q24" s="14">
        <v>0</v>
      </c>
      <c r="R24" s="16">
        <v>0</v>
      </c>
      <c r="S24" s="14">
        <v>0</v>
      </c>
      <c r="T24" s="16">
        <v>0</v>
      </c>
    </row>
    <row r="25" spans="1:20" x14ac:dyDescent="0.25">
      <c r="A25" s="11" t="s">
        <v>158</v>
      </c>
      <c r="B25" s="13">
        <v>5581</v>
      </c>
      <c r="C25" s="14">
        <f>(4615/B25*100)</f>
        <v>82.691273965239205</v>
      </c>
      <c r="D25" s="15">
        <v>966</v>
      </c>
      <c r="E25" s="14">
        <v>41.87795328</v>
      </c>
      <c r="F25" s="16">
        <v>1.75643471</v>
      </c>
      <c r="G25" s="14">
        <v>48.672956579999997</v>
      </c>
      <c r="H25" s="16">
        <v>1.6508930500000001</v>
      </c>
      <c r="I25" s="14">
        <v>9.4490901399999991</v>
      </c>
      <c r="J25" s="16">
        <v>0.86520056000000001</v>
      </c>
      <c r="K25" s="14" t="s">
        <v>139</v>
      </c>
      <c r="L25" s="16" t="s">
        <v>139</v>
      </c>
      <c r="M25" s="14">
        <v>0</v>
      </c>
      <c r="N25" s="16">
        <v>0</v>
      </c>
      <c r="O25" s="14">
        <v>0</v>
      </c>
      <c r="P25" s="16">
        <v>0</v>
      </c>
      <c r="Q25" s="14">
        <v>0</v>
      </c>
      <c r="R25" s="16">
        <v>0</v>
      </c>
      <c r="S25" s="14">
        <v>0</v>
      </c>
      <c r="T25" s="16">
        <v>0</v>
      </c>
    </row>
    <row r="26" spans="1:20" x14ac:dyDescent="0.25">
      <c r="A26" s="11" t="s">
        <v>159</v>
      </c>
      <c r="B26" s="13">
        <v>4869</v>
      </c>
      <c r="C26" s="14">
        <f>(4038/B26*100)</f>
        <v>82.932840418977207</v>
      </c>
      <c r="D26" s="15">
        <v>831</v>
      </c>
      <c r="E26" s="14">
        <v>40.191112150000002</v>
      </c>
      <c r="F26" s="16">
        <v>1.7746383400000001</v>
      </c>
      <c r="G26" s="14">
        <v>49.69123622</v>
      </c>
      <c r="H26" s="16">
        <v>1.86215365</v>
      </c>
      <c r="I26" s="14">
        <v>10.11765162</v>
      </c>
      <c r="J26" s="16">
        <v>1.2186564600000001</v>
      </c>
      <c r="K26" s="14" t="s">
        <v>139</v>
      </c>
      <c r="L26" s="16" t="s">
        <v>139</v>
      </c>
      <c r="M26" s="14">
        <v>0</v>
      </c>
      <c r="N26" s="16">
        <v>0</v>
      </c>
      <c r="O26" s="14">
        <v>0</v>
      </c>
      <c r="P26" s="16">
        <v>0</v>
      </c>
      <c r="Q26" s="14">
        <v>0</v>
      </c>
      <c r="R26" s="16">
        <v>0</v>
      </c>
      <c r="S26" s="14">
        <v>0</v>
      </c>
      <c r="T26" s="16">
        <v>0</v>
      </c>
    </row>
    <row r="27" spans="1:20" x14ac:dyDescent="0.25">
      <c r="A27" s="11" t="s">
        <v>160</v>
      </c>
      <c r="B27" s="13">
        <v>5299</v>
      </c>
      <c r="C27" s="14">
        <f>(4417/B27*100)</f>
        <v>83.355350066050192</v>
      </c>
      <c r="D27" s="15">
        <v>882</v>
      </c>
      <c r="E27" s="14">
        <v>43.585337410000001</v>
      </c>
      <c r="F27" s="16">
        <v>1.558991</v>
      </c>
      <c r="G27" s="14">
        <v>47.961242810000002</v>
      </c>
      <c r="H27" s="16">
        <v>1.57753247</v>
      </c>
      <c r="I27" s="14">
        <v>8.4534197800000008</v>
      </c>
      <c r="J27" s="16">
        <v>1.04219935</v>
      </c>
      <c r="K27" s="14" t="s">
        <v>139</v>
      </c>
      <c r="L27" s="16" t="s">
        <v>139</v>
      </c>
      <c r="M27" s="14">
        <v>0</v>
      </c>
      <c r="N27" s="16">
        <v>0</v>
      </c>
      <c r="O27" s="14">
        <v>0</v>
      </c>
      <c r="P27" s="16">
        <v>0</v>
      </c>
      <c r="Q27" s="14">
        <v>0</v>
      </c>
      <c r="R27" s="16">
        <v>0</v>
      </c>
      <c r="S27" s="14">
        <v>0</v>
      </c>
      <c r="T27" s="16">
        <v>0</v>
      </c>
    </row>
    <row r="28" spans="1:20" x14ac:dyDescent="0.25">
      <c r="A28" s="11" t="s">
        <v>161</v>
      </c>
      <c r="B28" s="13">
        <v>7568</v>
      </c>
      <c r="C28" s="14">
        <f>(6373/B28*100)</f>
        <v>84.209830866807607</v>
      </c>
      <c r="D28" s="15">
        <v>1195</v>
      </c>
      <c r="E28" s="14">
        <v>55.776098050000002</v>
      </c>
      <c r="F28" s="16">
        <v>1.38034422</v>
      </c>
      <c r="G28" s="14">
        <v>33.115090559999999</v>
      </c>
      <c r="H28" s="16">
        <v>1.4902587899999999</v>
      </c>
      <c r="I28" s="14">
        <v>11.10881139</v>
      </c>
      <c r="J28" s="16">
        <v>1.12708067</v>
      </c>
      <c r="K28" s="14" t="s">
        <v>139</v>
      </c>
      <c r="L28" s="16" t="s">
        <v>139</v>
      </c>
      <c r="M28" s="14">
        <v>0</v>
      </c>
      <c r="N28" s="16">
        <v>0</v>
      </c>
      <c r="O28" s="14">
        <v>0</v>
      </c>
      <c r="P28" s="16">
        <v>0</v>
      </c>
      <c r="Q28" s="14">
        <v>0</v>
      </c>
      <c r="R28" s="16">
        <v>0</v>
      </c>
      <c r="S28" s="14">
        <v>0</v>
      </c>
      <c r="T28" s="16">
        <v>0</v>
      </c>
    </row>
    <row r="29" spans="1:20" x14ac:dyDescent="0.25">
      <c r="A29" s="11" t="s">
        <v>162</v>
      </c>
      <c r="B29" s="13">
        <v>5385</v>
      </c>
      <c r="C29" s="14">
        <f>(4500/B29*100)</f>
        <v>83.565459610027858</v>
      </c>
      <c r="D29" s="15">
        <v>885</v>
      </c>
      <c r="E29" s="14">
        <v>38.57323615</v>
      </c>
      <c r="F29" s="16">
        <v>1.56647363</v>
      </c>
      <c r="G29" s="14">
        <v>51.750552329999998</v>
      </c>
      <c r="H29" s="16">
        <v>1.6150763100000001</v>
      </c>
      <c r="I29" s="14">
        <v>9.6762115200000007</v>
      </c>
      <c r="J29" s="16">
        <v>1.0918244100000001</v>
      </c>
      <c r="K29" s="14" t="s">
        <v>139</v>
      </c>
      <c r="L29" s="16" t="s">
        <v>139</v>
      </c>
      <c r="M29" s="14">
        <v>0</v>
      </c>
      <c r="N29" s="16">
        <v>0</v>
      </c>
      <c r="O29" s="14">
        <v>0</v>
      </c>
      <c r="P29" s="16">
        <v>0</v>
      </c>
      <c r="Q29" s="14">
        <v>0</v>
      </c>
      <c r="R29" s="16">
        <v>0</v>
      </c>
      <c r="S29" s="14">
        <v>0</v>
      </c>
      <c r="T29" s="16">
        <v>0</v>
      </c>
    </row>
    <row r="30" spans="1:20" x14ac:dyDescent="0.25">
      <c r="A30" s="11" t="s">
        <v>163</v>
      </c>
      <c r="B30" s="13">
        <v>4520</v>
      </c>
      <c r="C30" s="14">
        <f>(3802/B30*100)</f>
        <v>84.115044247787608</v>
      </c>
      <c r="D30" s="15">
        <v>718</v>
      </c>
      <c r="E30" s="14">
        <v>33.969008600000002</v>
      </c>
      <c r="F30" s="16">
        <v>1.8943350699999999</v>
      </c>
      <c r="G30" s="14">
        <v>57.051577600000002</v>
      </c>
      <c r="H30" s="16">
        <v>1.9601871200000001</v>
      </c>
      <c r="I30" s="14">
        <v>8.9794137999999997</v>
      </c>
      <c r="J30" s="16">
        <v>1.21424797</v>
      </c>
      <c r="K30" s="14" t="s">
        <v>139</v>
      </c>
      <c r="L30" s="16" t="s">
        <v>139</v>
      </c>
      <c r="M30" s="14">
        <v>0</v>
      </c>
      <c r="N30" s="16">
        <v>0</v>
      </c>
      <c r="O30" s="14">
        <v>0</v>
      </c>
      <c r="P30" s="16">
        <v>0</v>
      </c>
      <c r="Q30" s="14">
        <v>0</v>
      </c>
      <c r="R30" s="16">
        <v>0</v>
      </c>
      <c r="S30" s="14">
        <v>0</v>
      </c>
      <c r="T30" s="16">
        <v>0</v>
      </c>
    </row>
    <row r="31" spans="1:20" x14ac:dyDescent="0.25">
      <c r="A31" s="11" t="s">
        <v>164</v>
      </c>
      <c r="B31" s="13">
        <v>5456</v>
      </c>
      <c r="C31" s="14">
        <f>(4547/B31*100)</f>
        <v>83.339442815249271</v>
      </c>
      <c r="D31" s="15">
        <v>909</v>
      </c>
      <c r="E31" s="14">
        <v>45.461793270000001</v>
      </c>
      <c r="F31" s="16">
        <v>1.8583201</v>
      </c>
      <c r="G31" s="14">
        <v>45.16478292</v>
      </c>
      <c r="H31" s="16">
        <v>1.81343714</v>
      </c>
      <c r="I31" s="14">
        <v>9.3734238100000002</v>
      </c>
      <c r="J31" s="16">
        <v>0.99146444</v>
      </c>
      <c r="K31" s="14" t="s">
        <v>139</v>
      </c>
      <c r="L31" s="16" t="s">
        <v>139</v>
      </c>
      <c r="M31" s="14">
        <v>0</v>
      </c>
      <c r="N31" s="16">
        <v>0</v>
      </c>
      <c r="O31" s="14">
        <v>0</v>
      </c>
      <c r="P31" s="16">
        <v>0</v>
      </c>
      <c r="Q31" s="14">
        <v>0</v>
      </c>
      <c r="R31" s="16">
        <v>0</v>
      </c>
      <c r="S31" s="14">
        <v>0</v>
      </c>
      <c r="T31" s="16">
        <v>0</v>
      </c>
    </row>
    <row r="32" spans="1:20" x14ac:dyDescent="0.25">
      <c r="A32" s="11" t="s">
        <v>165</v>
      </c>
      <c r="B32" s="17" t="s">
        <v>154</v>
      </c>
      <c r="C32" s="17" t="s">
        <v>154</v>
      </c>
      <c r="D32" s="18" t="s">
        <v>154</v>
      </c>
      <c r="E32" s="17" t="s">
        <v>154</v>
      </c>
      <c r="F32" s="18" t="s">
        <v>154</v>
      </c>
      <c r="G32" s="17" t="s">
        <v>154</v>
      </c>
      <c r="H32" s="18" t="s">
        <v>154</v>
      </c>
      <c r="I32" s="17" t="s">
        <v>154</v>
      </c>
      <c r="J32" s="18" t="s">
        <v>154</v>
      </c>
      <c r="K32" s="17" t="s">
        <v>154</v>
      </c>
      <c r="L32" s="18" t="s">
        <v>154</v>
      </c>
      <c r="M32" s="17" t="s">
        <v>154</v>
      </c>
      <c r="N32" s="18" t="s">
        <v>154</v>
      </c>
      <c r="O32" s="17" t="s">
        <v>154</v>
      </c>
      <c r="P32" s="18" t="s">
        <v>154</v>
      </c>
      <c r="Q32" s="17" t="s">
        <v>154</v>
      </c>
      <c r="R32" s="18" t="s">
        <v>154</v>
      </c>
      <c r="S32" s="17" t="s">
        <v>154</v>
      </c>
      <c r="T32" s="18" t="s">
        <v>154</v>
      </c>
    </row>
    <row r="33" spans="1:20" x14ac:dyDescent="0.25">
      <c r="A33" s="11" t="s">
        <v>166</v>
      </c>
      <c r="B33" s="13">
        <v>7325</v>
      </c>
      <c r="C33" s="14">
        <f>(6119/B33*100)</f>
        <v>83.535836177474394</v>
      </c>
      <c r="D33" s="15">
        <v>1206</v>
      </c>
      <c r="E33" s="14">
        <v>39.236538770000003</v>
      </c>
      <c r="F33" s="16">
        <v>1.8566488299999999</v>
      </c>
      <c r="G33" s="14">
        <v>50.635927989999999</v>
      </c>
      <c r="H33" s="16">
        <v>1.9715271000000001</v>
      </c>
      <c r="I33" s="14">
        <v>10.12753324</v>
      </c>
      <c r="J33" s="16">
        <v>1.0456076400000001</v>
      </c>
      <c r="K33" s="14" t="s">
        <v>139</v>
      </c>
      <c r="L33" s="16" t="s">
        <v>139</v>
      </c>
      <c r="M33" s="14">
        <v>0</v>
      </c>
      <c r="N33" s="16">
        <v>0</v>
      </c>
      <c r="O33" s="14">
        <v>0</v>
      </c>
      <c r="P33" s="16">
        <v>0</v>
      </c>
      <c r="Q33" s="14">
        <v>0</v>
      </c>
      <c r="R33" s="16">
        <v>0</v>
      </c>
      <c r="S33" s="14">
        <v>0</v>
      </c>
      <c r="T33" s="16">
        <v>0</v>
      </c>
    </row>
    <row r="34" spans="1:20" x14ac:dyDescent="0.25">
      <c r="A34" s="11" t="s">
        <v>167</v>
      </c>
      <c r="B34" s="13">
        <v>6350</v>
      </c>
      <c r="C34" s="14">
        <f>(5317/B34*100)</f>
        <v>83.732283464566919</v>
      </c>
      <c r="D34" s="15">
        <v>1033</v>
      </c>
      <c r="E34" s="14">
        <v>43.957624090000003</v>
      </c>
      <c r="F34" s="16">
        <v>1.60733747</v>
      </c>
      <c r="G34" s="14">
        <v>45.869984049999999</v>
      </c>
      <c r="H34" s="16">
        <v>1.4937969900000001</v>
      </c>
      <c r="I34" s="14">
        <v>10.172391859999999</v>
      </c>
      <c r="J34" s="16">
        <v>0.96009591000000005</v>
      </c>
      <c r="K34" s="14" t="s">
        <v>139</v>
      </c>
      <c r="L34" s="16" t="s">
        <v>139</v>
      </c>
      <c r="M34" s="14">
        <v>0</v>
      </c>
      <c r="N34" s="16">
        <v>0</v>
      </c>
      <c r="O34" s="14">
        <v>0</v>
      </c>
      <c r="P34" s="16">
        <v>0</v>
      </c>
      <c r="Q34" s="14">
        <v>0</v>
      </c>
      <c r="R34" s="16">
        <v>0</v>
      </c>
      <c r="S34" s="14">
        <v>0</v>
      </c>
      <c r="T34" s="16">
        <v>0</v>
      </c>
    </row>
    <row r="35" spans="1:20" x14ac:dyDescent="0.25">
      <c r="A35" s="11" t="s">
        <v>168</v>
      </c>
      <c r="B35" s="13">
        <v>6406</v>
      </c>
      <c r="C35" s="14">
        <f>(5352/B35*100)</f>
        <v>83.546674992194809</v>
      </c>
      <c r="D35" s="15">
        <v>1054</v>
      </c>
      <c r="E35" s="14">
        <v>35.655237380000003</v>
      </c>
      <c r="F35" s="16">
        <v>1.9179290099999999</v>
      </c>
      <c r="G35" s="14">
        <v>55.952426060000001</v>
      </c>
      <c r="H35" s="16">
        <v>2.1316503199999999</v>
      </c>
      <c r="I35" s="14">
        <v>8.3923365600000004</v>
      </c>
      <c r="J35" s="16">
        <v>1.2980454299999999</v>
      </c>
      <c r="K35" s="14" t="s">
        <v>139</v>
      </c>
      <c r="L35" s="16" t="s">
        <v>139</v>
      </c>
      <c r="M35" s="14">
        <v>0</v>
      </c>
      <c r="N35" s="16">
        <v>0</v>
      </c>
      <c r="O35" s="14">
        <v>0</v>
      </c>
      <c r="P35" s="16">
        <v>0</v>
      </c>
      <c r="Q35" s="14">
        <v>0</v>
      </c>
      <c r="R35" s="16">
        <v>0</v>
      </c>
      <c r="S35" s="14">
        <v>0</v>
      </c>
      <c r="T35" s="16">
        <v>0</v>
      </c>
    </row>
    <row r="36" spans="1:20" x14ac:dyDescent="0.25">
      <c r="A36" s="11" t="s">
        <v>169</v>
      </c>
      <c r="B36" s="13">
        <v>6736</v>
      </c>
      <c r="C36" s="14">
        <f>(5610/B36*100)</f>
        <v>83.283847980997621</v>
      </c>
      <c r="D36" s="15">
        <v>1126</v>
      </c>
      <c r="E36" s="14">
        <v>48.598756539999997</v>
      </c>
      <c r="F36" s="16">
        <v>1.6979212699999999</v>
      </c>
      <c r="G36" s="14">
        <v>42.923166719999998</v>
      </c>
      <c r="H36" s="16">
        <v>1.72361377</v>
      </c>
      <c r="I36" s="14">
        <v>8.4780767400000006</v>
      </c>
      <c r="J36" s="16">
        <v>0.86708408999999997</v>
      </c>
      <c r="K36" s="14" t="s">
        <v>139</v>
      </c>
      <c r="L36" s="16" t="s">
        <v>139</v>
      </c>
      <c r="M36" s="14">
        <v>0</v>
      </c>
      <c r="N36" s="16">
        <v>0</v>
      </c>
      <c r="O36" s="14">
        <v>0</v>
      </c>
      <c r="P36" s="16">
        <v>0</v>
      </c>
      <c r="Q36" s="14">
        <v>0</v>
      </c>
      <c r="R36" s="16">
        <v>0</v>
      </c>
      <c r="S36" s="14">
        <v>0</v>
      </c>
      <c r="T36" s="16">
        <v>0</v>
      </c>
    </row>
    <row r="37" spans="1:20" x14ac:dyDescent="0.25">
      <c r="A37" s="11" t="s">
        <v>170</v>
      </c>
      <c r="B37" s="13">
        <v>5458</v>
      </c>
      <c r="C37" s="14">
        <f>(4571/B37*100)</f>
        <v>83.748625870282154</v>
      </c>
      <c r="D37" s="15">
        <v>887</v>
      </c>
      <c r="E37" s="14">
        <v>43.430241209999998</v>
      </c>
      <c r="F37" s="16">
        <v>1.40730924</v>
      </c>
      <c r="G37" s="14">
        <v>48.960619229999999</v>
      </c>
      <c r="H37" s="16">
        <v>1.3387157199999999</v>
      </c>
      <c r="I37" s="14">
        <v>7.60913956</v>
      </c>
      <c r="J37" s="16">
        <v>0.80324340999999999</v>
      </c>
      <c r="K37" s="14" t="s">
        <v>139</v>
      </c>
      <c r="L37" s="16" t="s">
        <v>139</v>
      </c>
      <c r="M37" s="14">
        <v>0</v>
      </c>
      <c r="N37" s="16">
        <v>0</v>
      </c>
      <c r="O37" s="14">
        <v>0</v>
      </c>
      <c r="P37" s="16">
        <v>0</v>
      </c>
      <c r="Q37" s="14">
        <v>0</v>
      </c>
      <c r="R37" s="16">
        <v>0</v>
      </c>
      <c r="S37" s="14">
        <v>0</v>
      </c>
      <c r="T37" s="16">
        <v>0</v>
      </c>
    </row>
    <row r="38" spans="1:20" x14ac:dyDescent="0.25">
      <c r="A38" s="11" t="s">
        <v>171</v>
      </c>
      <c r="B38" s="17" t="s">
        <v>154</v>
      </c>
      <c r="C38" s="17" t="s">
        <v>154</v>
      </c>
      <c r="D38" s="18" t="s">
        <v>154</v>
      </c>
      <c r="E38" s="17" t="s">
        <v>154</v>
      </c>
      <c r="F38" s="18" t="s">
        <v>154</v>
      </c>
      <c r="G38" s="17" t="s">
        <v>154</v>
      </c>
      <c r="H38" s="18" t="s">
        <v>154</v>
      </c>
      <c r="I38" s="17" t="s">
        <v>154</v>
      </c>
      <c r="J38" s="18" t="s">
        <v>154</v>
      </c>
      <c r="K38" s="17" t="s">
        <v>154</v>
      </c>
      <c r="L38" s="18" t="s">
        <v>154</v>
      </c>
      <c r="M38" s="17" t="s">
        <v>154</v>
      </c>
      <c r="N38" s="18" t="s">
        <v>154</v>
      </c>
      <c r="O38" s="17" t="s">
        <v>154</v>
      </c>
      <c r="P38" s="18" t="s">
        <v>154</v>
      </c>
      <c r="Q38" s="17" t="s">
        <v>154</v>
      </c>
      <c r="R38" s="18" t="s">
        <v>154</v>
      </c>
      <c r="S38" s="17" t="s">
        <v>154</v>
      </c>
      <c r="T38" s="18" t="s">
        <v>154</v>
      </c>
    </row>
    <row r="39" spans="1:20" x14ac:dyDescent="0.25">
      <c r="A39" s="11" t="s">
        <v>172</v>
      </c>
      <c r="B39" s="13">
        <v>5895</v>
      </c>
      <c r="C39" s="14">
        <f>(4863/B39*100)</f>
        <v>82.493638676844782</v>
      </c>
      <c r="D39" s="15">
        <v>1032</v>
      </c>
      <c r="E39" s="14">
        <v>55.94540576</v>
      </c>
      <c r="F39" s="16">
        <v>1.7487244200000001</v>
      </c>
      <c r="G39" s="14">
        <v>33.557199349999998</v>
      </c>
      <c r="H39" s="16">
        <v>1.67632336</v>
      </c>
      <c r="I39" s="14">
        <v>10.497394890000001</v>
      </c>
      <c r="J39" s="16">
        <v>0.93332674000000004</v>
      </c>
      <c r="K39" s="14" t="s">
        <v>139</v>
      </c>
      <c r="L39" s="16" t="s">
        <v>139</v>
      </c>
      <c r="M39" s="14">
        <v>0</v>
      </c>
      <c r="N39" s="16">
        <v>0</v>
      </c>
      <c r="O39" s="14">
        <v>0</v>
      </c>
      <c r="P39" s="16">
        <v>0</v>
      </c>
      <c r="Q39" s="14">
        <v>0</v>
      </c>
      <c r="R39" s="16">
        <v>0</v>
      </c>
      <c r="S39" s="14">
        <v>0</v>
      </c>
      <c r="T39" s="16">
        <v>0</v>
      </c>
    </row>
    <row r="40" spans="1:20" x14ac:dyDescent="0.25">
      <c r="A40" s="11" t="s">
        <v>173</v>
      </c>
      <c r="B40" s="13">
        <v>14157</v>
      </c>
      <c r="C40" s="14">
        <f>(11750/B40*100)</f>
        <v>82.997810270537542</v>
      </c>
      <c r="D40" s="15">
        <v>2407</v>
      </c>
      <c r="E40" s="14">
        <v>40.378321970000002</v>
      </c>
      <c r="F40" s="16">
        <v>1.51405396</v>
      </c>
      <c r="G40" s="14">
        <v>49.860729470000003</v>
      </c>
      <c r="H40" s="16">
        <v>1.5857665700000001</v>
      </c>
      <c r="I40" s="14">
        <v>9.7609485599999992</v>
      </c>
      <c r="J40" s="16">
        <v>0.98947205999999999</v>
      </c>
      <c r="K40" s="14" t="s">
        <v>139</v>
      </c>
      <c r="L40" s="16" t="s">
        <v>139</v>
      </c>
      <c r="M40" s="14">
        <v>0</v>
      </c>
      <c r="N40" s="16">
        <v>0</v>
      </c>
      <c r="O40" s="14">
        <v>0</v>
      </c>
      <c r="P40" s="16">
        <v>0</v>
      </c>
      <c r="Q40" s="14">
        <v>0</v>
      </c>
      <c r="R40" s="16">
        <v>0</v>
      </c>
      <c r="S40" s="14">
        <v>0</v>
      </c>
      <c r="T40" s="16">
        <v>0</v>
      </c>
    </row>
    <row r="41" spans="1:20" x14ac:dyDescent="0.25">
      <c r="A41" s="11" t="s">
        <v>174</v>
      </c>
      <c r="B41" s="13">
        <v>5712</v>
      </c>
      <c r="C41" s="14">
        <f>(4743/B41*100)</f>
        <v>83.035714285714292</v>
      </c>
      <c r="D41" s="15">
        <v>969</v>
      </c>
      <c r="E41" s="14">
        <v>50.15146</v>
      </c>
      <c r="F41" s="16">
        <v>2.2729076500000001</v>
      </c>
      <c r="G41" s="14">
        <v>40.138349359999999</v>
      </c>
      <c r="H41" s="16">
        <v>2.06197674</v>
      </c>
      <c r="I41" s="14">
        <v>9.7101906499999995</v>
      </c>
      <c r="J41" s="16">
        <v>1.0253015299999999</v>
      </c>
      <c r="K41" s="14" t="s">
        <v>139</v>
      </c>
      <c r="L41" s="16" t="s">
        <v>139</v>
      </c>
      <c r="M41" s="14">
        <v>0</v>
      </c>
      <c r="N41" s="16">
        <v>0</v>
      </c>
      <c r="O41" s="14">
        <v>0</v>
      </c>
      <c r="P41" s="16">
        <v>0</v>
      </c>
      <c r="Q41" s="14">
        <v>0</v>
      </c>
      <c r="R41" s="16">
        <v>0</v>
      </c>
      <c r="S41" s="14">
        <v>0</v>
      </c>
      <c r="T41" s="16">
        <v>0</v>
      </c>
    </row>
    <row r="42" spans="1:20" x14ac:dyDescent="0.25">
      <c r="A42" s="11" t="s">
        <v>175</v>
      </c>
      <c r="B42" s="13">
        <f>IF(COUNT(B7:B41) &gt; 0, AVERAGE(B7:B41), "\u2014")</f>
        <v>7266.90625</v>
      </c>
      <c r="C42" s="14">
        <f>IF(COUNT(C7:C41) &gt; 0, AVERAGE(C7:C41), "—")</f>
        <v>83.320585805480079</v>
      </c>
      <c r="D42" s="15">
        <f>IF(COUNT(D7:D41) &gt; 0, AVERAGE(D7:D41), "—")</f>
        <v>1213.1875</v>
      </c>
      <c r="E42" s="14">
        <f>IF(COUNT(E7:E41) &gt; 0, AVERAGE(E7:E41), "—")</f>
        <v>42.566391279375011</v>
      </c>
      <c r="F42" s="16">
        <f>IF(COUNT(F7:F41) &gt; 0, SQRT(SUMSQ(F7:F41)/(COUNT(F7:F41)*COUNT(F7:F41)) ), "—")</f>
        <v>0.29486692776613521</v>
      </c>
      <c r="G42" s="14">
        <f>IF(COUNT(G7:G41) &gt; 0, AVERAGE(G7:G41), "—")</f>
        <v>48.227746276250002</v>
      </c>
      <c r="H42" s="16">
        <f>IF(COUNT(H7:H41) &gt; 0, SQRT(SUMSQ(H7:H41)/(COUNT(H7:H41)*COUNT(H7:H41)) ), "—")</f>
        <v>0.29763211803293149</v>
      </c>
      <c r="I42" s="14">
        <f>IF(COUNT(I7:I41) &gt; 0, AVERAGE(I7:I41), "—")</f>
        <v>9.2058624443749988</v>
      </c>
      <c r="J42" s="16">
        <f>IF(COUNT(J7:J41) &gt; 0, SQRT(SUMSQ(J7:J41)/(COUNT(J7:J41)*COUNT(J7:J41)) ), "—")</f>
        <v>0.17323417496428339</v>
      </c>
      <c r="K42" s="14" t="str">
        <f>IF(COUNT(K7:K41) &gt; 0, AVERAGE(K7:K41), "—")</f>
        <v>—</v>
      </c>
      <c r="L42" s="16" t="str">
        <f>IF(COUNT(L7:L41) &gt; 0, SQRT(SUMSQ(L7:L41)/(COUNT(L7:L41)*COUNT(L7:L41)) ), "—")</f>
        <v>—</v>
      </c>
      <c r="M42" s="14">
        <f>IF(COUNT(M7:M41) &gt; 0, AVERAGE(M7:M41), "—")</f>
        <v>0</v>
      </c>
      <c r="N42" s="16">
        <f>IF(COUNT(N7:N41) &gt; 0, SQRT(SUMSQ(N7:N41)/(COUNT(N7:N41)*COUNT(N7:N41)) ), "—")</f>
        <v>0</v>
      </c>
      <c r="O42" s="14">
        <f>IF(COUNT(O7:O41) &gt; 0, AVERAGE(O7:O41), "—")</f>
        <v>0</v>
      </c>
      <c r="P42" s="16">
        <f>IF(COUNT(P7:P41) &gt; 0, SQRT(SUMSQ(P7:P41)/(COUNT(P7:P41)*COUNT(P7:P41)) ), "—")</f>
        <v>0</v>
      </c>
      <c r="Q42" s="14">
        <f>IF(COUNT(Q7:Q41) &gt; 0, AVERAGE(Q7:Q41), "—")</f>
        <v>0</v>
      </c>
      <c r="R42" s="16">
        <f>IF(COUNT(R7:R41) &gt; 0, SQRT(SUMSQ(R7:R41)/(COUNT(R7:R41)*COUNT(R7:R41)) ), "—")</f>
        <v>0</v>
      </c>
      <c r="S42" s="14">
        <f>IF(COUNT(S7:S41) &gt; 0, AVERAGE(S7:S41), "—")</f>
        <v>0</v>
      </c>
      <c r="T42" s="16">
        <f>IF(COUNT(T7:T41) &gt; 0, SQRT(SUMSQ(T7:T41)/(COUNT(T7:T41)*COUNT(T7:T41)) ), "—")</f>
        <v>0</v>
      </c>
    </row>
    <row r="43" spans="1:20" x14ac:dyDescent="0.25">
      <c r="A43" s="9" t="s">
        <v>176</v>
      </c>
      <c r="B43" s="10"/>
      <c r="C43" s="10"/>
      <c r="D43" s="11"/>
      <c r="E43" s="10"/>
      <c r="F43" s="11"/>
      <c r="G43" s="10"/>
      <c r="H43" s="11"/>
      <c r="I43" s="10"/>
      <c r="J43" s="11"/>
      <c r="K43" s="10"/>
      <c r="L43" s="11"/>
      <c r="M43" s="10"/>
      <c r="N43" s="11"/>
      <c r="O43" s="10"/>
      <c r="P43" s="11"/>
      <c r="Q43" s="10"/>
      <c r="R43" s="11"/>
      <c r="S43" s="10"/>
      <c r="T43" s="12"/>
    </row>
    <row r="44" spans="1:20" x14ac:dyDescent="0.25">
      <c r="A44" s="11" t="s">
        <v>177</v>
      </c>
      <c r="B44" s="17" t="s">
        <v>154</v>
      </c>
      <c r="C44" s="17" t="s">
        <v>154</v>
      </c>
      <c r="D44" s="18" t="s">
        <v>154</v>
      </c>
      <c r="E44" s="17" t="s">
        <v>154</v>
      </c>
      <c r="F44" s="18" t="s">
        <v>154</v>
      </c>
      <c r="G44" s="17" t="s">
        <v>154</v>
      </c>
      <c r="H44" s="18" t="s">
        <v>154</v>
      </c>
      <c r="I44" s="17" t="s">
        <v>154</v>
      </c>
      <c r="J44" s="18" t="s">
        <v>154</v>
      </c>
      <c r="K44" s="17" t="s">
        <v>154</v>
      </c>
      <c r="L44" s="18" t="s">
        <v>154</v>
      </c>
      <c r="M44" s="17" t="s">
        <v>154</v>
      </c>
      <c r="N44" s="18" t="s">
        <v>154</v>
      </c>
      <c r="O44" s="17" t="s">
        <v>154</v>
      </c>
      <c r="P44" s="18" t="s">
        <v>154</v>
      </c>
      <c r="Q44" s="17" t="s">
        <v>154</v>
      </c>
      <c r="R44" s="18" t="s">
        <v>154</v>
      </c>
      <c r="S44" s="17" t="s">
        <v>154</v>
      </c>
      <c r="T44" s="18" t="s">
        <v>154</v>
      </c>
    </row>
    <row r="45" spans="1:20" x14ac:dyDescent="0.25">
      <c r="A45" s="11" t="s">
        <v>178</v>
      </c>
      <c r="B45" s="17" t="s">
        <v>154</v>
      </c>
      <c r="C45" s="17" t="s">
        <v>154</v>
      </c>
      <c r="D45" s="18" t="s">
        <v>154</v>
      </c>
      <c r="E45" s="17" t="s">
        <v>154</v>
      </c>
      <c r="F45" s="18" t="s">
        <v>154</v>
      </c>
      <c r="G45" s="17" t="s">
        <v>154</v>
      </c>
      <c r="H45" s="18" t="s">
        <v>154</v>
      </c>
      <c r="I45" s="17" t="s">
        <v>154</v>
      </c>
      <c r="J45" s="18" t="s">
        <v>154</v>
      </c>
      <c r="K45" s="17" t="s">
        <v>154</v>
      </c>
      <c r="L45" s="18" t="s">
        <v>154</v>
      </c>
      <c r="M45" s="17" t="s">
        <v>154</v>
      </c>
      <c r="N45" s="18" t="s">
        <v>154</v>
      </c>
      <c r="O45" s="17" t="s">
        <v>154</v>
      </c>
      <c r="P45" s="18" t="s">
        <v>154</v>
      </c>
      <c r="Q45" s="17" t="s">
        <v>154</v>
      </c>
      <c r="R45" s="18" t="s">
        <v>154</v>
      </c>
      <c r="S45" s="17" t="s">
        <v>154</v>
      </c>
      <c r="T45" s="18" t="s">
        <v>154</v>
      </c>
    </row>
    <row r="46" spans="1:20" x14ac:dyDescent="0.25">
      <c r="A46" s="11" t="s">
        <v>179</v>
      </c>
      <c r="B46" s="13">
        <v>23141</v>
      </c>
      <c r="C46" s="14">
        <f>(20147/B46*100)</f>
        <v>87.061924722354263</v>
      </c>
      <c r="D46" s="15">
        <v>2994</v>
      </c>
      <c r="E46" s="14">
        <v>51.329562590000002</v>
      </c>
      <c r="F46" s="16">
        <v>1.16269672</v>
      </c>
      <c r="G46" s="14">
        <v>35.810349670000001</v>
      </c>
      <c r="H46" s="16">
        <v>1.06300321</v>
      </c>
      <c r="I46" s="14">
        <v>12.86008773</v>
      </c>
      <c r="J46" s="16">
        <v>0.87524433999999995</v>
      </c>
      <c r="K46" s="14" t="s">
        <v>139</v>
      </c>
      <c r="L46" s="16" t="s">
        <v>139</v>
      </c>
      <c r="M46" s="14">
        <v>0</v>
      </c>
      <c r="N46" s="16">
        <v>0</v>
      </c>
      <c r="O46" s="14">
        <v>0</v>
      </c>
      <c r="P46" s="16">
        <v>0</v>
      </c>
      <c r="Q46" s="14">
        <v>0</v>
      </c>
      <c r="R46" s="16">
        <v>0</v>
      </c>
      <c r="S46" s="14">
        <v>0</v>
      </c>
      <c r="T46" s="16">
        <v>0</v>
      </c>
    </row>
    <row r="47" spans="1:20" x14ac:dyDescent="0.25">
      <c r="A47" s="11" t="s">
        <v>180</v>
      </c>
      <c r="B47" s="13">
        <v>5928</v>
      </c>
      <c r="C47" s="14">
        <f>(4966/B47*100)</f>
        <v>83.771929824561411</v>
      </c>
      <c r="D47" s="15">
        <v>962</v>
      </c>
      <c r="E47" s="14">
        <v>52.165342510000002</v>
      </c>
      <c r="F47" s="16">
        <v>1.9009261099999999</v>
      </c>
      <c r="G47" s="14">
        <v>37.473132669999998</v>
      </c>
      <c r="H47" s="16">
        <v>1.89401025</v>
      </c>
      <c r="I47" s="14">
        <v>10.361524810000001</v>
      </c>
      <c r="J47" s="16">
        <v>1.2816315300000001</v>
      </c>
      <c r="K47" s="14" t="s">
        <v>139</v>
      </c>
      <c r="L47" s="16" t="s">
        <v>139</v>
      </c>
      <c r="M47" s="14">
        <v>0</v>
      </c>
      <c r="N47" s="16">
        <v>0</v>
      </c>
      <c r="O47" s="14">
        <v>0</v>
      </c>
      <c r="P47" s="16">
        <v>0</v>
      </c>
      <c r="Q47" s="14">
        <v>0</v>
      </c>
      <c r="R47" s="16">
        <v>0</v>
      </c>
      <c r="S47" s="14">
        <v>0</v>
      </c>
      <c r="T47" s="16">
        <v>0</v>
      </c>
    </row>
    <row r="48" spans="1:20" x14ac:dyDescent="0.25">
      <c r="A48" s="11" t="s">
        <v>181</v>
      </c>
      <c r="B48" s="13">
        <v>9841</v>
      </c>
      <c r="C48" s="14">
        <f>(8178/B48*100)</f>
        <v>83.101310842394057</v>
      </c>
      <c r="D48" s="15">
        <v>1663</v>
      </c>
      <c r="E48" s="14">
        <v>45.842920159999998</v>
      </c>
      <c r="F48" s="16">
        <v>1.8048987299999999</v>
      </c>
      <c r="G48" s="14">
        <v>46.503489119999998</v>
      </c>
      <c r="H48" s="16">
        <v>1.84959045</v>
      </c>
      <c r="I48" s="14">
        <v>7.6535907200000004</v>
      </c>
      <c r="J48" s="16">
        <v>0.70987644999999999</v>
      </c>
      <c r="K48" s="14" t="s">
        <v>139</v>
      </c>
      <c r="L48" s="16" t="s">
        <v>139</v>
      </c>
      <c r="M48" s="14">
        <v>0</v>
      </c>
      <c r="N48" s="16">
        <v>0</v>
      </c>
      <c r="O48" s="14">
        <v>0</v>
      </c>
      <c r="P48" s="16">
        <v>0</v>
      </c>
      <c r="Q48" s="14">
        <v>0</v>
      </c>
      <c r="R48" s="16">
        <v>0</v>
      </c>
      <c r="S48" s="14">
        <v>0</v>
      </c>
      <c r="T48" s="16">
        <v>0</v>
      </c>
    </row>
    <row r="49" spans="1:20" x14ac:dyDescent="0.25">
      <c r="A49" s="11" t="s">
        <v>182</v>
      </c>
      <c r="B49" s="17" t="s">
        <v>154</v>
      </c>
      <c r="C49" s="17" t="s">
        <v>154</v>
      </c>
      <c r="D49" s="18" t="s">
        <v>154</v>
      </c>
      <c r="E49" s="17" t="s">
        <v>154</v>
      </c>
      <c r="F49" s="18" t="s">
        <v>154</v>
      </c>
      <c r="G49" s="17" t="s">
        <v>154</v>
      </c>
      <c r="H49" s="18" t="s">
        <v>154</v>
      </c>
      <c r="I49" s="17" t="s">
        <v>154</v>
      </c>
      <c r="J49" s="18" t="s">
        <v>154</v>
      </c>
      <c r="K49" s="17" t="s">
        <v>154</v>
      </c>
      <c r="L49" s="18" t="s">
        <v>154</v>
      </c>
      <c r="M49" s="17" t="s">
        <v>154</v>
      </c>
      <c r="N49" s="18" t="s">
        <v>154</v>
      </c>
      <c r="O49" s="17" t="s">
        <v>154</v>
      </c>
      <c r="P49" s="18" t="s">
        <v>154</v>
      </c>
      <c r="Q49" s="17" t="s">
        <v>154</v>
      </c>
      <c r="R49" s="18" t="s">
        <v>154</v>
      </c>
      <c r="S49" s="17" t="s">
        <v>154</v>
      </c>
      <c r="T49" s="18" t="s">
        <v>154</v>
      </c>
    </row>
    <row r="50" spans="1:20" x14ac:dyDescent="0.25">
      <c r="A50" s="11" t="s">
        <v>183</v>
      </c>
      <c r="B50" s="13">
        <v>11795</v>
      </c>
      <c r="C50" s="14">
        <f>(9867/B50*100)</f>
        <v>83.654090716405264</v>
      </c>
      <c r="D50" s="15">
        <v>1928</v>
      </c>
      <c r="E50" s="14">
        <v>62.388492339999999</v>
      </c>
      <c r="F50" s="16">
        <v>1.4428029099999999</v>
      </c>
      <c r="G50" s="14">
        <v>27.961773149999999</v>
      </c>
      <c r="H50" s="16">
        <v>1.29969924</v>
      </c>
      <c r="I50" s="14">
        <v>9.64973451</v>
      </c>
      <c r="J50" s="16">
        <v>0.80169378000000002</v>
      </c>
      <c r="K50" s="14" t="s">
        <v>139</v>
      </c>
      <c r="L50" s="16" t="s">
        <v>139</v>
      </c>
      <c r="M50" s="14">
        <v>0</v>
      </c>
      <c r="N50" s="16">
        <v>0</v>
      </c>
      <c r="O50" s="14">
        <v>0</v>
      </c>
      <c r="P50" s="16">
        <v>0</v>
      </c>
      <c r="Q50" s="14">
        <v>0</v>
      </c>
      <c r="R50" s="16">
        <v>0</v>
      </c>
      <c r="S50" s="14">
        <v>0</v>
      </c>
      <c r="T50" s="16">
        <v>0</v>
      </c>
    </row>
    <row r="51" spans="1:20" x14ac:dyDescent="0.25">
      <c r="A51" s="11" t="s">
        <v>184</v>
      </c>
      <c r="B51" s="13">
        <v>6866</v>
      </c>
      <c r="C51" s="14">
        <f>(5870/B51*100)</f>
        <v>85.493737256044284</v>
      </c>
      <c r="D51" s="15">
        <v>996</v>
      </c>
      <c r="E51" s="14">
        <v>52.310977889999997</v>
      </c>
      <c r="F51" s="16">
        <v>1.3934936200000001</v>
      </c>
      <c r="G51" s="14">
        <v>35.933415599999996</v>
      </c>
      <c r="H51" s="16">
        <v>1.3001685999999999</v>
      </c>
      <c r="I51" s="14">
        <v>11.755606500000001</v>
      </c>
      <c r="J51" s="16">
        <v>0.94801537999999996</v>
      </c>
      <c r="K51" s="14" t="s">
        <v>139</v>
      </c>
      <c r="L51" s="16" t="s">
        <v>139</v>
      </c>
      <c r="M51" s="14">
        <v>0</v>
      </c>
      <c r="N51" s="16">
        <v>0</v>
      </c>
      <c r="O51" s="14">
        <v>0</v>
      </c>
      <c r="P51" s="16">
        <v>0</v>
      </c>
      <c r="Q51" s="14">
        <v>0</v>
      </c>
      <c r="R51" s="16">
        <v>0</v>
      </c>
      <c r="S51" s="14">
        <v>0</v>
      </c>
      <c r="T51" s="16">
        <v>0</v>
      </c>
    </row>
    <row r="52" spans="1:20" x14ac:dyDescent="0.25">
      <c r="A52" s="11" t="s">
        <v>185</v>
      </c>
      <c r="B52" s="13">
        <v>5809</v>
      </c>
      <c r="C52" s="14">
        <f>(4842/B52*100)</f>
        <v>83.353417111378889</v>
      </c>
      <c r="D52" s="15">
        <v>967</v>
      </c>
      <c r="E52" s="14">
        <v>40.83689596</v>
      </c>
      <c r="F52" s="16">
        <v>1.4439382700000001</v>
      </c>
      <c r="G52" s="14">
        <v>46.408116380000003</v>
      </c>
      <c r="H52" s="16">
        <v>1.5129307999999999</v>
      </c>
      <c r="I52" s="14">
        <v>12.754987659999999</v>
      </c>
      <c r="J52" s="16">
        <v>1.17656892</v>
      </c>
      <c r="K52" s="14" t="s">
        <v>139</v>
      </c>
      <c r="L52" s="16" t="s">
        <v>139</v>
      </c>
      <c r="M52" s="14">
        <v>0</v>
      </c>
      <c r="N52" s="16">
        <v>0</v>
      </c>
      <c r="O52" s="14">
        <v>0</v>
      </c>
      <c r="P52" s="16">
        <v>0</v>
      </c>
      <c r="Q52" s="14">
        <v>0</v>
      </c>
      <c r="R52" s="16">
        <v>0</v>
      </c>
      <c r="S52" s="14">
        <v>0</v>
      </c>
      <c r="T52" s="16">
        <v>0</v>
      </c>
    </row>
    <row r="53" spans="1:20" x14ac:dyDescent="0.25">
      <c r="A53" s="11" t="s">
        <v>186</v>
      </c>
      <c r="B53" s="13">
        <v>5571</v>
      </c>
      <c r="C53" s="14">
        <f>(4658/B53*100)</f>
        <v>83.611559863579259</v>
      </c>
      <c r="D53" s="15">
        <v>913</v>
      </c>
      <c r="E53" s="14">
        <v>53.066875150000001</v>
      </c>
      <c r="F53" s="16">
        <v>1.52911343</v>
      </c>
      <c r="G53" s="14">
        <v>36.351209539999999</v>
      </c>
      <c r="H53" s="16">
        <v>1.68389327</v>
      </c>
      <c r="I53" s="14">
        <v>10.581915309999999</v>
      </c>
      <c r="J53" s="16">
        <v>1.0577920000000001</v>
      </c>
      <c r="K53" s="14" t="s">
        <v>139</v>
      </c>
      <c r="L53" s="16" t="s">
        <v>139</v>
      </c>
      <c r="M53" s="14">
        <v>0</v>
      </c>
      <c r="N53" s="16">
        <v>0</v>
      </c>
      <c r="O53" s="14">
        <v>0</v>
      </c>
      <c r="P53" s="16">
        <v>0</v>
      </c>
      <c r="Q53" s="14">
        <v>0</v>
      </c>
      <c r="R53" s="16">
        <v>0</v>
      </c>
      <c r="S53" s="14">
        <v>0</v>
      </c>
      <c r="T53" s="16">
        <v>0</v>
      </c>
    </row>
    <row r="54" spans="1:20" x14ac:dyDescent="0.25">
      <c r="A54" s="11" t="s">
        <v>187</v>
      </c>
      <c r="B54" s="17" t="s">
        <v>154</v>
      </c>
      <c r="C54" s="17" t="s">
        <v>154</v>
      </c>
      <c r="D54" s="18" t="s">
        <v>154</v>
      </c>
      <c r="E54" s="17" t="s">
        <v>154</v>
      </c>
      <c r="F54" s="18" t="s">
        <v>154</v>
      </c>
      <c r="G54" s="17" t="s">
        <v>154</v>
      </c>
      <c r="H54" s="18" t="s">
        <v>154</v>
      </c>
      <c r="I54" s="17" t="s">
        <v>154</v>
      </c>
      <c r="J54" s="18" t="s">
        <v>154</v>
      </c>
      <c r="K54" s="17" t="s">
        <v>154</v>
      </c>
      <c r="L54" s="18" t="s">
        <v>154</v>
      </c>
      <c r="M54" s="17" t="s">
        <v>154</v>
      </c>
      <c r="N54" s="18" t="s">
        <v>154</v>
      </c>
      <c r="O54" s="17" t="s">
        <v>154</v>
      </c>
      <c r="P54" s="18" t="s">
        <v>154</v>
      </c>
      <c r="Q54" s="17" t="s">
        <v>154</v>
      </c>
      <c r="R54" s="18" t="s">
        <v>154</v>
      </c>
      <c r="S54" s="17" t="s">
        <v>154</v>
      </c>
      <c r="T54" s="18" t="s">
        <v>154</v>
      </c>
    </row>
    <row r="55" spans="1:20" x14ac:dyDescent="0.25">
      <c r="A55" s="11" t="s">
        <v>188</v>
      </c>
      <c r="B55" s="17" t="s">
        <v>154</v>
      </c>
      <c r="C55" s="17" t="s">
        <v>154</v>
      </c>
      <c r="D55" s="18" t="s">
        <v>154</v>
      </c>
      <c r="E55" s="17" t="s">
        <v>154</v>
      </c>
      <c r="F55" s="18" t="s">
        <v>154</v>
      </c>
      <c r="G55" s="17" t="s">
        <v>154</v>
      </c>
      <c r="H55" s="18" t="s">
        <v>154</v>
      </c>
      <c r="I55" s="17" t="s">
        <v>154</v>
      </c>
      <c r="J55" s="18" t="s">
        <v>154</v>
      </c>
      <c r="K55" s="17" t="s">
        <v>154</v>
      </c>
      <c r="L55" s="18" t="s">
        <v>154</v>
      </c>
      <c r="M55" s="17" t="s">
        <v>154</v>
      </c>
      <c r="N55" s="18" t="s">
        <v>154</v>
      </c>
      <c r="O55" s="17" t="s">
        <v>154</v>
      </c>
      <c r="P55" s="18" t="s">
        <v>154</v>
      </c>
      <c r="Q55" s="17" t="s">
        <v>154</v>
      </c>
      <c r="R55" s="18" t="s">
        <v>154</v>
      </c>
      <c r="S55" s="17" t="s">
        <v>154</v>
      </c>
      <c r="T55" s="18" t="s">
        <v>154</v>
      </c>
    </row>
    <row r="56" spans="1:20" x14ac:dyDescent="0.25">
      <c r="A56" s="11" t="s">
        <v>189</v>
      </c>
      <c r="B56" s="13">
        <v>5359</v>
      </c>
      <c r="C56" s="14">
        <f>(4453/B56*100)</f>
        <v>83.093860794924424</v>
      </c>
      <c r="D56" s="15">
        <v>906</v>
      </c>
      <c r="E56" s="14">
        <v>43.48642049</v>
      </c>
      <c r="F56" s="16">
        <v>2.0654121700000001</v>
      </c>
      <c r="G56" s="14">
        <v>49.640385520000002</v>
      </c>
      <c r="H56" s="16">
        <v>2.08944492</v>
      </c>
      <c r="I56" s="14">
        <v>6.8731939899999999</v>
      </c>
      <c r="J56" s="16">
        <v>0.94858083999999998</v>
      </c>
      <c r="K56" s="14" t="s">
        <v>139</v>
      </c>
      <c r="L56" s="16" t="s">
        <v>139</v>
      </c>
      <c r="M56" s="14">
        <v>0</v>
      </c>
      <c r="N56" s="16">
        <v>0</v>
      </c>
      <c r="O56" s="14">
        <v>0</v>
      </c>
      <c r="P56" s="16">
        <v>0</v>
      </c>
      <c r="Q56" s="14">
        <v>0</v>
      </c>
      <c r="R56" s="16">
        <v>0</v>
      </c>
      <c r="S56" s="14">
        <v>0</v>
      </c>
      <c r="T56" s="16">
        <v>0</v>
      </c>
    </row>
    <row r="57" spans="1:20" x14ac:dyDescent="0.25">
      <c r="A57" s="11" t="s">
        <v>190</v>
      </c>
      <c r="B57" s="17" t="s">
        <v>154</v>
      </c>
      <c r="C57" s="17" t="s">
        <v>154</v>
      </c>
      <c r="D57" s="18" t="s">
        <v>154</v>
      </c>
      <c r="E57" s="17" t="s">
        <v>154</v>
      </c>
      <c r="F57" s="18" t="s">
        <v>154</v>
      </c>
      <c r="G57" s="17" t="s">
        <v>154</v>
      </c>
      <c r="H57" s="18" t="s">
        <v>154</v>
      </c>
      <c r="I57" s="17" t="s">
        <v>154</v>
      </c>
      <c r="J57" s="18" t="s">
        <v>154</v>
      </c>
      <c r="K57" s="17" t="s">
        <v>154</v>
      </c>
      <c r="L57" s="18" t="s">
        <v>154</v>
      </c>
      <c r="M57" s="17" t="s">
        <v>154</v>
      </c>
      <c r="N57" s="18" t="s">
        <v>154</v>
      </c>
      <c r="O57" s="17" t="s">
        <v>154</v>
      </c>
      <c r="P57" s="18" t="s">
        <v>154</v>
      </c>
      <c r="Q57" s="17" t="s">
        <v>154</v>
      </c>
      <c r="R57" s="18" t="s">
        <v>154</v>
      </c>
      <c r="S57" s="17" t="s">
        <v>154</v>
      </c>
      <c r="T57" s="18" t="s">
        <v>154</v>
      </c>
    </row>
    <row r="58" spans="1:20" x14ac:dyDescent="0.25">
      <c r="A58" s="11" t="s">
        <v>191</v>
      </c>
      <c r="B58" s="17" t="s">
        <v>154</v>
      </c>
      <c r="C58" s="17" t="s">
        <v>154</v>
      </c>
      <c r="D58" s="18" t="s">
        <v>154</v>
      </c>
      <c r="E58" s="17" t="s">
        <v>154</v>
      </c>
      <c r="F58" s="18" t="s">
        <v>154</v>
      </c>
      <c r="G58" s="17" t="s">
        <v>154</v>
      </c>
      <c r="H58" s="18" t="s">
        <v>154</v>
      </c>
      <c r="I58" s="17" t="s">
        <v>154</v>
      </c>
      <c r="J58" s="18" t="s">
        <v>154</v>
      </c>
      <c r="K58" s="17" t="s">
        <v>154</v>
      </c>
      <c r="L58" s="18" t="s">
        <v>154</v>
      </c>
      <c r="M58" s="17" t="s">
        <v>154</v>
      </c>
      <c r="N58" s="18" t="s">
        <v>154</v>
      </c>
      <c r="O58" s="17" t="s">
        <v>154</v>
      </c>
      <c r="P58" s="18" t="s">
        <v>154</v>
      </c>
      <c r="Q58" s="17" t="s">
        <v>154</v>
      </c>
      <c r="R58" s="18" t="s">
        <v>154</v>
      </c>
      <c r="S58" s="17" t="s">
        <v>154</v>
      </c>
      <c r="T58" s="18" t="s">
        <v>154</v>
      </c>
    </row>
    <row r="59" spans="1:20" x14ac:dyDescent="0.25">
      <c r="A59" s="11" t="s">
        <v>192</v>
      </c>
      <c r="B59" s="17" t="s">
        <v>154</v>
      </c>
      <c r="C59" s="17" t="s">
        <v>154</v>
      </c>
      <c r="D59" s="18" t="s">
        <v>154</v>
      </c>
      <c r="E59" s="17" t="s">
        <v>154</v>
      </c>
      <c r="F59" s="18" t="s">
        <v>154</v>
      </c>
      <c r="G59" s="17" t="s">
        <v>154</v>
      </c>
      <c r="H59" s="18" t="s">
        <v>154</v>
      </c>
      <c r="I59" s="17" t="s">
        <v>154</v>
      </c>
      <c r="J59" s="18" t="s">
        <v>154</v>
      </c>
      <c r="K59" s="17" t="s">
        <v>154</v>
      </c>
      <c r="L59" s="18" t="s">
        <v>154</v>
      </c>
      <c r="M59" s="17" t="s">
        <v>154</v>
      </c>
      <c r="N59" s="18" t="s">
        <v>154</v>
      </c>
      <c r="O59" s="17" t="s">
        <v>154</v>
      </c>
      <c r="P59" s="18" t="s">
        <v>154</v>
      </c>
      <c r="Q59" s="17" t="s">
        <v>154</v>
      </c>
      <c r="R59" s="18" t="s">
        <v>154</v>
      </c>
      <c r="S59" s="17" t="s">
        <v>154</v>
      </c>
      <c r="T59" s="18" t="s">
        <v>154</v>
      </c>
    </row>
    <row r="60" spans="1:20" x14ac:dyDescent="0.25">
      <c r="A60" s="11" t="s">
        <v>193</v>
      </c>
      <c r="B60" s="17" t="s">
        <v>154</v>
      </c>
      <c r="C60" s="17" t="s">
        <v>154</v>
      </c>
      <c r="D60" s="18" t="s">
        <v>154</v>
      </c>
      <c r="E60" s="17" t="s">
        <v>154</v>
      </c>
      <c r="F60" s="18" t="s">
        <v>154</v>
      </c>
      <c r="G60" s="17" t="s">
        <v>154</v>
      </c>
      <c r="H60" s="18" t="s">
        <v>154</v>
      </c>
      <c r="I60" s="17" t="s">
        <v>154</v>
      </c>
      <c r="J60" s="18" t="s">
        <v>154</v>
      </c>
      <c r="K60" s="17" t="s">
        <v>154</v>
      </c>
      <c r="L60" s="18" t="s">
        <v>154</v>
      </c>
      <c r="M60" s="17" t="s">
        <v>154</v>
      </c>
      <c r="N60" s="18" t="s">
        <v>154</v>
      </c>
      <c r="O60" s="17" t="s">
        <v>154</v>
      </c>
      <c r="P60" s="18" t="s">
        <v>154</v>
      </c>
      <c r="Q60" s="17" t="s">
        <v>154</v>
      </c>
      <c r="R60" s="18" t="s">
        <v>154</v>
      </c>
      <c r="S60" s="17" t="s">
        <v>154</v>
      </c>
      <c r="T60" s="18" t="s">
        <v>154</v>
      </c>
    </row>
    <row r="61" spans="1:20" x14ac:dyDescent="0.25">
      <c r="A61" s="11" t="s">
        <v>194</v>
      </c>
      <c r="B61" s="13">
        <v>6525</v>
      </c>
      <c r="C61" s="14">
        <f>(5437/B61*100)</f>
        <v>83.325670498084293</v>
      </c>
      <c r="D61" s="15">
        <v>1088</v>
      </c>
      <c r="E61" s="14">
        <v>36.804231399999999</v>
      </c>
      <c r="F61" s="16">
        <v>1.54902677</v>
      </c>
      <c r="G61" s="14">
        <v>52.496959799999999</v>
      </c>
      <c r="H61" s="16">
        <v>1.70503844</v>
      </c>
      <c r="I61" s="14">
        <v>10.6988088</v>
      </c>
      <c r="J61" s="16">
        <v>1.0536954599999999</v>
      </c>
      <c r="K61" s="14" t="s">
        <v>139</v>
      </c>
      <c r="L61" s="16" t="s">
        <v>139</v>
      </c>
      <c r="M61" s="14">
        <v>0</v>
      </c>
      <c r="N61" s="16">
        <v>0</v>
      </c>
      <c r="O61" s="14">
        <v>0</v>
      </c>
      <c r="P61" s="16">
        <v>0</v>
      </c>
      <c r="Q61" s="14">
        <v>0</v>
      </c>
      <c r="R61" s="16">
        <v>0</v>
      </c>
      <c r="S61" s="14">
        <v>0</v>
      </c>
      <c r="T61" s="16">
        <v>0</v>
      </c>
    </row>
    <row r="62" spans="1:20" x14ac:dyDescent="0.25">
      <c r="A62" s="11" t="s">
        <v>195</v>
      </c>
      <c r="B62" s="13">
        <v>4476</v>
      </c>
      <c r="C62" s="14">
        <f>(3710/B62*100)</f>
        <v>82.886505808757818</v>
      </c>
      <c r="D62" s="15">
        <v>766</v>
      </c>
      <c r="E62" s="14">
        <v>40.620814240000001</v>
      </c>
      <c r="F62" s="16">
        <v>1.95951385</v>
      </c>
      <c r="G62" s="14">
        <v>52.174306829999999</v>
      </c>
      <c r="H62" s="16">
        <v>1.84171434</v>
      </c>
      <c r="I62" s="14">
        <v>7.2048789199999996</v>
      </c>
      <c r="J62" s="16">
        <v>0.83525994000000003</v>
      </c>
      <c r="K62" s="14" t="s">
        <v>139</v>
      </c>
      <c r="L62" s="16" t="s">
        <v>139</v>
      </c>
      <c r="M62" s="14">
        <v>0</v>
      </c>
      <c r="N62" s="16">
        <v>0</v>
      </c>
      <c r="O62" s="14">
        <v>0</v>
      </c>
      <c r="P62" s="16">
        <v>0</v>
      </c>
      <c r="Q62" s="14">
        <v>0</v>
      </c>
      <c r="R62" s="16">
        <v>0</v>
      </c>
      <c r="S62" s="14">
        <v>0</v>
      </c>
      <c r="T62" s="16">
        <v>0</v>
      </c>
    </row>
    <row r="63" spans="1:20" x14ac:dyDescent="0.25">
      <c r="A63" s="11" t="s">
        <v>196</v>
      </c>
      <c r="B63" s="17" t="s">
        <v>154</v>
      </c>
      <c r="C63" s="17" t="s">
        <v>154</v>
      </c>
      <c r="D63" s="18" t="s">
        <v>154</v>
      </c>
      <c r="E63" s="17" t="s">
        <v>154</v>
      </c>
      <c r="F63" s="18" t="s">
        <v>154</v>
      </c>
      <c r="G63" s="17" t="s">
        <v>154</v>
      </c>
      <c r="H63" s="18" t="s">
        <v>154</v>
      </c>
      <c r="I63" s="17" t="s">
        <v>154</v>
      </c>
      <c r="J63" s="18" t="s">
        <v>154</v>
      </c>
      <c r="K63" s="17" t="s">
        <v>154</v>
      </c>
      <c r="L63" s="18" t="s">
        <v>154</v>
      </c>
      <c r="M63" s="17" t="s">
        <v>154</v>
      </c>
      <c r="N63" s="18" t="s">
        <v>154</v>
      </c>
      <c r="O63" s="17" t="s">
        <v>154</v>
      </c>
      <c r="P63" s="18" t="s">
        <v>154</v>
      </c>
      <c r="Q63" s="17" t="s">
        <v>154</v>
      </c>
      <c r="R63" s="18" t="s">
        <v>154</v>
      </c>
      <c r="S63" s="17" t="s">
        <v>154</v>
      </c>
      <c r="T63" s="18" t="s">
        <v>154</v>
      </c>
    </row>
    <row r="64" spans="1:20" x14ac:dyDescent="0.25">
      <c r="A64" s="11" t="s">
        <v>197</v>
      </c>
      <c r="B64" s="17" t="s">
        <v>154</v>
      </c>
      <c r="C64" s="17" t="s">
        <v>154</v>
      </c>
      <c r="D64" s="18" t="s">
        <v>154</v>
      </c>
      <c r="E64" s="17" t="s">
        <v>154</v>
      </c>
      <c r="F64" s="18" t="s">
        <v>154</v>
      </c>
      <c r="G64" s="17" t="s">
        <v>154</v>
      </c>
      <c r="H64" s="18" t="s">
        <v>154</v>
      </c>
      <c r="I64" s="17" t="s">
        <v>154</v>
      </c>
      <c r="J64" s="18" t="s">
        <v>154</v>
      </c>
      <c r="K64" s="17" t="s">
        <v>154</v>
      </c>
      <c r="L64" s="18" t="s">
        <v>154</v>
      </c>
      <c r="M64" s="17" t="s">
        <v>154</v>
      </c>
      <c r="N64" s="18" t="s">
        <v>154</v>
      </c>
      <c r="O64" s="17" t="s">
        <v>154</v>
      </c>
      <c r="P64" s="18" t="s">
        <v>154</v>
      </c>
      <c r="Q64" s="17" t="s">
        <v>154</v>
      </c>
      <c r="R64" s="18" t="s">
        <v>154</v>
      </c>
      <c r="S64" s="17" t="s">
        <v>154</v>
      </c>
      <c r="T64" s="18" t="s">
        <v>154</v>
      </c>
    </row>
    <row r="65" spans="1:20" x14ac:dyDescent="0.25">
      <c r="A65" s="11" t="s">
        <v>198</v>
      </c>
      <c r="B65" s="17" t="s">
        <v>154</v>
      </c>
      <c r="C65" s="17" t="s">
        <v>154</v>
      </c>
      <c r="D65" s="18" t="s">
        <v>154</v>
      </c>
      <c r="E65" s="17" t="s">
        <v>154</v>
      </c>
      <c r="F65" s="18" t="s">
        <v>154</v>
      </c>
      <c r="G65" s="17" t="s">
        <v>154</v>
      </c>
      <c r="H65" s="18" t="s">
        <v>154</v>
      </c>
      <c r="I65" s="17" t="s">
        <v>154</v>
      </c>
      <c r="J65" s="18" t="s">
        <v>154</v>
      </c>
      <c r="K65" s="17" t="s">
        <v>154</v>
      </c>
      <c r="L65" s="18" t="s">
        <v>154</v>
      </c>
      <c r="M65" s="17" t="s">
        <v>154</v>
      </c>
      <c r="N65" s="18" t="s">
        <v>154</v>
      </c>
      <c r="O65" s="17" t="s">
        <v>154</v>
      </c>
      <c r="P65" s="18" t="s">
        <v>154</v>
      </c>
      <c r="Q65" s="17" t="s">
        <v>154</v>
      </c>
      <c r="R65" s="18" t="s">
        <v>154</v>
      </c>
      <c r="S65" s="17" t="s">
        <v>154</v>
      </c>
      <c r="T65" s="18" t="s">
        <v>154</v>
      </c>
    </row>
    <row r="66" spans="1:20" x14ac:dyDescent="0.25">
      <c r="A66" s="11" t="s">
        <v>199</v>
      </c>
      <c r="B66" s="13">
        <v>5665</v>
      </c>
      <c r="C66" s="14">
        <f>(4745/B66*100)</f>
        <v>83.759929390997357</v>
      </c>
      <c r="D66" s="15">
        <v>920</v>
      </c>
      <c r="E66" s="14">
        <v>54.33725227</v>
      </c>
      <c r="F66" s="16">
        <v>1.71765755</v>
      </c>
      <c r="G66" s="14">
        <v>33.362224699999999</v>
      </c>
      <c r="H66" s="16">
        <v>1.6989529800000001</v>
      </c>
      <c r="I66" s="14">
        <v>12.300523030000001</v>
      </c>
      <c r="J66" s="16">
        <v>1.0417738700000001</v>
      </c>
      <c r="K66" s="14" t="s">
        <v>139</v>
      </c>
      <c r="L66" s="16" t="s">
        <v>139</v>
      </c>
      <c r="M66" s="14">
        <v>0</v>
      </c>
      <c r="N66" s="16">
        <v>0</v>
      </c>
      <c r="O66" s="14">
        <v>0</v>
      </c>
      <c r="P66" s="16">
        <v>0</v>
      </c>
      <c r="Q66" s="14">
        <v>0</v>
      </c>
      <c r="R66" s="16">
        <v>0</v>
      </c>
      <c r="S66" s="14">
        <v>0</v>
      </c>
      <c r="T66" s="16">
        <v>0</v>
      </c>
    </row>
    <row r="67" spans="1:20" x14ac:dyDescent="0.25">
      <c r="A67" s="11" t="s">
        <v>200</v>
      </c>
      <c r="B67" s="13">
        <v>6971</v>
      </c>
      <c r="C67" s="14">
        <f>(5950/B67*100)</f>
        <v>85.353607803758422</v>
      </c>
      <c r="D67" s="15">
        <v>1021</v>
      </c>
      <c r="E67" s="14">
        <v>64.153601719999997</v>
      </c>
      <c r="F67" s="16">
        <v>1.63031152</v>
      </c>
      <c r="G67" s="14">
        <v>25.73052079</v>
      </c>
      <c r="H67" s="16">
        <v>1.3588371299999999</v>
      </c>
      <c r="I67" s="14">
        <v>10.115877490000001</v>
      </c>
      <c r="J67" s="16">
        <v>0.96281793999999998</v>
      </c>
      <c r="K67" s="14" t="s">
        <v>139</v>
      </c>
      <c r="L67" s="16" t="s">
        <v>139</v>
      </c>
      <c r="M67" s="14">
        <v>0</v>
      </c>
      <c r="N67" s="16">
        <v>0</v>
      </c>
      <c r="O67" s="14">
        <v>0</v>
      </c>
      <c r="P67" s="16">
        <v>0</v>
      </c>
      <c r="Q67" s="14">
        <v>0</v>
      </c>
      <c r="R67" s="16">
        <v>0</v>
      </c>
      <c r="S67" s="14">
        <v>0</v>
      </c>
      <c r="T67" s="16">
        <v>0</v>
      </c>
    </row>
    <row r="68" spans="1:20" x14ac:dyDescent="0.25">
      <c r="A68" s="11" t="s">
        <v>201</v>
      </c>
      <c r="B68" s="17" t="s">
        <v>154</v>
      </c>
      <c r="C68" s="17" t="s">
        <v>154</v>
      </c>
      <c r="D68" s="18" t="s">
        <v>154</v>
      </c>
      <c r="E68" s="17" t="s">
        <v>154</v>
      </c>
      <c r="F68" s="18" t="s">
        <v>154</v>
      </c>
      <c r="G68" s="17" t="s">
        <v>154</v>
      </c>
      <c r="H68" s="18" t="s">
        <v>154</v>
      </c>
      <c r="I68" s="17" t="s">
        <v>154</v>
      </c>
      <c r="J68" s="18" t="s">
        <v>154</v>
      </c>
      <c r="K68" s="17" t="s">
        <v>154</v>
      </c>
      <c r="L68" s="18" t="s">
        <v>154</v>
      </c>
      <c r="M68" s="17" t="s">
        <v>154</v>
      </c>
      <c r="N68" s="18" t="s">
        <v>154</v>
      </c>
      <c r="O68" s="17" t="s">
        <v>154</v>
      </c>
      <c r="P68" s="18" t="s">
        <v>154</v>
      </c>
      <c r="Q68" s="17" t="s">
        <v>154</v>
      </c>
      <c r="R68" s="18" t="s">
        <v>154</v>
      </c>
      <c r="S68" s="17" t="s">
        <v>154</v>
      </c>
      <c r="T68" s="18" t="s">
        <v>154</v>
      </c>
    </row>
    <row r="69" spans="1:20" x14ac:dyDescent="0.25">
      <c r="A69" s="11" t="s">
        <v>202</v>
      </c>
      <c r="B69" s="17" t="s">
        <v>154</v>
      </c>
      <c r="C69" s="17" t="s">
        <v>154</v>
      </c>
      <c r="D69" s="18" t="s">
        <v>154</v>
      </c>
      <c r="E69" s="17" t="s">
        <v>154</v>
      </c>
      <c r="F69" s="18" t="s">
        <v>154</v>
      </c>
      <c r="G69" s="17" t="s">
        <v>154</v>
      </c>
      <c r="H69" s="18" t="s">
        <v>154</v>
      </c>
      <c r="I69" s="17" t="s">
        <v>154</v>
      </c>
      <c r="J69" s="18" t="s">
        <v>154</v>
      </c>
      <c r="K69" s="17" t="s">
        <v>154</v>
      </c>
      <c r="L69" s="18" t="s">
        <v>154</v>
      </c>
      <c r="M69" s="17" t="s">
        <v>154</v>
      </c>
      <c r="N69" s="18" t="s">
        <v>154</v>
      </c>
      <c r="O69" s="17" t="s">
        <v>154</v>
      </c>
      <c r="P69" s="18" t="s">
        <v>154</v>
      </c>
      <c r="Q69" s="17" t="s">
        <v>154</v>
      </c>
      <c r="R69" s="18" t="s">
        <v>154</v>
      </c>
      <c r="S69" s="17" t="s">
        <v>154</v>
      </c>
      <c r="T69" s="18" t="s">
        <v>154</v>
      </c>
    </row>
    <row r="70" spans="1:20" x14ac:dyDescent="0.25">
      <c r="A70" s="11" t="s">
        <v>203</v>
      </c>
      <c r="B70" s="13">
        <v>6036</v>
      </c>
      <c r="C70" s="14">
        <f>(5024/B70*100)</f>
        <v>83.233929754804507</v>
      </c>
      <c r="D70" s="15">
        <v>1012</v>
      </c>
      <c r="E70" s="14">
        <v>45.112029020000001</v>
      </c>
      <c r="F70" s="16">
        <v>1.9653026099999999</v>
      </c>
      <c r="G70" s="14">
        <v>45.117834250000001</v>
      </c>
      <c r="H70" s="16">
        <v>2.0200652300000002</v>
      </c>
      <c r="I70" s="14">
        <v>9.77013672</v>
      </c>
      <c r="J70" s="16">
        <v>1.1700888899999999</v>
      </c>
      <c r="K70" s="14" t="s">
        <v>139</v>
      </c>
      <c r="L70" s="16" t="s">
        <v>139</v>
      </c>
      <c r="M70" s="14">
        <v>0</v>
      </c>
      <c r="N70" s="16">
        <v>0</v>
      </c>
      <c r="O70" s="14">
        <v>0</v>
      </c>
      <c r="P70" s="16">
        <v>0</v>
      </c>
      <c r="Q70" s="14">
        <v>0</v>
      </c>
      <c r="R70" s="16">
        <v>0</v>
      </c>
      <c r="S70" s="14">
        <v>0</v>
      </c>
      <c r="T70" s="16">
        <v>0</v>
      </c>
    </row>
    <row r="71" spans="1:20" x14ac:dyDescent="0.25">
      <c r="A71" s="11" t="s">
        <v>204</v>
      </c>
      <c r="B71" s="17" t="s">
        <v>154</v>
      </c>
      <c r="C71" s="17" t="s">
        <v>154</v>
      </c>
      <c r="D71" s="18" t="s">
        <v>154</v>
      </c>
      <c r="E71" s="17" t="s">
        <v>154</v>
      </c>
      <c r="F71" s="18" t="s">
        <v>154</v>
      </c>
      <c r="G71" s="17" t="s">
        <v>154</v>
      </c>
      <c r="H71" s="18" t="s">
        <v>154</v>
      </c>
      <c r="I71" s="17" t="s">
        <v>154</v>
      </c>
      <c r="J71" s="18" t="s">
        <v>154</v>
      </c>
      <c r="K71" s="17" t="s">
        <v>154</v>
      </c>
      <c r="L71" s="18" t="s">
        <v>154</v>
      </c>
      <c r="M71" s="17" t="s">
        <v>154</v>
      </c>
      <c r="N71" s="18" t="s">
        <v>154</v>
      </c>
      <c r="O71" s="17" t="s">
        <v>154</v>
      </c>
      <c r="P71" s="18" t="s">
        <v>154</v>
      </c>
      <c r="Q71" s="17" t="s">
        <v>154</v>
      </c>
      <c r="R71" s="18" t="s">
        <v>154</v>
      </c>
      <c r="S71" s="17" t="s">
        <v>154</v>
      </c>
      <c r="T71" s="18" t="s">
        <v>154</v>
      </c>
    </row>
    <row r="72" spans="1:20" x14ac:dyDescent="0.25">
      <c r="A72" s="11" t="s">
        <v>205</v>
      </c>
      <c r="B72" s="13">
        <v>7708</v>
      </c>
      <c r="C72" s="14">
        <f>(6366/B72*100)</f>
        <v>82.589517384535554</v>
      </c>
      <c r="D72" s="15">
        <v>1342</v>
      </c>
      <c r="E72" s="14">
        <v>38.796108259999997</v>
      </c>
      <c r="F72" s="16">
        <v>1.34077464</v>
      </c>
      <c r="G72" s="14">
        <v>53.307895180000003</v>
      </c>
      <c r="H72" s="16">
        <v>1.4080094000000001</v>
      </c>
      <c r="I72" s="14">
        <v>7.8959965700000003</v>
      </c>
      <c r="J72" s="16">
        <v>0.87170716000000004</v>
      </c>
      <c r="K72" s="14" t="s">
        <v>139</v>
      </c>
      <c r="L72" s="16" t="s">
        <v>139</v>
      </c>
      <c r="M72" s="14">
        <v>0</v>
      </c>
      <c r="N72" s="16">
        <v>0</v>
      </c>
      <c r="O72" s="14">
        <v>0</v>
      </c>
      <c r="P72" s="16">
        <v>0</v>
      </c>
      <c r="Q72" s="14">
        <v>0</v>
      </c>
      <c r="R72" s="16">
        <v>0</v>
      </c>
      <c r="S72" s="14">
        <v>0</v>
      </c>
      <c r="T72" s="16">
        <v>0</v>
      </c>
    </row>
    <row r="73" spans="1:20" x14ac:dyDescent="0.25">
      <c r="A73" s="11" t="s">
        <v>206</v>
      </c>
      <c r="B73" s="13">
        <v>8249</v>
      </c>
      <c r="C73" s="14">
        <f>(6930/B73*100)</f>
        <v>84.010183052491215</v>
      </c>
      <c r="D73" s="15">
        <v>1319</v>
      </c>
      <c r="E73" s="14">
        <v>59.503782530000002</v>
      </c>
      <c r="F73" s="16">
        <v>1.5918437599999999</v>
      </c>
      <c r="G73" s="14">
        <v>32.41756187</v>
      </c>
      <c r="H73" s="16">
        <v>1.59491651</v>
      </c>
      <c r="I73" s="14">
        <v>8.0786555999999994</v>
      </c>
      <c r="J73" s="16">
        <v>0.92179292000000002</v>
      </c>
      <c r="K73" s="14" t="s">
        <v>139</v>
      </c>
      <c r="L73" s="16" t="s">
        <v>139</v>
      </c>
      <c r="M73" s="14">
        <v>0</v>
      </c>
      <c r="N73" s="16">
        <v>0</v>
      </c>
      <c r="O73" s="14">
        <v>0</v>
      </c>
      <c r="P73" s="16">
        <v>0</v>
      </c>
      <c r="Q73" s="14">
        <v>0</v>
      </c>
      <c r="R73" s="16">
        <v>0</v>
      </c>
      <c r="S73" s="14">
        <v>0</v>
      </c>
      <c r="T73" s="16">
        <v>0</v>
      </c>
    </row>
    <row r="74" spans="1:20" x14ac:dyDescent="0.25">
      <c r="A74" s="11" t="s">
        <v>207</v>
      </c>
      <c r="B74" s="17" t="s">
        <v>154</v>
      </c>
      <c r="C74" s="17" t="s">
        <v>154</v>
      </c>
      <c r="D74" s="18" t="s">
        <v>154</v>
      </c>
      <c r="E74" s="17" t="s">
        <v>154</v>
      </c>
      <c r="F74" s="18" t="s">
        <v>154</v>
      </c>
      <c r="G74" s="17" t="s">
        <v>154</v>
      </c>
      <c r="H74" s="18" t="s">
        <v>154</v>
      </c>
      <c r="I74" s="17" t="s">
        <v>154</v>
      </c>
      <c r="J74" s="18" t="s">
        <v>154</v>
      </c>
      <c r="K74" s="17" t="s">
        <v>154</v>
      </c>
      <c r="L74" s="18" t="s">
        <v>154</v>
      </c>
      <c r="M74" s="17" t="s">
        <v>154</v>
      </c>
      <c r="N74" s="18" t="s">
        <v>154</v>
      </c>
      <c r="O74" s="17" t="s">
        <v>154</v>
      </c>
      <c r="P74" s="18" t="s">
        <v>154</v>
      </c>
      <c r="Q74" s="17" t="s">
        <v>154</v>
      </c>
      <c r="R74" s="18" t="s">
        <v>154</v>
      </c>
      <c r="S74" s="17" t="s">
        <v>154</v>
      </c>
      <c r="T74" s="18" t="s">
        <v>154</v>
      </c>
    </row>
    <row r="75" spans="1:20" x14ac:dyDescent="0.25">
      <c r="A75" s="11" t="s">
        <v>208</v>
      </c>
      <c r="B75" s="13">
        <v>5375</v>
      </c>
      <c r="C75" s="14">
        <f>(4570/B75*100)</f>
        <v>85.023255813953497</v>
      </c>
      <c r="D75" s="15">
        <v>805</v>
      </c>
      <c r="E75" s="14">
        <v>69.454716919999996</v>
      </c>
      <c r="F75" s="16">
        <v>1.8935337000000001</v>
      </c>
      <c r="G75" s="14">
        <v>20.62750716</v>
      </c>
      <c r="H75" s="16">
        <v>1.52700211</v>
      </c>
      <c r="I75" s="14">
        <v>9.9177759299999995</v>
      </c>
      <c r="J75" s="16">
        <v>1.0682500399999999</v>
      </c>
      <c r="K75" s="14" t="s">
        <v>139</v>
      </c>
      <c r="L75" s="16" t="s">
        <v>139</v>
      </c>
      <c r="M75" s="14">
        <v>0</v>
      </c>
      <c r="N75" s="16">
        <v>0</v>
      </c>
      <c r="O75" s="14">
        <v>0</v>
      </c>
      <c r="P75" s="16">
        <v>0</v>
      </c>
      <c r="Q75" s="14">
        <v>0</v>
      </c>
      <c r="R75" s="16">
        <v>0</v>
      </c>
      <c r="S75" s="14">
        <v>0</v>
      </c>
      <c r="T75" s="16">
        <v>0</v>
      </c>
    </row>
    <row r="76" spans="1:20" x14ac:dyDescent="0.25">
      <c r="A76" s="11" t="s">
        <v>209</v>
      </c>
      <c r="B76" s="13">
        <v>14167</v>
      </c>
      <c r="C76" s="14">
        <f>(11781/B76*100)</f>
        <v>83.158043340156709</v>
      </c>
      <c r="D76" s="15">
        <v>2386</v>
      </c>
      <c r="E76" s="14">
        <v>53.358488970000003</v>
      </c>
      <c r="F76" s="16">
        <v>1.3264656399999999</v>
      </c>
      <c r="G76" s="14">
        <v>35.748650509999997</v>
      </c>
      <c r="H76" s="16">
        <v>1.1872624300000001</v>
      </c>
      <c r="I76" s="14">
        <v>10.892860519999999</v>
      </c>
      <c r="J76" s="16">
        <v>0.90442789999999995</v>
      </c>
      <c r="K76" s="14" t="s">
        <v>139</v>
      </c>
      <c r="L76" s="16" t="s">
        <v>139</v>
      </c>
      <c r="M76" s="14">
        <v>0</v>
      </c>
      <c r="N76" s="16">
        <v>0</v>
      </c>
      <c r="O76" s="14">
        <v>0</v>
      </c>
      <c r="P76" s="16">
        <v>0</v>
      </c>
      <c r="Q76" s="14">
        <v>0</v>
      </c>
      <c r="R76" s="16">
        <v>0</v>
      </c>
      <c r="S76" s="14">
        <v>0</v>
      </c>
      <c r="T76" s="16">
        <v>0</v>
      </c>
    </row>
    <row r="77" spans="1:20" x14ac:dyDescent="0.25">
      <c r="A77" s="11" t="s">
        <v>210</v>
      </c>
      <c r="B77" s="13">
        <v>6062</v>
      </c>
      <c r="C77" s="14">
        <f>(5104/B77*100)</f>
        <v>84.196634774001978</v>
      </c>
      <c r="D77" s="15">
        <v>958</v>
      </c>
      <c r="E77" s="14">
        <v>55.903560560000003</v>
      </c>
      <c r="F77" s="16">
        <v>1.56180297</v>
      </c>
      <c r="G77" s="14">
        <v>31.214280670000001</v>
      </c>
      <c r="H77" s="16">
        <v>1.5143801699999999</v>
      </c>
      <c r="I77" s="14">
        <v>12.882158759999999</v>
      </c>
      <c r="J77" s="16">
        <v>1.22371651</v>
      </c>
      <c r="K77" s="14" t="s">
        <v>139</v>
      </c>
      <c r="L77" s="16" t="s">
        <v>139</v>
      </c>
      <c r="M77" s="14">
        <v>0</v>
      </c>
      <c r="N77" s="16">
        <v>0</v>
      </c>
      <c r="O77" s="14">
        <v>0</v>
      </c>
      <c r="P77" s="16">
        <v>0</v>
      </c>
      <c r="Q77" s="14">
        <v>0</v>
      </c>
      <c r="R77" s="16">
        <v>0</v>
      </c>
      <c r="S77" s="14">
        <v>0</v>
      </c>
      <c r="T77" s="16">
        <v>0</v>
      </c>
    </row>
    <row r="78" spans="1:20" x14ac:dyDescent="0.25">
      <c r="A78" s="11" t="s">
        <v>211</v>
      </c>
      <c r="B78" s="17" t="s">
        <v>154</v>
      </c>
      <c r="C78" s="17" t="s">
        <v>154</v>
      </c>
      <c r="D78" s="18" t="s">
        <v>154</v>
      </c>
      <c r="E78" s="17" t="s">
        <v>154</v>
      </c>
      <c r="F78" s="18" t="s">
        <v>154</v>
      </c>
      <c r="G78" s="17" t="s">
        <v>154</v>
      </c>
      <c r="H78" s="18" t="s">
        <v>154</v>
      </c>
      <c r="I78" s="17" t="s">
        <v>154</v>
      </c>
      <c r="J78" s="18" t="s">
        <v>154</v>
      </c>
      <c r="K78" s="17" t="s">
        <v>154</v>
      </c>
      <c r="L78" s="18" t="s">
        <v>154</v>
      </c>
      <c r="M78" s="17" t="s">
        <v>154</v>
      </c>
      <c r="N78" s="18" t="s">
        <v>154</v>
      </c>
      <c r="O78" s="17" t="s">
        <v>154</v>
      </c>
      <c r="P78" s="18" t="s">
        <v>154</v>
      </c>
      <c r="Q78" s="17" t="s">
        <v>154</v>
      </c>
      <c r="R78" s="18" t="s">
        <v>154</v>
      </c>
      <c r="S78" s="17" t="s">
        <v>154</v>
      </c>
      <c r="T78" s="18" t="s">
        <v>154</v>
      </c>
    </row>
    <row r="79" spans="1:20" ht="24.95" customHeight="1" x14ac:dyDescent="0.25">
      <c r="A79" s="11" t="s">
        <v>212</v>
      </c>
      <c r="B79" s="17" t="s">
        <v>154</v>
      </c>
      <c r="C79" s="17" t="s">
        <v>154</v>
      </c>
      <c r="D79" s="18" t="s">
        <v>154</v>
      </c>
      <c r="E79" s="17" t="s">
        <v>154</v>
      </c>
      <c r="F79" s="18" t="s">
        <v>154</v>
      </c>
      <c r="G79" s="17" t="s">
        <v>154</v>
      </c>
      <c r="H79" s="18" t="s">
        <v>154</v>
      </c>
      <c r="I79" s="17" t="s">
        <v>154</v>
      </c>
      <c r="J79" s="18" t="s">
        <v>154</v>
      </c>
      <c r="K79" s="17" t="s">
        <v>154</v>
      </c>
      <c r="L79" s="18" t="s">
        <v>154</v>
      </c>
      <c r="M79" s="17" t="s">
        <v>154</v>
      </c>
      <c r="N79" s="18" t="s">
        <v>154</v>
      </c>
      <c r="O79" s="17" t="s">
        <v>154</v>
      </c>
      <c r="P79" s="18" t="s">
        <v>154</v>
      </c>
      <c r="Q79" s="17" t="s">
        <v>154</v>
      </c>
      <c r="R79" s="18" t="s">
        <v>154</v>
      </c>
      <c r="S79" s="17" t="s">
        <v>154</v>
      </c>
      <c r="T79" s="18" t="s">
        <v>154</v>
      </c>
    </row>
    <row r="80" spans="1:20" x14ac:dyDescent="0.25">
      <c r="A80" s="11" t="s">
        <v>213</v>
      </c>
      <c r="B80" s="17" t="s">
        <v>154</v>
      </c>
      <c r="C80" s="17" t="s">
        <v>154</v>
      </c>
      <c r="D80" s="18" t="s">
        <v>154</v>
      </c>
      <c r="E80" s="17" t="s">
        <v>154</v>
      </c>
      <c r="F80" s="18" t="s">
        <v>154</v>
      </c>
      <c r="G80" s="17" t="s">
        <v>154</v>
      </c>
      <c r="H80" s="18" t="s">
        <v>154</v>
      </c>
      <c r="I80" s="17" t="s">
        <v>154</v>
      </c>
      <c r="J80" s="18" t="s">
        <v>154</v>
      </c>
      <c r="K80" s="17" t="s">
        <v>154</v>
      </c>
      <c r="L80" s="18" t="s">
        <v>154</v>
      </c>
      <c r="M80" s="17" t="s">
        <v>154</v>
      </c>
      <c r="N80" s="18" t="s">
        <v>154</v>
      </c>
      <c r="O80" s="17" t="s">
        <v>154</v>
      </c>
      <c r="P80" s="18" t="s">
        <v>154</v>
      </c>
      <c r="Q80" s="17" t="s">
        <v>154</v>
      </c>
      <c r="R80" s="18" t="s">
        <v>154</v>
      </c>
      <c r="S80" s="17" t="s">
        <v>154</v>
      </c>
      <c r="T80" s="18" t="s">
        <v>154</v>
      </c>
    </row>
    <row r="81" spans="1:20" x14ac:dyDescent="0.25">
      <c r="A81" s="19" t="s">
        <v>214</v>
      </c>
      <c r="B81" s="13">
        <v>8861</v>
      </c>
      <c r="C81" s="14">
        <f>(7356/B81*100)</f>
        <v>83.015461008915466</v>
      </c>
      <c r="D81" s="15">
        <v>1505</v>
      </c>
      <c r="E81" s="14">
        <v>52.104098409999999</v>
      </c>
      <c r="F81" s="16">
        <v>1.6348125</v>
      </c>
      <c r="G81" s="14">
        <v>39.195075430000003</v>
      </c>
      <c r="H81" s="16">
        <v>1.6039524700000001</v>
      </c>
      <c r="I81" s="14">
        <v>8.7008261699999991</v>
      </c>
      <c r="J81" s="16">
        <v>0.77493120999999998</v>
      </c>
      <c r="K81" s="14" t="s">
        <v>139</v>
      </c>
      <c r="L81" s="16" t="s">
        <v>139</v>
      </c>
      <c r="M81" s="14">
        <v>0</v>
      </c>
      <c r="N81" s="16">
        <v>0</v>
      </c>
      <c r="O81" s="14">
        <v>0</v>
      </c>
      <c r="P81" s="16">
        <v>0</v>
      </c>
      <c r="Q81" s="14">
        <v>0</v>
      </c>
      <c r="R81" s="16">
        <v>0</v>
      </c>
      <c r="S81" s="14">
        <v>0</v>
      </c>
      <c r="T81" s="16">
        <v>0</v>
      </c>
    </row>
    <row r="82" spans="1:20" x14ac:dyDescent="0.25">
      <c r="A82" s="20"/>
      <c r="B82" s="20" t="s">
        <v>215</v>
      </c>
      <c r="C82" s="20" t="s">
        <v>215</v>
      </c>
      <c r="D82" s="20" t="s">
        <v>215</v>
      </c>
      <c r="E82" s="20" t="s">
        <v>215</v>
      </c>
      <c r="F82" s="20" t="s">
        <v>215</v>
      </c>
      <c r="G82" s="20" t="s">
        <v>215</v>
      </c>
      <c r="H82" s="20" t="s">
        <v>215</v>
      </c>
      <c r="I82" s="20" t="s">
        <v>215</v>
      </c>
      <c r="J82" s="20" t="s">
        <v>215</v>
      </c>
      <c r="K82" s="20" t="s">
        <v>215</v>
      </c>
      <c r="L82" s="20" t="s">
        <v>215</v>
      </c>
      <c r="M82" s="20" t="s">
        <v>215</v>
      </c>
      <c r="N82" s="20" t="s">
        <v>215</v>
      </c>
      <c r="O82" s="20" t="s">
        <v>215</v>
      </c>
      <c r="P82" s="20" t="s">
        <v>215</v>
      </c>
      <c r="Q82" s="20" t="s">
        <v>215</v>
      </c>
      <c r="R82" s="20" t="s">
        <v>215</v>
      </c>
      <c r="S82" s="20" t="s">
        <v>215</v>
      </c>
      <c r="T82" s="20" t="s">
        <v>215</v>
      </c>
    </row>
    <row r="83" spans="1:20" x14ac:dyDescent="0.25">
      <c r="A83" s="3" t="s">
        <v>216</v>
      </c>
    </row>
    <row r="84" spans="1:20" x14ac:dyDescent="0.25">
      <c r="A84" s="22" t="s">
        <v>217</v>
      </c>
      <c r="B84" s="23"/>
      <c r="C84" s="23"/>
      <c r="D84" s="23"/>
      <c r="E84" s="23"/>
      <c r="F84" s="23"/>
      <c r="G84" s="23"/>
      <c r="H84" s="23"/>
      <c r="I84" s="23"/>
      <c r="J84" s="23"/>
      <c r="K84" s="23"/>
      <c r="L84" s="23"/>
      <c r="M84" s="23"/>
      <c r="N84" s="23"/>
      <c r="O84" s="23"/>
      <c r="P84" s="23"/>
      <c r="Q84" s="23"/>
      <c r="R84" s="23"/>
      <c r="S84" s="23"/>
      <c r="T84" s="23"/>
    </row>
    <row r="85" spans="1:20" x14ac:dyDescent="0.25">
      <c r="A85" s="22" t="s">
        <v>218</v>
      </c>
      <c r="B85" s="23"/>
      <c r="C85" s="23"/>
      <c r="D85" s="23"/>
      <c r="E85" s="23"/>
      <c r="F85" s="23"/>
      <c r="G85" s="23"/>
      <c r="H85" s="23"/>
      <c r="I85" s="23"/>
      <c r="J85" s="23"/>
      <c r="K85" s="23"/>
      <c r="L85" s="23"/>
      <c r="M85" s="23"/>
      <c r="N85" s="23"/>
      <c r="O85" s="23"/>
      <c r="P85" s="23"/>
      <c r="Q85" s="23"/>
      <c r="R85" s="23"/>
      <c r="S85" s="23"/>
      <c r="T85" s="23"/>
    </row>
    <row r="86" spans="1:20" ht="30" customHeight="1" x14ac:dyDescent="0.25">
      <c r="A86" s="22" t="s">
        <v>219</v>
      </c>
      <c r="B86" s="23"/>
      <c r="C86" s="23"/>
      <c r="D86" s="23"/>
      <c r="E86" s="23"/>
      <c r="F86" s="23"/>
      <c r="G86" s="23"/>
      <c r="H86" s="23"/>
      <c r="I86" s="23"/>
      <c r="J86" s="23"/>
      <c r="K86" s="23"/>
      <c r="L86" s="23"/>
      <c r="M86" s="23"/>
      <c r="N86" s="23"/>
      <c r="O86" s="23"/>
      <c r="P86" s="23"/>
      <c r="Q86" s="23"/>
      <c r="R86" s="23"/>
      <c r="S86" s="23"/>
      <c r="T86" s="23"/>
    </row>
    <row r="87" spans="1:20" ht="30" customHeight="1" x14ac:dyDescent="0.25">
      <c r="A87" s="22" t="s">
        <v>215</v>
      </c>
      <c r="B87" s="23"/>
      <c r="C87" s="23"/>
      <c r="D87" s="23"/>
      <c r="E87" s="23"/>
      <c r="F87" s="23"/>
      <c r="G87" s="23"/>
      <c r="H87" s="23"/>
      <c r="I87" s="23"/>
      <c r="J87" s="23"/>
      <c r="K87" s="23"/>
      <c r="L87" s="23"/>
      <c r="M87" s="23"/>
      <c r="N87" s="23"/>
      <c r="O87" s="23"/>
      <c r="P87" s="23"/>
      <c r="Q87" s="23"/>
      <c r="R87" s="23"/>
      <c r="S87" s="23"/>
      <c r="T87" s="23"/>
    </row>
    <row r="88" spans="1:20" ht="30" customHeight="1" x14ac:dyDescent="0.25">
      <c r="A88" s="22" t="s">
        <v>220</v>
      </c>
      <c r="B88" s="23"/>
      <c r="C88" s="23"/>
      <c r="D88" s="23"/>
      <c r="E88" s="23"/>
      <c r="F88" s="23"/>
      <c r="G88" s="23"/>
      <c r="H88" s="23"/>
      <c r="I88" s="23"/>
      <c r="J88" s="23"/>
      <c r="K88" s="23"/>
      <c r="L88" s="23"/>
      <c r="M88" s="23"/>
      <c r="N88" s="23"/>
      <c r="O88" s="23"/>
      <c r="P88" s="23"/>
      <c r="Q88" s="23"/>
      <c r="R88" s="23"/>
      <c r="S88" s="23"/>
      <c r="T88" s="23"/>
    </row>
    <row r="89" spans="1:20" ht="30" customHeight="1" x14ac:dyDescent="0.25">
      <c r="A89" s="22" t="s">
        <v>221</v>
      </c>
      <c r="B89" s="23"/>
      <c r="C89" s="23"/>
      <c r="D89" s="23"/>
      <c r="E89" s="23"/>
      <c r="F89" s="23"/>
      <c r="G89" s="23"/>
      <c r="H89" s="23"/>
      <c r="I89" s="23"/>
      <c r="J89" s="23"/>
      <c r="K89" s="23"/>
      <c r="L89" s="23"/>
      <c r="M89" s="23"/>
      <c r="N89" s="23"/>
      <c r="O89" s="23"/>
      <c r="P89" s="23"/>
      <c r="Q89" s="23"/>
      <c r="R89" s="23"/>
      <c r="S89" s="23"/>
      <c r="T89" s="23"/>
    </row>
    <row r="90" spans="1:20" ht="30" customHeight="1" x14ac:dyDescent="0.25">
      <c r="A90" s="22" t="s">
        <v>222</v>
      </c>
      <c r="B90" s="23"/>
      <c r="C90" s="23"/>
      <c r="D90" s="23"/>
      <c r="E90" s="23"/>
      <c r="F90" s="23"/>
      <c r="G90" s="23"/>
      <c r="H90" s="23"/>
      <c r="I90" s="23"/>
      <c r="J90" s="23"/>
      <c r="K90" s="23"/>
      <c r="L90" s="23"/>
      <c r="M90" s="23"/>
      <c r="N90" s="23"/>
      <c r="O90" s="23"/>
      <c r="P90" s="23"/>
      <c r="Q90" s="23"/>
      <c r="R90" s="23"/>
      <c r="S90" s="23"/>
      <c r="T90" s="23"/>
    </row>
    <row r="91" spans="1:20" ht="30" customHeight="1" x14ac:dyDescent="0.25">
      <c r="A91" s="22" t="s">
        <v>223</v>
      </c>
      <c r="B91" s="23"/>
      <c r="C91" s="23"/>
      <c r="D91" s="23"/>
      <c r="E91" s="23"/>
      <c r="F91" s="23"/>
      <c r="G91" s="23"/>
      <c r="H91" s="23"/>
      <c r="I91" s="23"/>
      <c r="J91" s="23"/>
      <c r="K91" s="23"/>
      <c r="L91" s="23"/>
      <c r="M91" s="23"/>
      <c r="N91" s="23"/>
      <c r="O91" s="23"/>
      <c r="P91" s="23"/>
      <c r="Q91" s="23"/>
      <c r="R91" s="23"/>
      <c r="S91" s="23"/>
      <c r="T91" s="23"/>
    </row>
    <row r="92" spans="1:20" ht="30" customHeight="1" x14ac:dyDescent="0.25">
      <c r="A92" s="22" t="s">
        <v>224</v>
      </c>
      <c r="B92" s="23"/>
      <c r="C92" s="23"/>
      <c r="D92" s="23"/>
      <c r="E92" s="23"/>
      <c r="F92" s="23"/>
      <c r="G92" s="23"/>
      <c r="H92" s="23"/>
      <c r="I92" s="23"/>
      <c r="J92" s="23"/>
      <c r="K92" s="23"/>
      <c r="L92" s="23"/>
      <c r="M92" s="23"/>
      <c r="N92" s="23"/>
      <c r="O92" s="23"/>
      <c r="P92" s="23"/>
      <c r="Q92" s="23"/>
      <c r="R92" s="23"/>
      <c r="S92" s="23"/>
      <c r="T92" s="23"/>
    </row>
    <row r="93" spans="1:20" ht="30" customHeight="1" x14ac:dyDescent="0.25">
      <c r="A93" s="22" t="s">
        <v>225</v>
      </c>
      <c r="B93" s="23"/>
      <c r="C93" s="23"/>
      <c r="D93" s="23"/>
      <c r="E93" s="23"/>
      <c r="F93" s="23"/>
      <c r="G93" s="23"/>
      <c r="H93" s="23"/>
      <c r="I93" s="23"/>
      <c r="J93" s="23"/>
      <c r="K93" s="23"/>
      <c r="L93" s="23"/>
      <c r="M93" s="23"/>
      <c r="N93" s="23"/>
      <c r="O93" s="23"/>
      <c r="P93" s="23"/>
      <c r="Q93" s="23"/>
      <c r="R93" s="23"/>
      <c r="S93" s="23"/>
      <c r="T93" s="23"/>
    </row>
    <row r="94" spans="1:20" ht="30" customHeight="1" x14ac:dyDescent="0.25">
      <c r="A94" s="22" t="s">
        <v>226</v>
      </c>
      <c r="B94" s="23"/>
      <c r="C94" s="23"/>
      <c r="D94" s="23"/>
      <c r="E94" s="23"/>
      <c r="F94" s="23"/>
      <c r="G94" s="23"/>
      <c r="H94" s="23"/>
      <c r="I94" s="23"/>
      <c r="J94" s="23"/>
      <c r="K94" s="23"/>
      <c r="L94" s="23"/>
      <c r="M94" s="23"/>
      <c r="N94" s="23"/>
      <c r="O94" s="23"/>
      <c r="P94" s="23"/>
      <c r="Q94" s="23"/>
      <c r="R94" s="23"/>
      <c r="S94" s="23"/>
      <c r="T94" s="23"/>
    </row>
    <row r="95" spans="1:20" ht="30" customHeight="1" x14ac:dyDescent="0.25">
      <c r="A95" s="22" t="s">
        <v>227</v>
      </c>
      <c r="B95" s="23"/>
      <c r="C95" s="23"/>
      <c r="D95" s="23"/>
      <c r="E95" s="23"/>
      <c r="F95" s="23"/>
      <c r="G95" s="23"/>
      <c r="H95" s="23"/>
      <c r="I95" s="23"/>
      <c r="J95" s="23"/>
      <c r="K95" s="23"/>
      <c r="L95" s="23"/>
      <c r="M95" s="23"/>
      <c r="N95" s="23"/>
      <c r="O95" s="23"/>
      <c r="P95" s="23"/>
      <c r="Q95" s="23"/>
      <c r="R95" s="23"/>
      <c r="S95" s="23"/>
      <c r="T95" s="23"/>
    </row>
    <row r="96" spans="1:20" ht="30" customHeight="1" x14ac:dyDescent="0.25">
      <c r="A96" s="22" t="s">
        <v>228</v>
      </c>
      <c r="B96" s="23"/>
      <c r="C96" s="23"/>
      <c r="D96" s="23"/>
      <c r="E96" s="23"/>
      <c r="F96" s="23"/>
      <c r="G96" s="23"/>
      <c r="H96" s="23"/>
      <c r="I96" s="23"/>
      <c r="J96" s="23"/>
      <c r="K96" s="23"/>
      <c r="L96" s="23"/>
      <c r="M96" s="23"/>
      <c r="N96" s="23"/>
      <c r="O96" s="23"/>
      <c r="P96" s="23"/>
      <c r="Q96" s="23"/>
      <c r="R96" s="23"/>
      <c r="S96" s="23"/>
      <c r="T96" s="23"/>
    </row>
  </sheetData>
  <mergeCells count="23">
    <mergeCell ref="O4:P4"/>
    <mergeCell ref="Q4:R4"/>
    <mergeCell ref="S4:T4"/>
    <mergeCell ref="A1:T1"/>
    <mergeCell ref="A2:T2"/>
    <mergeCell ref="E4:F4"/>
    <mergeCell ref="G4:H4"/>
    <mergeCell ref="I4:J4"/>
    <mergeCell ref="K4:L4"/>
    <mergeCell ref="M4:N4"/>
    <mergeCell ref="A84:T84"/>
    <mergeCell ref="A85:T85"/>
    <mergeCell ref="A86:T86"/>
    <mergeCell ref="A87:T87"/>
    <mergeCell ref="A88:T88"/>
    <mergeCell ref="A94:T94"/>
    <mergeCell ref="A95:T95"/>
    <mergeCell ref="A96:T96"/>
    <mergeCell ref="A89:T89"/>
    <mergeCell ref="A90:T90"/>
    <mergeCell ref="A91:T91"/>
    <mergeCell ref="A92:T92"/>
    <mergeCell ref="A93:T93"/>
  </mergeCells>
  <pageMargins left="0.75" right="0.75" top="1" bottom="1" header="0.5" footer="0.5"/>
</worksheet>
</file>

<file path=xl/worksheets/sheet1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7"/>
  <dimension ref="A1:R96"/>
  <sheetViews>
    <sheetView zoomScale="80" workbookViewId="0">
      <pane xSplit="4" topLeftCell="E1" activePane="topRight" state="frozen"/>
      <selection sqref="A1:R1"/>
      <selection pane="topRight" sqref="A1:R1"/>
    </sheetView>
  </sheetViews>
  <sheetFormatPr defaultColWidth="11.42578125" defaultRowHeight="15" x14ac:dyDescent="0.25"/>
  <cols>
    <col min="1" max="1" width="50" customWidth="1"/>
  </cols>
  <sheetData>
    <row r="1" spans="1:18" x14ac:dyDescent="0.25">
      <c r="A1" s="26" t="s">
        <v>122</v>
      </c>
      <c r="B1" s="23"/>
      <c r="C1" s="23"/>
      <c r="D1" s="23"/>
      <c r="E1" s="23"/>
      <c r="F1" s="23"/>
      <c r="G1" s="23"/>
      <c r="H1" s="23"/>
      <c r="I1" s="23"/>
      <c r="J1" s="23"/>
      <c r="K1" s="23"/>
      <c r="L1" s="23"/>
      <c r="M1" s="23"/>
      <c r="N1" s="23"/>
      <c r="O1" s="23"/>
      <c r="P1" s="23"/>
      <c r="Q1" s="23"/>
      <c r="R1" s="23"/>
    </row>
    <row r="2" spans="1:18" x14ac:dyDescent="0.25">
      <c r="A2" s="27" t="s">
        <v>343</v>
      </c>
      <c r="B2" s="23"/>
      <c r="C2" s="23"/>
      <c r="D2" s="23"/>
      <c r="E2" s="23"/>
      <c r="F2" s="23"/>
      <c r="G2" s="23"/>
      <c r="H2" s="23"/>
      <c r="I2" s="23"/>
      <c r="J2" s="23"/>
      <c r="K2" s="23"/>
      <c r="L2" s="23"/>
      <c r="M2" s="23"/>
      <c r="N2" s="23"/>
      <c r="O2" s="23"/>
      <c r="P2" s="23"/>
      <c r="Q2" s="23"/>
      <c r="R2" s="23"/>
    </row>
    <row r="4" spans="1:18" ht="30" customHeight="1" x14ac:dyDescent="0.25">
      <c r="A4" s="4"/>
      <c r="B4" s="5" t="s">
        <v>123</v>
      </c>
      <c r="C4" s="5" t="s">
        <v>124</v>
      </c>
      <c r="D4" s="6" t="s">
        <v>123</v>
      </c>
      <c r="E4" s="24" t="s">
        <v>125</v>
      </c>
      <c r="F4" s="25"/>
      <c r="G4" s="24" t="s">
        <v>126</v>
      </c>
      <c r="H4" s="25"/>
      <c r="I4" s="24" t="s">
        <v>127</v>
      </c>
      <c r="J4" s="25"/>
      <c r="K4" s="24" t="s">
        <v>128</v>
      </c>
      <c r="L4" s="25"/>
      <c r="M4" s="24" t="s">
        <v>129</v>
      </c>
      <c r="N4" s="25"/>
      <c r="O4" s="24" t="s">
        <v>130</v>
      </c>
      <c r="P4" s="25"/>
      <c r="Q4" s="24" t="s">
        <v>131</v>
      </c>
      <c r="R4" s="25"/>
    </row>
    <row r="5" spans="1:18" x14ac:dyDescent="0.25">
      <c r="A5" s="7"/>
      <c r="B5" s="8" t="s">
        <v>132</v>
      </c>
      <c r="C5" s="8" t="s">
        <v>133</v>
      </c>
      <c r="D5" s="7" t="s">
        <v>134</v>
      </c>
      <c r="E5" s="8" t="s">
        <v>135</v>
      </c>
      <c r="F5" s="7" t="s">
        <v>136</v>
      </c>
      <c r="G5" s="8" t="s">
        <v>135</v>
      </c>
      <c r="H5" s="7" t="s">
        <v>136</v>
      </c>
      <c r="I5" s="8" t="s">
        <v>135</v>
      </c>
      <c r="J5" s="7" t="s">
        <v>136</v>
      </c>
      <c r="K5" s="8" t="s">
        <v>135</v>
      </c>
      <c r="L5" s="7" t="s">
        <v>136</v>
      </c>
      <c r="M5" s="8" t="s">
        <v>135</v>
      </c>
      <c r="N5" s="7" t="s">
        <v>136</v>
      </c>
      <c r="O5" s="8" t="s">
        <v>135</v>
      </c>
      <c r="P5" s="7" t="s">
        <v>136</v>
      </c>
      <c r="Q5" s="8" t="s">
        <v>135</v>
      </c>
      <c r="R5" s="7" t="s">
        <v>136</v>
      </c>
    </row>
    <row r="6" spans="1:18" x14ac:dyDescent="0.25">
      <c r="A6" s="9" t="s">
        <v>137</v>
      </c>
      <c r="B6" s="10"/>
      <c r="C6" s="10"/>
      <c r="D6" s="11"/>
      <c r="E6" s="10"/>
      <c r="F6" s="11"/>
      <c r="G6" s="10"/>
      <c r="H6" s="11"/>
      <c r="I6" s="10"/>
      <c r="J6" s="11"/>
      <c r="K6" s="10"/>
      <c r="L6" s="11"/>
      <c r="M6" s="10"/>
      <c r="N6" s="11"/>
      <c r="O6" s="10"/>
      <c r="P6" s="11"/>
      <c r="Q6" s="10"/>
      <c r="R6" s="12"/>
    </row>
    <row r="7" spans="1:18" x14ac:dyDescent="0.25">
      <c r="A7" s="11" t="s">
        <v>138</v>
      </c>
      <c r="B7" s="13">
        <v>14530</v>
      </c>
      <c r="C7" s="14">
        <f>(12104/B7*100)</f>
        <v>83.303509979353066</v>
      </c>
      <c r="D7" s="15">
        <v>2426</v>
      </c>
      <c r="E7" s="14">
        <v>49.227043989999999</v>
      </c>
      <c r="F7" s="16">
        <v>1.0908628600000001</v>
      </c>
      <c r="G7" s="14">
        <v>50.772956010000001</v>
      </c>
      <c r="H7" s="16">
        <v>1.0908628600000001</v>
      </c>
      <c r="I7" s="14" t="s">
        <v>139</v>
      </c>
      <c r="J7" s="16" t="s">
        <v>139</v>
      </c>
      <c r="K7" s="14">
        <v>0</v>
      </c>
      <c r="L7" s="16">
        <v>0</v>
      </c>
      <c r="M7" s="14">
        <v>0</v>
      </c>
      <c r="N7" s="16">
        <v>0</v>
      </c>
      <c r="O7" s="14">
        <v>0</v>
      </c>
      <c r="P7" s="16">
        <v>0</v>
      </c>
      <c r="Q7" s="14">
        <v>0</v>
      </c>
      <c r="R7" s="16">
        <v>0</v>
      </c>
    </row>
    <row r="8" spans="1:18" x14ac:dyDescent="0.25">
      <c r="A8" s="11" t="s">
        <v>140</v>
      </c>
      <c r="B8" s="13">
        <v>7007</v>
      </c>
      <c r="C8" s="14">
        <f>(5788/B8*100)</f>
        <v>82.603111174539748</v>
      </c>
      <c r="D8" s="15">
        <v>1219</v>
      </c>
      <c r="E8" s="14">
        <v>59.143346110000003</v>
      </c>
      <c r="F8" s="16">
        <v>1.68736708</v>
      </c>
      <c r="G8" s="14">
        <v>40.856653889999997</v>
      </c>
      <c r="H8" s="16">
        <v>1.68736708</v>
      </c>
      <c r="I8" s="14" t="s">
        <v>139</v>
      </c>
      <c r="J8" s="16" t="s">
        <v>139</v>
      </c>
      <c r="K8" s="14">
        <v>0</v>
      </c>
      <c r="L8" s="16">
        <v>0</v>
      </c>
      <c r="M8" s="14">
        <v>0</v>
      </c>
      <c r="N8" s="16">
        <v>0</v>
      </c>
      <c r="O8" s="14">
        <v>0</v>
      </c>
      <c r="P8" s="16">
        <v>0</v>
      </c>
      <c r="Q8" s="14">
        <v>0</v>
      </c>
      <c r="R8" s="16">
        <v>0</v>
      </c>
    </row>
    <row r="9" spans="1:18" x14ac:dyDescent="0.25">
      <c r="A9" s="11" t="s">
        <v>141</v>
      </c>
      <c r="B9" s="13">
        <v>9651</v>
      </c>
      <c r="C9" s="14">
        <f>(8085/B9*100)</f>
        <v>83.773702207025181</v>
      </c>
      <c r="D9" s="15">
        <v>1566</v>
      </c>
      <c r="E9" s="14">
        <v>57.980989749999999</v>
      </c>
      <c r="F9" s="16">
        <v>1.50512888</v>
      </c>
      <c r="G9" s="14">
        <v>42.019010250000001</v>
      </c>
      <c r="H9" s="16">
        <v>1.50512888</v>
      </c>
      <c r="I9" s="14" t="s">
        <v>139</v>
      </c>
      <c r="J9" s="16" t="s">
        <v>139</v>
      </c>
      <c r="K9" s="14">
        <v>0</v>
      </c>
      <c r="L9" s="16">
        <v>0</v>
      </c>
      <c r="M9" s="14">
        <v>0</v>
      </c>
      <c r="N9" s="16">
        <v>0</v>
      </c>
      <c r="O9" s="14">
        <v>0</v>
      </c>
      <c r="P9" s="16">
        <v>0</v>
      </c>
      <c r="Q9" s="14">
        <v>0</v>
      </c>
      <c r="R9" s="16">
        <v>0</v>
      </c>
    </row>
    <row r="10" spans="1:18" x14ac:dyDescent="0.25">
      <c r="A10" s="11" t="s">
        <v>142</v>
      </c>
      <c r="B10" s="13">
        <v>20058</v>
      </c>
      <c r="C10" s="14">
        <f>(16682/B10*100)</f>
        <v>83.168810449695883</v>
      </c>
      <c r="D10" s="15">
        <v>3376</v>
      </c>
      <c r="E10" s="14">
        <v>47.77521187</v>
      </c>
      <c r="F10" s="16">
        <v>1.11861458</v>
      </c>
      <c r="G10" s="14">
        <v>52.22478813</v>
      </c>
      <c r="H10" s="16">
        <v>1.11861458</v>
      </c>
      <c r="I10" s="14" t="s">
        <v>139</v>
      </c>
      <c r="J10" s="16" t="s">
        <v>139</v>
      </c>
      <c r="K10" s="14">
        <v>0</v>
      </c>
      <c r="L10" s="16">
        <v>0</v>
      </c>
      <c r="M10" s="14">
        <v>0</v>
      </c>
      <c r="N10" s="16">
        <v>0</v>
      </c>
      <c r="O10" s="14">
        <v>0</v>
      </c>
      <c r="P10" s="16">
        <v>0</v>
      </c>
      <c r="Q10" s="14">
        <v>0</v>
      </c>
      <c r="R10" s="16">
        <v>0</v>
      </c>
    </row>
    <row r="11" spans="1:18" x14ac:dyDescent="0.25">
      <c r="A11" s="11" t="s">
        <v>143</v>
      </c>
      <c r="B11" s="13">
        <v>7053</v>
      </c>
      <c r="C11" s="14">
        <f>(5879/B11*100)</f>
        <v>83.354600879058566</v>
      </c>
      <c r="D11" s="15">
        <v>1174</v>
      </c>
      <c r="E11" s="14">
        <v>62.04703902</v>
      </c>
      <c r="F11" s="16">
        <v>1.4925473199999999</v>
      </c>
      <c r="G11" s="14">
        <v>37.95296098</v>
      </c>
      <c r="H11" s="16">
        <v>1.4925473199999999</v>
      </c>
      <c r="I11" s="14" t="s">
        <v>139</v>
      </c>
      <c r="J11" s="16" t="s">
        <v>139</v>
      </c>
      <c r="K11" s="14">
        <v>0</v>
      </c>
      <c r="L11" s="16">
        <v>0</v>
      </c>
      <c r="M11" s="14">
        <v>0</v>
      </c>
      <c r="N11" s="16">
        <v>0</v>
      </c>
      <c r="O11" s="14">
        <v>0</v>
      </c>
      <c r="P11" s="16">
        <v>0</v>
      </c>
      <c r="Q11" s="14">
        <v>0</v>
      </c>
      <c r="R11" s="16">
        <v>0</v>
      </c>
    </row>
    <row r="12" spans="1:18" x14ac:dyDescent="0.25">
      <c r="A12" s="11" t="s">
        <v>144</v>
      </c>
      <c r="B12" s="13">
        <v>6894</v>
      </c>
      <c r="C12" s="14">
        <f>(5739/B12*100)</f>
        <v>83.246301131418619</v>
      </c>
      <c r="D12" s="15">
        <v>1155</v>
      </c>
      <c r="E12" s="14">
        <v>51.291883329999997</v>
      </c>
      <c r="F12" s="16">
        <v>1.6414606</v>
      </c>
      <c r="G12" s="14">
        <v>48.708116670000003</v>
      </c>
      <c r="H12" s="16">
        <v>1.6414606</v>
      </c>
      <c r="I12" s="14" t="s">
        <v>139</v>
      </c>
      <c r="J12" s="16" t="s">
        <v>139</v>
      </c>
      <c r="K12" s="14">
        <v>0</v>
      </c>
      <c r="L12" s="16">
        <v>0</v>
      </c>
      <c r="M12" s="14">
        <v>0</v>
      </c>
      <c r="N12" s="16">
        <v>0</v>
      </c>
      <c r="O12" s="14">
        <v>0</v>
      </c>
      <c r="P12" s="16">
        <v>0</v>
      </c>
      <c r="Q12" s="14">
        <v>0</v>
      </c>
      <c r="R12" s="16">
        <v>0</v>
      </c>
    </row>
    <row r="13" spans="1:18" x14ac:dyDescent="0.25">
      <c r="A13" s="11" t="s">
        <v>145</v>
      </c>
      <c r="B13" s="13">
        <v>7161</v>
      </c>
      <c r="C13" s="14">
        <f>(6014/B13*100)</f>
        <v>83.98268398268398</v>
      </c>
      <c r="D13" s="15">
        <v>1147</v>
      </c>
      <c r="E13" s="14">
        <v>46.65064812</v>
      </c>
      <c r="F13" s="16">
        <v>1.8500105</v>
      </c>
      <c r="G13" s="14">
        <v>53.34935188</v>
      </c>
      <c r="H13" s="16">
        <v>1.8500105</v>
      </c>
      <c r="I13" s="14" t="s">
        <v>139</v>
      </c>
      <c r="J13" s="16" t="s">
        <v>139</v>
      </c>
      <c r="K13" s="14">
        <v>0</v>
      </c>
      <c r="L13" s="16">
        <v>0</v>
      </c>
      <c r="M13" s="14">
        <v>0</v>
      </c>
      <c r="N13" s="16">
        <v>0</v>
      </c>
      <c r="O13" s="14">
        <v>0</v>
      </c>
      <c r="P13" s="16">
        <v>0</v>
      </c>
      <c r="Q13" s="14">
        <v>0</v>
      </c>
      <c r="R13" s="16">
        <v>0</v>
      </c>
    </row>
    <row r="14" spans="1:18" x14ac:dyDescent="0.25">
      <c r="A14" s="11" t="s">
        <v>146</v>
      </c>
      <c r="B14" s="13">
        <v>5587</v>
      </c>
      <c r="C14" s="14">
        <f>(4630/B14*100)</f>
        <v>82.870950420619295</v>
      </c>
      <c r="D14" s="15">
        <v>957</v>
      </c>
      <c r="E14" s="14">
        <v>62.492478290000001</v>
      </c>
      <c r="F14" s="16">
        <v>1.6609787</v>
      </c>
      <c r="G14" s="14">
        <v>37.507521709999999</v>
      </c>
      <c r="H14" s="16">
        <v>1.6609787</v>
      </c>
      <c r="I14" s="14" t="s">
        <v>139</v>
      </c>
      <c r="J14" s="16" t="s">
        <v>139</v>
      </c>
      <c r="K14" s="14">
        <v>0</v>
      </c>
      <c r="L14" s="16">
        <v>0</v>
      </c>
      <c r="M14" s="14">
        <v>0</v>
      </c>
      <c r="N14" s="16">
        <v>0</v>
      </c>
      <c r="O14" s="14">
        <v>0</v>
      </c>
      <c r="P14" s="16">
        <v>0</v>
      </c>
      <c r="Q14" s="14">
        <v>0</v>
      </c>
      <c r="R14" s="16">
        <v>0</v>
      </c>
    </row>
    <row r="15" spans="1:18" x14ac:dyDescent="0.25">
      <c r="A15" s="11" t="s">
        <v>147</v>
      </c>
      <c r="B15" s="13">
        <v>5882</v>
      </c>
      <c r="C15" s="14">
        <f>(4876/B15*100)</f>
        <v>82.896973818429103</v>
      </c>
      <c r="D15" s="15">
        <v>1006</v>
      </c>
      <c r="E15" s="14">
        <v>51.294099119999998</v>
      </c>
      <c r="F15" s="16">
        <v>1.49284942</v>
      </c>
      <c r="G15" s="14">
        <v>48.705900880000002</v>
      </c>
      <c r="H15" s="16">
        <v>1.49284942</v>
      </c>
      <c r="I15" s="14" t="s">
        <v>139</v>
      </c>
      <c r="J15" s="16" t="s">
        <v>139</v>
      </c>
      <c r="K15" s="14">
        <v>0</v>
      </c>
      <c r="L15" s="16">
        <v>0</v>
      </c>
      <c r="M15" s="14">
        <v>0</v>
      </c>
      <c r="N15" s="16">
        <v>0</v>
      </c>
      <c r="O15" s="14">
        <v>0</v>
      </c>
      <c r="P15" s="16">
        <v>0</v>
      </c>
      <c r="Q15" s="14">
        <v>0</v>
      </c>
      <c r="R15" s="16">
        <v>0</v>
      </c>
    </row>
    <row r="16" spans="1:18" x14ac:dyDescent="0.25">
      <c r="A16" s="11" t="s">
        <v>148</v>
      </c>
      <c r="B16" s="13">
        <v>6108</v>
      </c>
      <c r="C16" s="14">
        <f>(5090/B16*100)</f>
        <v>83.333333333333343</v>
      </c>
      <c r="D16" s="15">
        <v>1018</v>
      </c>
      <c r="E16" s="14">
        <v>53.274166309999998</v>
      </c>
      <c r="F16" s="16">
        <v>1.63869715</v>
      </c>
      <c r="G16" s="14">
        <v>46.725833690000002</v>
      </c>
      <c r="H16" s="16">
        <v>1.63869715</v>
      </c>
      <c r="I16" s="14" t="s">
        <v>139</v>
      </c>
      <c r="J16" s="16" t="s">
        <v>139</v>
      </c>
      <c r="K16" s="14">
        <v>0</v>
      </c>
      <c r="L16" s="16">
        <v>0</v>
      </c>
      <c r="M16" s="14">
        <v>0</v>
      </c>
      <c r="N16" s="16">
        <v>0</v>
      </c>
      <c r="O16" s="14">
        <v>0</v>
      </c>
      <c r="P16" s="16">
        <v>0</v>
      </c>
      <c r="Q16" s="14">
        <v>0</v>
      </c>
      <c r="R16" s="16">
        <v>0</v>
      </c>
    </row>
    <row r="17" spans="1:18" x14ac:dyDescent="0.25">
      <c r="A17" s="11" t="s">
        <v>149</v>
      </c>
      <c r="B17" s="13">
        <v>6504</v>
      </c>
      <c r="C17" s="14">
        <f>(5420/B17*100)</f>
        <v>83.333333333333343</v>
      </c>
      <c r="D17" s="15">
        <v>1084</v>
      </c>
      <c r="E17" s="14">
        <v>56.979916119999999</v>
      </c>
      <c r="F17" s="16">
        <v>1.58100945</v>
      </c>
      <c r="G17" s="14">
        <v>43.020083880000001</v>
      </c>
      <c r="H17" s="16">
        <v>1.58100945</v>
      </c>
      <c r="I17" s="14" t="s">
        <v>139</v>
      </c>
      <c r="J17" s="16" t="s">
        <v>139</v>
      </c>
      <c r="K17" s="14">
        <v>0</v>
      </c>
      <c r="L17" s="16">
        <v>0</v>
      </c>
      <c r="M17" s="14">
        <v>0</v>
      </c>
      <c r="N17" s="16">
        <v>0</v>
      </c>
      <c r="O17" s="14">
        <v>0</v>
      </c>
      <c r="P17" s="16">
        <v>0</v>
      </c>
      <c r="Q17" s="14">
        <v>0</v>
      </c>
      <c r="R17" s="16">
        <v>0</v>
      </c>
    </row>
    <row r="18" spans="1:18" x14ac:dyDescent="0.25">
      <c r="A18" s="11" t="s">
        <v>150</v>
      </c>
      <c r="B18" s="13">
        <v>5532</v>
      </c>
      <c r="C18" s="14">
        <f>(4585/B18*100)</f>
        <v>82.881417208966013</v>
      </c>
      <c r="D18" s="15">
        <v>947</v>
      </c>
      <c r="E18" s="14">
        <v>64.275610729999997</v>
      </c>
      <c r="F18" s="16">
        <v>1.6471551499999999</v>
      </c>
      <c r="G18" s="14">
        <v>35.724389270000003</v>
      </c>
      <c r="H18" s="16">
        <v>1.6471551499999999</v>
      </c>
      <c r="I18" s="14" t="s">
        <v>139</v>
      </c>
      <c r="J18" s="16" t="s">
        <v>139</v>
      </c>
      <c r="K18" s="14">
        <v>0</v>
      </c>
      <c r="L18" s="16">
        <v>0</v>
      </c>
      <c r="M18" s="14">
        <v>0</v>
      </c>
      <c r="N18" s="16">
        <v>0</v>
      </c>
      <c r="O18" s="14">
        <v>0</v>
      </c>
      <c r="P18" s="16">
        <v>0</v>
      </c>
      <c r="Q18" s="14">
        <v>0</v>
      </c>
      <c r="R18" s="16">
        <v>0</v>
      </c>
    </row>
    <row r="19" spans="1:18" x14ac:dyDescent="0.25">
      <c r="A19" s="11" t="s">
        <v>151</v>
      </c>
      <c r="B19" s="13">
        <v>5658</v>
      </c>
      <c r="C19" s="14">
        <f>(4718/B19*100)</f>
        <v>83.38635560268645</v>
      </c>
      <c r="D19" s="15">
        <v>940</v>
      </c>
      <c r="E19" s="14">
        <v>58.199511430000001</v>
      </c>
      <c r="F19" s="16">
        <v>1.6694906899999999</v>
      </c>
      <c r="G19" s="14">
        <v>41.800488569999999</v>
      </c>
      <c r="H19" s="16">
        <v>1.6694906899999999</v>
      </c>
      <c r="I19" s="14" t="s">
        <v>139</v>
      </c>
      <c r="J19" s="16" t="s">
        <v>139</v>
      </c>
      <c r="K19" s="14">
        <v>0</v>
      </c>
      <c r="L19" s="16">
        <v>0</v>
      </c>
      <c r="M19" s="14">
        <v>0</v>
      </c>
      <c r="N19" s="16">
        <v>0</v>
      </c>
      <c r="O19" s="14">
        <v>0</v>
      </c>
      <c r="P19" s="16">
        <v>0</v>
      </c>
      <c r="Q19" s="14">
        <v>0</v>
      </c>
      <c r="R19" s="16">
        <v>0</v>
      </c>
    </row>
    <row r="20" spans="1:18" x14ac:dyDescent="0.25">
      <c r="A20" s="11" t="s">
        <v>152</v>
      </c>
      <c r="B20" s="13">
        <v>3371</v>
      </c>
      <c r="C20" s="14">
        <f>(2807/B20*100)</f>
        <v>83.26905962622368</v>
      </c>
      <c r="D20" s="15">
        <v>564</v>
      </c>
      <c r="E20" s="14">
        <v>56.851581670000002</v>
      </c>
      <c r="F20" s="16">
        <v>2.3670314700000001</v>
      </c>
      <c r="G20" s="14">
        <v>43.148418329999998</v>
      </c>
      <c r="H20" s="16">
        <v>2.3670314700000001</v>
      </c>
      <c r="I20" s="14" t="s">
        <v>139</v>
      </c>
      <c r="J20" s="16" t="s">
        <v>139</v>
      </c>
      <c r="K20" s="14">
        <v>0</v>
      </c>
      <c r="L20" s="16">
        <v>0</v>
      </c>
      <c r="M20" s="14">
        <v>0</v>
      </c>
      <c r="N20" s="16">
        <v>0</v>
      </c>
      <c r="O20" s="14">
        <v>0</v>
      </c>
      <c r="P20" s="16">
        <v>0</v>
      </c>
      <c r="Q20" s="14">
        <v>0</v>
      </c>
      <c r="R20" s="16">
        <v>0</v>
      </c>
    </row>
    <row r="21" spans="1:18" x14ac:dyDescent="0.25">
      <c r="A21" s="11" t="s">
        <v>153</v>
      </c>
      <c r="B21" s="17" t="s">
        <v>154</v>
      </c>
      <c r="C21" s="17" t="s">
        <v>154</v>
      </c>
      <c r="D21" s="18" t="s">
        <v>154</v>
      </c>
      <c r="E21" s="17" t="s">
        <v>154</v>
      </c>
      <c r="F21" s="18" t="s">
        <v>154</v>
      </c>
      <c r="G21" s="17" t="s">
        <v>154</v>
      </c>
      <c r="H21" s="18" t="s">
        <v>154</v>
      </c>
      <c r="I21" s="17" t="s">
        <v>154</v>
      </c>
      <c r="J21" s="18" t="s">
        <v>154</v>
      </c>
      <c r="K21" s="17" t="s">
        <v>154</v>
      </c>
      <c r="L21" s="18" t="s">
        <v>154</v>
      </c>
      <c r="M21" s="17" t="s">
        <v>154</v>
      </c>
      <c r="N21" s="18" t="s">
        <v>154</v>
      </c>
      <c r="O21" s="17" t="s">
        <v>154</v>
      </c>
      <c r="P21" s="18" t="s">
        <v>154</v>
      </c>
      <c r="Q21" s="17" t="s">
        <v>154</v>
      </c>
      <c r="R21" s="18" t="s">
        <v>154</v>
      </c>
    </row>
    <row r="22" spans="1:18" x14ac:dyDescent="0.25">
      <c r="A22" s="11" t="s">
        <v>155</v>
      </c>
      <c r="B22" s="13">
        <v>6598</v>
      </c>
      <c r="C22" s="14">
        <f>(5584/B22*100)</f>
        <v>84.631706577750833</v>
      </c>
      <c r="D22" s="15">
        <v>1014</v>
      </c>
      <c r="E22" s="14">
        <v>67.584421559999996</v>
      </c>
      <c r="F22" s="16">
        <v>1.39238975</v>
      </c>
      <c r="G22" s="14">
        <v>32.415578439999997</v>
      </c>
      <c r="H22" s="16">
        <v>1.39238975</v>
      </c>
      <c r="I22" s="14" t="s">
        <v>139</v>
      </c>
      <c r="J22" s="16" t="s">
        <v>139</v>
      </c>
      <c r="K22" s="14">
        <v>0</v>
      </c>
      <c r="L22" s="16">
        <v>0</v>
      </c>
      <c r="M22" s="14">
        <v>0</v>
      </c>
      <c r="N22" s="16">
        <v>0</v>
      </c>
      <c r="O22" s="14">
        <v>0</v>
      </c>
      <c r="P22" s="16">
        <v>0</v>
      </c>
      <c r="Q22" s="14">
        <v>0</v>
      </c>
      <c r="R22" s="16">
        <v>0</v>
      </c>
    </row>
    <row r="23" spans="1:18" x14ac:dyDescent="0.25">
      <c r="A23" s="11" t="s">
        <v>156</v>
      </c>
      <c r="B23" s="13">
        <v>11583</v>
      </c>
      <c r="C23" s="14">
        <f>(9600/B23*100)</f>
        <v>82.880082880082881</v>
      </c>
      <c r="D23" s="15">
        <v>1983</v>
      </c>
      <c r="E23" s="14">
        <v>58.555162199999998</v>
      </c>
      <c r="F23" s="16">
        <v>1.6100035399999999</v>
      </c>
      <c r="G23" s="14">
        <v>41.444837800000002</v>
      </c>
      <c r="H23" s="16">
        <v>1.6100035399999999</v>
      </c>
      <c r="I23" s="14" t="s">
        <v>139</v>
      </c>
      <c r="J23" s="16" t="s">
        <v>139</v>
      </c>
      <c r="K23" s="14">
        <v>0</v>
      </c>
      <c r="L23" s="16">
        <v>0</v>
      </c>
      <c r="M23" s="14">
        <v>0</v>
      </c>
      <c r="N23" s="16">
        <v>0</v>
      </c>
      <c r="O23" s="14">
        <v>0</v>
      </c>
      <c r="P23" s="16">
        <v>0</v>
      </c>
      <c r="Q23" s="14">
        <v>0</v>
      </c>
      <c r="R23" s="16">
        <v>0</v>
      </c>
    </row>
    <row r="24" spans="1:18" x14ac:dyDescent="0.25">
      <c r="A24" s="11" t="s">
        <v>157</v>
      </c>
      <c r="B24" s="13">
        <v>6647</v>
      </c>
      <c r="C24" s="14">
        <f>(5501/B24*100)</f>
        <v>82.759139461411152</v>
      </c>
      <c r="D24" s="15">
        <v>1146</v>
      </c>
      <c r="E24" s="14">
        <v>51.746035640000002</v>
      </c>
      <c r="F24" s="16">
        <v>1.5816045599999999</v>
      </c>
      <c r="G24" s="14">
        <v>48.253964359999998</v>
      </c>
      <c r="H24" s="16">
        <v>1.5816045599999999</v>
      </c>
      <c r="I24" s="14" t="s">
        <v>139</v>
      </c>
      <c r="J24" s="16" t="s">
        <v>139</v>
      </c>
      <c r="K24" s="14">
        <v>0</v>
      </c>
      <c r="L24" s="16">
        <v>0</v>
      </c>
      <c r="M24" s="14">
        <v>0</v>
      </c>
      <c r="N24" s="16">
        <v>0</v>
      </c>
      <c r="O24" s="14">
        <v>0</v>
      </c>
      <c r="P24" s="16">
        <v>0</v>
      </c>
      <c r="Q24" s="14">
        <v>0</v>
      </c>
      <c r="R24" s="16">
        <v>0</v>
      </c>
    </row>
    <row r="25" spans="1:18" x14ac:dyDescent="0.25">
      <c r="A25" s="11" t="s">
        <v>158</v>
      </c>
      <c r="B25" s="13">
        <v>5581</v>
      </c>
      <c r="C25" s="14">
        <f>(4615/B25*100)</f>
        <v>82.691273965239205</v>
      </c>
      <c r="D25" s="15">
        <v>966</v>
      </c>
      <c r="E25" s="14">
        <v>65.336590349999994</v>
      </c>
      <c r="F25" s="16">
        <v>1.6067874600000001</v>
      </c>
      <c r="G25" s="14">
        <v>34.663409649999998</v>
      </c>
      <c r="H25" s="16">
        <v>1.6067874600000001</v>
      </c>
      <c r="I25" s="14" t="s">
        <v>139</v>
      </c>
      <c r="J25" s="16" t="s">
        <v>139</v>
      </c>
      <c r="K25" s="14">
        <v>0</v>
      </c>
      <c r="L25" s="16">
        <v>0</v>
      </c>
      <c r="M25" s="14">
        <v>0</v>
      </c>
      <c r="N25" s="16">
        <v>0</v>
      </c>
      <c r="O25" s="14">
        <v>0</v>
      </c>
      <c r="P25" s="16">
        <v>0</v>
      </c>
      <c r="Q25" s="14">
        <v>0</v>
      </c>
      <c r="R25" s="16">
        <v>0</v>
      </c>
    </row>
    <row r="26" spans="1:18" x14ac:dyDescent="0.25">
      <c r="A26" s="11" t="s">
        <v>159</v>
      </c>
      <c r="B26" s="13">
        <v>4869</v>
      </c>
      <c r="C26" s="14">
        <f>(4038/B26*100)</f>
        <v>82.932840418977207</v>
      </c>
      <c r="D26" s="15">
        <v>831</v>
      </c>
      <c r="E26" s="14">
        <v>68.307189289999997</v>
      </c>
      <c r="F26" s="16">
        <v>1.84773772</v>
      </c>
      <c r="G26" s="14">
        <v>31.69281071</v>
      </c>
      <c r="H26" s="16">
        <v>1.84773772</v>
      </c>
      <c r="I26" s="14" t="s">
        <v>139</v>
      </c>
      <c r="J26" s="16" t="s">
        <v>139</v>
      </c>
      <c r="K26" s="14">
        <v>0</v>
      </c>
      <c r="L26" s="16">
        <v>0</v>
      </c>
      <c r="M26" s="14">
        <v>0</v>
      </c>
      <c r="N26" s="16">
        <v>0</v>
      </c>
      <c r="O26" s="14">
        <v>0</v>
      </c>
      <c r="P26" s="16">
        <v>0</v>
      </c>
      <c r="Q26" s="14">
        <v>0</v>
      </c>
      <c r="R26" s="16">
        <v>0</v>
      </c>
    </row>
    <row r="27" spans="1:18" x14ac:dyDescent="0.25">
      <c r="A27" s="11" t="s">
        <v>160</v>
      </c>
      <c r="B27" s="13">
        <v>5299</v>
      </c>
      <c r="C27" s="14">
        <f>(4417/B27*100)</f>
        <v>83.355350066050192</v>
      </c>
      <c r="D27" s="15">
        <v>882</v>
      </c>
      <c r="E27" s="14">
        <v>63.56834216</v>
      </c>
      <c r="F27" s="16">
        <v>1.73217927</v>
      </c>
      <c r="G27" s="14">
        <v>36.43165784</v>
      </c>
      <c r="H27" s="16">
        <v>1.73217927</v>
      </c>
      <c r="I27" s="14" t="s">
        <v>139</v>
      </c>
      <c r="J27" s="16" t="s">
        <v>139</v>
      </c>
      <c r="K27" s="14">
        <v>0</v>
      </c>
      <c r="L27" s="16">
        <v>0</v>
      </c>
      <c r="M27" s="14">
        <v>0</v>
      </c>
      <c r="N27" s="16">
        <v>0</v>
      </c>
      <c r="O27" s="14">
        <v>0</v>
      </c>
      <c r="P27" s="16">
        <v>0</v>
      </c>
      <c r="Q27" s="14">
        <v>0</v>
      </c>
      <c r="R27" s="16">
        <v>0</v>
      </c>
    </row>
    <row r="28" spans="1:18" x14ac:dyDescent="0.25">
      <c r="A28" s="11" t="s">
        <v>161</v>
      </c>
      <c r="B28" s="13">
        <v>7568</v>
      </c>
      <c r="C28" s="14">
        <f>(6373/B28*100)</f>
        <v>84.209830866807607</v>
      </c>
      <c r="D28" s="15">
        <v>1195</v>
      </c>
      <c r="E28" s="14">
        <v>67.802958439999998</v>
      </c>
      <c r="F28" s="16">
        <v>1.4547042100000001</v>
      </c>
      <c r="G28" s="14">
        <v>32.197041560000002</v>
      </c>
      <c r="H28" s="16">
        <v>1.4547042100000001</v>
      </c>
      <c r="I28" s="14" t="s">
        <v>139</v>
      </c>
      <c r="J28" s="16" t="s">
        <v>139</v>
      </c>
      <c r="K28" s="14">
        <v>0</v>
      </c>
      <c r="L28" s="16">
        <v>0</v>
      </c>
      <c r="M28" s="14">
        <v>0</v>
      </c>
      <c r="N28" s="16">
        <v>0</v>
      </c>
      <c r="O28" s="14">
        <v>0</v>
      </c>
      <c r="P28" s="16">
        <v>0</v>
      </c>
      <c r="Q28" s="14">
        <v>0</v>
      </c>
      <c r="R28" s="16">
        <v>0</v>
      </c>
    </row>
    <row r="29" spans="1:18" x14ac:dyDescent="0.25">
      <c r="A29" s="11" t="s">
        <v>162</v>
      </c>
      <c r="B29" s="13">
        <v>5385</v>
      </c>
      <c r="C29" s="14">
        <f>(4500/B29*100)</f>
        <v>83.565459610027858</v>
      </c>
      <c r="D29" s="15">
        <v>885</v>
      </c>
      <c r="E29" s="14">
        <v>55.089900530000001</v>
      </c>
      <c r="F29" s="16">
        <v>1.4132602000000001</v>
      </c>
      <c r="G29" s="14">
        <v>44.910099469999999</v>
      </c>
      <c r="H29" s="16">
        <v>1.4132602000000001</v>
      </c>
      <c r="I29" s="14" t="s">
        <v>139</v>
      </c>
      <c r="J29" s="16" t="s">
        <v>139</v>
      </c>
      <c r="K29" s="14">
        <v>0</v>
      </c>
      <c r="L29" s="16">
        <v>0</v>
      </c>
      <c r="M29" s="14">
        <v>0</v>
      </c>
      <c r="N29" s="16">
        <v>0</v>
      </c>
      <c r="O29" s="14">
        <v>0</v>
      </c>
      <c r="P29" s="16">
        <v>0</v>
      </c>
      <c r="Q29" s="14">
        <v>0</v>
      </c>
      <c r="R29" s="16">
        <v>0</v>
      </c>
    </row>
    <row r="30" spans="1:18" x14ac:dyDescent="0.25">
      <c r="A30" s="11" t="s">
        <v>163</v>
      </c>
      <c r="B30" s="13">
        <v>4520</v>
      </c>
      <c r="C30" s="14">
        <f>(3802/B30*100)</f>
        <v>84.115044247787608</v>
      </c>
      <c r="D30" s="15">
        <v>718</v>
      </c>
      <c r="E30" s="14">
        <v>47.521094900000001</v>
      </c>
      <c r="F30" s="16">
        <v>2.1515714099999999</v>
      </c>
      <c r="G30" s="14">
        <v>52.478905099999999</v>
      </c>
      <c r="H30" s="16">
        <v>2.1515714099999999</v>
      </c>
      <c r="I30" s="14" t="s">
        <v>139</v>
      </c>
      <c r="J30" s="16" t="s">
        <v>139</v>
      </c>
      <c r="K30" s="14">
        <v>0</v>
      </c>
      <c r="L30" s="16">
        <v>0</v>
      </c>
      <c r="M30" s="14">
        <v>0</v>
      </c>
      <c r="N30" s="16">
        <v>0</v>
      </c>
      <c r="O30" s="14">
        <v>0</v>
      </c>
      <c r="P30" s="16">
        <v>0</v>
      </c>
      <c r="Q30" s="14">
        <v>0</v>
      </c>
      <c r="R30" s="16">
        <v>0</v>
      </c>
    </row>
    <row r="31" spans="1:18" x14ac:dyDescent="0.25">
      <c r="A31" s="11" t="s">
        <v>164</v>
      </c>
      <c r="B31" s="13">
        <v>5456</v>
      </c>
      <c r="C31" s="14">
        <f>(4547/B31*100)</f>
        <v>83.339442815249271</v>
      </c>
      <c r="D31" s="15">
        <v>909</v>
      </c>
      <c r="E31" s="14">
        <v>56.627693270000002</v>
      </c>
      <c r="F31" s="16">
        <v>1.6107466500000001</v>
      </c>
      <c r="G31" s="14">
        <v>43.372306729999998</v>
      </c>
      <c r="H31" s="16">
        <v>1.6107466500000001</v>
      </c>
      <c r="I31" s="14" t="s">
        <v>139</v>
      </c>
      <c r="J31" s="16" t="s">
        <v>139</v>
      </c>
      <c r="K31" s="14">
        <v>0</v>
      </c>
      <c r="L31" s="16">
        <v>0</v>
      </c>
      <c r="M31" s="14">
        <v>0</v>
      </c>
      <c r="N31" s="16">
        <v>0</v>
      </c>
      <c r="O31" s="14">
        <v>0</v>
      </c>
      <c r="P31" s="16">
        <v>0</v>
      </c>
      <c r="Q31" s="14">
        <v>0</v>
      </c>
      <c r="R31" s="16">
        <v>0</v>
      </c>
    </row>
    <row r="32" spans="1:18" x14ac:dyDescent="0.25">
      <c r="A32" s="11" t="s">
        <v>165</v>
      </c>
      <c r="B32" s="17" t="s">
        <v>154</v>
      </c>
      <c r="C32" s="17" t="s">
        <v>154</v>
      </c>
      <c r="D32" s="18" t="s">
        <v>154</v>
      </c>
      <c r="E32" s="17" t="s">
        <v>154</v>
      </c>
      <c r="F32" s="18" t="s">
        <v>154</v>
      </c>
      <c r="G32" s="17" t="s">
        <v>154</v>
      </c>
      <c r="H32" s="18" t="s">
        <v>154</v>
      </c>
      <c r="I32" s="17" t="s">
        <v>154</v>
      </c>
      <c r="J32" s="18" t="s">
        <v>154</v>
      </c>
      <c r="K32" s="17" t="s">
        <v>154</v>
      </c>
      <c r="L32" s="18" t="s">
        <v>154</v>
      </c>
      <c r="M32" s="17" t="s">
        <v>154</v>
      </c>
      <c r="N32" s="18" t="s">
        <v>154</v>
      </c>
      <c r="O32" s="17" t="s">
        <v>154</v>
      </c>
      <c r="P32" s="18" t="s">
        <v>154</v>
      </c>
      <c r="Q32" s="17" t="s">
        <v>154</v>
      </c>
      <c r="R32" s="18" t="s">
        <v>154</v>
      </c>
    </row>
    <row r="33" spans="1:18" x14ac:dyDescent="0.25">
      <c r="A33" s="11" t="s">
        <v>166</v>
      </c>
      <c r="B33" s="13">
        <v>7325</v>
      </c>
      <c r="C33" s="14">
        <f>(6119/B33*100)</f>
        <v>83.535836177474394</v>
      </c>
      <c r="D33" s="15">
        <v>1206</v>
      </c>
      <c r="E33" s="14">
        <v>57.311915859999999</v>
      </c>
      <c r="F33" s="16">
        <v>1.8909256400000001</v>
      </c>
      <c r="G33" s="14">
        <v>42.688084140000001</v>
      </c>
      <c r="H33" s="16">
        <v>1.8909256400000001</v>
      </c>
      <c r="I33" s="14" t="s">
        <v>139</v>
      </c>
      <c r="J33" s="16" t="s">
        <v>139</v>
      </c>
      <c r="K33" s="14">
        <v>0</v>
      </c>
      <c r="L33" s="16">
        <v>0</v>
      </c>
      <c r="M33" s="14">
        <v>0</v>
      </c>
      <c r="N33" s="16">
        <v>0</v>
      </c>
      <c r="O33" s="14">
        <v>0</v>
      </c>
      <c r="P33" s="16">
        <v>0</v>
      </c>
      <c r="Q33" s="14">
        <v>0</v>
      </c>
      <c r="R33" s="16">
        <v>0</v>
      </c>
    </row>
    <row r="34" spans="1:18" x14ac:dyDescent="0.25">
      <c r="A34" s="11" t="s">
        <v>167</v>
      </c>
      <c r="B34" s="13">
        <v>6350</v>
      </c>
      <c r="C34" s="14">
        <f>(5317/B34*100)</f>
        <v>83.732283464566919</v>
      </c>
      <c r="D34" s="15">
        <v>1033</v>
      </c>
      <c r="E34" s="14">
        <v>66.415463900000006</v>
      </c>
      <c r="F34" s="16">
        <v>1.6021605800000001</v>
      </c>
      <c r="G34" s="14">
        <v>33.584536100000001</v>
      </c>
      <c r="H34" s="16">
        <v>1.6021605800000001</v>
      </c>
      <c r="I34" s="14" t="s">
        <v>139</v>
      </c>
      <c r="J34" s="16" t="s">
        <v>139</v>
      </c>
      <c r="K34" s="14">
        <v>0</v>
      </c>
      <c r="L34" s="16">
        <v>0</v>
      </c>
      <c r="M34" s="14">
        <v>0</v>
      </c>
      <c r="N34" s="16">
        <v>0</v>
      </c>
      <c r="O34" s="14">
        <v>0</v>
      </c>
      <c r="P34" s="16">
        <v>0</v>
      </c>
      <c r="Q34" s="14">
        <v>0</v>
      </c>
      <c r="R34" s="16">
        <v>0</v>
      </c>
    </row>
    <row r="35" spans="1:18" x14ac:dyDescent="0.25">
      <c r="A35" s="11" t="s">
        <v>168</v>
      </c>
      <c r="B35" s="13">
        <v>6406</v>
      </c>
      <c r="C35" s="14">
        <f>(5352/B35*100)</f>
        <v>83.546674992194809</v>
      </c>
      <c r="D35" s="15">
        <v>1054</v>
      </c>
      <c r="E35" s="14">
        <v>58.511588439999997</v>
      </c>
      <c r="F35" s="16">
        <v>1.82473839</v>
      </c>
      <c r="G35" s="14">
        <v>41.488411560000003</v>
      </c>
      <c r="H35" s="16">
        <v>1.82473839</v>
      </c>
      <c r="I35" s="14" t="s">
        <v>139</v>
      </c>
      <c r="J35" s="16" t="s">
        <v>139</v>
      </c>
      <c r="K35" s="14">
        <v>0</v>
      </c>
      <c r="L35" s="16">
        <v>0</v>
      </c>
      <c r="M35" s="14">
        <v>0</v>
      </c>
      <c r="N35" s="16">
        <v>0</v>
      </c>
      <c r="O35" s="14">
        <v>0</v>
      </c>
      <c r="P35" s="16">
        <v>0</v>
      </c>
      <c r="Q35" s="14">
        <v>0</v>
      </c>
      <c r="R35" s="16">
        <v>0</v>
      </c>
    </row>
    <row r="36" spans="1:18" x14ac:dyDescent="0.25">
      <c r="A36" s="11" t="s">
        <v>169</v>
      </c>
      <c r="B36" s="13">
        <v>6736</v>
      </c>
      <c r="C36" s="14">
        <f>(5610/B36*100)</f>
        <v>83.283847980997621</v>
      </c>
      <c r="D36" s="15">
        <v>1126</v>
      </c>
      <c r="E36" s="14">
        <v>56.300614500000002</v>
      </c>
      <c r="F36" s="16">
        <v>1.49633554</v>
      </c>
      <c r="G36" s="14">
        <v>43.699385499999998</v>
      </c>
      <c r="H36" s="16">
        <v>1.49633554</v>
      </c>
      <c r="I36" s="14" t="s">
        <v>139</v>
      </c>
      <c r="J36" s="16" t="s">
        <v>139</v>
      </c>
      <c r="K36" s="14">
        <v>0</v>
      </c>
      <c r="L36" s="16">
        <v>0</v>
      </c>
      <c r="M36" s="14">
        <v>0</v>
      </c>
      <c r="N36" s="16">
        <v>0</v>
      </c>
      <c r="O36" s="14">
        <v>0</v>
      </c>
      <c r="P36" s="16">
        <v>0</v>
      </c>
      <c r="Q36" s="14">
        <v>0</v>
      </c>
      <c r="R36" s="16">
        <v>0</v>
      </c>
    </row>
    <row r="37" spans="1:18" x14ac:dyDescent="0.25">
      <c r="A37" s="11" t="s">
        <v>170</v>
      </c>
      <c r="B37" s="13">
        <v>5458</v>
      </c>
      <c r="C37" s="14">
        <f>(4571/B37*100)</f>
        <v>83.748625870282154</v>
      </c>
      <c r="D37" s="15">
        <v>887</v>
      </c>
      <c r="E37" s="14">
        <v>60.012817939999998</v>
      </c>
      <c r="F37" s="16">
        <v>1.7827153</v>
      </c>
      <c r="G37" s="14">
        <v>39.987182060000002</v>
      </c>
      <c r="H37" s="16">
        <v>1.7827153</v>
      </c>
      <c r="I37" s="14" t="s">
        <v>139</v>
      </c>
      <c r="J37" s="16" t="s">
        <v>139</v>
      </c>
      <c r="K37" s="14">
        <v>0</v>
      </c>
      <c r="L37" s="16">
        <v>0</v>
      </c>
      <c r="M37" s="14">
        <v>0</v>
      </c>
      <c r="N37" s="16">
        <v>0</v>
      </c>
      <c r="O37" s="14">
        <v>0</v>
      </c>
      <c r="P37" s="16">
        <v>0</v>
      </c>
      <c r="Q37" s="14">
        <v>0</v>
      </c>
      <c r="R37" s="16">
        <v>0</v>
      </c>
    </row>
    <row r="38" spans="1:18" x14ac:dyDescent="0.25">
      <c r="A38" s="11" t="s">
        <v>171</v>
      </c>
      <c r="B38" s="17" t="s">
        <v>154</v>
      </c>
      <c r="C38" s="17" t="s">
        <v>154</v>
      </c>
      <c r="D38" s="18" t="s">
        <v>154</v>
      </c>
      <c r="E38" s="17" t="s">
        <v>154</v>
      </c>
      <c r="F38" s="18" t="s">
        <v>154</v>
      </c>
      <c r="G38" s="17" t="s">
        <v>154</v>
      </c>
      <c r="H38" s="18" t="s">
        <v>154</v>
      </c>
      <c r="I38" s="17" t="s">
        <v>154</v>
      </c>
      <c r="J38" s="18" t="s">
        <v>154</v>
      </c>
      <c r="K38" s="17" t="s">
        <v>154</v>
      </c>
      <c r="L38" s="18" t="s">
        <v>154</v>
      </c>
      <c r="M38" s="17" t="s">
        <v>154</v>
      </c>
      <c r="N38" s="18" t="s">
        <v>154</v>
      </c>
      <c r="O38" s="17" t="s">
        <v>154</v>
      </c>
      <c r="P38" s="18" t="s">
        <v>154</v>
      </c>
      <c r="Q38" s="17" t="s">
        <v>154</v>
      </c>
      <c r="R38" s="18" t="s">
        <v>154</v>
      </c>
    </row>
    <row r="39" spans="1:18" x14ac:dyDescent="0.25">
      <c r="A39" s="11" t="s">
        <v>172</v>
      </c>
      <c r="B39" s="13">
        <v>5895</v>
      </c>
      <c r="C39" s="14">
        <f>(4863/B39*100)</f>
        <v>82.493638676844782</v>
      </c>
      <c r="D39" s="15">
        <v>1032</v>
      </c>
      <c r="E39" s="14">
        <v>80.120012200000005</v>
      </c>
      <c r="F39" s="16">
        <v>1.3121917999999999</v>
      </c>
      <c r="G39" s="14">
        <v>19.879987799999999</v>
      </c>
      <c r="H39" s="16">
        <v>1.3121917999999999</v>
      </c>
      <c r="I39" s="14" t="s">
        <v>139</v>
      </c>
      <c r="J39" s="16" t="s">
        <v>139</v>
      </c>
      <c r="K39" s="14">
        <v>0</v>
      </c>
      <c r="L39" s="16">
        <v>0</v>
      </c>
      <c r="M39" s="14">
        <v>0</v>
      </c>
      <c r="N39" s="16">
        <v>0</v>
      </c>
      <c r="O39" s="14">
        <v>0</v>
      </c>
      <c r="P39" s="16">
        <v>0</v>
      </c>
      <c r="Q39" s="14">
        <v>0</v>
      </c>
      <c r="R39" s="16">
        <v>0</v>
      </c>
    </row>
    <row r="40" spans="1:18" x14ac:dyDescent="0.25">
      <c r="A40" s="11" t="s">
        <v>173</v>
      </c>
      <c r="B40" s="13">
        <v>14157</v>
      </c>
      <c r="C40" s="14">
        <f>(11750/B40*100)</f>
        <v>82.997810270537542</v>
      </c>
      <c r="D40" s="15">
        <v>2407</v>
      </c>
      <c r="E40" s="14">
        <v>50.694873000000001</v>
      </c>
      <c r="F40" s="16">
        <v>1.6161952900000001</v>
      </c>
      <c r="G40" s="14">
        <v>49.305126999999999</v>
      </c>
      <c r="H40" s="16">
        <v>1.6161952900000001</v>
      </c>
      <c r="I40" s="14" t="s">
        <v>139</v>
      </c>
      <c r="J40" s="16" t="s">
        <v>139</v>
      </c>
      <c r="K40" s="14">
        <v>0</v>
      </c>
      <c r="L40" s="16">
        <v>0</v>
      </c>
      <c r="M40" s="14">
        <v>0</v>
      </c>
      <c r="N40" s="16">
        <v>0</v>
      </c>
      <c r="O40" s="14">
        <v>0</v>
      </c>
      <c r="P40" s="16">
        <v>0</v>
      </c>
      <c r="Q40" s="14">
        <v>0</v>
      </c>
      <c r="R40" s="16">
        <v>0</v>
      </c>
    </row>
    <row r="41" spans="1:18" x14ac:dyDescent="0.25">
      <c r="A41" s="11" t="s">
        <v>174</v>
      </c>
      <c r="B41" s="13">
        <v>5712</v>
      </c>
      <c r="C41" s="14">
        <f>(4743/B41*100)</f>
        <v>83.035714285714292</v>
      </c>
      <c r="D41" s="15">
        <v>969</v>
      </c>
      <c r="E41" s="14">
        <v>55.998782849999998</v>
      </c>
      <c r="F41" s="16">
        <v>1.38438336</v>
      </c>
      <c r="G41" s="14">
        <v>44.001217150000002</v>
      </c>
      <c r="H41" s="16">
        <v>1.38438336</v>
      </c>
      <c r="I41" s="14" t="s">
        <v>139</v>
      </c>
      <c r="J41" s="16" t="s">
        <v>139</v>
      </c>
      <c r="K41" s="14">
        <v>0</v>
      </c>
      <c r="L41" s="16">
        <v>0</v>
      </c>
      <c r="M41" s="14">
        <v>0</v>
      </c>
      <c r="N41" s="16">
        <v>0</v>
      </c>
      <c r="O41" s="14">
        <v>0</v>
      </c>
      <c r="P41" s="16">
        <v>0</v>
      </c>
      <c r="Q41" s="14">
        <v>0</v>
      </c>
      <c r="R41" s="16">
        <v>0</v>
      </c>
    </row>
    <row r="42" spans="1:18" x14ac:dyDescent="0.25">
      <c r="A42" s="11" t="s">
        <v>175</v>
      </c>
      <c r="B42" s="13">
        <f>IF(COUNT(B7:B41) &gt; 0, AVERAGE(B7:B41), "\u2014")</f>
        <v>7266.90625</v>
      </c>
      <c r="C42" s="14">
        <f>IF(COUNT(C7:C41) &gt; 0, AVERAGE(C7:C41), "—")</f>
        <v>83.320585805480079</v>
      </c>
      <c r="D42" s="15">
        <f>IF(COUNT(D7:D41) &gt; 0, AVERAGE(D7:D41), "—")</f>
        <v>1213.1875</v>
      </c>
      <c r="E42" s="14">
        <f>IF(COUNT(E7:E41) &gt; 0, AVERAGE(E7:E41), "—")</f>
        <v>58.2809057153125</v>
      </c>
      <c r="F42" s="16">
        <f>IF(COUNT(F7:F41) &gt; 0, SQRT(SUMSQ(F7:F41)/(COUNT(F7:F41)*COUNT(F7:F41)) ), "—")</f>
        <v>0.28926040995086266</v>
      </c>
      <c r="G42" s="14">
        <f>IF(COUNT(G7:G41) &gt; 0, AVERAGE(G7:G41), "—")</f>
        <v>41.719094284687493</v>
      </c>
      <c r="H42" s="16">
        <f>IF(COUNT(H7:H41) &gt; 0, SQRT(SUMSQ(H7:H41)/(COUNT(H7:H41)*COUNT(H7:H41)) ), "—")</f>
        <v>0.28926040995086266</v>
      </c>
      <c r="I42" s="14" t="str">
        <f>IF(COUNT(I7:I41) &gt; 0, AVERAGE(I7:I41), "—")</f>
        <v>—</v>
      </c>
      <c r="J42" s="16" t="str">
        <f>IF(COUNT(J7:J41) &gt; 0, SQRT(SUMSQ(J7:J41)/(COUNT(J7:J41)*COUNT(J7:J41)) ), "—")</f>
        <v>—</v>
      </c>
      <c r="K42" s="14">
        <f>IF(COUNT(K7:K41) &gt; 0, AVERAGE(K7:K41), "—")</f>
        <v>0</v>
      </c>
      <c r="L42" s="16">
        <f>IF(COUNT(L7:L41) &gt; 0, SQRT(SUMSQ(L7:L41)/(COUNT(L7:L41)*COUNT(L7:L41)) ), "—")</f>
        <v>0</v>
      </c>
      <c r="M42" s="14">
        <f>IF(COUNT(M7:M41) &gt; 0, AVERAGE(M7:M41), "—")</f>
        <v>0</v>
      </c>
      <c r="N42" s="16">
        <f>IF(COUNT(N7:N41) &gt; 0, SQRT(SUMSQ(N7:N41)/(COUNT(N7:N41)*COUNT(N7:N41)) ), "—")</f>
        <v>0</v>
      </c>
      <c r="O42" s="14">
        <f>IF(COUNT(O7:O41) &gt; 0, AVERAGE(O7:O41), "—")</f>
        <v>0</v>
      </c>
      <c r="P42" s="16">
        <f>IF(COUNT(P7:P41) &gt; 0, SQRT(SUMSQ(P7:P41)/(COUNT(P7:P41)*COUNT(P7:P41)) ), "—")</f>
        <v>0</v>
      </c>
      <c r="Q42" s="14">
        <f>IF(COUNT(Q7:Q41) &gt; 0, AVERAGE(Q7:Q41), "—")</f>
        <v>0</v>
      </c>
      <c r="R42" s="16">
        <f>IF(COUNT(R7:R41) &gt; 0, SQRT(SUMSQ(R7:R41)/(COUNT(R7:R41)*COUNT(R7:R41)) ), "—")</f>
        <v>0</v>
      </c>
    </row>
    <row r="43" spans="1:18" x14ac:dyDescent="0.25">
      <c r="A43" s="9" t="s">
        <v>176</v>
      </c>
      <c r="B43" s="10"/>
      <c r="C43" s="10"/>
      <c r="D43" s="11"/>
      <c r="E43" s="10"/>
      <c r="F43" s="11"/>
      <c r="G43" s="10"/>
      <c r="H43" s="11"/>
      <c r="I43" s="10"/>
      <c r="J43" s="11"/>
      <c r="K43" s="10"/>
      <c r="L43" s="11"/>
      <c r="M43" s="10"/>
      <c r="N43" s="11"/>
      <c r="O43" s="10"/>
      <c r="P43" s="11"/>
      <c r="Q43" s="10"/>
      <c r="R43" s="12"/>
    </row>
    <row r="44" spans="1:18" x14ac:dyDescent="0.25">
      <c r="A44" s="11" t="s">
        <v>177</v>
      </c>
      <c r="B44" s="17" t="s">
        <v>154</v>
      </c>
      <c r="C44" s="17" t="s">
        <v>154</v>
      </c>
      <c r="D44" s="18" t="s">
        <v>154</v>
      </c>
      <c r="E44" s="17" t="s">
        <v>154</v>
      </c>
      <c r="F44" s="18" t="s">
        <v>154</v>
      </c>
      <c r="G44" s="17" t="s">
        <v>154</v>
      </c>
      <c r="H44" s="18" t="s">
        <v>154</v>
      </c>
      <c r="I44" s="17" t="s">
        <v>154</v>
      </c>
      <c r="J44" s="18" t="s">
        <v>154</v>
      </c>
      <c r="K44" s="17" t="s">
        <v>154</v>
      </c>
      <c r="L44" s="18" t="s">
        <v>154</v>
      </c>
      <c r="M44" s="17" t="s">
        <v>154</v>
      </c>
      <c r="N44" s="18" t="s">
        <v>154</v>
      </c>
      <c r="O44" s="17" t="s">
        <v>154</v>
      </c>
      <c r="P44" s="18" t="s">
        <v>154</v>
      </c>
      <c r="Q44" s="17" t="s">
        <v>154</v>
      </c>
      <c r="R44" s="18" t="s">
        <v>154</v>
      </c>
    </row>
    <row r="45" spans="1:18" x14ac:dyDescent="0.25">
      <c r="A45" s="11" t="s">
        <v>178</v>
      </c>
      <c r="B45" s="17" t="s">
        <v>154</v>
      </c>
      <c r="C45" s="17" t="s">
        <v>154</v>
      </c>
      <c r="D45" s="18" t="s">
        <v>154</v>
      </c>
      <c r="E45" s="17" t="s">
        <v>154</v>
      </c>
      <c r="F45" s="18" t="s">
        <v>154</v>
      </c>
      <c r="G45" s="17" t="s">
        <v>154</v>
      </c>
      <c r="H45" s="18" t="s">
        <v>154</v>
      </c>
      <c r="I45" s="17" t="s">
        <v>154</v>
      </c>
      <c r="J45" s="18" t="s">
        <v>154</v>
      </c>
      <c r="K45" s="17" t="s">
        <v>154</v>
      </c>
      <c r="L45" s="18" t="s">
        <v>154</v>
      </c>
      <c r="M45" s="17" t="s">
        <v>154</v>
      </c>
      <c r="N45" s="18" t="s">
        <v>154</v>
      </c>
      <c r="O45" s="17" t="s">
        <v>154</v>
      </c>
      <c r="P45" s="18" t="s">
        <v>154</v>
      </c>
      <c r="Q45" s="17" t="s">
        <v>154</v>
      </c>
      <c r="R45" s="18" t="s">
        <v>154</v>
      </c>
    </row>
    <row r="46" spans="1:18" x14ac:dyDescent="0.25">
      <c r="A46" s="11" t="s">
        <v>179</v>
      </c>
      <c r="B46" s="13">
        <v>23141</v>
      </c>
      <c r="C46" s="14">
        <f>(20147/B46*100)</f>
        <v>87.061924722354263</v>
      </c>
      <c r="D46" s="15">
        <v>2994</v>
      </c>
      <c r="E46" s="14">
        <v>67.410194439999998</v>
      </c>
      <c r="F46" s="16">
        <v>0.99117480999999996</v>
      </c>
      <c r="G46" s="14">
        <v>32.589805560000002</v>
      </c>
      <c r="H46" s="16">
        <v>0.99117480999999996</v>
      </c>
      <c r="I46" s="14" t="s">
        <v>139</v>
      </c>
      <c r="J46" s="16" t="s">
        <v>139</v>
      </c>
      <c r="K46" s="14">
        <v>0</v>
      </c>
      <c r="L46" s="16">
        <v>0</v>
      </c>
      <c r="M46" s="14">
        <v>0</v>
      </c>
      <c r="N46" s="16">
        <v>0</v>
      </c>
      <c r="O46" s="14">
        <v>0</v>
      </c>
      <c r="P46" s="16">
        <v>0</v>
      </c>
      <c r="Q46" s="14">
        <v>0</v>
      </c>
      <c r="R46" s="16">
        <v>0</v>
      </c>
    </row>
    <row r="47" spans="1:18" x14ac:dyDescent="0.25">
      <c r="A47" s="11" t="s">
        <v>180</v>
      </c>
      <c r="B47" s="13">
        <v>5928</v>
      </c>
      <c r="C47" s="14">
        <f>(4966/B47*100)</f>
        <v>83.771929824561411</v>
      </c>
      <c r="D47" s="15">
        <v>962</v>
      </c>
      <c r="E47" s="14">
        <v>64.990918879999995</v>
      </c>
      <c r="F47" s="16">
        <v>1.5635860699999999</v>
      </c>
      <c r="G47" s="14">
        <v>35.009081119999998</v>
      </c>
      <c r="H47" s="16">
        <v>1.5635860699999999</v>
      </c>
      <c r="I47" s="14" t="s">
        <v>139</v>
      </c>
      <c r="J47" s="16" t="s">
        <v>139</v>
      </c>
      <c r="K47" s="14">
        <v>0</v>
      </c>
      <c r="L47" s="16">
        <v>0</v>
      </c>
      <c r="M47" s="14">
        <v>0</v>
      </c>
      <c r="N47" s="16">
        <v>0</v>
      </c>
      <c r="O47" s="14">
        <v>0</v>
      </c>
      <c r="P47" s="16">
        <v>0</v>
      </c>
      <c r="Q47" s="14">
        <v>0</v>
      </c>
      <c r="R47" s="16">
        <v>0</v>
      </c>
    </row>
    <row r="48" spans="1:18" x14ac:dyDescent="0.25">
      <c r="A48" s="11" t="s">
        <v>181</v>
      </c>
      <c r="B48" s="13">
        <v>9841</v>
      </c>
      <c r="C48" s="14">
        <f>(8178/B48*100)</f>
        <v>83.101310842394057</v>
      </c>
      <c r="D48" s="15">
        <v>1663</v>
      </c>
      <c r="E48" s="14">
        <v>68.777992999999995</v>
      </c>
      <c r="F48" s="16">
        <v>1.3925396400000001</v>
      </c>
      <c r="G48" s="14">
        <v>31.222007000000001</v>
      </c>
      <c r="H48" s="16">
        <v>1.3925396400000001</v>
      </c>
      <c r="I48" s="14" t="s">
        <v>139</v>
      </c>
      <c r="J48" s="16" t="s">
        <v>139</v>
      </c>
      <c r="K48" s="14">
        <v>0</v>
      </c>
      <c r="L48" s="16">
        <v>0</v>
      </c>
      <c r="M48" s="14">
        <v>0</v>
      </c>
      <c r="N48" s="16">
        <v>0</v>
      </c>
      <c r="O48" s="14">
        <v>0</v>
      </c>
      <c r="P48" s="16">
        <v>0</v>
      </c>
      <c r="Q48" s="14">
        <v>0</v>
      </c>
      <c r="R48" s="16">
        <v>0</v>
      </c>
    </row>
    <row r="49" spans="1:18" x14ac:dyDescent="0.25">
      <c r="A49" s="11" t="s">
        <v>182</v>
      </c>
      <c r="B49" s="17" t="s">
        <v>154</v>
      </c>
      <c r="C49" s="17" t="s">
        <v>154</v>
      </c>
      <c r="D49" s="18" t="s">
        <v>154</v>
      </c>
      <c r="E49" s="17" t="s">
        <v>154</v>
      </c>
      <c r="F49" s="18" t="s">
        <v>154</v>
      </c>
      <c r="G49" s="17" t="s">
        <v>154</v>
      </c>
      <c r="H49" s="18" t="s">
        <v>154</v>
      </c>
      <c r="I49" s="17" t="s">
        <v>154</v>
      </c>
      <c r="J49" s="18" t="s">
        <v>154</v>
      </c>
      <c r="K49" s="17" t="s">
        <v>154</v>
      </c>
      <c r="L49" s="18" t="s">
        <v>154</v>
      </c>
      <c r="M49" s="17" t="s">
        <v>154</v>
      </c>
      <c r="N49" s="18" t="s">
        <v>154</v>
      </c>
      <c r="O49" s="17" t="s">
        <v>154</v>
      </c>
      <c r="P49" s="18" t="s">
        <v>154</v>
      </c>
      <c r="Q49" s="17" t="s">
        <v>154</v>
      </c>
      <c r="R49" s="18" t="s">
        <v>154</v>
      </c>
    </row>
    <row r="50" spans="1:18" x14ac:dyDescent="0.25">
      <c r="A50" s="11" t="s">
        <v>183</v>
      </c>
      <c r="B50" s="13">
        <v>11795</v>
      </c>
      <c r="C50" s="14">
        <f>(9867/B50*100)</f>
        <v>83.654090716405264</v>
      </c>
      <c r="D50" s="15">
        <v>1928</v>
      </c>
      <c r="E50" s="14">
        <v>69.779338859999996</v>
      </c>
      <c r="F50" s="16">
        <v>1.3056714199999999</v>
      </c>
      <c r="G50" s="14">
        <v>30.220661140000001</v>
      </c>
      <c r="H50" s="16">
        <v>1.3056714199999999</v>
      </c>
      <c r="I50" s="14" t="s">
        <v>139</v>
      </c>
      <c r="J50" s="16" t="s">
        <v>139</v>
      </c>
      <c r="K50" s="14">
        <v>0</v>
      </c>
      <c r="L50" s="16">
        <v>0</v>
      </c>
      <c r="M50" s="14">
        <v>0</v>
      </c>
      <c r="N50" s="16">
        <v>0</v>
      </c>
      <c r="O50" s="14">
        <v>0</v>
      </c>
      <c r="P50" s="16">
        <v>0</v>
      </c>
      <c r="Q50" s="14">
        <v>0</v>
      </c>
      <c r="R50" s="16">
        <v>0</v>
      </c>
    </row>
    <row r="51" spans="1:18" x14ac:dyDescent="0.25">
      <c r="A51" s="11" t="s">
        <v>184</v>
      </c>
      <c r="B51" s="13">
        <v>6866</v>
      </c>
      <c r="C51" s="14">
        <f>(5870/B51*100)</f>
        <v>85.493737256044284</v>
      </c>
      <c r="D51" s="15">
        <v>996</v>
      </c>
      <c r="E51" s="14">
        <v>69.172842299999999</v>
      </c>
      <c r="F51" s="16">
        <v>1.62734673</v>
      </c>
      <c r="G51" s="14">
        <v>30.827157700000001</v>
      </c>
      <c r="H51" s="16">
        <v>1.62734673</v>
      </c>
      <c r="I51" s="14" t="s">
        <v>139</v>
      </c>
      <c r="J51" s="16" t="s">
        <v>139</v>
      </c>
      <c r="K51" s="14">
        <v>0</v>
      </c>
      <c r="L51" s="16">
        <v>0</v>
      </c>
      <c r="M51" s="14">
        <v>0</v>
      </c>
      <c r="N51" s="16">
        <v>0</v>
      </c>
      <c r="O51" s="14">
        <v>0</v>
      </c>
      <c r="P51" s="16">
        <v>0</v>
      </c>
      <c r="Q51" s="14">
        <v>0</v>
      </c>
      <c r="R51" s="16">
        <v>0</v>
      </c>
    </row>
    <row r="52" spans="1:18" x14ac:dyDescent="0.25">
      <c r="A52" s="11" t="s">
        <v>185</v>
      </c>
      <c r="B52" s="13">
        <v>5809</v>
      </c>
      <c r="C52" s="14">
        <f>(4842/B52*100)</f>
        <v>83.353417111378889</v>
      </c>
      <c r="D52" s="15">
        <v>967</v>
      </c>
      <c r="E52" s="14">
        <v>72.403254680000003</v>
      </c>
      <c r="F52" s="16">
        <v>1.5005929600000001</v>
      </c>
      <c r="G52" s="14">
        <v>27.59674532</v>
      </c>
      <c r="H52" s="16">
        <v>1.5005929600000001</v>
      </c>
      <c r="I52" s="14" t="s">
        <v>139</v>
      </c>
      <c r="J52" s="16" t="s">
        <v>139</v>
      </c>
      <c r="K52" s="14">
        <v>0</v>
      </c>
      <c r="L52" s="16">
        <v>0</v>
      </c>
      <c r="M52" s="14">
        <v>0</v>
      </c>
      <c r="N52" s="16">
        <v>0</v>
      </c>
      <c r="O52" s="14">
        <v>0</v>
      </c>
      <c r="P52" s="16">
        <v>0</v>
      </c>
      <c r="Q52" s="14">
        <v>0</v>
      </c>
      <c r="R52" s="16">
        <v>0</v>
      </c>
    </row>
    <row r="53" spans="1:18" x14ac:dyDescent="0.25">
      <c r="A53" s="11" t="s">
        <v>186</v>
      </c>
      <c r="B53" s="13">
        <v>5571</v>
      </c>
      <c r="C53" s="14">
        <f>(4658/B53*100)</f>
        <v>83.611559863579259</v>
      </c>
      <c r="D53" s="15">
        <v>913</v>
      </c>
      <c r="E53" s="14">
        <v>67.018758590000004</v>
      </c>
      <c r="F53" s="16">
        <v>1.6198065399999999</v>
      </c>
      <c r="G53" s="14">
        <v>32.981241410000003</v>
      </c>
      <c r="H53" s="16">
        <v>1.6198065399999999</v>
      </c>
      <c r="I53" s="14" t="s">
        <v>139</v>
      </c>
      <c r="J53" s="16" t="s">
        <v>139</v>
      </c>
      <c r="K53" s="14">
        <v>0</v>
      </c>
      <c r="L53" s="16">
        <v>0</v>
      </c>
      <c r="M53" s="14">
        <v>0</v>
      </c>
      <c r="N53" s="16">
        <v>0</v>
      </c>
      <c r="O53" s="14">
        <v>0</v>
      </c>
      <c r="P53" s="16">
        <v>0</v>
      </c>
      <c r="Q53" s="14">
        <v>0</v>
      </c>
      <c r="R53" s="16">
        <v>0</v>
      </c>
    </row>
    <row r="54" spans="1:18" x14ac:dyDescent="0.25">
      <c r="A54" s="11" t="s">
        <v>187</v>
      </c>
      <c r="B54" s="17" t="s">
        <v>154</v>
      </c>
      <c r="C54" s="17" t="s">
        <v>154</v>
      </c>
      <c r="D54" s="18" t="s">
        <v>154</v>
      </c>
      <c r="E54" s="17" t="s">
        <v>154</v>
      </c>
      <c r="F54" s="18" t="s">
        <v>154</v>
      </c>
      <c r="G54" s="17" t="s">
        <v>154</v>
      </c>
      <c r="H54" s="18" t="s">
        <v>154</v>
      </c>
      <c r="I54" s="17" t="s">
        <v>154</v>
      </c>
      <c r="J54" s="18" t="s">
        <v>154</v>
      </c>
      <c r="K54" s="17" t="s">
        <v>154</v>
      </c>
      <c r="L54" s="18" t="s">
        <v>154</v>
      </c>
      <c r="M54" s="17" t="s">
        <v>154</v>
      </c>
      <c r="N54" s="18" t="s">
        <v>154</v>
      </c>
      <c r="O54" s="17" t="s">
        <v>154</v>
      </c>
      <c r="P54" s="18" t="s">
        <v>154</v>
      </c>
      <c r="Q54" s="17" t="s">
        <v>154</v>
      </c>
      <c r="R54" s="18" t="s">
        <v>154</v>
      </c>
    </row>
    <row r="55" spans="1:18" x14ac:dyDescent="0.25">
      <c r="A55" s="11" t="s">
        <v>188</v>
      </c>
      <c r="B55" s="17" t="s">
        <v>154</v>
      </c>
      <c r="C55" s="17" t="s">
        <v>154</v>
      </c>
      <c r="D55" s="18" t="s">
        <v>154</v>
      </c>
      <c r="E55" s="17" t="s">
        <v>154</v>
      </c>
      <c r="F55" s="18" t="s">
        <v>154</v>
      </c>
      <c r="G55" s="17" t="s">
        <v>154</v>
      </c>
      <c r="H55" s="18" t="s">
        <v>154</v>
      </c>
      <c r="I55" s="17" t="s">
        <v>154</v>
      </c>
      <c r="J55" s="18" t="s">
        <v>154</v>
      </c>
      <c r="K55" s="17" t="s">
        <v>154</v>
      </c>
      <c r="L55" s="18" t="s">
        <v>154</v>
      </c>
      <c r="M55" s="17" t="s">
        <v>154</v>
      </c>
      <c r="N55" s="18" t="s">
        <v>154</v>
      </c>
      <c r="O55" s="17" t="s">
        <v>154</v>
      </c>
      <c r="P55" s="18" t="s">
        <v>154</v>
      </c>
      <c r="Q55" s="17" t="s">
        <v>154</v>
      </c>
      <c r="R55" s="18" t="s">
        <v>154</v>
      </c>
    </row>
    <row r="56" spans="1:18" x14ac:dyDescent="0.25">
      <c r="A56" s="11" t="s">
        <v>189</v>
      </c>
      <c r="B56" s="13">
        <v>5359</v>
      </c>
      <c r="C56" s="14">
        <f>(4453/B56*100)</f>
        <v>83.093860794924424</v>
      </c>
      <c r="D56" s="15">
        <v>906</v>
      </c>
      <c r="E56" s="14">
        <v>50.136576380000001</v>
      </c>
      <c r="F56" s="16">
        <v>1.96289925</v>
      </c>
      <c r="G56" s="14">
        <v>49.863423619999999</v>
      </c>
      <c r="H56" s="16">
        <v>1.96289925</v>
      </c>
      <c r="I56" s="14" t="s">
        <v>139</v>
      </c>
      <c r="J56" s="16" t="s">
        <v>139</v>
      </c>
      <c r="K56" s="14">
        <v>0</v>
      </c>
      <c r="L56" s="16">
        <v>0</v>
      </c>
      <c r="M56" s="14">
        <v>0</v>
      </c>
      <c r="N56" s="16">
        <v>0</v>
      </c>
      <c r="O56" s="14">
        <v>0</v>
      </c>
      <c r="P56" s="16">
        <v>0</v>
      </c>
      <c r="Q56" s="14">
        <v>0</v>
      </c>
      <c r="R56" s="16">
        <v>0</v>
      </c>
    </row>
    <row r="57" spans="1:18" x14ac:dyDescent="0.25">
      <c r="A57" s="11" t="s">
        <v>190</v>
      </c>
      <c r="B57" s="17" t="s">
        <v>154</v>
      </c>
      <c r="C57" s="17" t="s">
        <v>154</v>
      </c>
      <c r="D57" s="18" t="s">
        <v>154</v>
      </c>
      <c r="E57" s="17" t="s">
        <v>154</v>
      </c>
      <c r="F57" s="18" t="s">
        <v>154</v>
      </c>
      <c r="G57" s="17" t="s">
        <v>154</v>
      </c>
      <c r="H57" s="18" t="s">
        <v>154</v>
      </c>
      <c r="I57" s="17" t="s">
        <v>154</v>
      </c>
      <c r="J57" s="18" t="s">
        <v>154</v>
      </c>
      <c r="K57" s="17" t="s">
        <v>154</v>
      </c>
      <c r="L57" s="18" t="s">
        <v>154</v>
      </c>
      <c r="M57" s="17" t="s">
        <v>154</v>
      </c>
      <c r="N57" s="18" t="s">
        <v>154</v>
      </c>
      <c r="O57" s="17" t="s">
        <v>154</v>
      </c>
      <c r="P57" s="18" t="s">
        <v>154</v>
      </c>
      <c r="Q57" s="17" t="s">
        <v>154</v>
      </c>
      <c r="R57" s="18" t="s">
        <v>154</v>
      </c>
    </row>
    <row r="58" spans="1:18" x14ac:dyDescent="0.25">
      <c r="A58" s="11" t="s">
        <v>191</v>
      </c>
      <c r="B58" s="17" t="s">
        <v>154</v>
      </c>
      <c r="C58" s="17" t="s">
        <v>154</v>
      </c>
      <c r="D58" s="18" t="s">
        <v>154</v>
      </c>
      <c r="E58" s="17" t="s">
        <v>154</v>
      </c>
      <c r="F58" s="18" t="s">
        <v>154</v>
      </c>
      <c r="G58" s="17" t="s">
        <v>154</v>
      </c>
      <c r="H58" s="18" t="s">
        <v>154</v>
      </c>
      <c r="I58" s="17" t="s">
        <v>154</v>
      </c>
      <c r="J58" s="18" t="s">
        <v>154</v>
      </c>
      <c r="K58" s="17" t="s">
        <v>154</v>
      </c>
      <c r="L58" s="18" t="s">
        <v>154</v>
      </c>
      <c r="M58" s="17" t="s">
        <v>154</v>
      </c>
      <c r="N58" s="18" t="s">
        <v>154</v>
      </c>
      <c r="O58" s="17" t="s">
        <v>154</v>
      </c>
      <c r="P58" s="18" t="s">
        <v>154</v>
      </c>
      <c r="Q58" s="17" t="s">
        <v>154</v>
      </c>
      <c r="R58" s="18" t="s">
        <v>154</v>
      </c>
    </row>
    <row r="59" spans="1:18" x14ac:dyDescent="0.25">
      <c r="A59" s="11" t="s">
        <v>192</v>
      </c>
      <c r="B59" s="17" t="s">
        <v>154</v>
      </c>
      <c r="C59" s="17" t="s">
        <v>154</v>
      </c>
      <c r="D59" s="18" t="s">
        <v>154</v>
      </c>
      <c r="E59" s="17" t="s">
        <v>154</v>
      </c>
      <c r="F59" s="18" t="s">
        <v>154</v>
      </c>
      <c r="G59" s="17" t="s">
        <v>154</v>
      </c>
      <c r="H59" s="18" t="s">
        <v>154</v>
      </c>
      <c r="I59" s="17" t="s">
        <v>154</v>
      </c>
      <c r="J59" s="18" t="s">
        <v>154</v>
      </c>
      <c r="K59" s="17" t="s">
        <v>154</v>
      </c>
      <c r="L59" s="18" t="s">
        <v>154</v>
      </c>
      <c r="M59" s="17" t="s">
        <v>154</v>
      </c>
      <c r="N59" s="18" t="s">
        <v>154</v>
      </c>
      <c r="O59" s="17" t="s">
        <v>154</v>
      </c>
      <c r="P59" s="18" t="s">
        <v>154</v>
      </c>
      <c r="Q59" s="17" t="s">
        <v>154</v>
      </c>
      <c r="R59" s="18" t="s">
        <v>154</v>
      </c>
    </row>
    <row r="60" spans="1:18" x14ac:dyDescent="0.25">
      <c r="A60" s="11" t="s">
        <v>193</v>
      </c>
      <c r="B60" s="17" t="s">
        <v>154</v>
      </c>
      <c r="C60" s="17" t="s">
        <v>154</v>
      </c>
      <c r="D60" s="18" t="s">
        <v>154</v>
      </c>
      <c r="E60" s="17" t="s">
        <v>154</v>
      </c>
      <c r="F60" s="18" t="s">
        <v>154</v>
      </c>
      <c r="G60" s="17" t="s">
        <v>154</v>
      </c>
      <c r="H60" s="18" t="s">
        <v>154</v>
      </c>
      <c r="I60" s="17" t="s">
        <v>154</v>
      </c>
      <c r="J60" s="18" t="s">
        <v>154</v>
      </c>
      <c r="K60" s="17" t="s">
        <v>154</v>
      </c>
      <c r="L60" s="18" t="s">
        <v>154</v>
      </c>
      <c r="M60" s="17" t="s">
        <v>154</v>
      </c>
      <c r="N60" s="18" t="s">
        <v>154</v>
      </c>
      <c r="O60" s="17" t="s">
        <v>154</v>
      </c>
      <c r="P60" s="18" t="s">
        <v>154</v>
      </c>
      <c r="Q60" s="17" t="s">
        <v>154</v>
      </c>
      <c r="R60" s="18" t="s">
        <v>154</v>
      </c>
    </row>
    <row r="61" spans="1:18" x14ac:dyDescent="0.25">
      <c r="A61" s="11" t="s">
        <v>194</v>
      </c>
      <c r="B61" s="13">
        <v>6525</v>
      </c>
      <c r="C61" s="14">
        <f>(5437/B61*100)</f>
        <v>83.325670498084293</v>
      </c>
      <c r="D61" s="15">
        <v>1088</v>
      </c>
      <c r="E61" s="14">
        <v>70.794068670000001</v>
      </c>
      <c r="F61" s="16">
        <v>1.2558662700000001</v>
      </c>
      <c r="G61" s="14">
        <v>29.205931329999999</v>
      </c>
      <c r="H61" s="16">
        <v>1.2558662700000001</v>
      </c>
      <c r="I61" s="14" t="s">
        <v>139</v>
      </c>
      <c r="J61" s="16" t="s">
        <v>139</v>
      </c>
      <c r="K61" s="14">
        <v>0</v>
      </c>
      <c r="L61" s="16">
        <v>0</v>
      </c>
      <c r="M61" s="14">
        <v>0</v>
      </c>
      <c r="N61" s="16">
        <v>0</v>
      </c>
      <c r="O61" s="14">
        <v>0</v>
      </c>
      <c r="P61" s="16">
        <v>0</v>
      </c>
      <c r="Q61" s="14">
        <v>0</v>
      </c>
      <c r="R61" s="16">
        <v>0</v>
      </c>
    </row>
    <row r="62" spans="1:18" x14ac:dyDescent="0.25">
      <c r="A62" s="11" t="s">
        <v>195</v>
      </c>
      <c r="B62" s="13">
        <v>4476</v>
      </c>
      <c r="C62" s="14">
        <f>(3710/B62*100)</f>
        <v>82.886505808757818</v>
      </c>
      <c r="D62" s="15">
        <v>766</v>
      </c>
      <c r="E62" s="14">
        <v>58.630658699999998</v>
      </c>
      <c r="F62" s="16">
        <v>2.0043498400000002</v>
      </c>
      <c r="G62" s="14">
        <v>41.369341300000002</v>
      </c>
      <c r="H62" s="16">
        <v>2.0043498400000002</v>
      </c>
      <c r="I62" s="14" t="s">
        <v>139</v>
      </c>
      <c r="J62" s="16" t="s">
        <v>139</v>
      </c>
      <c r="K62" s="14">
        <v>0</v>
      </c>
      <c r="L62" s="16">
        <v>0</v>
      </c>
      <c r="M62" s="14">
        <v>0</v>
      </c>
      <c r="N62" s="16">
        <v>0</v>
      </c>
      <c r="O62" s="14">
        <v>0</v>
      </c>
      <c r="P62" s="16">
        <v>0</v>
      </c>
      <c r="Q62" s="14">
        <v>0</v>
      </c>
      <c r="R62" s="16">
        <v>0</v>
      </c>
    </row>
    <row r="63" spans="1:18" x14ac:dyDescent="0.25">
      <c r="A63" s="11" t="s">
        <v>196</v>
      </c>
      <c r="B63" s="17" t="s">
        <v>154</v>
      </c>
      <c r="C63" s="17" t="s">
        <v>154</v>
      </c>
      <c r="D63" s="18" t="s">
        <v>154</v>
      </c>
      <c r="E63" s="17" t="s">
        <v>154</v>
      </c>
      <c r="F63" s="18" t="s">
        <v>154</v>
      </c>
      <c r="G63" s="17" t="s">
        <v>154</v>
      </c>
      <c r="H63" s="18" t="s">
        <v>154</v>
      </c>
      <c r="I63" s="17" t="s">
        <v>154</v>
      </c>
      <c r="J63" s="18" t="s">
        <v>154</v>
      </c>
      <c r="K63" s="17" t="s">
        <v>154</v>
      </c>
      <c r="L63" s="18" t="s">
        <v>154</v>
      </c>
      <c r="M63" s="17" t="s">
        <v>154</v>
      </c>
      <c r="N63" s="18" t="s">
        <v>154</v>
      </c>
      <c r="O63" s="17" t="s">
        <v>154</v>
      </c>
      <c r="P63" s="18" t="s">
        <v>154</v>
      </c>
      <c r="Q63" s="17" t="s">
        <v>154</v>
      </c>
      <c r="R63" s="18" t="s">
        <v>154</v>
      </c>
    </row>
    <row r="64" spans="1:18" x14ac:dyDescent="0.25">
      <c r="A64" s="11" t="s">
        <v>197</v>
      </c>
      <c r="B64" s="17" t="s">
        <v>154</v>
      </c>
      <c r="C64" s="17" t="s">
        <v>154</v>
      </c>
      <c r="D64" s="18" t="s">
        <v>154</v>
      </c>
      <c r="E64" s="17" t="s">
        <v>154</v>
      </c>
      <c r="F64" s="18" t="s">
        <v>154</v>
      </c>
      <c r="G64" s="17" t="s">
        <v>154</v>
      </c>
      <c r="H64" s="18" t="s">
        <v>154</v>
      </c>
      <c r="I64" s="17" t="s">
        <v>154</v>
      </c>
      <c r="J64" s="18" t="s">
        <v>154</v>
      </c>
      <c r="K64" s="17" t="s">
        <v>154</v>
      </c>
      <c r="L64" s="18" t="s">
        <v>154</v>
      </c>
      <c r="M64" s="17" t="s">
        <v>154</v>
      </c>
      <c r="N64" s="18" t="s">
        <v>154</v>
      </c>
      <c r="O64" s="17" t="s">
        <v>154</v>
      </c>
      <c r="P64" s="18" t="s">
        <v>154</v>
      </c>
      <c r="Q64" s="17" t="s">
        <v>154</v>
      </c>
      <c r="R64" s="18" t="s">
        <v>154</v>
      </c>
    </row>
    <row r="65" spans="1:18" x14ac:dyDescent="0.25">
      <c r="A65" s="11" t="s">
        <v>198</v>
      </c>
      <c r="B65" s="17" t="s">
        <v>154</v>
      </c>
      <c r="C65" s="17" t="s">
        <v>154</v>
      </c>
      <c r="D65" s="18" t="s">
        <v>154</v>
      </c>
      <c r="E65" s="17" t="s">
        <v>154</v>
      </c>
      <c r="F65" s="18" t="s">
        <v>154</v>
      </c>
      <c r="G65" s="17" t="s">
        <v>154</v>
      </c>
      <c r="H65" s="18" t="s">
        <v>154</v>
      </c>
      <c r="I65" s="17" t="s">
        <v>154</v>
      </c>
      <c r="J65" s="18" t="s">
        <v>154</v>
      </c>
      <c r="K65" s="17" t="s">
        <v>154</v>
      </c>
      <c r="L65" s="18" t="s">
        <v>154</v>
      </c>
      <c r="M65" s="17" t="s">
        <v>154</v>
      </c>
      <c r="N65" s="18" t="s">
        <v>154</v>
      </c>
      <c r="O65" s="17" t="s">
        <v>154</v>
      </c>
      <c r="P65" s="18" t="s">
        <v>154</v>
      </c>
      <c r="Q65" s="17" t="s">
        <v>154</v>
      </c>
      <c r="R65" s="18" t="s">
        <v>154</v>
      </c>
    </row>
    <row r="66" spans="1:18" x14ac:dyDescent="0.25">
      <c r="A66" s="11" t="s">
        <v>199</v>
      </c>
      <c r="B66" s="13">
        <v>5665</v>
      </c>
      <c r="C66" s="14">
        <f>(4745/B66*100)</f>
        <v>83.759929390997357</v>
      </c>
      <c r="D66" s="15">
        <v>920</v>
      </c>
      <c r="E66" s="14">
        <v>73.486986160000001</v>
      </c>
      <c r="F66" s="16">
        <v>1.36362008</v>
      </c>
      <c r="G66" s="14">
        <v>26.513013839999999</v>
      </c>
      <c r="H66" s="16">
        <v>1.36362008</v>
      </c>
      <c r="I66" s="14" t="s">
        <v>139</v>
      </c>
      <c r="J66" s="16" t="s">
        <v>139</v>
      </c>
      <c r="K66" s="14">
        <v>0</v>
      </c>
      <c r="L66" s="16">
        <v>0</v>
      </c>
      <c r="M66" s="14">
        <v>0</v>
      </c>
      <c r="N66" s="16">
        <v>0</v>
      </c>
      <c r="O66" s="14">
        <v>0</v>
      </c>
      <c r="P66" s="16">
        <v>0</v>
      </c>
      <c r="Q66" s="14">
        <v>0</v>
      </c>
      <c r="R66" s="16">
        <v>0</v>
      </c>
    </row>
    <row r="67" spans="1:18" x14ac:dyDescent="0.25">
      <c r="A67" s="11" t="s">
        <v>200</v>
      </c>
      <c r="B67" s="13">
        <v>6971</v>
      </c>
      <c r="C67" s="14">
        <f>(5950/B67*100)</f>
        <v>85.353607803758422</v>
      </c>
      <c r="D67" s="15">
        <v>1021</v>
      </c>
      <c r="E67" s="14">
        <v>67.487744370000001</v>
      </c>
      <c r="F67" s="16">
        <v>1.5213456000000001</v>
      </c>
      <c r="G67" s="14">
        <v>32.512255629999999</v>
      </c>
      <c r="H67" s="16">
        <v>1.5213456000000001</v>
      </c>
      <c r="I67" s="14" t="s">
        <v>139</v>
      </c>
      <c r="J67" s="16" t="s">
        <v>139</v>
      </c>
      <c r="K67" s="14">
        <v>0</v>
      </c>
      <c r="L67" s="16">
        <v>0</v>
      </c>
      <c r="M67" s="14">
        <v>0</v>
      </c>
      <c r="N67" s="16">
        <v>0</v>
      </c>
      <c r="O67" s="14">
        <v>0</v>
      </c>
      <c r="P67" s="16">
        <v>0</v>
      </c>
      <c r="Q67" s="14">
        <v>0</v>
      </c>
      <c r="R67" s="16">
        <v>0</v>
      </c>
    </row>
    <row r="68" spans="1:18" x14ac:dyDescent="0.25">
      <c r="A68" s="11" t="s">
        <v>201</v>
      </c>
      <c r="B68" s="17" t="s">
        <v>154</v>
      </c>
      <c r="C68" s="17" t="s">
        <v>154</v>
      </c>
      <c r="D68" s="18" t="s">
        <v>154</v>
      </c>
      <c r="E68" s="17" t="s">
        <v>154</v>
      </c>
      <c r="F68" s="18" t="s">
        <v>154</v>
      </c>
      <c r="G68" s="17" t="s">
        <v>154</v>
      </c>
      <c r="H68" s="18" t="s">
        <v>154</v>
      </c>
      <c r="I68" s="17" t="s">
        <v>154</v>
      </c>
      <c r="J68" s="18" t="s">
        <v>154</v>
      </c>
      <c r="K68" s="17" t="s">
        <v>154</v>
      </c>
      <c r="L68" s="18" t="s">
        <v>154</v>
      </c>
      <c r="M68" s="17" t="s">
        <v>154</v>
      </c>
      <c r="N68" s="18" t="s">
        <v>154</v>
      </c>
      <c r="O68" s="17" t="s">
        <v>154</v>
      </c>
      <c r="P68" s="18" t="s">
        <v>154</v>
      </c>
      <c r="Q68" s="17" t="s">
        <v>154</v>
      </c>
      <c r="R68" s="18" t="s">
        <v>154</v>
      </c>
    </row>
    <row r="69" spans="1:18" x14ac:dyDescent="0.25">
      <c r="A69" s="11" t="s">
        <v>202</v>
      </c>
      <c r="B69" s="17" t="s">
        <v>154</v>
      </c>
      <c r="C69" s="17" t="s">
        <v>154</v>
      </c>
      <c r="D69" s="18" t="s">
        <v>154</v>
      </c>
      <c r="E69" s="17" t="s">
        <v>154</v>
      </c>
      <c r="F69" s="18" t="s">
        <v>154</v>
      </c>
      <c r="G69" s="17" t="s">
        <v>154</v>
      </c>
      <c r="H69" s="18" t="s">
        <v>154</v>
      </c>
      <c r="I69" s="17" t="s">
        <v>154</v>
      </c>
      <c r="J69" s="18" t="s">
        <v>154</v>
      </c>
      <c r="K69" s="17" t="s">
        <v>154</v>
      </c>
      <c r="L69" s="18" t="s">
        <v>154</v>
      </c>
      <c r="M69" s="17" t="s">
        <v>154</v>
      </c>
      <c r="N69" s="18" t="s">
        <v>154</v>
      </c>
      <c r="O69" s="17" t="s">
        <v>154</v>
      </c>
      <c r="P69" s="18" t="s">
        <v>154</v>
      </c>
      <c r="Q69" s="17" t="s">
        <v>154</v>
      </c>
      <c r="R69" s="18" t="s">
        <v>154</v>
      </c>
    </row>
    <row r="70" spans="1:18" x14ac:dyDescent="0.25">
      <c r="A70" s="11" t="s">
        <v>203</v>
      </c>
      <c r="B70" s="13">
        <v>6036</v>
      </c>
      <c r="C70" s="14">
        <f>(5024/B70*100)</f>
        <v>83.233929754804507</v>
      </c>
      <c r="D70" s="15">
        <v>1012</v>
      </c>
      <c r="E70" s="14">
        <v>68.116437860000005</v>
      </c>
      <c r="F70" s="16">
        <v>1.8360242200000001</v>
      </c>
      <c r="G70" s="14">
        <v>31.883562139999999</v>
      </c>
      <c r="H70" s="16">
        <v>1.8360242200000001</v>
      </c>
      <c r="I70" s="14" t="s">
        <v>139</v>
      </c>
      <c r="J70" s="16" t="s">
        <v>139</v>
      </c>
      <c r="K70" s="14">
        <v>0</v>
      </c>
      <c r="L70" s="16">
        <v>0</v>
      </c>
      <c r="M70" s="14">
        <v>0</v>
      </c>
      <c r="N70" s="16">
        <v>0</v>
      </c>
      <c r="O70" s="14">
        <v>0</v>
      </c>
      <c r="P70" s="16">
        <v>0</v>
      </c>
      <c r="Q70" s="14">
        <v>0</v>
      </c>
      <c r="R70" s="16">
        <v>0</v>
      </c>
    </row>
    <row r="71" spans="1:18" x14ac:dyDescent="0.25">
      <c r="A71" s="11" t="s">
        <v>204</v>
      </c>
      <c r="B71" s="17" t="s">
        <v>154</v>
      </c>
      <c r="C71" s="17" t="s">
        <v>154</v>
      </c>
      <c r="D71" s="18" t="s">
        <v>154</v>
      </c>
      <c r="E71" s="17" t="s">
        <v>154</v>
      </c>
      <c r="F71" s="18" t="s">
        <v>154</v>
      </c>
      <c r="G71" s="17" t="s">
        <v>154</v>
      </c>
      <c r="H71" s="18" t="s">
        <v>154</v>
      </c>
      <c r="I71" s="17" t="s">
        <v>154</v>
      </c>
      <c r="J71" s="18" t="s">
        <v>154</v>
      </c>
      <c r="K71" s="17" t="s">
        <v>154</v>
      </c>
      <c r="L71" s="18" t="s">
        <v>154</v>
      </c>
      <c r="M71" s="17" t="s">
        <v>154</v>
      </c>
      <c r="N71" s="18" t="s">
        <v>154</v>
      </c>
      <c r="O71" s="17" t="s">
        <v>154</v>
      </c>
      <c r="P71" s="18" t="s">
        <v>154</v>
      </c>
      <c r="Q71" s="17" t="s">
        <v>154</v>
      </c>
      <c r="R71" s="18" t="s">
        <v>154</v>
      </c>
    </row>
    <row r="72" spans="1:18" x14ac:dyDescent="0.25">
      <c r="A72" s="11" t="s">
        <v>205</v>
      </c>
      <c r="B72" s="13">
        <v>7708</v>
      </c>
      <c r="C72" s="14">
        <f>(6366/B72*100)</f>
        <v>82.589517384535554</v>
      </c>
      <c r="D72" s="15">
        <v>1342</v>
      </c>
      <c r="E72" s="14">
        <v>57.763761930000001</v>
      </c>
      <c r="F72" s="16">
        <v>1.50200277</v>
      </c>
      <c r="G72" s="14">
        <v>42.236238069999999</v>
      </c>
      <c r="H72" s="16">
        <v>1.50200277</v>
      </c>
      <c r="I72" s="14" t="s">
        <v>139</v>
      </c>
      <c r="J72" s="16" t="s">
        <v>139</v>
      </c>
      <c r="K72" s="14">
        <v>0</v>
      </c>
      <c r="L72" s="16">
        <v>0</v>
      </c>
      <c r="M72" s="14">
        <v>0</v>
      </c>
      <c r="N72" s="16">
        <v>0</v>
      </c>
      <c r="O72" s="14">
        <v>0</v>
      </c>
      <c r="P72" s="16">
        <v>0</v>
      </c>
      <c r="Q72" s="14">
        <v>0</v>
      </c>
      <c r="R72" s="16">
        <v>0</v>
      </c>
    </row>
    <row r="73" spans="1:18" x14ac:dyDescent="0.25">
      <c r="A73" s="11" t="s">
        <v>206</v>
      </c>
      <c r="B73" s="13">
        <v>8249</v>
      </c>
      <c r="C73" s="14">
        <f>(6930/B73*100)</f>
        <v>84.010183052491215</v>
      </c>
      <c r="D73" s="15">
        <v>1319</v>
      </c>
      <c r="E73" s="14">
        <v>73.374846919999996</v>
      </c>
      <c r="F73" s="16">
        <v>1.72087871</v>
      </c>
      <c r="G73" s="14">
        <v>26.62515308</v>
      </c>
      <c r="H73" s="16">
        <v>1.72087871</v>
      </c>
      <c r="I73" s="14" t="s">
        <v>139</v>
      </c>
      <c r="J73" s="16" t="s">
        <v>139</v>
      </c>
      <c r="K73" s="14">
        <v>0</v>
      </c>
      <c r="L73" s="16">
        <v>0</v>
      </c>
      <c r="M73" s="14">
        <v>0</v>
      </c>
      <c r="N73" s="16">
        <v>0</v>
      </c>
      <c r="O73" s="14">
        <v>0</v>
      </c>
      <c r="P73" s="16">
        <v>0</v>
      </c>
      <c r="Q73" s="14">
        <v>0</v>
      </c>
      <c r="R73" s="16">
        <v>0</v>
      </c>
    </row>
    <row r="74" spans="1:18" x14ac:dyDescent="0.25">
      <c r="A74" s="11" t="s">
        <v>207</v>
      </c>
      <c r="B74" s="17" t="s">
        <v>154</v>
      </c>
      <c r="C74" s="17" t="s">
        <v>154</v>
      </c>
      <c r="D74" s="18" t="s">
        <v>154</v>
      </c>
      <c r="E74" s="17" t="s">
        <v>154</v>
      </c>
      <c r="F74" s="18" t="s">
        <v>154</v>
      </c>
      <c r="G74" s="17" t="s">
        <v>154</v>
      </c>
      <c r="H74" s="18" t="s">
        <v>154</v>
      </c>
      <c r="I74" s="17" t="s">
        <v>154</v>
      </c>
      <c r="J74" s="18" t="s">
        <v>154</v>
      </c>
      <c r="K74" s="17" t="s">
        <v>154</v>
      </c>
      <c r="L74" s="18" t="s">
        <v>154</v>
      </c>
      <c r="M74" s="17" t="s">
        <v>154</v>
      </c>
      <c r="N74" s="18" t="s">
        <v>154</v>
      </c>
      <c r="O74" s="17" t="s">
        <v>154</v>
      </c>
      <c r="P74" s="18" t="s">
        <v>154</v>
      </c>
      <c r="Q74" s="17" t="s">
        <v>154</v>
      </c>
      <c r="R74" s="18" t="s">
        <v>154</v>
      </c>
    </row>
    <row r="75" spans="1:18" x14ac:dyDescent="0.25">
      <c r="A75" s="11" t="s">
        <v>208</v>
      </c>
      <c r="B75" s="13">
        <v>5375</v>
      </c>
      <c r="C75" s="14">
        <f>(4570/B75*100)</f>
        <v>85.023255813953497</v>
      </c>
      <c r="D75" s="15">
        <v>805</v>
      </c>
      <c r="E75" s="14">
        <v>70.547812460000003</v>
      </c>
      <c r="F75" s="16">
        <v>1.63276997</v>
      </c>
      <c r="G75" s="14">
        <v>29.452187540000001</v>
      </c>
      <c r="H75" s="16">
        <v>1.63276997</v>
      </c>
      <c r="I75" s="14" t="s">
        <v>139</v>
      </c>
      <c r="J75" s="16" t="s">
        <v>139</v>
      </c>
      <c r="K75" s="14">
        <v>0</v>
      </c>
      <c r="L75" s="16">
        <v>0</v>
      </c>
      <c r="M75" s="14">
        <v>0</v>
      </c>
      <c r="N75" s="16">
        <v>0</v>
      </c>
      <c r="O75" s="14">
        <v>0</v>
      </c>
      <c r="P75" s="16">
        <v>0</v>
      </c>
      <c r="Q75" s="14">
        <v>0</v>
      </c>
      <c r="R75" s="16">
        <v>0</v>
      </c>
    </row>
    <row r="76" spans="1:18" x14ac:dyDescent="0.25">
      <c r="A76" s="11" t="s">
        <v>209</v>
      </c>
      <c r="B76" s="13">
        <v>14167</v>
      </c>
      <c r="C76" s="14">
        <f>(11781/B76*100)</f>
        <v>83.158043340156709</v>
      </c>
      <c r="D76" s="15">
        <v>2386</v>
      </c>
      <c r="E76" s="14">
        <v>66.620001310000006</v>
      </c>
      <c r="F76" s="16">
        <v>1.18862143</v>
      </c>
      <c r="G76" s="14">
        <v>33.379998690000001</v>
      </c>
      <c r="H76" s="16">
        <v>1.18862143</v>
      </c>
      <c r="I76" s="14" t="s">
        <v>139</v>
      </c>
      <c r="J76" s="16" t="s">
        <v>139</v>
      </c>
      <c r="K76" s="14">
        <v>0</v>
      </c>
      <c r="L76" s="16">
        <v>0</v>
      </c>
      <c r="M76" s="14">
        <v>0</v>
      </c>
      <c r="N76" s="16">
        <v>0</v>
      </c>
      <c r="O76" s="14">
        <v>0</v>
      </c>
      <c r="P76" s="16">
        <v>0</v>
      </c>
      <c r="Q76" s="14">
        <v>0</v>
      </c>
      <c r="R76" s="16">
        <v>0</v>
      </c>
    </row>
    <row r="77" spans="1:18" x14ac:dyDescent="0.25">
      <c r="A77" s="11" t="s">
        <v>210</v>
      </c>
      <c r="B77" s="13">
        <v>6062</v>
      </c>
      <c r="C77" s="14">
        <f>(5104/B77*100)</f>
        <v>84.196634774001978</v>
      </c>
      <c r="D77" s="15">
        <v>958</v>
      </c>
      <c r="E77" s="14">
        <v>66.231584330000004</v>
      </c>
      <c r="F77" s="16">
        <v>1.48267985</v>
      </c>
      <c r="G77" s="14">
        <v>33.768415670000003</v>
      </c>
      <c r="H77" s="16">
        <v>1.48267985</v>
      </c>
      <c r="I77" s="14" t="s">
        <v>139</v>
      </c>
      <c r="J77" s="16" t="s">
        <v>139</v>
      </c>
      <c r="K77" s="14">
        <v>0</v>
      </c>
      <c r="L77" s="16">
        <v>0</v>
      </c>
      <c r="M77" s="14">
        <v>0</v>
      </c>
      <c r="N77" s="16">
        <v>0</v>
      </c>
      <c r="O77" s="14">
        <v>0</v>
      </c>
      <c r="P77" s="16">
        <v>0</v>
      </c>
      <c r="Q77" s="14">
        <v>0</v>
      </c>
      <c r="R77" s="16">
        <v>0</v>
      </c>
    </row>
    <row r="78" spans="1:18" x14ac:dyDescent="0.25">
      <c r="A78" s="11" t="s">
        <v>211</v>
      </c>
      <c r="B78" s="17" t="s">
        <v>154</v>
      </c>
      <c r="C78" s="17" t="s">
        <v>154</v>
      </c>
      <c r="D78" s="18" t="s">
        <v>154</v>
      </c>
      <c r="E78" s="17" t="s">
        <v>154</v>
      </c>
      <c r="F78" s="18" t="s">
        <v>154</v>
      </c>
      <c r="G78" s="17" t="s">
        <v>154</v>
      </c>
      <c r="H78" s="18" t="s">
        <v>154</v>
      </c>
      <c r="I78" s="17" t="s">
        <v>154</v>
      </c>
      <c r="J78" s="18" t="s">
        <v>154</v>
      </c>
      <c r="K78" s="17" t="s">
        <v>154</v>
      </c>
      <c r="L78" s="18" t="s">
        <v>154</v>
      </c>
      <c r="M78" s="17" t="s">
        <v>154</v>
      </c>
      <c r="N78" s="18" t="s">
        <v>154</v>
      </c>
      <c r="O78" s="17" t="s">
        <v>154</v>
      </c>
      <c r="P78" s="18" t="s">
        <v>154</v>
      </c>
      <c r="Q78" s="17" t="s">
        <v>154</v>
      </c>
      <c r="R78" s="18" t="s">
        <v>154</v>
      </c>
    </row>
    <row r="79" spans="1:18" ht="24.95" customHeight="1" x14ac:dyDescent="0.25">
      <c r="A79" s="11" t="s">
        <v>212</v>
      </c>
      <c r="B79" s="17" t="s">
        <v>154</v>
      </c>
      <c r="C79" s="17" t="s">
        <v>154</v>
      </c>
      <c r="D79" s="18" t="s">
        <v>154</v>
      </c>
      <c r="E79" s="17" t="s">
        <v>154</v>
      </c>
      <c r="F79" s="18" t="s">
        <v>154</v>
      </c>
      <c r="G79" s="17" t="s">
        <v>154</v>
      </c>
      <c r="H79" s="18" t="s">
        <v>154</v>
      </c>
      <c r="I79" s="17" t="s">
        <v>154</v>
      </c>
      <c r="J79" s="18" t="s">
        <v>154</v>
      </c>
      <c r="K79" s="17" t="s">
        <v>154</v>
      </c>
      <c r="L79" s="18" t="s">
        <v>154</v>
      </c>
      <c r="M79" s="17" t="s">
        <v>154</v>
      </c>
      <c r="N79" s="18" t="s">
        <v>154</v>
      </c>
      <c r="O79" s="17" t="s">
        <v>154</v>
      </c>
      <c r="P79" s="18" t="s">
        <v>154</v>
      </c>
      <c r="Q79" s="17" t="s">
        <v>154</v>
      </c>
      <c r="R79" s="18" t="s">
        <v>154</v>
      </c>
    </row>
    <row r="80" spans="1:18" x14ac:dyDescent="0.25">
      <c r="A80" s="11" t="s">
        <v>213</v>
      </c>
      <c r="B80" s="17" t="s">
        <v>154</v>
      </c>
      <c r="C80" s="17" t="s">
        <v>154</v>
      </c>
      <c r="D80" s="18" t="s">
        <v>154</v>
      </c>
      <c r="E80" s="17" t="s">
        <v>154</v>
      </c>
      <c r="F80" s="18" t="s">
        <v>154</v>
      </c>
      <c r="G80" s="17" t="s">
        <v>154</v>
      </c>
      <c r="H80" s="18" t="s">
        <v>154</v>
      </c>
      <c r="I80" s="17" t="s">
        <v>154</v>
      </c>
      <c r="J80" s="18" t="s">
        <v>154</v>
      </c>
      <c r="K80" s="17" t="s">
        <v>154</v>
      </c>
      <c r="L80" s="18" t="s">
        <v>154</v>
      </c>
      <c r="M80" s="17" t="s">
        <v>154</v>
      </c>
      <c r="N80" s="18" t="s">
        <v>154</v>
      </c>
      <c r="O80" s="17" t="s">
        <v>154</v>
      </c>
      <c r="P80" s="18" t="s">
        <v>154</v>
      </c>
      <c r="Q80" s="17" t="s">
        <v>154</v>
      </c>
      <c r="R80" s="18" t="s">
        <v>154</v>
      </c>
    </row>
    <row r="81" spans="1:18" x14ac:dyDescent="0.25">
      <c r="A81" s="19" t="s">
        <v>214</v>
      </c>
      <c r="B81" s="13">
        <v>8861</v>
      </c>
      <c r="C81" s="14">
        <f>(7356/B81*100)</f>
        <v>83.015461008915466</v>
      </c>
      <c r="D81" s="15">
        <v>1505</v>
      </c>
      <c r="E81" s="14">
        <v>70.131084939999994</v>
      </c>
      <c r="F81" s="16">
        <v>1.6240679899999999</v>
      </c>
      <c r="G81" s="14">
        <v>29.868915059999999</v>
      </c>
      <c r="H81" s="16">
        <v>1.6240679899999999</v>
      </c>
      <c r="I81" s="14" t="s">
        <v>139</v>
      </c>
      <c r="J81" s="16" t="s">
        <v>139</v>
      </c>
      <c r="K81" s="14">
        <v>0</v>
      </c>
      <c r="L81" s="16">
        <v>0</v>
      </c>
      <c r="M81" s="14">
        <v>0</v>
      </c>
      <c r="N81" s="16">
        <v>0</v>
      </c>
      <c r="O81" s="14">
        <v>0</v>
      </c>
      <c r="P81" s="16">
        <v>0</v>
      </c>
      <c r="Q81" s="14">
        <v>0</v>
      </c>
      <c r="R81" s="16">
        <v>0</v>
      </c>
    </row>
    <row r="82" spans="1:18" x14ac:dyDescent="0.25">
      <c r="A82" s="20"/>
      <c r="B82" s="20" t="s">
        <v>215</v>
      </c>
      <c r="C82" s="20" t="s">
        <v>215</v>
      </c>
      <c r="D82" s="20" t="s">
        <v>215</v>
      </c>
      <c r="E82" s="20" t="s">
        <v>215</v>
      </c>
      <c r="F82" s="20" t="s">
        <v>215</v>
      </c>
      <c r="G82" s="20" t="s">
        <v>215</v>
      </c>
      <c r="H82" s="20" t="s">
        <v>215</v>
      </c>
      <c r="I82" s="20" t="s">
        <v>215</v>
      </c>
      <c r="J82" s="20" t="s">
        <v>215</v>
      </c>
      <c r="K82" s="20" t="s">
        <v>215</v>
      </c>
      <c r="L82" s="20" t="s">
        <v>215</v>
      </c>
      <c r="M82" s="20" t="s">
        <v>215</v>
      </c>
      <c r="N82" s="20" t="s">
        <v>215</v>
      </c>
      <c r="O82" s="20" t="s">
        <v>215</v>
      </c>
      <c r="P82" s="20" t="s">
        <v>215</v>
      </c>
      <c r="Q82" s="20" t="s">
        <v>215</v>
      </c>
      <c r="R82" s="20" t="s">
        <v>215</v>
      </c>
    </row>
    <row r="83" spans="1:18" x14ac:dyDescent="0.25">
      <c r="A83" s="3" t="s">
        <v>216</v>
      </c>
    </row>
    <row r="84" spans="1:18" x14ac:dyDescent="0.25">
      <c r="A84" s="22" t="s">
        <v>217</v>
      </c>
      <c r="B84" s="23"/>
      <c r="C84" s="23"/>
      <c r="D84" s="23"/>
      <c r="E84" s="23"/>
      <c r="F84" s="23"/>
      <c r="G84" s="23"/>
      <c r="H84" s="23"/>
      <c r="I84" s="23"/>
      <c r="J84" s="23"/>
      <c r="K84" s="23"/>
      <c r="L84" s="23"/>
      <c r="M84" s="23"/>
      <c r="N84" s="23"/>
      <c r="O84" s="23"/>
      <c r="P84" s="23"/>
      <c r="Q84" s="23"/>
      <c r="R84" s="23"/>
    </row>
    <row r="85" spans="1:18" x14ac:dyDescent="0.25">
      <c r="A85" s="22" t="s">
        <v>218</v>
      </c>
      <c r="B85" s="23"/>
      <c r="C85" s="23"/>
      <c r="D85" s="23"/>
      <c r="E85" s="23"/>
      <c r="F85" s="23"/>
      <c r="G85" s="23"/>
      <c r="H85" s="23"/>
      <c r="I85" s="23"/>
      <c r="J85" s="23"/>
      <c r="K85" s="23"/>
      <c r="L85" s="23"/>
      <c r="M85" s="23"/>
      <c r="N85" s="23"/>
      <c r="O85" s="23"/>
      <c r="P85" s="23"/>
      <c r="Q85" s="23"/>
      <c r="R85" s="23"/>
    </row>
    <row r="86" spans="1:18" ht="30" customHeight="1" x14ac:dyDescent="0.25">
      <c r="A86" s="22" t="s">
        <v>219</v>
      </c>
      <c r="B86" s="23"/>
      <c r="C86" s="23"/>
      <c r="D86" s="23"/>
      <c r="E86" s="23"/>
      <c r="F86" s="23"/>
      <c r="G86" s="23"/>
      <c r="H86" s="23"/>
      <c r="I86" s="23"/>
      <c r="J86" s="23"/>
      <c r="K86" s="23"/>
      <c r="L86" s="23"/>
      <c r="M86" s="23"/>
      <c r="N86" s="23"/>
      <c r="O86" s="23"/>
      <c r="P86" s="23"/>
      <c r="Q86" s="23"/>
      <c r="R86" s="23"/>
    </row>
    <row r="87" spans="1:18" ht="30" customHeight="1" x14ac:dyDescent="0.25">
      <c r="A87" s="22" t="s">
        <v>215</v>
      </c>
      <c r="B87" s="23"/>
      <c r="C87" s="23"/>
      <c r="D87" s="23"/>
      <c r="E87" s="23"/>
      <c r="F87" s="23"/>
      <c r="G87" s="23"/>
      <c r="H87" s="23"/>
      <c r="I87" s="23"/>
      <c r="J87" s="23"/>
      <c r="K87" s="23"/>
      <c r="L87" s="23"/>
      <c r="M87" s="23"/>
      <c r="N87" s="23"/>
      <c r="O87" s="23"/>
      <c r="P87" s="23"/>
      <c r="Q87" s="23"/>
      <c r="R87" s="23"/>
    </row>
    <row r="88" spans="1:18" ht="30" customHeight="1" x14ac:dyDescent="0.25">
      <c r="A88" s="22" t="s">
        <v>220</v>
      </c>
      <c r="B88" s="23"/>
      <c r="C88" s="23"/>
      <c r="D88" s="23"/>
      <c r="E88" s="23"/>
      <c r="F88" s="23"/>
      <c r="G88" s="23"/>
      <c r="H88" s="23"/>
      <c r="I88" s="23"/>
      <c r="J88" s="23"/>
      <c r="K88" s="23"/>
      <c r="L88" s="23"/>
      <c r="M88" s="23"/>
      <c r="N88" s="23"/>
      <c r="O88" s="23"/>
      <c r="P88" s="23"/>
      <c r="Q88" s="23"/>
      <c r="R88" s="23"/>
    </row>
    <row r="89" spans="1:18" ht="30" customHeight="1" x14ac:dyDescent="0.25">
      <c r="A89" s="22" t="s">
        <v>221</v>
      </c>
      <c r="B89" s="23"/>
      <c r="C89" s="23"/>
      <c r="D89" s="23"/>
      <c r="E89" s="23"/>
      <c r="F89" s="23"/>
      <c r="G89" s="23"/>
      <c r="H89" s="23"/>
      <c r="I89" s="23"/>
      <c r="J89" s="23"/>
      <c r="K89" s="23"/>
      <c r="L89" s="23"/>
      <c r="M89" s="23"/>
      <c r="N89" s="23"/>
      <c r="O89" s="23"/>
      <c r="P89" s="23"/>
      <c r="Q89" s="23"/>
      <c r="R89" s="23"/>
    </row>
    <row r="90" spans="1:18" ht="30" customHeight="1" x14ac:dyDescent="0.25">
      <c r="A90" s="22" t="s">
        <v>222</v>
      </c>
      <c r="B90" s="23"/>
      <c r="C90" s="23"/>
      <c r="D90" s="23"/>
      <c r="E90" s="23"/>
      <c r="F90" s="23"/>
      <c r="G90" s="23"/>
      <c r="H90" s="23"/>
      <c r="I90" s="23"/>
      <c r="J90" s="23"/>
      <c r="K90" s="23"/>
      <c r="L90" s="23"/>
      <c r="M90" s="23"/>
      <c r="N90" s="23"/>
      <c r="O90" s="23"/>
      <c r="P90" s="23"/>
      <c r="Q90" s="23"/>
      <c r="R90" s="23"/>
    </row>
    <row r="91" spans="1:18" ht="30" customHeight="1" x14ac:dyDescent="0.25">
      <c r="A91" s="22" t="s">
        <v>223</v>
      </c>
      <c r="B91" s="23"/>
      <c r="C91" s="23"/>
      <c r="D91" s="23"/>
      <c r="E91" s="23"/>
      <c r="F91" s="23"/>
      <c r="G91" s="23"/>
      <c r="H91" s="23"/>
      <c r="I91" s="23"/>
      <c r="J91" s="23"/>
      <c r="K91" s="23"/>
      <c r="L91" s="23"/>
      <c r="M91" s="23"/>
      <c r="N91" s="23"/>
      <c r="O91" s="23"/>
      <c r="P91" s="23"/>
      <c r="Q91" s="23"/>
      <c r="R91" s="23"/>
    </row>
    <row r="92" spans="1:18" ht="30" customHeight="1" x14ac:dyDescent="0.25">
      <c r="A92" s="22" t="s">
        <v>224</v>
      </c>
      <c r="B92" s="23"/>
      <c r="C92" s="23"/>
      <c r="D92" s="23"/>
      <c r="E92" s="23"/>
      <c r="F92" s="23"/>
      <c r="G92" s="23"/>
      <c r="H92" s="23"/>
      <c r="I92" s="23"/>
      <c r="J92" s="23"/>
      <c r="K92" s="23"/>
      <c r="L92" s="23"/>
      <c r="M92" s="23"/>
      <c r="N92" s="23"/>
      <c r="O92" s="23"/>
      <c r="P92" s="23"/>
      <c r="Q92" s="23"/>
      <c r="R92" s="23"/>
    </row>
    <row r="93" spans="1:18" ht="30" customHeight="1" x14ac:dyDescent="0.25">
      <c r="A93" s="22" t="s">
        <v>225</v>
      </c>
      <c r="B93" s="23"/>
      <c r="C93" s="23"/>
      <c r="D93" s="23"/>
      <c r="E93" s="23"/>
      <c r="F93" s="23"/>
      <c r="G93" s="23"/>
      <c r="H93" s="23"/>
      <c r="I93" s="23"/>
      <c r="J93" s="23"/>
      <c r="K93" s="23"/>
      <c r="L93" s="23"/>
      <c r="M93" s="23"/>
      <c r="N93" s="23"/>
      <c r="O93" s="23"/>
      <c r="P93" s="23"/>
      <c r="Q93" s="23"/>
      <c r="R93" s="23"/>
    </row>
    <row r="94" spans="1:18" ht="30" customHeight="1" x14ac:dyDescent="0.25">
      <c r="A94" s="22" t="s">
        <v>226</v>
      </c>
      <c r="B94" s="23"/>
      <c r="C94" s="23"/>
      <c r="D94" s="23"/>
      <c r="E94" s="23"/>
      <c r="F94" s="23"/>
      <c r="G94" s="23"/>
      <c r="H94" s="23"/>
      <c r="I94" s="23"/>
      <c r="J94" s="23"/>
      <c r="K94" s="23"/>
      <c r="L94" s="23"/>
      <c r="M94" s="23"/>
      <c r="N94" s="23"/>
      <c r="O94" s="23"/>
      <c r="P94" s="23"/>
      <c r="Q94" s="23"/>
      <c r="R94" s="23"/>
    </row>
    <row r="95" spans="1:18" ht="30" customHeight="1" x14ac:dyDescent="0.25">
      <c r="A95" s="22" t="s">
        <v>227</v>
      </c>
      <c r="B95" s="23"/>
      <c r="C95" s="23"/>
      <c r="D95" s="23"/>
      <c r="E95" s="23"/>
      <c r="F95" s="23"/>
      <c r="G95" s="23"/>
      <c r="H95" s="23"/>
      <c r="I95" s="23"/>
      <c r="J95" s="23"/>
      <c r="K95" s="23"/>
      <c r="L95" s="23"/>
      <c r="M95" s="23"/>
      <c r="N95" s="23"/>
      <c r="O95" s="23"/>
      <c r="P95" s="23"/>
      <c r="Q95" s="23"/>
      <c r="R95" s="23"/>
    </row>
    <row r="96" spans="1:18" ht="30" customHeight="1" x14ac:dyDescent="0.25">
      <c r="A96" s="22" t="s">
        <v>228</v>
      </c>
      <c r="B96" s="23"/>
      <c r="C96" s="23"/>
      <c r="D96" s="23"/>
      <c r="E96" s="23"/>
      <c r="F96" s="23"/>
      <c r="G96" s="23"/>
      <c r="H96" s="23"/>
      <c r="I96" s="23"/>
      <c r="J96" s="23"/>
      <c r="K96" s="23"/>
      <c r="L96" s="23"/>
      <c r="M96" s="23"/>
      <c r="N96" s="23"/>
      <c r="O96" s="23"/>
      <c r="P96" s="23"/>
      <c r="Q96" s="23"/>
      <c r="R96" s="23"/>
    </row>
  </sheetData>
  <mergeCells count="22">
    <mergeCell ref="O4:P4"/>
    <mergeCell ref="Q4:R4"/>
    <mergeCell ref="A1:R1"/>
    <mergeCell ref="A2:R2"/>
    <mergeCell ref="A84:R84"/>
    <mergeCell ref="E4:F4"/>
    <mergeCell ref="G4:H4"/>
    <mergeCell ref="I4:J4"/>
    <mergeCell ref="K4:L4"/>
    <mergeCell ref="M4:N4"/>
    <mergeCell ref="A85:R85"/>
    <mergeCell ref="A86:R86"/>
    <mergeCell ref="A87:R87"/>
    <mergeCell ref="A88:R88"/>
    <mergeCell ref="A89:R89"/>
    <mergeCell ref="A95:R95"/>
    <mergeCell ref="A96:R96"/>
    <mergeCell ref="A90:R90"/>
    <mergeCell ref="A91:R91"/>
    <mergeCell ref="A92:R92"/>
    <mergeCell ref="A93:R93"/>
    <mergeCell ref="A94:R94"/>
  </mergeCells>
  <pageMargins left="0.75" right="0.75" top="1" bottom="1" header="0.5" footer="0.5"/>
</worksheet>
</file>

<file path=xl/worksheets/sheet1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8"/>
  <dimension ref="A1:R96"/>
  <sheetViews>
    <sheetView zoomScale="80" workbookViewId="0">
      <pane xSplit="4" topLeftCell="E1" activePane="topRight" state="frozen"/>
      <selection sqref="A1:R1"/>
      <selection pane="topRight" sqref="A1:R1"/>
    </sheetView>
  </sheetViews>
  <sheetFormatPr defaultColWidth="11.42578125" defaultRowHeight="15" x14ac:dyDescent="0.25"/>
  <cols>
    <col min="1" max="1" width="50" customWidth="1"/>
  </cols>
  <sheetData>
    <row r="1" spans="1:18" x14ac:dyDescent="0.25">
      <c r="A1" s="26" t="s">
        <v>122</v>
      </c>
      <c r="B1" s="23"/>
      <c r="C1" s="23"/>
      <c r="D1" s="23"/>
      <c r="E1" s="23"/>
      <c r="F1" s="23"/>
      <c r="G1" s="23"/>
      <c r="H1" s="23"/>
      <c r="I1" s="23"/>
      <c r="J1" s="23"/>
      <c r="K1" s="23"/>
      <c r="L1" s="23"/>
      <c r="M1" s="23"/>
      <c r="N1" s="23"/>
      <c r="O1" s="23"/>
      <c r="P1" s="23"/>
      <c r="Q1" s="23"/>
      <c r="R1" s="23"/>
    </row>
    <row r="2" spans="1:18" x14ac:dyDescent="0.25">
      <c r="A2" s="27" t="s">
        <v>344</v>
      </c>
      <c r="B2" s="23"/>
      <c r="C2" s="23"/>
      <c r="D2" s="23"/>
      <c r="E2" s="23"/>
      <c r="F2" s="23"/>
      <c r="G2" s="23"/>
      <c r="H2" s="23"/>
      <c r="I2" s="23"/>
      <c r="J2" s="23"/>
      <c r="K2" s="23"/>
      <c r="L2" s="23"/>
      <c r="M2" s="23"/>
      <c r="N2" s="23"/>
      <c r="O2" s="23"/>
      <c r="P2" s="23"/>
      <c r="Q2" s="23"/>
      <c r="R2" s="23"/>
    </row>
    <row r="4" spans="1:18" ht="30" customHeight="1" x14ac:dyDescent="0.25">
      <c r="A4" s="4"/>
      <c r="B4" s="5" t="s">
        <v>123</v>
      </c>
      <c r="C4" s="5" t="s">
        <v>124</v>
      </c>
      <c r="D4" s="6" t="s">
        <v>123</v>
      </c>
      <c r="E4" s="24" t="s">
        <v>125</v>
      </c>
      <c r="F4" s="25"/>
      <c r="G4" s="24" t="s">
        <v>126</v>
      </c>
      <c r="H4" s="25"/>
      <c r="I4" s="24" t="s">
        <v>127</v>
      </c>
      <c r="J4" s="25"/>
      <c r="K4" s="24" t="s">
        <v>128</v>
      </c>
      <c r="L4" s="25"/>
      <c r="M4" s="24" t="s">
        <v>129</v>
      </c>
      <c r="N4" s="25"/>
      <c r="O4" s="24" t="s">
        <v>130</v>
      </c>
      <c r="P4" s="25"/>
      <c r="Q4" s="24" t="s">
        <v>131</v>
      </c>
      <c r="R4" s="25"/>
    </row>
    <row r="5" spans="1:18" x14ac:dyDescent="0.25">
      <c r="A5" s="7"/>
      <c r="B5" s="8" t="s">
        <v>132</v>
      </c>
      <c r="C5" s="8" t="s">
        <v>133</v>
      </c>
      <c r="D5" s="7" t="s">
        <v>134</v>
      </c>
      <c r="E5" s="8" t="s">
        <v>135</v>
      </c>
      <c r="F5" s="7" t="s">
        <v>136</v>
      </c>
      <c r="G5" s="8" t="s">
        <v>135</v>
      </c>
      <c r="H5" s="7" t="s">
        <v>136</v>
      </c>
      <c r="I5" s="8" t="s">
        <v>135</v>
      </c>
      <c r="J5" s="7" t="s">
        <v>136</v>
      </c>
      <c r="K5" s="8" t="s">
        <v>135</v>
      </c>
      <c r="L5" s="7" t="s">
        <v>136</v>
      </c>
      <c r="M5" s="8" t="s">
        <v>135</v>
      </c>
      <c r="N5" s="7" t="s">
        <v>136</v>
      </c>
      <c r="O5" s="8" t="s">
        <v>135</v>
      </c>
      <c r="P5" s="7" t="s">
        <v>136</v>
      </c>
      <c r="Q5" s="8" t="s">
        <v>135</v>
      </c>
      <c r="R5" s="7" t="s">
        <v>136</v>
      </c>
    </row>
    <row r="6" spans="1:18" x14ac:dyDescent="0.25">
      <c r="A6" s="9" t="s">
        <v>137</v>
      </c>
      <c r="B6" s="10"/>
      <c r="C6" s="10"/>
      <c r="D6" s="11"/>
      <c r="E6" s="10"/>
      <c r="F6" s="11"/>
      <c r="G6" s="10"/>
      <c r="H6" s="11"/>
      <c r="I6" s="10"/>
      <c r="J6" s="11"/>
      <c r="K6" s="10"/>
      <c r="L6" s="11"/>
      <c r="M6" s="10"/>
      <c r="N6" s="11"/>
      <c r="O6" s="10"/>
      <c r="P6" s="11"/>
      <c r="Q6" s="10"/>
      <c r="R6" s="12"/>
    </row>
    <row r="7" spans="1:18" x14ac:dyDescent="0.25">
      <c r="A7" s="11" t="s">
        <v>138</v>
      </c>
      <c r="B7" s="13">
        <v>14530</v>
      </c>
      <c r="C7" s="14">
        <f>(12189/B7*100)</f>
        <v>83.888506538196836</v>
      </c>
      <c r="D7" s="15">
        <v>2341</v>
      </c>
      <c r="E7" s="14">
        <v>36.115284469999999</v>
      </c>
      <c r="F7" s="16">
        <v>1.21638694</v>
      </c>
      <c r="G7" s="14">
        <v>63.884715530000001</v>
      </c>
      <c r="H7" s="16">
        <v>1.21638694</v>
      </c>
      <c r="I7" s="14" t="s">
        <v>139</v>
      </c>
      <c r="J7" s="16" t="s">
        <v>139</v>
      </c>
      <c r="K7" s="14">
        <v>0</v>
      </c>
      <c r="L7" s="16">
        <v>0</v>
      </c>
      <c r="M7" s="14">
        <v>0</v>
      </c>
      <c r="N7" s="16">
        <v>0</v>
      </c>
      <c r="O7" s="14">
        <v>0</v>
      </c>
      <c r="P7" s="16">
        <v>0</v>
      </c>
      <c r="Q7" s="14">
        <v>0</v>
      </c>
      <c r="R7" s="16">
        <v>0</v>
      </c>
    </row>
    <row r="8" spans="1:18" x14ac:dyDescent="0.25">
      <c r="A8" s="11" t="s">
        <v>140</v>
      </c>
      <c r="B8" s="13">
        <v>7007</v>
      </c>
      <c r="C8" s="14">
        <f>(5824/B8*100)</f>
        <v>83.116883116883116</v>
      </c>
      <c r="D8" s="15">
        <v>1183</v>
      </c>
      <c r="E8" s="14">
        <v>43.867985099999999</v>
      </c>
      <c r="F8" s="16">
        <v>1.89746299</v>
      </c>
      <c r="G8" s="14">
        <v>56.132014900000001</v>
      </c>
      <c r="H8" s="16">
        <v>1.89746299</v>
      </c>
      <c r="I8" s="14" t="s">
        <v>139</v>
      </c>
      <c r="J8" s="16" t="s">
        <v>139</v>
      </c>
      <c r="K8" s="14">
        <v>0</v>
      </c>
      <c r="L8" s="16">
        <v>0</v>
      </c>
      <c r="M8" s="14">
        <v>0</v>
      </c>
      <c r="N8" s="16">
        <v>0</v>
      </c>
      <c r="O8" s="14">
        <v>0</v>
      </c>
      <c r="P8" s="16">
        <v>0</v>
      </c>
      <c r="Q8" s="14">
        <v>0</v>
      </c>
      <c r="R8" s="16">
        <v>0</v>
      </c>
    </row>
    <row r="9" spans="1:18" x14ac:dyDescent="0.25">
      <c r="A9" s="11" t="s">
        <v>141</v>
      </c>
      <c r="B9" s="13">
        <v>9651</v>
      </c>
      <c r="C9" s="14">
        <f>(8148/B9*100)</f>
        <v>84.426484302144857</v>
      </c>
      <c r="D9" s="15">
        <v>1503</v>
      </c>
      <c r="E9" s="14">
        <v>44.223040130000001</v>
      </c>
      <c r="F9" s="16">
        <v>1.2773123399999999</v>
      </c>
      <c r="G9" s="14">
        <v>55.776959869999999</v>
      </c>
      <c r="H9" s="16">
        <v>1.2773123399999999</v>
      </c>
      <c r="I9" s="14" t="s">
        <v>139</v>
      </c>
      <c r="J9" s="16" t="s">
        <v>139</v>
      </c>
      <c r="K9" s="14">
        <v>0</v>
      </c>
      <c r="L9" s="16">
        <v>0</v>
      </c>
      <c r="M9" s="14">
        <v>0</v>
      </c>
      <c r="N9" s="16">
        <v>0</v>
      </c>
      <c r="O9" s="14">
        <v>0</v>
      </c>
      <c r="P9" s="16">
        <v>0</v>
      </c>
      <c r="Q9" s="14">
        <v>0</v>
      </c>
      <c r="R9" s="16">
        <v>0</v>
      </c>
    </row>
    <row r="10" spans="1:18" x14ac:dyDescent="0.25">
      <c r="A10" s="11" t="s">
        <v>142</v>
      </c>
      <c r="B10" s="13">
        <v>20058</v>
      </c>
      <c r="C10" s="14">
        <f>(16728/B10*100)</f>
        <v>83.398145378402631</v>
      </c>
      <c r="D10" s="15">
        <v>3330</v>
      </c>
      <c r="E10" s="14">
        <v>36.011525300000002</v>
      </c>
      <c r="F10" s="16">
        <v>1.1586688300000001</v>
      </c>
      <c r="G10" s="14">
        <v>63.988474699999998</v>
      </c>
      <c r="H10" s="16">
        <v>1.1586688300000001</v>
      </c>
      <c r="I10" s="14" t="s">
        <v>139</v>
      </c>
      <c r="J10" s="16" t="s">
        <v>139</v>
      </c>
      <c r="K10" s="14">
        <v>0</v>
      </c>
      <c r="L10" s="16">
        <v>0</v>
      </c>
      <c r="M10" s="14">
        <v>0</v>
      </c>
      <c r="N10" s="16">
        <v>0</v>
      </c>
      <c r="O10" s="14">
        <v>0</v>
      </c>
      <c r="P10" s="16">
        <v>0</v>
      </c>
      <c r="Q10" s="14">
        <v>0</v>
      </c>
      <c r="R10" s="16">
        <v>0</v>
      </c>
    </row>
    <row r="11" spans="1:18" x14ac:dyDescent="0.25">
      <c r="A11" s="11" t="s">
        <v>143</v>
      </c>
      <c r="B11" s="13">
        <v>7053</v>
      </c>
      <c r="C11" s="14">
        <f>(5945/B11*100)</f>
        <v>84.290372890968385</v>
      </c>
      <c r="D11" s="15">
        <v>1108</v>
      </c>
      <c r="E11" s="14">
        <v>61.669426250000001</v>
      </c>
      <c r="F11" s="16">
        <v>1.7675848199999999</v>
      </c>
      <c r="G11" s="14">
        <v>38.330573749999999</v>
      </c>
      <c r="H11" s="16">
        <v>1.7675848199999999</v>
      </c>
      <c r="I11" s="14" t="s">
        <v>139</v>
      </c>
      <c r="J11" s="16" t="s">
        <v>139</v>
      </c>
      <c r="K11" s="14">
        <v>0</v>
      </c>
      <c r="L11" s="16">
        <v>0</v>
      </c>
      <c r="M11" s="14">
        <v>0</v>
      </c>
      <c r="N11" s="16">
        <v>0</v>
      </c>
      <c r="O11" s="14">
        <v>0</v>
      </c>
      <c r="P11" s="16">
        <v>0</v>
      </c>
      <c r="Q11" s="14">
        <v>0</v>
      </c>
      <c r="R11" s="16">
        <v>0</v>
      </c>
    </row>
    <row r="12" spans="1:18" x14ac:dyDescent="0.25">
      <c r="A12" s="11" t="s">
        <v>144</v>
      </c>
      <c r="B12" s="13">
        <v>6894</v>
      </c>
      <c r="C12" s="14">
        <f>(5773/B12*100)</f>
        <v>83.739483608935302</v>
      </c>
      <c r="D12" s="15">
        <v>1121</v>
      </c>
      <c r="E12" s="14">
        <v>65.943044729999997</v>
      </c>
      <c r="F12" s="16">
        <v>1.5878104099999999</v>
      </c>
      <c r="G12" s="14">
        <v>34.056955270000003</v>
      </c>
      <c r="H12" s="16">
        <v>1.5878104099999999</v>
      </c>
      <c r="I12" s="14" t="s">
        <v>139</v>
      </c>
      <c r="J12" s="16" t="s">
        <v>139</v>
      </c>
      <c r="K12" s="14">
        <v>0</v>
      </c>
      <c r="L12" s="16">
        <v>0</v>
      </c>
      <c r="M12" s="14">
        <v>0</v>
      </c>
      <c r="N12" s="16">
        <v>0</v>
      </c>
      <c r="O12" s="14">
        <v>0</v>
      </c>
      <c r="P12" s="16">
        <v>0</v>
      </c>
      <c r="Q12" s="14">
        <v>0</v>
      </c>
      <c r="R12" s="16">
        <v>0</v>
      </c>
    </row>
    <row r="13" spans="1:18" x14ac:dyDescent="0.25">
      <c r="A13" s="11" t="s">
        <v>145</v>
      </c>
      <c r="B13" s="13">
        <v>7161</v>
      </c>
      <c r="C13" s="14">
        <f>(6056/B13*100)</f>
        <v>84.569194246613606</v>
      </c>
      <c r="D13" s="15">
        <v>1105</v>
      </c>
      <c r="E13" s="14">
        <v>40.027789230000003</v>
      </c>
      <c r="F13" s="16">
        <v>1.96241917</v>
      </c>
      <c r="G13" s="14">
        <v>59.972210769999997</v>
      </c>
      <c r="H13" s="16">
        <v>1.96241917</v>
      </c>
      <c r="I13" s="14" t="s">
        <v>139</v>
      </c>
      <c r="J13" s="16" t="s">
        <v>139</v>
      </c>
      <c r="K13" s="14">
        <v>0</v>
      </c>
      <c r="L13" s="16">
        <v>0</v>
      </c>
      <c r="M13" s="14">
        <v>0</v>
      </c>
      <c r="N13" s="16">
        <v>0</v>
      </c>
      <c r="O13" s="14">
        <v>0</v>
      </c>
      <c r="P13" s="16">
        <v>0</v>
      </c>
      <c r="Q13" s="14">
        <v>0</v>
      </c>
      <c r="R13" s="16">
        <v>0</v>
      </c>
    </row>
    <row r="14" spans="1:18" x14ac:dyDescent="0.25">
      <c r="A14" s="11" t="s">
        <v>146</v>
      </c>
      <c r="B14" s="13">
        <v>5587</v>
      </c>
      <c r="C14" s="14">
        <f>(4649/B14*100)</f>
        <v>83.211025595131559</v>
      </c>
      <c r="D14" s="15">
        <v>938</v>
      </c>
      <c r="E14" s="14">
        <v>37.647564070000001</v>
      </c>
      <c r="F14" s="16">
        <v>1.39848046</v>
      </c>
      <c r="G14" s="14">
        <v>62.352435929999999</v>
      </c>
      <c r="H14" s="16">
        <v>1.39848046</v>
      </c>
      <c r="I14" s="14" t="s">
        <v>139</v>
      </c>
      <c r="J14" s="16" t="s">
        <v>139</v>
      </c>
      <c r="K14" s="14">
        <v>0</v>
      </c>
      <c r="L14" s="16">
        <v>0</v>
      </c>
      <c r="M14" s="14">
        <v>0</v>
      </c>
      <c r="N14" s="16">
        <v>0</v>
      </c>
      <c r="O14" s="14">
        <v>0</v>
      </c>
      <c r="P14" s="16">
        <v>0</v>
      </c>
      <c r="Q14" s="14">
        <v>0</v>
      </c>
      <c r="R14" s="16">
        <v>0</v>
      </c>
    </row>
    <row r="15" spans="1:18" x14ac:dyDescent="0.25">
      <c r="A15" s="11" t="s">
        <v>147</v>
      </c>
      <c r="B15" s="13">
        <v>5882</v>
      </c>
      <c r="C15" s="14">
        <f>(4896/B15*100)</f>
        <v>83.236994219653184</v>
      </c>
      <c r="D15" s="15">
        <v>986</v>
      </c>
      <c r="E15" s="14">
        <v>34.658229710000001</v>
      </c>
      <c r="F15" s="16">
        <v>1.8340931300000001</v>
      </c>
      <c r="G15" s="14">
        <v>65.341770289999999</v>
      </c>
      <c r="H15" s="16">
        <v>1.8340931300000001</v>
      </c>
      <c r="I15" s="14" t="s">
        <v>139</v>
      </c>
      <c r="J15" s="16" t="s">
        <v>139</v>
      </c>
      <c r="K15" s="14">
        <v>0</v>
      </c>
      <c r="L15" s="16">
        <v>0</v>
      </c>
      <c r="M15" s="14">
        <v>0</v>
      </c>
      <c r="N15" s="16">
        <v>0</v>
      </c>
      <c r="O15" s="14">
        <v>0</v>
      </c>
      <c r="P15" s="16">
        <v>0</v>
      </c>
      <c r="Q15" s="14">
        <v>0</v>
      </c>
      <c r="R15" s="16">
        <v>0</v>
      </c>
    </row>
    <row r="16" spans="1:18" x14ac:dyDescent="0.25">
      <c r="A16" s="11" t="s">
        <v>148</v>
      </c>
      <c r="B16" s="13">
        <v>6108</v>
      </c>
      <c r="C16" s="14">
        <f>(5126/B16*100)</f>
        <v>83.922724296005242</v>
      </c>
      <c r="D16" s="15">
        <v>982</v>
      </c>
      <c r="E16" s="14">
        <v>53.712368560000002</v>
      </c>
      <c r="F16" s="16">
        <v>1.52127805</v>
      </c>
      <c r="G16" s="14">
        <v>46.287631439999998</v>
      </c>
      <c r="H16" s="16">
        <v>1.52127805</v>
      </c>
      <c r="I16" s="14" t="s">
        <v>139</v>
      </c>
      <c r="J16" s="16" t="s">
        <v>139</v>
      </c>
      <c r="K16" s="14">
        <v>0</v>
      </c>
      <c r="L16" s="16">
        <v>0</v>
      </c>
      <c r="M16" s="14">
        <v>0</v>
      </c>
      <c r="N16" s="16">
        <v>0</v>
      </c>
      <c r="O16" s="14">
        <v>0</v>
      </c>
      <c r="P16" s="16">
        <v>0</v>
      </c>
      <c r="Q16" s="14">
        <v>0</v>
      </c>
      <c r="R16" s="16">
        <v>0</v>
      </c>
    </row>
    <row r="17" spans="1:18" x14ac:dyDescent="0.25">
      <c r="A17" s="11" t="s">
        <v>149</v>
      </c>
      <c r="B17" s="13">
        <v>6504</v>
      </c>
      <c r="C17" s="14">
        <f>(5460/B17*100)</f>
        <v>83.948339483394832</v>
      </c>
      <c r="D17" s="15">
        <v>1044</v>
      </c>
      <c r="E17" s="14">
        <v>43.107840930000002</v>
      </c>
      <c r="F17" s="16">
        <v>1.63481231</v>
      </c>
      <c r="G17" s="14">
        <v>56.892159069999998</v>
      </c>
      <c r="H17" s="16">
        <v>1.63481231</v>
      </c>
      <c r="I17" s="14" t="s">
        <v>139</v>
      </c>
      <c r="J17" s="16" t="s">
        <v>139</v>
      </c>
      <c r="K17" s="14">
        <v>0</v>
      </c>
      <c r="L17" s="16">
        <v>0</v>
      </c>
      <c r="M17" s="14">
        <v>0</v>
      </c>
      <c r="N17" s="16">
        <v>0</v>
      </c>
      <c r="O17" s="14">
        <v>0</v>
      </c>
      <c r="P17" s="16">
        <v>0</v>
      </c>
      <c r="Q17" s="14">
        <v>0</v>
      </c>
      <c r="R17" s="16">
        <v>0</v>
      </c>
    </row>
    <row r="18" spans="1:18" x14ac:dyDescent="0.25">
      <c r="A18" s="11" t="s">
        <v>150</v>
      </c>
      <c r="B18" s="13">
        <v>5532</v>
      </c>
      <c r="C18" s="14">
        <f>(4600/B18*100)</f>
        <v>83.152566883586417</v>
      </c>
      <c r="D18" s="15">
        <v>932</v>
      </c>
      <c r="E18" s="14">
        <v>61.616429940000003</v>
      </c>
      <c r="F18" s="16">
        <v>1.7590512199999999</v>
      </c>
      <c r="G18" s="14">
        <v>38.383570059999997</v>
      </c>
      <c r="H18" s="16">
        <v>1.7590512199999999</v>
      </c>
      <c r="I18" s="14" t="s">
        <v>139</v>
      </c>
      <c r="J18" s="16" t="s">
        <v>139</v>
      </c>
      <c r="K18" s="14">
        <v>0</v>
      </c>
      <c r="L18" s="16">
        <v>0</v>
      </c>
      <c r="M18" s="14">
        <v>0</v>
      </c>
      <c r="N18" s="16">
        <v>0</v>
      </c>
      <c r="O18" s="14">
        <v>0</v>
      </c>
      <c r="P18" s="16">
        <v>0</v>
      </c>
      <c r="Q18" s="14">
        <v>0</v>
      </c>
      <c r="R18" s="16">
        <v>0</v>
      </c>
    </row>
    <row r="19" spans="1:18" x14ac:dyDescent="0.25">
      <c r="A19" s="11" t="s">
        <v>151</v>
      </c>
      <c r="B19" s="13">
        <v>5658</v>
      </c>
      <c r="C19" s="14">
        <f>(4757/B19*100)</f>
        <v>84.075645104277129</v>
      </c>
      <c r="D19" s="15">
        <v>901</v>
      </c>
      <c r="E19" s="14">
        <v>59.059915179999997</v>
      </c>
      <c r="F19" s="16">
        <v>1.6930220300000001</v>
      </c>
      <c r="G19" s="14">
        <v>40.940084820000003</v>
      </c>
      <c r="H19" s="16">
        <v>1.6930220300000001</v>
      </c>
      <c r="I19" s="14" t="s">
        <v>139</v>
      </c>
      <c r="J19" s="16" t="s">
        <v>139</v>
      </c>
      <c r="K19" s="14">
        <v>0</v>
      </c>
      <c r="L19" s="16">
        <v>0</v>
      </c>
      <c r="M19" s="14">
        <v>0</v>
      </c>
      <c r="N19" s="16">
        <v>0</v>
      </c>
      <c r="O19" s="14">
        <v>0</v>
      </c>
      <c r="P19" s="16">
        <v>0</v>
      </c>
      <c r="Q19" s="14">
        <v>0</v>
      </c>
      <c r="R19" s="16">
        <v>0</v>
      </c>
    </row>
    <row r="20" spans="1:18" x14ac:dyDescent="0.25">
      <c r="A20" s="11" t="s">
        <v>152</v>
      </c>
      <c r="B20" s="13">
        <v>3371</v>
      </c>
      <c r="C20" s="14">
        <f>(2826/B20*100)</f>
        <v>83.832690596262239</v>
      </c>
      <c r="D20" s="15">
        <v>545</v>
      </c>
      <c r="E20" s="14">
        <v>44.84752804</v>
      </c>
      <c r="F20" s="16">
        <v>1.9909260799999999</v>
      </c>
      <c r="G20" s="14">
        <v>55.15247196</v>
      </c>
      <c r="H20" s="16">
        <v>1.9909260799999999</v>
      </c>
      <c r="I20" s="14" t="s">
        <v>139</v>
      </c>
      <c r="J20" s="16" t="s">
        <v>139</v>
      </c>
      <c r="K20" s="14">
        <v>0</v>
      </c>
      <c r="L20" s="16">
        <v>0</v>
      </c>
      <c r="M20" s="14">
        <v>0</v>
      </c>
      <c r="N20" s="16">
        <v>0</v>
      </c>
      <c r="O20" s="14">
        <v>0</v>
      </c>
      <c r="P20" s="16">
        <v>0</v>
      </c>
      <c r="Q20" s="14">
        <v>0</v>
      </c>
      <c r="R20" s="16">
        <v>0</v>
      </c>
    </row>
    <row r="21" spans="1:18" x14ac:dyDescent="0.25">
      <c r="A21" s="11" t="s">
        <v>153</v>
      </c>
      <c r="B21" s="17" t="s">
        <v>154</v>
      </c>
      <c r="C21" s="17" t="s">
        <v>154</v>
      </c>
      <c r="D21" s="18" t="s">
        <v>154</v>
      </c>
      <c r="E21" s="17" t="s">
        <v>154</v>
      </c>
      <c r="F21" s="18" t="s">
        <v>154</v>
      </c>
      <c r="G21" s="17" t="s">
        <v>154</v>
      </c>
      <c r="H21" s="18" t="s">
        <v>154</v>
      </c>
      <c r="I21" s="17" t="s">
        <v>154</v>
      </c>
      <c r="J21" s="18" t="s">
        <v>154</v>
      </c>
      <c r="K21" s="17" t="s">
        <v>154</v>
      </c>
      <c r="L21" s="18" t="s">
        <v>154</v>
      </c>
      <c r="M21" s="17" t="s">
        <v>154</v>
      </c>
      <c r="N21" s="18" t="s">
        <v>154</v>
      </c>
      <c r="O21" s="17" t="s">
        <v>154</v>
      </c>
      <c r="P21" s="18" t="s">
        <v>154</v>
      </c>
      <c r="Q21" s="17" t="s">
        <v>154</v>
      </c>
      <c r="R21" s="18" t="s">
        <v>154</v>
      </c>
    </row>
    <row r="22" spans="1:18" x14ac:dyDescent="0.25">
      <c r="A22" s="11" t="s">
        <v>155</v>
      </c>
      <c r="B22" s="13">
        <v>6598</v>
      </c>
      <c r="C22" s="14">
        <f>(5614/B22*100)</f>
        <v>85.086389815095487</v>
      </c>
      <c r="D22" s="15">
        <v>984</v>
      </c>
      <c r="E22" s="14">
        <v>61.58164738</v>
      </c>
      <c r="F22" s="16">
        <v>1.85675495</v>
      </c>
      <c r="G22" s="14">
        <v>38.41835262</v>
      </c>
      <c r="H22" s="16">
        <v>1.85675495</v>
      </c>
      <c r="I22" s="14" t="s">
        <v>139</v>
      </c>
      <c r="J22" s="16" t="s">
        <v>139</v>
      </c>
      <c r="K22" s="14">
        <v>0</v>
      </c>
      <c r="L22" s="16">
        <v>0</v>
      </c>
      <c r="M22" s="14">
        <v>0</v>
      </c>
      <c r="N22" s="16">
        <v>0</v>
      </c>
      <c r="O22" s="14">
        <v>0</v>
      </c>
      <c r="P22" s="16">
        <v>0</v>
      </c>
      <c r="Q22" s="14">
        <v>0</v>
      </c>
      <c r="R22" s="16">
        <v>0</v>
      </c>
    </row>
    <row r="23" spans="1:18" x14ac:dyDescent="0.25">
      <c r="A23" s="11" t="s">
        <v>156</v>
      </c>
      <c r="B23" s="13">
        <v>11583</v>
      </c>
      <c r="C23" s="14">
        <f>(9647/B23*100)</f>
        <v>83.285849952516628</v>
      </c>
      <c r="D23" s="15">
        <v>1936</v>
      </c>
      <c r="E23" s="14">
        <v>51.840151949999999</v>
      </c>
      <c r="F23" s="16">
        <v>1.5076516099999999</v>
      </c>
      <c r="G23" s="14">
        <v>48.159848050000001</v>
      </c>
      <c r="H23" s="16">
        <v>1.5076516099999999</v>
      </c>
      <c r="I23" s="14" t="s">
        <v>139</v>
      </c>
      <c r="J23" s="16" t="s">
        <v>139</v>
      </c>
      <c r="K23" s="14">
        <v>0</v>
      </c>
      <c r="L23" s="16">
        <v>0</v>
      </c>
      <c r="M23" s="14">
        <v>0</v>
      </c>
      <c r="N23" s="16">
        <v>0</v>
      </c>
      <c r="O23" s="14">
        <v>0</v>
      </c>
      <c r="P23" s="16">
        <v>0</v>
      </c>
      <c r="Q23" s="14">
        <v>0</v>
      </c>
      <c r="R23" s="16">
        <v>0</v>
      </c>
    </row>
    <row r="24" spans="1:18" x14ac:dyDescent="0.25">
      <c r="A24" s="11" t="s">
        <v>157</v>
      </c>
      <c r="B24" s="13">
        <v>6647</v>
      </c>
      <c r="C24" s="14">
        <f>(5517/B24*100)</f>
        <v>82.999849556190767</v>
      </c>
      <c r="D24" s="15">
        <v>1130</v>
      </c>
      <c r="E24" s="14">
        <v>26.904671740000001</v>
      </c>
      <c r="F24" s="16">
        <v>1.6599700500000001</v>
      </c>
      <c r="G24" s="14">
        <v>73.095328260000002</v>
      </c>
      <c r="H24" s="16">
        <v>1.6599700500000001</v>
      </c>
      <c r="I24" s="14" t="s">
        <v>139</v>
      </c>
      <c r="J24" s="16" t="s">
        <v>139</v>
      </c>
      <c r="K24" s="14">
        <v>0</v>
      </c>
      <c r="L24" s="16">
        <v>0</v>
      </c>
      <c r="M24" s="14">
        <v>0</v>
      </c>
      <c r="N24" s="16">
        <v>0</v>
      </c>
      <c r="O24" s="14">
        <v>0</v>
      </c>
      <c r="P24" s="16">
        <v>0</v>
      </c>
      <c r="Q24" s="14">
        <v>0</v>
      </c>
      <c r="R24" s="16">
        <v>0</v>
      </c>
    </row>
    <row r="25" spans="1:18" x14ac:dyDescent="0.25">
      <c r="A25" s="11" t="s">
        <v>158</v>
      </c>
      <c r="B25" s="13">
        <v>5581</v>
      </c>
      <c r="C25" s="14">
        <f>(4615/B25*100)</f>
        <v>82.691273965239205</v>
      </c>
      <c r="D25" s="15">
        <v>966</v>
      </c>
      <c r="E25" s="14">
        <v>50.719559850000003</v>
      </c>
      <c r="F25" s="16">
        <v>1.72809448</v>
      </c>
      <c r="G25" s="14">
        <v>49.280440149999997</v>
      </c>
      <c r="H25" s="16">
        <v>1.72809448</v>
      </c>
      <c r="I25" s="14" t="s">
        <v>139</v>
      </c>
      <c r="J25" s="16" t="s">
        <v>139</v>
      </c>
      <c r="K25" s="14">
        <v>0</v>
      </c>
      <c r="L25" s="16">
        <v>0</v>
      </c>
      <c r="M25" s="14">
        <v>0</v>
      </c>
      <c r="N25" s="16">
        <v>0</v>
      </c>
      <c r="O25" s="14">
        <v>0</v>
      </c>
      <c r="P25" s="16">
        <v>0</v>
      </c>
      <c r="Q25" s="14">
        <v>0</v>
      </c>
      <c r="R25" s="16">
        <v>0</v>
      </c>
    </row>
    <row r="26" spans="1:18" x14ac:dyDescent="0.25">
      <c r="A26" s="11" t="s">
        <v>159</v>
      </c>
      <c r="B26" s="13">
        <v>4869</v>
      </c>
      <c r="C26" s="14">
        <f>(4049/B26*100)</f>
        <v>83.15875949887041</v>
      </c>
      <c r="D26" s="15">
        <v>820</v>
      </c>
      <c r="E26" s="14">
        <v>51.225526260000002</v>
      </c>
      <c r="F26" s="16">
        <v>1.8847989199999999</v>
      </c>
      <c r="G26" s="14">
        <v>48.774473739999998</v>
      </c>
      <c r="H26" s="16">
        <v>1.8847989199999999</v>
      </c>
      <c r="I26" s="14" t="s">
        <v>139</v>
      </c>
      <c r="J26" s="16" t="s">
        <v>139</v>
      </c>
      <c r="K26" s="14">
        <v>0</v>
      </c>
      <c r="L26" s="16">
        <v>0</v>
      </c>
      <c r="M26" s="14">
        <v>0</v>
      </c>
      <c r="N26" s="16">
        <v>0</v>
      </c>
      <c r="O26" s="14">
        <v>0</v>
      </c>
      <c r="P26" s="16">
        <v>0</v>
      </c>
      <c r="Q26" s="14">
        <v>0</v>
      </c>
      <c r="R26" s="16">
        <v>0</v>
      </c>
    </row>
    <row r="27" spans="1:18" x14ac:dyDescent="0.25">
      <c r="A27" s="11" t="s">
        <v>160</v>
      </c>
      <c r="B27" s="13">
        <v>5299</v>
      </c>
      <c r="C27" s="14">
        <f>(4454/B27*100)</f>
        <v>84.053595017927904</v>
      </c>
      <c r="D27" s="15">
        <v>845</v>
      </c>
      <c r="E27" s="14">
        <v>51.915239049999997</v>
      </c>
      <c r="F27" s="16">
        <v>1.5796424</v>
      </c>
      <c r="G27" s="14">
        <v>48.084760950000003</v>
      </c>
      <c r="H27" s="16">
        <v>1.5796424</v>
      </c>
      <c r="I27" s="14" t="s">
        <v>139</v>
      </c>
      <c r="J27" s="16" t="s">
        <v>139</v>
      </c>
      <c r="K27" s="14">
        <v>0</v>
      </c>
      <c r="L27" s="16">
        <v>0</v>
      </c>
      <c r="M27" s="14">
        <v>0</v>
      </c>
      <c r="N27" s="16">
        <v>0</v>
      </c>
      <c r="O27" s="14">
        <v>0</v>
      </c>
      <c r="P27" s="16">
        <v>0</v>
      </c>
      <c r="Q27" s="14">
        <v>0</v>
      </c>
      <c r="R27" s="16">
        <v>0</v>
      </c>
    </row>
    <row r="28" spans="1:18" x14ac:dyDescent="0.25">
      <c r="A28" s="11" t="s">
        <v>161</v>
      </c>
      <c r="B28" s="13">
        <v>7568</v>
      </c>
      <c r="C28" s="14">
        <f>(6449/B28*100)</f>
        <v>85.214059196617328</v>
      </c>
      <c r="D28" s="15">
        <v>1119</v>
      </c>
      <c r="E28" s="14">
        <v>69.031844430000007</v>
      </c>
      <c r="F28" s="16">
        <v>1.16350745</v>
      </c>
      <c r="G28" s="14">
        <v>30.96815557</v>
      </c>
      <c r="H28" s="16">
        <v>1.16350745</v>
      </c>
      <c r="I28" s="14" t="s">
        <v>139</v>
      </c>
      <c r="J28" s="16" t="s">
        <v>139</v>
      </c>
      <c r="K28" s="14">
        <v>0</v>
      </c>
      <c r="L28" s="16">
        <v>0</v>
      </c>
      <c r="M28" s="14">
        <v>0</v>
      </c>
      <c r="N28" s="16">
        <v>0</v>
      </c>
      <c r="O28" s="14">
        <v>0</v>
      </c>
      <c r="P28" s="16">
        <v>0</v>
      </c>
      <c r="Q28" s="14">
        <v>0</v>
      </c>
      <c r="R28" s="16">
        <v>0</v>
      </c>
    </row>
    <row r="29" spans="1:18" x14ac:dyDescent="0.25">
      <c r="A29" s="11" t="s">
        <v>162</v>
      </c>
      <c r="B29" s="13">
        <v>5385</v>
      </c>
      <c r="C29" s="14">
        <f>(4501/B29*100)</f>
        <v>83.584029712163428</v>
      </c>
      <c r="D29" s="15">
        <v>884</v>
      </c>
      <c r="E29" s="14">
        <v>34.279132060000002</v>
      </c>
      <c r="F29" s="16">
        <v>1.6373795200000001</v>
      </c>
      <c r="G29" s="14">
        <v>65.720867940000005</v>
      </c>
      <c r="H29" s="16">
        <v>1.6373795200000001</v>
      </c>
      <c r="I29" s="14" t="s">
        <v>139</v>
      </c>
      <c r="J29" s="16" t="s">
        <v>139</v>
      </c>
      <c r="K29" s="14">
        <v>0</v>
      </c>
      <c r="L29" s="16">
        <v>0</v>
      </c>
      <c r="M29" s="14">
        <v>0</v>
      </c>
      <c r="N29" s="16">
        <v>0</v>
      </c>
      <c r="O29" s="14">
        <v>0</v>
      </c>
      <c r="P29" s="16">
        <v>0</v>
      </c>
      <c r="Q29" s="14">
        <v>0</v>
      </c>
      <c r="R29" s="16">
        <v>0</v>
      </c>
    </row>
    <row r="30" spans="1:18" x14ac:dyDescent="0.25">
      <c r="A30" s="11" t="s">
        <v>163</v>
      </c>
      <c r="B30" s="13">
        <v>4520</v>
      </c>
      <c r="C30" s="14">
        <f>(3837/B30*100)</f>
        <v>84.88938053097344</v>
      </c>
      <c r="D30" s="15">
        <v>683</v>
      </c>
      <c r="E30" s="14">
        <v>36.523723760000003</v>
      </c>
      <c r="F30" s="16">
        <v>1.6770488699999999</v>
      </c>
      <c r="G30" s="14">
        <v>63.476276239999997</v>
      </c>
      <c r="H30" s="16">
        <v>1.6770488699999999</v>
      </c>
      <c r="I30" s="14" t="s">
        <v>139</v>
      </c>
      <c r="J30" s="16" t="s">
        <v>139</v>
      </c>
      <c r="K30" s="14">
        <v>0</v>
      </c>
      <c r="L30" s="16">
        <v>0</v>
      </c>
      <c r="M30" s="14">
        <v>0</v>
      </c>
      <c r="N30" s="16">
        <v>0</v>
      </c>
      <c r="O30" s="14">
        <v>0</v>
      </c>
      <c r="P30" s="16">
        <v>0</v>
      </c>
      <c r="Q30" s="14">
        <v>0</v>
      </c>
      <c r="R30" s="16">
        <v>0</v>
      </c>
    </row>
    <row r="31" spans="1:18" x14ac:dyDescent="0.25">
      <c r="A31" s="11" t="s">
        <v>164</v>
      </c>
      <c r="B31" s="13">
        <v>5456</v>
      </c>
      <c r="C31" s="14">
        <f>(4572/B31*100)</f>
        <v>83.797653958944281</v>
      </c>
      <c r="D31" s="15">
        <v>884</v>
      </c>
      <c r="E31" s="14">
        <v>53.791411879999998</v>
      </c>
      <c r="F31" s="16">
        <v>1.7418443800000001</v>
      </c>
      <c r="G31" s="14">
        <v>46.208588120000002</v>
      </c>
      <c r="H31" s="16">
        <v>1.7418443800000001</v>
      </c>
      <c r="I31" s="14" t="s">
        <v>139</v>
      </c>
      <c r="J31" s="16" t="s">
        <v>139</v>
      </c>
      <c r="K31" s="14">
        <v>0</v>
      </c>
      <c r="L31" s="16">
        <v>0</v>
      </c>
      <c r="M31" s="14">
        <v>0</v>
      </c>
      <c r="N31" s="16">
        <v>0</v>
      </c>
      <c r="O31" s="14">
        <v>0</v>
      </c>
      <c r="P31" s="16">
        <v>0</v>
      </c>
      <c r="Q31" s="14">
        <v>0</v>
      </c>
      <c r="R31" s="16">
        <v>0</v>
      </c>
    </row>
    <row r="32" spans="1:18" x14ac:dyDescent="0.25">
      <c r="A32" s="11" t="s">
        <v>165</v>
      </c>
      <c r="B32" s="17" t="s">
        <v>154</v>
      </c>
      <c r="C32" s="17" t="s">
        <v>154</v>
      </c>
      <c r="D32" s="18" t="s">
        <v>154</v>
      </c>
      <c r="E32" s="17" t="s">
        <v>154</v>
      </c>
      <c r="F32" s="18" t="s">
        <v>154</v>
      </c>
      <c r="G32" s="17" t="s">
        <v>154</v>
      </c>
      <c r="H32" s="18" t="s">
        <v>154</v>
      </c>
      <c r="I32" s="17" t="s">
        <v>154</v>
      </c>
      <c r="J32" s="18" t="s">
        <v>154</v>
      </c>
      <c r="K32" s="17" t="s">
        <v>154</v>
      </c>
      <c r="L32" s="18" t="s">
        <v>154</v>
      </c>
      <c r="M32" s="17" t="s">
        <v>154</v>
      </c>
      <c r="N32" s="18" t="s">
        <v>154</v>
      </c>
      <c r="O32" s="17" t="s">
        <v>154</v>
      </c>
      <c r="P32" s="18" t="s">
        <v>154</v>
      </c>
      <c r="Q32" s="17" t="s">
        <v>154</v>
      </c>
      <c r="R32" s="18" t="s">
        <v>154</v>
      </c>
    </row>
    <row r="33" spans="1:18" x14ac:dyDescent="0.25">
      <c r="A33" s="11" t="s">
        <v>166</v>
      </c>
      <c r="B33" s="13">
        <v>7325</v>
      </c>
      <c r="C33" s="14">
        <f>(6167/B33*100)</f>
        <v>84.191126279863482</v>
      </c>
      <c r="D33" s="15">
        <v>1158</v>
      </c>
      <c r="E33" s="14">
        <v>48.132530099999997</v>
      </c>
      <c r="F33" s="16">
        <v>1.7823301600000001</v>
      </c>
      <c r="G33" s="14">
        <v>51.867469900000003</v>
      </c>
      <c r="H33" s="16">
        <v>1.7823301600000001</v>
      </c>
      <c r="I33" s="14" t="s">
        <v>139</v>
      </c>
      <c r="J33" s="16" t="s">
        <v>139</v>
      </c>
      <c r="K33" s="14">
        <v>0</v>
      </c>
      <c r="L33" s="16">
        <v>0</v>
      </c>
      <c r="M33" s="14">
        <v>0</v>
      </c>
      <c r="N33" s="16">
        <v>0</v>
      </c>
      <c r="O33" s="14">
        <v>0</v>
      </c>
      <c r="P33" s="16">
        <v>0</v>
      </c>
      <c r="Q33" s="14">
        <v>0</v>
      </c>
      <c r="R33" s="16">
        <v>0</v>
      </c>
    </row>
    <row r="34" spans="1:18" x14ac:dyDescent="0.25">
      <c r="A34" s="11" t="s">
        <v>167</v>
      </c>
      <c r="B34" s="13">
        <v>6350</v>
      </c>
      <c r="C34" s="14">
        <f>(5369/B34*100)</f>
        <v>84.551181102362207</v>
      </c>
      <c r="D34" s="15">
        <v>981</v>
      </c>
      <c r="E34" s="14">
        <v>66.692557730000004</v>
      </c>
      <c r="F34" s="16">
        <v>1.4437807300000001</v>
      </c>
      <c r="G34" s="14">
        <v>33.307442270000003</v>
      </c>
      <c r="H34" s="16">
        <v>1.4437807300000001</v>
      </c>
      <c r="I34" s="14" t="s">
        <v>139</v>
      </c>
      <c r="J34" s="16" t="s">
        <v>139</v>
      </c>
      <c r="K34" s="14">
        <v>0</v>
      </c>
      <c r="L34" s="16">
        <v>0</v>
      </c>
      <c r="M34" s="14">
        <v>0</v>
      </c>
      <c r="N34" s="16">
        <v>0</v>
      </c>
      <c r="O34" s="14">
        <v>0</v>
      </c>
      <c r="P34" s="16">
        <v>0</v>
      </c>
      <c r="Q34" s="14">
        <v>0</v>
      </c>
      <c r="R34" s="16">
        <v>0</v>
      </c>
    </row>
    <row r="35" spans="1:18" x14ac:dyDescent="0.25">
      <c r="A35" s="11" t="s">
        <v>168</v>
      </c>
      <c r="B35" s="13">
        <v>6406</v>
      </c>
      <c r="C35" s="14">
        <f>(5366/B35*100)</f>
        <v>83.76522010615048</v>
      </c>
      <c r="D35" s="15">
        <v>1040</v>
      </c>
      <c r="E35" s="14">
        <v>68.907176660000005</v>
      </c>
      <c r="F35" s="16">
        <v>1.9022969300000001</v>
      </c>
      <c r="G35" s="14">
        <v>31.092823339999999</v>
      </c>
      <c r="H35" s="16">
        <v>1.9022969300000001</v>
      </c>
      <c r="I35" s="14" t="s">
        <v>139</v>
      </c>
      <c r="J35" s="16" t="s">
        <v>139</v>
      </c>
      <c r="K35" s="14">
        <v>0</v>
      </c>
      <c r="L35" s="16">
        <v>0</v>
      </c>
      <c r="M35" s="14">
        <v>0</v>
      </c>
      <c r="N35" s="16">
        <v>0</v>
      </c>
      <c r="O35" s="14">
        <v>0</v>
      </c>
      <c r="P35" s="16">
        <v>0</v>
      </c>
      <c r="Q35" s="14">
        <v>0</v>
      </c>
      <c r="R35" s="16">
        <v>0</v>
      </c>
    </row>
    <row r="36" spans="1:18" x14ac:dyDescent="0.25">
      <c r="A36" s="11" t="s">
        <v>169</v>
      </c>
      <c r="B36" s="13">
        <v>6736</v>
      </c>
      <c r="C36" s="14">
        <f>(5664/B36*100)</f>
        <v>84.085510688836109</v>
      </c>
      <c r="D36" s="15">
        <v>1072</v>
      </c>
      <c r="E36" s="14">
        <v>53.644546159999997</v>
      </c>
      <c r="F36" s="16">
        <v>1.5502895800000001</v>
      </c>
      <c r="G36" s="14">
        <v>46.355453840000003</v>
      </c>
      <c r="H36" s="16">
        <v>1.5502895800000001</v>
      </c>
      <c r="I36" s="14" t="s">
        <v>139</v>
      </c>
      <c r="J36" s="16" t="s">
        <v>139</v>
      </c>
      <c r="K36" s="14">
        <v>0</v>
      </c>
      <c r="L36" s="16">
        <v>0</v>
      </c>
      <c r="M36" s="14">
        <v>0</v>
      </c>
      <c r="N36" s="16">
        <v>0</v>
      </c>
      <c r="O36" s="14">
        <v>0</v>
      </c>
      <c r="P36" s="16">
        <v>0</v>
      </c>
      <c r="Q36" s="14">
        <v>0</v>
      </c>
      <c r="R36" s="16">
        <v>0</v>
      </c>
    </row>
    <row r="37" spans="1:18" x14ac:dyDescent="0.25">
      <c r="A37" s="11" t="s">
        <v>170</v>
      </c>
      <c r="B37" s="13">
        <v>5458</v>
      </c>
      <c r="C37" s="14">
        <f>(4613/B37*100)</f>
        <v>84.518138512275556</v>
      </c>
      <c r="D37" s="15">
        <v>845</v>
      </c>
      <c r="E37" s="14">
        <v>40.237340529999997</v>
      </c>
      <c r="F37" s="16">
        <v>1.71323274</v>
      </c>
      <c r="G37" s="14">
        <v>59.762659470000003</v>
      </c>
      <c r="H37" s="16">
        <v>1.71323274</v>
      </c>
      <c r="I37" s="14" t="s">
        <v>139</v>
      </c>
      <c r="J37" s="16" t="s">
        <v>139</v>
      </c>
      <c r="K37" s="14">
        <v>0</v>
      </c>
      <c r="L37" s="16">
        <v>0</v>
      </c>
      <c r="M37" s="14">
        <v>0</v>
      </c>
      <c r="N37" s="16">
        <v>0</v>
      </c>
      <c r="O37" s="14">
        <v>0</v>
      </c>
      <c r="P37" s="16">
        <v>0</v>
      </c>
      <c r="Q37" s="14">
        <v>0</v>
      </c>
      <c r="R37" s="16">
        <v>0</v>
      </c>
    </row>
    <row r="38" spans="1:18" x14ac:dyDescent="0.25">
      <c r="A38" s="11" t="s">
        <v>171</v>
      </c>
      <c r="B38" s="17" t="s">
        <v>154</v>
      </c>
      <c r="C38" s="17" t="s">
        <v>154</v>
      </c>
      <c r="D38" s="18" t="s">
        <v>154</v>
      </c>
      <c r="E38" s="17" t="s">
        <v>154</v>
      </c>
      <c r="F38" s="18" t="s">
        <v>154</v>
      </c>
      <c r="G38" s="17" t="s">
        <v>154</v>
      </c>
      <c r="H38" s="18" t="s">
        <v>154</v>
      </c>
      <c r="I38" s="17" t="s">
        <v>154</v>
      </c>
      <c r="J38" s="18" t="s">
        <v>154</v>
      </c>
      <c r="K38" s="17" t="s">
        <v>154</v>
      </c>
      <c r="L38" s="18" t="s">
        <v>154</v>
      </c>
      <c r="M38" s="17" t="s">
        <v>154</v>
      </c>
      <c r="N38" s="18" t="s">
        <v>154</v>
      </c>
      <c r="O38" s="17" t="s">
        <v>154</v>
      </c>
      <c r="P38" s="18" t="s">
        <v>154</v>
      </c>
      <c r="Q38" s="17" t="s">
        <v>154</v>
      </c>
      <c r="R38" s="18" t="s">
        <v>154</v>
      </c>
    </row>
    <row r="39" spans="1:18" x14ac:dyDescent="0.25">
      <c r="A39" s="11" t="s">
        <v>172</v>
      </c>
      <c r="B39" s="13">
        <v>5895</v>
      </c>
      <c r="C39" s="14">
        <f>(4868/B39*100)</f>
        <v>82.578456318914334</v>
      </c>
      <c r="D39" s="15">
        <v>1027</v>
      </c>
      <c r="E39" s="14">
        <v>79.131095729999998</v>
      </c>
      <c r="F39" s="16">
        <v>1.59024163</v>
      </c>
      <c r="G39" s="14">
        <v>20.868904270000002</v>
      </c>
      <c r="H39" s="16">
        <v>1.59024163</v>
      </c>
      <c r="I39" s="14" t="s">
        <v>139</v>
      </c>
      <c r="J39" s="16" t="s">
        <v>139</v>
      </c>
      <c r="K39" s="14">
        <v>0</v>
      </c>
      <c r="L39" s="16">
        <v>0</v>
      </c>
      <c r="M39" s="14">
        <v>0</v>
      </c>
      <c r="N39" s="16">
        <v>0</v>
      </c>
      <c r="O39" s="14">
        <v>0</v>
      </c>
      <c r="P39" s="16">
        <v>0</v>
      </c>
      <c r="Q39" s="14">
        <v>0</v>
      </c>
      <c r="R39" s="16">
        <v>0</v>
      </c>
    </row>
    <row r="40" spans="1:18" x14ac:dyDescent="0.25">
      <c r="A40" s="11" t="s">
        <v>173</v>
      </c>
      <c r="B40" s="13">
        <v>14157</v>
      </c>
      <c r="C40" s="14">
        <f>(11783/B40*100)</f>
        <v>83.230910503637773</v>
      </c>
      <c r="D40" s="15">
        <v>2374</v>
      </c>
      <c r="E40" s="14">
        <v>41.346096420000002</v>
      </c>
      <c r="F40" s="16">
        <v>1.6948033899999999</v>
      </c>
      <c r="G40" s="14">
        <v>58.653903579999998</v>
      </c>
      <c r="H40" s="16">
        <v>1.6948033899999999</v>
      </c>
      <c r="I40" s="14" t="s">
        <v>139</v>
      </c>
      <c r="J40" s="16" t="s">
        <v>139</v>
      </c>
      <c r="K40" s="14">
        <v>0</v>
      </c>
      <c r="L40" s="16">
        <v>0</v>
      </c>
      <c r="M40" s="14">
        <v>0</v>
      </c>
      <c r="N40" s="16">
        <v>0</v>
      </c>
      <c r="O40" s="14">
        <v>0</v>
      </c>
      <c r="P40" s="16">
        <v>0</v>
      </c>
      <c r="Q40" s="14">
        <v>0</v>
      </c>
      <c r="R40" s="16">
        <v>0</v>
      </c>
    </row>
    <row r="41" spans="1:18" x14ac:dyDescent="0.25">
      <c r="A41" s="11" t="s">
        <v>174</v>
      </c>
      <c r="B41" s="13">
        <v>5712</v>
      </c>
      <c r="C41" s="14">
        <f>(4777/B41*100)</f>
        <v>83.63095238095238</v>
      </c>
      <c r="D41" s="15">
        <v>935</v>
      </c>
      <c r="E41" s="14">
        <v>40.148421210000002</v>
      </c>
      <c r="F41" s="16">
        <v>2.3726536</v>
      </c>
      <c r="G41" s="14">
        <v>59.851578789999998</v>
      </c>
      <c r="H41" s="16">
        <v>2.3726536</v>
      </c>
      <c r="I41" s="14" t="s">
        <v>139</v>
      </c>
      <c r="J41" s="16" t="s">
        <v>139</v>
      </c>
      <c r="K41" s="14">
        <v>0</v>
      </c>
      <c r="L41" s="16">
        <v>0</v>
      </c>
      <c r="M41" s="14">
        <v>0</v>
      </c>
      <c r="N41" s="16">
        <v>0</v>
      </c>
      <c r="O41" s="14">
        <v>0</v>
      </c>
      <c r="P41" s="16">
        <v>0</v>
      </c>
      <c r="Q41" s="14">
        <v>0</v>
      </c>
      <c r="R41" s="16">
        <v>0</v>
      </c>
    </row>
    <row r="42" spans="1:18" x14ac:dyDescent="0.25">
      <c r="A42" s="11" t="s">
        <v>175</v>
      </c>
      <c r="B42" s="13">
        <f>IF(COUNT(B7:B41) &gt; 0, AVERAGE(B7:B41), "\u2014")</f>
        <v>7266.90625</v>
      </c>
      <c r="C42" s="14">
        <f>IF(COUNT(C7:C41) &gt; 0, AVERAGE(C7:C41), "—")</f>
        <v>83.81629354243708</v>
      </c>
      <c r="D42" s="15">
        <f>IF(COUNT(D7:D41) &gt; 0, AVERAGE(D7:D41), "—")</f>
        <v>1178.1875</v>
      </c>
      <c r="E42" s="14">
        <f>IF(COUNT(E7:E41) &gt; 0, AVERAGE(E7:E41), "—")</f>
        <v>49.642520141874996</v>
      </c>
      <c r="F42" s="16">
        <f>IF(COUNT(F7:F41) &gt; 0, SQRT(SUMSQ(F7:F41)/(COUNT(F7:F41)*COUNT(F7:F41)) ), "—")</f>
        <v>0.29715791637559646</v>
      </c>
      <c r="G42" s="14">
        <f>IF(COUNT(G7:G41) &gt; 0, AVERAGE(G7:G41), "—")</f>
        <v>50.357479858125004</v>
      </c>
      <c r="H42" s="16">
        <f>IF(COUNT(H7:H41) &gt; 0, SQRT(SUMSQ(H7:H41)/(COUNT(H7:H41)*COUNT(H7:H41)) ), "—")</f>
        <v>0.29715791637559646</v>
      </c>
      <c r="I42" s="14" t="str">
        <f>IF(COUNT(I7:I41) &gt; 0, AVERAGE(I7:I41), "—")</f>
        <v>—</v>
      </c>
      <c r="J42" s="16" t="str">
        <f>IF(COUNT(J7:J41) &gt; 0, SQRT(SUMSQ(J7:J41)/(COUNT(J7:J41)*COUNT(J7:J41)) ), "—")</f>
        <v>—</v>
      </c>
      <c r="K42" s="14">
        <f>IF(COUNT(K7:K41) &gt; 0, AVERAGE(K7:K41), "—")</f>
        <v>0</v>
      </c>
      <c r="L42" s="16">
        <f>IF(COUNT(L7:L41) &gt; 0, SQRT(SUMSQ(L7:L41)/(COUNT(L7:L41)*COUNT(L7:L41)) ), "—")</f>
        <v>0</v>
      </c>
      <c r="M42" s="14">
        <f>IF(COUNT(M7:M41) &gt; 0, AVERAGE(M7:M41), "—")</f>
        <v>0</v>
      </c>
      <c r="N42" s="16">
        <f>IF(COUNT(N7:N41) &gt; 0, SQRT(SUMSQ(N7:N41)/(COUNT(N7:N41)*COUNT(N7:N41)) ), "—")</f>
        <v>0</v>
      </c>
      <c r="O42" s="14">
        <f>IF(COUNT(O7:O41) &gt; 0, AVERAGE(O7:O41), "—")</f>
        <v>0</v>
      </c>
      <c r="P42" s="16">
        <f>IF(COUNT(P7:P41) &gt; 0, SQRT(SUMSQ(P7:P41)/(COUNT(P7:P41)*COUNT(P7:P41)) ), "—")</f>
        <v>0</v>
      </c>
      <c r="Q42" s="14">
        <f>IF(COUNT(Q7:Q41) &gt; 0, AVERAGE(Q7:Q41), "—")</f>
        <v>0</v>
      </c>
      <c r="R42" s="16">
        <f>IF(COUNT(R7:R41) &gt; 0, SQRT(SUMSQ(R7:R41)/(COUNT(R7:R41)*COUNT(R7:R41)) ), "—")</f>
        <v>0</v>
      </c>
    </row>
    <row r="43" spans="1:18" x14ac:dyDescent="0.25">
      <c r="A43" s="9" t="s">
        <v>176</v>
      </c>
      <c r="B43" s="10"/>
      <c r="C43" s="10"/>
      <c r="D43" s="11"/>
      <c r="E43" s="10"/>
      <c r="F43" s="11"/>
      <c r="G43" s="10"/>
      <c r="H43" s="11"/>
      <c r="I43" s="10"/>
      <c r="J43" s="11"/>
      <c r="K43" s="10"/>
      <c r="L43" s="11"/>
      <c r="M43" s="10"/>
      <c r="N43" s="11"/>
      <c r="O43" s="10"/>
      <c r="P43" s="11"/>
      <c r="Q43" s="10"/>
      <c r="R43" s="12"/>
    </row>
    <row r="44" spans="1:18" x14ac:dyDescent="0.25">
      <c r="A44" s="11" t="s">
        <v>177</v>
      </c>
      <c r="B44" s="17" t="s">
        <v>154</v>
      </c>
      <c r="C44" s="17" t="s">
        <v>154</v>
      </c>
      <c r="D44" s="18" t="s">
        <v>154</v>
      </c>
      <c r="E44" s="17" t="s">
        <v>154</v>
      </c>
      <c r="F44" s="18" t="s">
        <v>154</v>
      </c>
      <c r="G44" s="17" t="s">
        <v>154</v>
      </c>
      <c r="H44" s="18" t="s">
        <v>154</v>
      </c>
      <c r="I44" s="17" t="s">
        <v>154</v>
      </c>
      <c r="J44" s="18" t="s">
        <v>154</v>
      </c>
      <c r="K44" s="17" t="s">
        <v>154</v>
      </c>
      <c r="L44" s="18" t="s">
        <v>154</v>
      </c>
      <c r="M44" s="17" t="s">
        <v>154</v>
      </c>
      <c r="N44" s="18" t="s">
        <v>154</v>
      </c>
      <c r="O44" s="17" t="s">
        <v>154</v>
      </c>
      <c r="P44" s="18" t="s">
        <v>154</v>
      </c>
      <c r="Q44" s="17" t="s">
        <v>154</v>
      </c>
      <c r="R44" s="18" t="s">
        <v>154</v>
      </c>
    </row>
    <row r="45" spans="1:18" x14ac:dyDescent="0.25">
      <c r="A45" s="11" t="s">
        <v>178</v>
      </c>
      <c r="B45" s="17" t="s">
        <v>154</v>
      </c>
      <c r="C45" s="17" t="s">
        <v>154</v>
      </c>
      <c r="D45" s="18" t="s">
        <v>154</v>
      </c>
      <c r="E45" s="17" t="s">
        <v>154</v>
      </c>
      <c r="F45" s="18" t="s">
        <v>154</v>
      </c>
      <c r="G45" s="17" t="s">
        <v>154</v>
      </c>
      <c r="H45" s="18" t="s">
        <v>154</v>
      </c>
      <c r="I45" s="17" t="s">
        <v>154</v>
      </c>
      <c r="J45" s="18" t="s">
        <v>154</v>
      </c>
      <c r="K45" s="17" t="s">
        <v>154</v>
      </c>
      <c r="L45" s="18" t="s">
        <v>154</v>
      </c>
      <c r="M45" s="17" t="s">
        <v>154</v>
      </c>
      <c r="N45" s="18" t="s">
        <v>154</v>
      </c>
      <c r="O45" s="17" t="s">
        <v>154</v>
      </c>
      <c r="P45" s="18" t="s">
        <v>154</v>
      </c>
      <c r="Q45" s="17" t="s">
        <v>154</v>
      </c>
      <c r="R45" s="18" t="s">
        <v>154</v>
      </c>
    </row>
    <row r="46" spans="1:18" x14ac:dyDescent="0.25">
      <c r="A46" s="11" t="s">
        <v>179</v>
      </c>
      <c r="B46" s="13">
        <v>23141</v>
      </c>
      <c r="C46" s="14">
        <f>(20514/B46*100)</f>
        <v>88.647854457456461</v>
      </c>
      <c r="D46" s="15">
        <v>2627</v>
      </c>
      <c r="E46" s="14">
        <v>77.472134370000006</v>
      </c>
      <c r="F46" s="16">
        <v>1.03250613</v>
      </c>
      <c r="G46" s="14">
        <v>22.527865630000001</v>
      </c>
      <c r="H46" s="16">
        <v>1.03250613</v>
      </c>
      <c r="I46" s="14" t="s">
        <v>139</v>
      </c>
      <c r="J46" s="16" t="s">
        <v>139</v>
      </c>
      <c r="K46" s="14">
        <v>0</v>
      </c>
      <c r="L46" s="16">
        <v>0</v>
      </c>
      <c r="M46" s="14">
        <v>0</v>
      </c>
      <c r="N46" s="16">
        <v>0</v>
      </c>
      <c r="O46" s="14">
        <v>0</v>
      </c>
      <c r="P46" s="16">
        <v>0</v>
      </c>
      <c r="Q46" s="14">
        <v>0</v>
      </c>
      <c r="R46" s="16">
        <v>0</v>
      </c>
    </row>
    <row r="47" spans="1:18" x14ac:dyDescent="0.25">
      <c r="A47" s="11" t="s">
        <v>180</v>
      </c>
      <c r="B47" s="13">
        <v>5928</v>
      </c>
      <c r="C47" s="14">
        <f>(5004/B47*100)</f>
        <v>84.412955465587046</v>
      </c>
      <c r="D47" s="15">
        <v>924</v>
      </c>
      <c r="E47" s="14">
        <v>61.708775500000002</v>
      </c>
      <c r="F47" s="16">
        <v>1.9931596300000001</v>
      </c>
      <c r="G47" s="14">
        <v>38.291224499999998</v>
      </c>
      <c r="H47" s="16">
        <v>1.9931596300000001</v>
      </c>
      <c r="I47" s="14" t="s">
        <v>139</v>
      </c>
      <c r="J47" s="16" t="s">
        <v>139</v>
      </c>
      <c r="K47" s="14">
        <v>0</v>
      </c>
      <c r="L47" s="16">
        <v>0</v>
      </c>
      <c r="M47" s="14">
        <v>0</v>
      </c>
      <c r="N47" s="16">
        <v>0</v>
      </c>
      <c r="O47" s="14">
        <v>0</v>
      </c>
      <c r="P47" s="16">
        <v>0</v>
      </c>
      <c r="Q47" s="14">
        <v>0</v>
      </c>
      <c r="R47" s="16">
        <v>0</v>
      </c>
    </row>
    <row r="48" spans="1:18" x14ac:dyDescent="0.25">
      <c r="A48" s="11" t="s">
        <v>181</v>
      </c>
      <c r="B48" s="13">
        <v>9841</v>
      </c>
      <c r="C48" s="14">
        <f>(8203/B48*100)</f>
        <v>83.355350066050192</v>
      </c>
      <c r="D48" s="15">
        <v>1638</v>
      </c>
      <c r="E48" s="14">
        <v>63.671157559999997</v>
      </c>
      <c r="F48" s="16">
        <v>1.77467891</v>
      </c>
      <c r="G48" s="14">
        <v>36.328842440000003</v>
      </c>
      <c r="H48" s="16">
        <v>1.77467891</v>
      </c>
      <c r="I48" s="14" t="s">
        <v>139</v>
      </c>
      <c r="J48" s="16" t="s">
        <v>139</v>
      </c>
      <c r="K48" s="14">
        <v>0</v>
      </c>
      <c r="L48" s="16">
        <v>0</v>
      </c>
      <c r="M48" s="14">
        <v>0</v>
      </c>
      <c r="N48" s="16">
        <v>0</v>
      </c>
      <c r="O48" s="14">
        <v>0</v>
      </c>
      <c r="P48" s="16">
        <v>0</v>
      </c>
      <c r="Q48" s="14">
        <v>0</v>
      </c>
      <c r="R48" s="16">
        <v>0</v>
      </c>
    </row>
    <row r="49" spans="1:18" x14ac:dyDescent="0.25">
      <c r="A49" s="11" t="s">
        <v>182</v>
      </c>
      <c r="B49" s="17" t="s">
        <v>154</v>
      </c>
      <c r="C49" s="17" t="s">
        <v>154</v>
      </c>
      <c r="D49" s="18" t="s">
        <v>154</v>
      </c>
      <c r="E49" s="17" t="s">
        <v>154</v>
      </c>
      <c r="F49" s="18" t="s">
        <v>154</v>
      </c>
      <c r="G49" s="17" t="s">
        <v>154</v>
      </c>
      <c r="H49" s="18" t="s">
        <v>154</v>
      </c>
      <c r="I49" s="17" t="s">
        <v>154</v>
      </c>
      <c r="J49" s="18" t="s">
        <v>154</v>
      </c>
      <c r="K49" s="17" t="s">
        <v>154</v>
      </c>
      <c r="L49" s="18" t="s">
        <v>154</v>
      </c>
      <c r="M49" s="17" t="s">
        <v>154</v>
      </c>
      <c r="N49" s="18" t="s">
        <v>154</v>
      </c>
      <c r="O49" s="17" t="s">
        <v>154</v>
      </c>
      <c r="P49" s="18" t="s">
        <v>154</v>
      </c>
      <c r="Q49" s="17" t="s">
        <v>154</v>
      </c>
      <c r="R49" s="18" t="s">
        <v>154</v>
      </c>
    </row>
    <row r="50" spans="1:18" x14ac:dyDescent="0.25">
      <c r="A50" s="11" t="s">
        <v>183</v>
      </c>
      <c r="B50" s="13">
        <v>11795</v>
      </c>
      <c r="C50" s="14">
        <f>(9961/B50*100)</f>
        <v>84.451038575667653</v>
      </c>
      <c r="D50" s="15">
        <v>1834</v>
      </c>
      <c r="E50" s="14">
        <v>73.633634040000004</v>
      </c>
      <c r="F50" s="16">
        <v>1.29881402</v>
      </c>
      <c r="G50" s="14">
        <v>26.36636596</v>
      </c>
      <c r="H50" s="16">
        <v>1.29881402</v>
      </c>
      <c r="I50" s="14" t="s">
        <v>139</v>
      </c>
      <c r="J50" s="16" t="s">
        <v>139</v>
      </c>
      <c r="K50" s="14">
        <v>0</v>
      </c>
      <c r="L50" s="16">
        <v>0</v>
      </c>
      <c r="M50" s="14">
        <v>0</v>
      </c>
      <c r="N50" s="16">
        <v>0</v>
      </c>
      <c r="O50" s="14">
        <v>0</v>
      </c>
      <c r="P50" s="16">
        <v>0</v>
      </c>
      <c r="Q50" s="14">
        <v>0</v>
      </c>
      <c r="R50" s="16">
        <v>0</v>
      </c>
    </row>
    <row r="51" spans="1:18" x14ac:dyDescent="0.25">
      <c r="A51" s="11" t="s">
        <v>184</v>
      </c>
      <c r="B51" s="13">
        <v>6866</v>
      </c>
      <c r="C51" s="14">
        <f>(5926/B51*100)</f>
        <v>86.309350422371097</v>
      </c>
      <c r="D51" s="15">
        <v>940</v>
      </c>
      <c r="E51" s="14">
        <v>71.155847120000004</v>
      </c>
      <c r="F51" s="16">
        <v>1.39562579</v>
      </c>
      <c r="G51" s="14">
        <v>28.844152879999999</v>
      </c>
      <c r="H51" s="16">
        <v>1.39562579</v>
      </c>
      <c r="I51" s="14" t="s">
        <v>139</v>
      </c>
      <c r="J51" s="16" t="s">
        <v>139</v>
      </c>
      <c r="K51" s="14">
        <v>0</v>
      </c>
      <c r="L51" s="16">
        <v>0</v>
      </c>
      <c r="M51" s="14">
        <v>0</v>
      </c>
      <c r="N51" s="16">
        <v>0</v>
      </c>
      <c r="O51" s="14">
        <v>0</v>
      </c>
      <c r="P51" s="16">
        <v>0</v>
      </c>
      <c r="Q51" s="14">
        <v>0</v>
      </c>
      <c r="R51" s="16">
        <v>0</v>
      </c>
    </row>
    <row r="52" spans="1:18" x14ac:dyDescent="0.25">
      <c r="A52" s="11" t="s">
        <v>185</v>
      </c>
      <c r="B52" s="13">
        <v>5809</v>
      </c>
      <c r="C52" s="14">
        <f>(4863/B52*100)</f>
        <v>83.714925116198998</v>
      </c>
      <c r="D52" s="15">
        <v>946</v>
      </c>
      <c r="E52" s="14">
        <v>69.767481450000005</v>
      </c>
      <c r="F52" s="16">
        <v>1.6196841799999999</v>
      </c>
      <c r="G52" s="14">
        <v>30.232518550000002</v>
      </c>
      <c r="H52" s="16">
        <v>1.6196841799999999</v>
      </c>
      <c r="I52" s="14" t="s">
        <v>139</v>
      </c>
      <c r="J52" s="16" t="s">
        <v>139</v>
      </c>
      <c r="K52" s="14">
        <v>0</v>
      </c>
      <c r="L52" s="16">
        <v>0</v>
      </c>
      <c r="M52" s="14">
        <v>0</v>
      </c>
      <c r="N52" s="16">
        <v>0</v>
      </c>
      <c r="O52" s="14">
        <v>0</v>
      </c>
      <c r="P52" s="16">
        <v>0</v>
      </c>
      <c r="Q52" s="14">
        <v>0</v>
      </c>
      <c r="R52" s="16">
        <v>0</v>
      </c>
    </row>
    <row r="53" spans="1:18" x14ac:dyDescent="0.25">
      <c r="A53" s="11" t="s">
        <v>186</v>
      </c>
      <c r="B53" s="13">
        <v>5571</v>
      </c>
      <c r="C53" s="14">
        <f>(4698/B53*100)</f>
        <v>84.329563812600966</v>
      </c>
      <c r="D53" s="15">
        <v>873</v>
      </c>
      <c r="E53" s="14">
        <v>60.297987689999999</v>
      </c>
      <c r="F53" s="16">
        <v>1.70899253</v>
      </c>
      <c r="G53" s="14">
        <v>39.702012310000001</v>
      </c>
      <c r="H53" s="16">
        <v>1.70899253</v>
      </c>
      <c r="I53" s="14" t="s">
        <v>139</v>
      </c>
      <c r="J53" s="16" t="s">
        <v>139</v>
      </c>
      <c r="K53" s="14">
        <v>0</v>
      </c>
      <c r="L53" s="16">
        <v>0</v>
      </c>
      <c r="M53" s="14">
        <v>0</v>
      </c>
      <c r="N53" s="16">
        <v>0</v>
      </c>
      <c r="O53" s="14">
        <v>0</v>
      </c>
      <c r="P53" s="16">
        <v>0</v>
      </c>
      <c r="Q53" s="14">
        <v>0</v>
      </c>
      <c r="R53" s="16">
        <v>0</v>
      </c>
    </row>
    <row r="54" spans="1:18" x14ac:dyDescent="0.25">
      <c r="A54" s="11" t="s">
        <v>187</v>
      </c>
      <c r="B54" s="17" t="s">
        <v>154</v>
      </c>
      <c r="C54" s="17" t="s">
        <v>154</v>
      </c>
      <c r="D54" s="18" t="s">
        <v>154</v>
      </c>
      <c r="E54" s="17" t="s">
        <v>154</v>
      </c>
      <c r="F54" s="18" t="s">
        <v>154</v>
      </c>
      <c r="G54" s="17" t="s">
        <v>154</v>
      </c>
      <c r="H54" s="18" t="s">
        <v>154</v>
      </c>
      <c r="I54" s="17" t="s">
        <v>154</v>
      </c>
      <c r="J54" s="18" t="s">
        <v>154</v>
      </c>
      <c r="K54" s="17" t="s">
        <v>154</v>
      </c>
      <c r="L54" s="18" t="s">
        <v>154</v>
      </c>
      <c r="M54" s="17" t="s">
        <v>154</v>
      </c>
      <c r="N54" s="18" t="s">
        <v>154</v>
      </c>
      <c r="O54" s="17" t="s">
        <v>154</v>
      </c>
      <c r="P54" s="18" t="s">
        <v>154</v>
      </c>
      <c r="Q54" s="17" t="s">
        <v>154</v>
      </c>
      <c r="R54" s="18" t="s">
        <v>154</v>
      </c>
    </row>
    <row r="55" spans="1:18" x14ac:dyDescent="0.25">
      <c r="A55" s="11" t="s">
        <v>188</v>
      </c>
      <c r="B55" s="17" t="s">
        <v>154</v>
      </c>
      <c r="C55" s="17" t="s">
        <v>154</v>
      </c>
      <c r="D55" s="18" t="s">
        <v>154</v>
      </c>
      <c r="E55" s="17" t="s">
        <v>154</v>
      </c>
      <c r="F55" s="18" t="s">
        <v>154</v>
      </c>
      <c r="G55" s="17" t="s">
        <v>154</v>
      </c>
      <c r="H55" s="18" t="s">
        <v>154</v>
      </c>
      <c r="I55" s="17" t="s">
        <v>154</v>
      </c>
      <c r="J55" s="18" t="s">
        <v>154</v>
      </c>
      <c r="K55" s="17" t="s">
        <v>154</v>
      </c>
      <c r="L55" s="18" t="s">
        <v>154</v>
      </c>
      <c r="M55" s="17" t="s">
        <v>154</v>
      </c>
      <c r="N55" s="18" t="s">
        <v>154</v>
      </c>
      <c r="O55" s="17" t="s">
        <v>154</v>
      </c>
      <c r="P55" s="18" t="s">
        <v>154</v>
      </c>
      <c r="Q55" s="17" t="s">
        <v>154</v>
      </c>
      <c r="R55" s="18" t="s">
        <v>154</v>
      </c>
    </row>
    <row r="56" spans="1:18" x14ac:dyDescent="0.25">
      <c r="A56" s="11" t="s">
        <v>189</v>
      </c>
      <c r="B56" s="13">
        <v>5359</v>
      </c>
      <c r="C56" s="14">
        <f>(4458/B56*100)</f>
        <v>83.187161783914902</v>
      </c>
      <c r="D56" s="15">
        <v>901</v>
      </c>
      <c r="E56" s="14">
        <v>49.806338349999997</v>
      </c>
      <c r="F56" s="16">
        <v>2.09654753</v>
      </c>
      <c r="G56" s="14">
        <v>50.193661650000003</v>
      </c>
      <c r="H56" s="16">
        <v>2.09654753</v>
      </c>
      <c r="I56" s="14" t="s">
        <v>139</v>
      </c>
      <c r="J56" s="16" t="s">
        <v>139</v>
      </c>
      <c r="K56" s="14">
        <v>0</v>
      </c>
      <c r="L56" s="16">
        <v>0</v>
      </c>
      <c r="M56" s="14">
        <v>0</v>
      </c>
      <c r="N56" s="16">
        <v>0</v>
      </c>
      <c r="O56" s="14">
        <v>0</v>
      </c>
      <c r="P56" s="16">
        <v>0</v>
      </c>
      <c r="Q56" s="14">
        <v>0</v>
      </c>
      <c r="R56" s="16">
        <v>0</v>
      </c>
    </row>
    <row r="57" spans="1:18" x14ac:dyDescent="0.25">
      <c r="A57" s="11" t="s">
        <v>190</v>
      </c>
      <c r="B57" s="17" t="s">
        <v>154</v>
      </c>
      <c r="C57" s="17" t="s">
        <v>154</v>
      </c>
      <c r="D57" s="18" t="s">
        <v>154</v>
      </c>
      <c r="E57" s="17" t="s">
        <v>154</v>
      </c>
      <c r="F57" s="18" t="s">
        <v>154</v>
      </c>
      <c r="G57" s="17" t="s">
        <v>154</v>
      </c>
      <c r="H57" s="18" t="s">
        <v>154</v>
      </c>
      <c r="I57" s="17" t="s">
        <v>154</v>
      </c>
      <c r="J57" s="18" t="s">
        <v>154</v>
      </c>
      <c r="K57" s="17" t="s">
        <v>154</v>
      </c>
      <c r="L57" s="18" t="s">
        <v>154</v>
      </c>
      <c r="M57" s="17" t="s">
        <v>154</v>
      </c>
      <c r="N57" s="18" t="s">
        <v>154</v>
      </c>
      <c r="O57" s="17" t="s">
        <v>154</v>
      </c>
      <c r="P57" s="18" t="s">
        <v>154</v>
      </c>
      <c r="Q57" s="17" t="s">
        <v>154</v>
      </c>
      <c r="R57" s="18" t="s">
        <v>154</v>
      </c>
    </row>
    <row r="58" spans="1:18" x14ac:dyDescent="0.25">
      <c r="A58" s="11" t="s">
        <v>191</v>
      </c>
      <c r="B58" s="17" t="s">
        <v>154</v>
      </c>
      <c r="C58" s="17" t="s">
        <v>154</v>
      </c>
      <c r="D58" s="18" t="s">
        <v>154</v>
      </c>
      <c r="E58" s="17" t="s">
        <v>154</v>
      </c>
      <c r="F58" s="18" t="s">
        <v>154</v>
      </c>
      <c r="G58" s="17" t="s">
        <v>154</v>
      </c>
      <c r="H58" s="18" t="s">
        <v>154</v>
      </c>
      <c r="I58" s="17" t="s">
        <v>154</v>
      </c>
      <c r="J58" s="18" t="s">
        <v>154</v>
      </c>
      <c r="K58" s="17" t="s">
        <v>154</v>
      </c>
      <c r="L58" s="18" t="s">
        <v>154</v>
      </c>
      <c r="M58" s="17" t="s">
        <v>154</v>
      </c>
      <c r="N58" s="18" t="s">
        <v>154</v>
      </c>
      <c r="O58" s="17" t="s">
        <v>154</v>
      </c>
      <c r="P58" s="18" t="s">
        <v>154</v>
      </c>
      <c r="Q58" s="17" t="s">
        <v>154</v>
      </c>
      <c r="R58" s="18" t="s">
        <v>154</v>
      </c>
    </row>
    <row r="59" spans="1:18" x14ac:dyDescent="0.25">
      <c r="A59" s="11" t="s">
        <v>192</v>
      </c>
      <c r="B59" s="17" t="s">
        <v>154</v>
      </c>
      <c r="C59" s="17" t="s">
        <v>154</v>
      </c>
      <c r="D59" s="18" t="s">
        <v>154</v>
      </c>
      <c r="E59" s="17" t="s">
        <v>154</v>
      </c>
      <c r="F59" s="18" t="s">
        <v>154</v>
      </c>
      <c r="G59" s="17" t="s">
        <v>154</v>
      </c>
      <c r="H59" s="18" t="s">
        <v>154</v>
      </c>
      <c r="I59" s="17" t="s">
        <v>154</v>
      </c>
      <c r="J59" s="18" t="s">
        <v>154</v>
      </c>
      <c r="K59" s="17" t="s">
        <v>154</v>
      </c>
      <c r="L59" s="18" t="s">
        <v>154</v>
      </c>
      <c r="M59" s="17" t="s">
        <v>154</v>
      </c>
      <c r="N59" s="18" t="s">
        <v>154</v>
      </c>
      <c r="O59" s="17" t="s">
        <v>154</v>
      </c>
      <c r="P59" s="18" t="s">
        <v>154</v>
      </c>
      <c r="Q59" s="17" t="s">
        <v>154</v>
      </c>
      <c r="R59" s="18" t="s">
        <v>154</v>
      </c>
    </row>
    <row r="60" spans="1:18" x14ac:dyDescent="0.25">
      <c r="A60" s="11" t="s">
        <v>193</v>
      </c>
      <c r="B60" s="17" t="s">
        <v>154</v>
      </c>
      <c r="C60" s="17" t="s">
        <v>154</v>
      </c>
      <c r="D60" s="18" t="s">
        <v>154</v>
      </c>
      <c r="E60" s="17" t="s">
        <v>154</v>
      </c>
      <c r="F60" s="18" t="s">
        <v>154</v>
      </c>
      <c r="G60" s="17" t="s">
        <v>154</v>
      </c>
      <c r="H60" s="18" t="s">
        <v>154</v>
      </c>
      <c r="I60" s="17" t="s">
        <v>154</v>
      </c>
      <c r="J60" s="18" t="s">
        <v>154</v>
      </c>
      <c r="K60" s="17" t="s">
        <v>154</v>
      </c>
      <c r="L60" s="18" t="s">
        <v>154</v>
      </c>
      <c r="M60" s="17" t="s">
        <v>154</v>
      </c>
      <c r="N60" s="18" t="s">
        <v>154</v>
      </c>
      <c r="O60" s="17" t="s">
        <v>154</v>
      </c>
      <c r="P60" s="18" t="s">
        <v>154</v>
      </c>
      <c r="Q60" s="17" t="s">
        <v>154</v>
      </c>
      <c r="R60" s="18" t="s">
        <v>154</v>
      </c>
    </row>
    <row r="61" spans="1:18" x14ac:dyDescent="0.25">
      <c r="A61" s="11" t="s">
        <v>194</v>
      </c>
      <c r="B61" s="13">
        <v>6525</v>
      </c>
      <c r="C61" s="14">
        <f>(5466/B61*100)</f>
        <v>83.770114942528735</v>
      </c>
      <c r="D61" s="15">
        <v>1059</v>
      </c>
      <c r="E61" s="14">
        <v>71.201664710000003</v>
      </c>
      <c r="F61" s="16">
        <v>1.54395685</v>
      </c>
      <c r="G61" s="14">
        <v>28.798335290000001</v>
      </c>
      <c r="H61" s="16">
        <v>1.54395685</v>
      </c>
      <c r="I61" s="14" t="s">
        <v>139</v>
      </c>
      <c r="J61" s="16" t="s">
        <v>139</v>
      </c>
      <c r="K61" s="14">
        <v>0</v>
      </c>
      <c r="L61" s="16">
        <v>0</v>
      </c>
      <c r="M61" s="14">
        <v>0</v>
      </c>
      <c r="N61" s="16">
        <v>0</v>
      </c>
      <c r="O61" s="14">
        <v>0</v>
      </c>
      <c r="P61" s="16">
        <v>0</v>
      </c>
      <c r="Q61" s="14">
        <v>0</v>
      </c>
      <c r="R61" s="16">
        <v>0</v>
      </c>
    </row>
    <row r="62" spans="1:18" x14ac:dyDescent="0.25">
      <c r="A62" s="11" t="s">
        <v>195</v>
      </c>
      <c r="B62" s="13">
        <v>4476</v>
      </c>
      <c r="C62" s="14">
        <f>(3728/B62*100)</f>
        <v>83.288650580875782</v>
      </c>
      <c r="D62" s="15">
        <v>748</v>
      </c>
      <c r="E62" s="14">
        <v>52.070830260000001</v>
      </c>
      <c r="F62" s="16">
        <v>1.6077078499999999</v>
      </c>
      <c r="G62" s="14">
        <v>47.929169739999999</v>
      </c>
      <c r="H62" s="16">
        <v>1.6077078499999999</v>
      </c>
      <c r="I62" s="14" t="s">
        <v>139</v>
      </c>
      <c r="J62" s="16" t="s">
        <v>139</v>
      </c>
      <c r="K62" s="14">
        <v>0</v>
      </c>
      <c r="L62" s="16">
        <v>0</v>
      </c>
      <c r="M62" s="14">
        <v>0</v>
      </c>
      <c r="N62" s="16">
        <v>0</v>
      </c>
      <c r="O62" s="14">
        <v>0</v>
      </c>
      <c r="P62" s="16">
        <v>0</v>
      </c>
      <c r="Q62" s="14">
        <v>0</v>
      </c>
      <c r="R62" s="16">
        <v>0</v>
      </c>
    </row>
    <row r="63" spans="1:18" x14ac:dyDescent="0.25">
      <c r="A63" s="11" t="s">
        <v>196</v>
      </c>
      <c r="B63" s="17" t="s">
        <v>154</v>
      </c>
      <c r="C63" s="17" t="s">
        <v>154</v>
      </c>
      <c r="D63" s="18" t="s">
        <v>154</v>
      </c>
      <c r="E63" s="17" t="s">
        <v>154</v>
      </c>
      <c r="F63" s="18" t="s">
        <v>154</v>
      </c>
      <c r="G63" s="17" t="s">
        <v>154</v>
      </c>
      <c r="H63" s="18" t="s">
        <v>154</v>
      </c>
      <c r="I63" s="17" t="s">
        <v>154</v>
      </c>
      <c r="J63" s="18" t="s">
        <v>154</v>
      </c>
      <c r="K63" s="17" t="s">
        <v>154</v>
      </c>
      <c r="L63" s="18" t="s">
        <v>154</v>
      </c>
      <c r="M63" s="17" t="s">
        <v>154</v>
      </c>
      <c r="N63" s="18" t="s">
        <v>154</v>
      </c>
      <c r="O63" s="17" t="s">
        <v>154</v>
      </c>
      <c r="P63" s="18" t="s">
        <v>154</v>
      </c>
      <c r="Q63" s="17" t="s">
        <v>154</v>
      </c>
      <c r="R63" s="18" t="s">
        <v>154</v>
      </c>
    </row>
    <row r="64" spans="1:18" x14ac:dyDescent="0.25">
      <c r="A64" s="11" t="s">
        <v>197</v>
      </c>
      <c r="B64" s="17" t="s">
        <v>154</v>
      </c>
      <c r="C64" s="17" t="s">
        <v>154</v>
      </c>
      <c r="D64" s="18" t="s">
        <v>154</v>
      </c>
      <c r="E64" s="17" t="s">
        <v>154</v>
      </c>
      <c r="F64" s="18" t="s">
        <v>154</v>
      </c>
      <c r="G64" s="17" t="s">
        <v>154</v>
      </c>
      <c r="H64" s="18" t="s">
        <v>154</v>
      </c>
      <c r="I64" s="17" t="s">
        <v>154</v>
      </c>
      <c r="J64" s="18" t="s">
        <v>154</v>
      </c>
      <c r="K64" s="17" t="s">
        <v>154</v>
      </c>
      <c r="L64" s="18" t="s">
        <v>154</v>
      </c>
      <c r="M64" s="17" t="s">
        <v>154</v>
      </c>
      <c r="N64" s="18" t="s">
        <v>154</v>
      </c>
      <c r="O64" s="17" t="s">
        <v>154</v>
      </c>
      <c r="P64" s="18" t="s">
        <v>154</v>
      </c>
      <c r="Q64" s="17" t="s">
        <v>154</v>
      </c>
      <c r="R64" s="18" t="s">
        <v>154</v>
      </c>
    </row>
    <row r="65" spans="1:18" x14ac:dyDescent="0.25">
      <c r="A65" s="11" t="s">
        <v>198</v>
      </c>
      <c r="B65" s="17" t="s">
        <v>154</v>
      </c>
      <c r="C65" s="17" t="s">
        <v>154</v>
      </c>
      <c r="D65" s="18" t="s">
        <v>154</v>
      </c>
      <c r="E65" s="17" t="s">
        <v>154</v>
      </c>
      <c r="F65" s="18" t="s">
        <v>154</v>
      </c>
      <c r="G65" s="17" t="s">
        <v>154</v>
      </c>
      <c r="H65" s="18" t="s">
        <v>154</v>
      </c>
      <c r="I65" s="17" t="s">
        <v>154</v>
      </c>
      <c r="J65" s="18" t="s">
        <v>154</v>
      </c>
      <c r="K65" s="17" t="s">
        <v>154</v>
      </c>
      <c r="L65" s="18" t="s">
        <v>154</v>
      </c>
      <c r="M65" s="17" t="s">
        <v>154</v>
      </c>
      <c r="N65" s="18" t="s">
        <v>154</v>
      </c>
      <c r="O65" s="17" t="s">
        <v>154</v>
      </c>
      <c r="P65" s="18" t="s">
        <v>154</v>
      </c>
      <c r="Q65" s="17" t="s">
        <v>154</v>
      </c>
      <c r="R65" s="18" t="s">
        <v>154</v>
      </c>
    </row>
    <row r="66" spans="1:18" x14ac:dyDescent="0.25">
      <c r="A66" s="11" t="s">
        <v>199</v>
      </c>
      <c r="B66" s="13">
        <v>5665</v>
      </c>
      <c r="C66" s="14">
        <f>(4780/B66*100)</f>
        <v>84.377758164165925</v>
      </c>
      <c r="D66" s="15">
        <v>885</v>
      </c>
      <c r="E66" s="14">
        <v>74.596317760000005</v>
      </c>
      <c r="F66" s="16">
        <v>1.4485664899999999</v>
      </c>
      <c r="G66" s="14">
        <v>25.403682239999998</v>
      </c>
      <c r="H66" s="16">
        <v>1.4485664899999999</v>
      </c>
      <c r="I66" s="14" t="s">
        <v>139</v>
      </c>
      <c r="J66" s="16" t="s">
        <v>139</v>
      </c>
      <c r="K66" s="14">
        <v>0</v>
      </c>
      <c r="L66" s="16">
        <v>0</v>
      </c>
      <c r="M66" s="14">
        <v>0</v>
      </c>
      <c r="N66" s="16">
        <v>0</v>
      </c>
      <c r="O66" s="14">
        <v>0</v>
      </c>
      <c r="P66" s="16">
        <v>0</v>
      </c>
      <c r="Q66" s="14">
        <v>0</v>
      </c>
      <c r="R66" s="16">
        <v>0</v>
      </c>
    </row>
    <row r="67" spans="1:18" x14ac:dyDescent="0.25">
      <c r="A67" s="11" t="s">
        <v>200</v>
      </c>
      <c r="B67" s="13">
        <v>6971</v>
      </c>
      <c r="C67" s="14">
        <f>(6035/B67*100)</f>
        <v>86.572945058097844</v>
      </c>
      <c r="D67" s="15">
        <v>936</v>
      </c>
      <c r="E67" s="14">
        <v>78.158508389999994</v>
      </c>
      <c r="F67" s="16">
        <v>1.69832831</v>
      </c>
      <c r="G67" s="14">
        <v>21.841491609999999</v>
      </c>
      <c r="H67" s="16">
        <v>1.69832831</v>
      </c>
      <c r="I67" s="14" t="s">
        <v>139</v>
      </c>
      <c r="J67" s="16" t="s">
        <v>139</v>
      </c>
      <c r="K67" s="14">
        <v>0</v>
      </c>
      <c r="L67" s="16">
        <v>0</v>
      </c>
      <c r="M67" s="14">
        <v>0</v>
      </c>
      <c r="N67" s="16">
        <v>0</v>
      </c>
      <c r="O67" s="14">
        <v>0</v>
      </c>
      <c r="P67" s="16">
        <v>0</v>
      </c>
      <c r="Q67" s="14">
        <v>0</v>
      </c>
      <c r="R67" s="16">
        <v>0</v>
      </c>
    </row>
    <row r="68" spans="1:18" x14ac:dyDescent="0.25">
      <c r="A68" s="11" t="s">
        <v>201</v>
      </c>
      <c r="B68" s="17" t="s">
        <v>154</v>
      </c>
      <c r="C68" s="17" t="s">
        <v>154</v>
      </c>
      <c r="D68" s="18" t="s">
        <v>154</v>
      </c>
      <c r="E68" s="17" t="s">
        <v>154</v>
      </c>
      <c r="F68" s="18" t="s">
        <v>154</v>
      </c>
      <c r="G68" s="17" t="s">
        <v>154</v>
      </c>
      <c r="H68" s="18" t="s">
        <v>154</v>
      </c>
      <c r="I68" s="17" t="s">
        <v>154</v>
      </c>
      <c r="J68" s="18" t="s">
        <v>154</v>
      </c>
      <c r="K68" s="17" t="s">
        <v>154</v>
      </c>
      <c r="L68" s="18" t="s">
        <v>154</v>
      </c>
      <c r="M68" s="17" t="s">
        <v>154</v>
      </c>
      <c r="N68" s="18" t="s">
        <v>154</v>
      </c>
      <c r="O68" s="17" t="s">
        <v>154</v>
      </c>
      <c r="P68" s="18" t="s">
        <v>154</v>
      </c>
      <c r="Q68" s="17" t="s">
        <v>154</v>
      </c>
      <c r="R68" s="18" t="s">
        <v>154</v>
      </c>
    </row>
    <row r="69" spans="1:18" x14ac:dyDescent="0.25">
      <c r="A69" s="11" t="s">
        <v>202</v>
      </c>
      <c r="B69" s="17" t="s">
        <v>154</v>
      </c>
      <c r="C69" s="17" t="s">
        <v>154</v>
      </c>
      <c r="D69" s="18" t="s">
        <v>154</v>
      </c>
      <c r="E69" s="17" t="s">
        <v>154</v>
      </c>
      <c r="F69" s="18" t="s">
        <v>154</v>
      </c>
      <c r="G69" s="17" t="s">
        <v>154</v>
      </c>
      <c r="H69" s="18" t="s">
        <v>154</v>
      </c>
      <c r="I69" s="17" t="s">
        <v>154</v>
      </c>
      <c r="J69" s="18" t="s">
        <v>154</v>
      </c>
      <c r="K69" s="17" t="s">
        <v>154</v>
      </c>
      <c r="L69" s="18" t="s">
        <v>154</v>
      </c>
      <c r="M69" s="17" t="s">
        <v>154</v>
      </c>
      <c r="N69" s="18" t="s">
        <v>154</v>
      </c>
      <c r="O69" s="17" t="s">
        <v>154</v>
      </c>
      <c r="P69" s="18" t="s">
        <v>154</v>
      </c>
      <c r="Q69" s="17" t="s">
        <v>154</v>
      </c>
      <c r="R69" s="18" t="s">
        <v>154</v>
      </c>
    </row>
    <row r="70" spans="1:18" x14ac:dyDescent="0.25">
      <c r="A70" s="11" t="s">
        <v>203</v>
      </c>
      <c r="B70" s="13">
        <v>6036</v>
      </c>
      <c r="C70" s="14">
        <f>(5064/B70*100)</f>
        <v>83.896620278330019</v>
      </c>
      <c r="D70" s="15">
        <v>972</v>
      </c>
      <c r="E70" s="14">
        <v>63.40257398</v>
      </c>
      <c r="F70" s="16">
        <v>2.1478850199999999</v>
      </c>
      <c r="G70" s="14">
        <v>36.59742602</v>
      </c>
      <c r="H70" s="16">
        <v>2.1478850199999999</v>
      </c>
      <c r="I70" s="14" t="s">
        <v>139</v>
      </c>
      <c r="J70" s="16" t="s">
        <v>139</v>
      </c>
      <c r="K70" s="14">
        <v>0</v>
      </c>
      <c r="L70" s="16">
        <v>0</v>
      </c>
      <c r="M70" s="14">
        <v>0</v>
      </c>
      <c r="N70" s="16">
        <v>0</v>
      </c>
      <c r="O70" s="14">
        <v>0</v>
      </c>
      <c r="P70" s="16">
        <v>0</v>
      </c>
      <c r="Q70" s="14">
        <v>0</v>
      </c>
      <c r="R70" s="16">
        <v>0</v>
      </c>
    </row>
    <row r="71" spans="1:18" x14ac:dyDescent="0.25">
      <c r="A71" s="11" t="s">
        <v>204</v>
      </c>
      <c r="B71" s="17" t="s">
        <v>154</v>
      </c>
      <c r="C71" s="17" t="s">
        <v>154</v>
      </c>
      <c r="D71" s="18" t="s">
        <v>154</v>
      </c>
      <c r="E71" s="17" t="s">
        <v>154</v>
      </c>
      <c r="F71" s="18" t="s">
        <v>154</v>
      </c>
      <c r="G71" s="17" t="s">
        <v>154</v>
      </c>
      <c r="H71" s="18" t="s">
        <v>154</v>
      </c>
      <c r="I71" s="17" t="s">
        <v>154</v>
      </c>
      <c r="J71" s="18" t="s">
        <v>154</v>
      </c>
      <c r="K71" s="17" t="s">
        <v>154</v>
      </c>
      <c r="L71" s="18" t="s">
        <v>154</v>
      </c>
      <c r="M71" s="17" t="s">
        <v>154</v>
      </c>
      <c r="N71" s="18" t="s">
        <v>154</v>
      </c>
      <c r="O71" s="17" t="s">
        <v>154</v>
      </c>
      <c r="P71" s="18" t="s">
        <v>154</v>
      </c>
      <c r="Q71" s="17" t="s">
        <v>154</v>
      </c>
      <c r="R71" s="18" t="s">
        <v>154</v>
      </c>
    </row>
    <row r="72" spans="1:18" x14ac:dyDescent="0.25">
      <c r="A72" s="11" t="s">
        <v>205</v>
      </c>
      <c r="B72" s="13">
        <v>7708</v>
      </c>
      <c r="C72" s="14">
        <f>(6371/B72*100)</f>
        <v>82.654385054488841</v>
      </c>
      <c r="D72" s="15">
        <v>1337</v>
      </c>
      <c r="E72" s="14">
        <v>50.421766460000001</v>
      </c>
      <c r="F72" s="16">
        <v>1.4227102</v>
      </c>
      <c r="G72" s="14">
        <v>49.578233539999999</v>
      </c>
      <c r="H72" s="16">
        <v>1.4227102</v>
      </c>
      <c r="I72" s="14" t="s">
        <v>139</v>
      </c>
      <c r="J72" s="16" t="s">
        <v>139</v>
      </c>
      <c r="K72" s="14">
        <v>0</v>
      </c>
      <c r="L72" s="16">
        <v>0</v>
      </c>
      <c r="M72" s="14">
        <v>0</v>
      </c>
      <c r="N72" s="16">
        <v>0</v>
      </c>
      <c r="O72" s="14">
        <v>0</v>
      </c>
      <c r="P72" s="16">
        <v>0</v>
      </c>
      <c r="Q72" s="14">
        <v>0</v>
      </c>
      <c r="R72" s="16">
        <v>0</v>
      </c>
    </row>
    <row r="73" spans="1:18" x14ac:dyDescent="0.25">
      <c r="A73" s="11" t="s">
        <v>206</v>
      </c>
      <c r="B73" s="13">
        <v>8249</v>
      </c>
      <c r="C73" s="14">
        <f>(7002/B73*100)</f>
        <v>84.883016123166442</v>
      </c>
      <c r="D73" s="15">
        <v>1247</v>
      </c>
      <c r="E73" s="14">
        <v>74.07148291</v>
      </c>
      <c r="F73" s="16">
        <v>1.69852895</v>
      </c>
      <c r="G73" s="14">
        <v>25.92851709</v>
      </c>
      <c r="H73" s="16">
        <v>1.69852895</v>
      </c>
      <c r="I73" s="14" t="s">
        <v>139</v>
      </c>
      <c r="J73" s="16" t="s">
        <v>139</v>
      </c>
      <c r="K73" s="14">
        <v>0</v>
      </c>
      <c r="L73" s="16">
        <v>0</v>
      </c>
      <c r="M73" s="14">
        <v>0</v>
      </c>
      <c r="N73" s="16">
        <v>0</v>
      </c>
      <c r="O73" s="14">
        <v>0</v>
      </c>
      <c r="P73" s="16">
        <v>0</v>
      </c>
      <c r="Q73" s="14">
        <v>0</v>
      </c>
      <c r="R73" s="16">
        <v>0</v>
      </c>
    </row>
    <row r="74" spans="1:18" x14ac:dyDescent="0.25">
      <c r="A74" s="11" t="s">
        <v>207</v>
      </c>
      <c r="B74" s="17" t="s">
        <v>154</v>
      </c>
      <c r="C74" s="17" t="s">
        <v>154</v>
      </c>
      <c r="D74" s="18" t="s">
        <v>154</v>
      </c>
      <c r="E74" s="17" t="s">
        <v>154</v>
      </c>
      <c r="F74" s="18" t="s">
        <v>154</v>
      </c>
      <c r="G74" s="17" t="s">
        <v>154</v>
      </c>
      <c r="H74" s="18" t="s">
        <v>154</v>
      </c>
      <c r="I74" s="17" t="s">
        <v>154</v>
      </c>
      <c r="J74" s="18" t="s">
        <v>154</v>
      </c>
      <c r="K74" s="17" t="s">
        <v>154</v>
      </c>
      <c r="L74" s="18" t="s">
        <v>154</v>
      </c>
      <c r="M74" s="17" t="s">
        <v>154</v>
      </c>
      <c r="N74" s="18" t="s">
        <v>154</v>
      </c>
      <c r="O74" s="17" t="s">
        <v>154</v>
      </c>
      <c r="P74" s="18" t="s">
        <v>154</v>
      </c>
      <c r="Q74" s="17" t="s">
        <v>154</v>
      </c>
      <c r="R74" s="18" t="s">
        <v>154</v>
      </c>
    </row>
    <row r="75" spans="1:18" x14ac:dyDescent="0.25">
      <c r="A75" s="11" t="s">
        <v>208</v>
      </c>
      <c r="B75" s="13">
        <v>5375</v>
      </c>
      <c r="C75" s="14">
        <f>(4601/B75*100)</f>
        <v>85.6</v>
      </c>
      <c r="D75" s="15">
        <v>774</v>
      </c>
      <c r="E75" s="14">
        <v>73.670242579999993</v>
      </c>
      <c r="F75" s="16">
        <v>1.7230152000000001</v>
      </c>
      <c r="G75" s="14">
        <v>26.32975742</v>
      </c>
      <c r="H75" s="16">
        <v>1.7230152000000001</v>
      </c>
      <c r="I75" s="14" t="s">
        <v>139</v>
      </c>
      <c r="J75" s="16" t="s">
        <v>139</v>
      </c>
      <c r="K75" s="14">
        <v>0</v>
      </c>
      <c r="L75" s="16">
        <v>0</v>
      </c>
      <c r="M75" s="14">
        <v>0</v>
      </c>
      <c r="N75" s="16">
        <v>0</v>
      </c>
      <c r="O75" s="14">
        <v>0</v>
      </c>
      <c r="P75" s="16">
        <v>0</v>
      </c>
      <c r="Q75" s="14">
        <v>0</v>
      </c>
      <c r="R75" s="16">
        <v>0</v>
      </c>
    </row>
    <row r="76" spans="1:18" x14ac:dyDescent="0.25">
      <c r="A76" s="11" t="s">
        <v>209</v>
      </c>
      <c r="B76" s="13">
        <v>14167</v>
      </c>
      <c r="C76" s="14">
        <f>(11797/B76*100)</f>
        <v>83.270981859250369</v>
      </c>
      <c r="D76" s="15">
        <v>2370</v>
      </c>
      <c r="E76" s="14">
        <v>72.527487899999997</v>
      </c>
      <c r="F76" s="16">
        <v>1.1766013</v>
      </c>
      <c r="G76" s="14">
        <v>27.472512099999999</v>
      </c>
      <c r="H76" s="16">
        <v>1.1766013</v>
      </c>
      <c r="I76" s="14" t="s">
        <v>139</v>
      </c>
      <c r="J76" s="16" t="s">
        <v>139</v>
      </c>
      <c r="K76" s="14">
        <v>0</v>
      </c>
      <c r="L76" s="16">
        <v>0</v>
      </c>
      <c r="M76" s="14">
        <v>0</v>
      </c>
      <c r="N76" s="16">
        <v>0</v>
      </c>
      <c r="O76" s="14">
        <v>0</v>
      </c>
      <c r="P76" s="16">
        <v>0</v>
      </c>
      <c r="Q76" s="14">
        <v>0</v>
      </c>
      <c r="R76" s="16">
        <v>0</v>
      </c>
    </row>
    <row r="77" spans="1:18" x14ac:dyDescent="0.25">
      <c r="A77" s="11" t="s">
        <v>210</v>
      </c>
      <c r="B77" s="13">
        <v>6062</v>
      </c>
      <c r="C77" s="14">
        <f>(5164/B77*100)</f>
        <v>85.186407126360947</v>
      </c>
      <c r="D77" s="15">
        <v>898</v>
      </c>
      <c r="E77" s="14">
        <v>70.792540639999999</v>
      </c>
      <c r="F77" s="16">
        <v>1.57952848</v>
      </c>
      <c r="G77" s="14">
        <v>29.207459360000001</v>
      </c>
      <c r="H77" s="16">
        <v>1.57952848</v>
      </c>
      <c r="I77" s="14" t="s">
        <v>139</v>
      </c>
      <c r="J77" s="16" t="s">
        <v>139</v>
      </c>
      <c r="K77" s="14">
        <v>0</v>
      </c>
      <c r="L77" s="16">
        <v>0</v>
      </c>
      <c r="M77" s="14">
        <v>0</v>
      </c>
      <c r="N77" s="16">
        <v>0</v>
      </c>
      <c r="O77" s="14">
        <v>0</v>
      </c>
      <c r="P77" s="16">
        <v>0</v>
      </c>
      <c r="Q77" s="14">
        <v>0</v>
      </c>
      <c r="R77" s="16">
        <v>0</v>
      </c>
    </row>
    <row r="78" spans="1:18" x14ac:dyDescent="0.25">
      <c r="A78" s="11" t="s">
        <v>211</v>
      </c>
      <c r="B78" s="17" t="s">
        <v>154</v>
      </c>
      <c r="C78" s="17" t="s">
        <v>154</v>
      </c>
      <c r="D78" s="18" t="s">
        <v>154</v>
      </c>
      <c r="E78" s="17" t="s">
        <v>154</v>
      </c>
      <c r="F78" s="18" t="s">
        <v>154</v>
      </c>
      <c r="G78" s="17" t="s">
        <v>154</v>
      </c>
      <c r="H78" s="18" t="s">
        <v>154</v>
      </c>
      <c r="I78" s="17" t="s">
        <v>154</v>
      </c>
      <c r="J78" s="18" t="s">
        <v>154</v>
      </c>
      <c r="K78" s="17" t="s">
        <v>154</v>
      </c>
      <c r="L78" s="18" t="s">
        <v>154</v>
      </c>
      <c r="M78" s="17" t="s">
        <v>154</v>
      </c>
      <c r="N78" s="18" t="s">
        <v>154</v>
      </c>
      <c r="O78" s="17" t="s">
        <v>154</v>
      </c>
      <c r="P78" s="18" t="s">
        <v>154</v>
      </c>
      <c r="Q78" s="17" t="s">
        <v>154</v>
      </c>
      <c r="R78" s="18" t="s">
        <v>154</v>
      </c>
    </row>
    <row r="79" spans="1:18" ht="24.95" customHeight="1" x14ac:dyDescent="0.25">
      <c r="A79" s="11" t="s">
        <v>212</v>
      </c>
      <c r="B79" s="17" t="s">
        <v>154</v>
      </c>
      <c r="C79" s="17" t="s">
        <v>154</v>
      </c>
      <c r="D79" s="18" t="s">
        <v>154</v>
      </c>
      <c r="E79" s="17" t="s">
        <v>154</v>
      </c>
      <c r="F79" s="18" t="s">
        <v>154</v>
      </c>
      <c r="G79" s="17" t="s">
        <v>154</v>
      </c>
      <c r="H79" s="18" t="s">
        <v>154</v>
      </c>
      <c r="I79" s="17" t="s">
        <v>154</v>
      </c>
      <c r="J79" s="18" t="s">
        <v>154</v>
      </c>
      <c r="K79" s="17" t="s">
        <v>154</v>
      </c>
      <c r="L79" s="18" t="s">
        <v>154</v>
      </c>
      <c r="M79" s="17" t="s">
        <v>154</v>
      </c>
      <c r="N79" s="18" t="s">
        <v>154</v>
      </c>
      <c r="O79" s="17" t="s">
        <v>154</v>
      </c>
      <c r="P79" s="18" t="s">
        <v>154</v>
      </c>
      <c r="Q79" s="17" t="s">
        <v>154</v>
      </c>
      <c r="R79" s="18" t="s">
        <v>154</v>
      </c>
    </row>
    <row r="80" spans="1:18" x14ac:dyDescent="0.25">
      <c r="A80" s="11" t="s">
        <v>213</v>
      </c>
      <c r="B80" s="17" t="s">
        <v>154</v>
      </c>
      <c r="C80" s="17" t="s">
        <v>154</v>
      </c>
      <c r="D80" s="18" t="s">
        <v>154</v>
      </c>
      <c r="E80" s="17" t="s">
        <v>154</v>
      </c>
      <c r="F80" s="18" t="s">
        <v>154</v>
      </c>
      <c r="G80" s="17" t="s">
        <v>154</v>
      </c>
      <c r="H80" s="18" t="s">
        <v>154</v>
      </c>
      <c r="I80" s="17" t="s">
        <v>154</v>
      </c>
      <c r="J80" s="18" t="s">
        <v>154</v>
      </c>
      <c r="K80" s="17" t="s">
        <v>154</v>
      </c>
      <c r="L80" s="18" t="s">
        <v>154</v>
      </c>
      <c r="M80" s="17" t="s">
        <v>154</v>
      </c>
      <c r="N80" s="18" t="s">
        <v>154</v>
      </c>
      <c r="O80" s="17" t="s">
        <v>154</v>
      </c>
      <c r="P80" s="18" t="s">
        <v>154</v>
      </c>
      <c r="Q80" s="17" t="s">
        <v>154</v>
      </c>
      <c r="R80" s="18" t="s">
        <v>154</v>
      </c>
    </row>
    <row r="81" spans="1:18" x14ac:dyDescent="0.25">
      <c r="A81" s="19" t="s">
        <v>214</v>
      </c>
      <c r="B81" s="13">
        <v>8861</v>
      </c>
      <c r="C81" s="14">
        <f>(7377/B81*100)</f>
        <v>83.252454576232921</v>
      </c>
      <c r="D81" s="15">
        <v>1484</v>
      </c>
      <c r="E81" s="14">
        <v>64.532320690000006</v>
      </c>
      <c r="F81" s="16">
        <v>1.3288374700000001</v>
      </c>
      <c r="G81" s="14">
        <v>35.467679310000001</v>
      </c>
      <c r="H81" s="16">
        <v>1.3288374700000001</v>
      </c>
      <c r="I81" s="14" t="s">
        <v>139</v>
      </c>
      <c r="J81" s="16" t="s">
        <v>139</v>
      </c>
      <c r="K81" s="14">
        <v>0</v>
      </c>
      <c r="L81" s="16">
        <v>0</v>
      </c>
      <c r="M81" s="14">
        <v>0</v>
      </c>
      <c r="N81" s="16">
        <v>0</v>
      </c>
      <c r="O81" s="14">
        <v>0</v>
      </c>
      <c r="P81" s="16">
        <v>0</v>
      </c>
      <c r="Q81" s="14">
        <v>0</v>
      </c>
      <c r="R81" s="16">
        <v>0</v>
      </c>
    </row>
    <row r="82" spans="1:18" x14ac:dyDescent="0.25">
      <c r="A82" s="20"/>
      <c r="B82" s="20" t="s">
        <v>215</v>
      </c>
      <c r="C82" s="20" t="s">
        <v>215</v>
      </c>
      <c r="D82" s="20" t="s">
        <v>215</v>
      </c>
      <c r="E82" s="20" t="s">
        <v>215</v>
      </c>
      <c r="F82" s="20" t="s">
        <v>215</v>
      </c>
      <c r="G82" s="20" t="s">
        <v>215</v>
      </c>
      <c r="H82" s="20" t="s">
        <v>215</v>
      </c>
      <c r="I82" s="20" t="s">
        <v>215</v>
      </c>
      <c r="J82" s="20" t="s">
        <v>215</v>
      </c>
      <c r="K82" s="20" t="s">
        <v>215</v>
      </c>
      <c r="L82" s="20" t="s">
        <v>215</v>
      </c>
      <c r="M82" s="20" t="s">
        <v>215</v>
      </c>
      <c r="N82" s="20" t="s">
        <v>215</v>
      </c>
      <c r="O82" s="20" t="s">
        <v>215</v>
      </c>
      <c r="P82" s="20" t="s">
        <v>215</v>
      </c>
      <c r="Q82" s="20" t="s">
        <v>215</v>
      </c>
      <c r="R82" s="20" t="s">
        <v>215</v>
      </c>
    </row>
    <row r="83" spans="1:18" x14ac:dyDescent="0.25">
      <c r="A83" s="3" t="s">
        <v>216</v>
      </c>
    </row>
    <row r="84" spans="1:18" x14ac:dyDescent="0.25">
      <c r="A84" s="22" t="s">
        <v>217</v>
      </c>
      <c r="B84" s="23"/>
      <c r="C84" s="23"/>
      <c r="D84" s="23"/>
      <c r="E84" s="23"/>
      <c r="F84" s="23"/>
      <c r="G84" s="23"/>
      <c r="H84" s="23"/>
      <c r="I84" s="23"/>
      <c r="J84" s="23"/>
      <c r="K84" s="23"/>
      <c r="L84" s="23"/>
      <c r="M84" s="23"/>
      <c r="N84" s="23"/>
      <c r="O84" s="23"/>
      <c r="P84" s="23"/>
      <c r="Q84" s="23"/>
      <c r="R84" s="23"/>
    </row>
    <row r="85" spans="1:18" x14ac:dyDescent="0.25">
      <c r="A85" s="22" t="s">
        <v>218</v>
      </c>
      <c r="B85" s="23"/>
      <c r="C85" s="23"/>
      <c r="D85" s="23"/>
      <c r="E85" s="23"/>
      <c r="F85" s="23"/>
      <c r="G85" s="23"/>
      <c r="H85" s="23"/>
      <c r="I85" s="23"/>
      <c r="J85" s="23"/>
      <c r="K85" s="23"/>
      <c r="L85" s="23"/>
      <c r="M85" s="23"/>
      <c r="N85" s="23"/>
      <c r="O85" s="23"/>
      <c r="P85" s="23"/>
      <c r="Q85" s="23"/>
      <c r="R85" s="23"/>
    </row>
    <row r="86" spans="1:18" ht="30" customHeight="1" x14ac:dyDescent="0.25">
      <c r="A86" s="22" t="s">
        <v>219</v>
      </c>
      <c r="B86" s="23"/>
      <c r="C86" s="23"/>
      <c r="D86" s="23"/>
      <c r="E86" s="23"/>
      <c r="F86" s="23"/>
      <c r="G86" s="23"/>
      <c r="H86" s="23"/>
      <c r="I86" s="23"/>
      <c r="J86" s="23"/>
      <c r="K86" s="23"/>
      <c r="L86" s="23"/>
      <c r="M86" s="23"/>
      <c r="N86" s="23"/>
      <c r="O86" s="23"/>
      <c r="P86" s="23"/>
      <c r="Q86" s="23"/>
      <c r="R86" s="23"/>
    </row>
    <row r="87" spans="1:18" ht="30" customHeight="1" x14ac:dyDescent="0.25">
      <c r="A87" s="22" t="s">
        <v>215</v>
      </c>
      <c r="B87" s="23"/>
      <c r="C87" s="23"/>
      <c r="D87" s="23"/>
      <c r="E87" s="23"/>
      <c r="F87" s="23"/>
      <c r="G87" s="23"/>
      <c r="H87" s="23"/>
      <c r="I87" s="23"/>
      <c r="J87" s="23"/>
      <c r="K87" s="23"/>
      <c r="L87" s="23"/>
      <c r="M87" s="23"/>
      <c r="N87" s="23"/>
      <c r="O87" s="23"/>
      <c r="P87" s="23"/>
      <c r="Q87" s="23"/>
      <c r="R87" s="23"/>
    </row>
    <row r="88" spans="1:18" ht="30" customHeight="1" x14ac:dyDescent="0.25">
      <c r="A88" s="22" t="s">
        <v>220</v>
      </c>
      <c r="B88" s="23"/>
      <c r="C88" s="23"/>
      <c r="D88" s="23"/>
      <c r="E88" s="23"/>
      <c r="F88" s="23"/>
      <c r="G88" s="23"/>
      <c r="H88" s="23"/>
      <c r="I88" s="23"/>
      <c r="J88" s="23"/>
      <c r="K88" s="23"/>
      <c r="L88" s="23"/>
      <c r="M88" s="23"/>
      <c r="N88" s="23"/>
      <c r="O88" s="23"/>
      <c r="P88" s="23"/>
      <c r="Q88" s="23"/>
      <c r="R88" s="23"/>
    </row>
    <row r="89" spans="1:18" ht="30" customHeight="1" x14ac:dyDescent="0.25">
      <c r="A89" s="22" t="s">
        <v>221</v>
      </c>
      <c r="B89" s="23"/>
      <c r="C89" s="23"/>
      <c r="D89" s="23"/>
      <c r="E89" s="23"/>
      <c r="F89" s="23"/>
      <c r="G89" s="23"/>
      <c r="H89" s="23"/>
      <c r="I89" s="23"/>
      <c r="J89" s="23"/>
      <c r="K89" s="23"/>
      <c r="L89" s="23"/>
      <c r="M89" s="23"/>
      <c r="N89" s="23"/>
      <c r="O89" s="23"/>
      <c r="P89" s="23"/>
      <c r="Q89" s="23"/>
      <c r="R89" s="23"/>
    </row>
    <row r="90" spans="1:18" ht="30" customHeight="1" x14ac:dyDescent="0.25">
      <c r="A90" s="22" t="s">
        <v>222</v>
      </c>
      <c r="B90" s="23"/>
      <c r="C90" s="23"/>
      <c r="D90" s="23"/>
      <c r="E90" s="23"/>
      <c r="F90" s="23"/>
      <c r="G90" s="23"/>
      <c r="H90" s="23"/>
      <c r="I90" s="23"/>
      <c r="J90" s="23"/>
      <c r="K90" s="23"/>
      <c r="L90" s="23"/>
      <c r="M90" s="23"/>
      <c r="N90" s="23"/>
      <c r="O90" s="23"/>
      <c r="P90" s="23"/>
      <c r="Q90" s="23"/>
      <c r="R90" s="23"/>
    </row>
    <row r="91" spans="1:18" ht="30" customHeight="1" x14ac:dyDescent="0.25">
      <c r="A91" s="22" t="s">
        <v>223</v>
      </c>
      <c r="B91" s="23"/>
      <c r="C91" s="23"/>
      <c r="D91" s="23"/>
      <c r="E91" s="23"/>
      <c r="F91" s="23"/>
      <c r="G91" s="23"/>
      <c r="H91" s="23"/>
      <c r="I91" s="23"/>
      <c r="J91" s="23"/>
      <c r="K91" s="23"/>
      <c r="L91" s="23"/>
      <c r="M91" s="23"/>
      <c r="N91" s="23"/>
      <c r="O91" s="23"/>
      <c r="P91" s="23"/>
      <c r="Q91" s="23"/>
      <c r="R91" s="23"/>
    </row>
    <row r="92" spans="1:18" ht="30" customHeight="1" x14ac:dyDescent="0.25">
      <c r="A92" s="22" t="s">
        <v>224</v>
      </c>
      <c r="B92" s="23"/>
      <c r="C92" s="23"/>
      <c r="D92" s="23"/>
      <c r="E92" s="23"/>
      <c r="F92" s="23"/>
      <c r="G92" s="23"/>
      <c r="H92" s="23"/>
      <c r="I92" s="23"/>
      <c r="J92" s="23"/>
      <c r="K92" s="23"/>
      <c r="L92" s="23"/>
      <c r="M92" s="23"/>
      <c r="N92" s="23"/>
      <c r="O92" s="23"/>
      <c r="P92" s="23"/>
      <c r="Q92" s="23"/>
      <c r="R92" s="23"/>
    </row>
    <row r="93" spans="1:18" ht="30" customHeight="1" x14ac:dyDescent="0.25">
      <c r="A93" s="22" t="s">
        <v>225</v>
      </c>
      <c r="B93" s="23"/>
      <c r="C93" s="23"/>
      <c r="D93" s="23"/>
      <c r="E93" s="23"/>
      <c r="F93" s="23"/>
      <c r="G93" s="23"/>
      <c r="H93" s="23"/>
      <c r="I93" s="23"/>
      <c r="J93" s="23"/>
      <c r="K93" s="23"/>
      <c r="L93" s="23"/>
      <c r="M93" s="23"/>
      <c r="N93" s="23"/>
      <c r="O93" s="23"/>
      <c r="P93" s="23"/>
      <c r="Q93" s="23"/>
      <c r="R93" s="23"/>
    </row>
    <row r="94" spans="1:18" ht="30" customHeight="1" x14ac:dyDescent="0.25">
      <c r="A94" s="22" t="s">
        <v>226</v>
      </c>
      <c r="B94" s="23"/>
      <c r="C94" s="23"/>
      <c r="D94" s="23"/>
      <c r="E94" s="23"/>
      <c r="F94" s="23"/>
      <c r="G94" s="23"/>
      <c r="H94" s="23"/>
      <c r="I94" s="23"/>
      <c r="J94" s="23"/>
      <c r="K94" s="23"/>
      <c r="L94" s="23"/>
      <c r="M94" s="23"/>
      <c r="N94" s="23"/>
      <c r="O94" s="23"/>
      <c r="P94" s="23"/>
      <c r="Q94" s="23"/>
      <c r="R94" s="23"/>
    </row>
    <row r="95" spans="1:18" ht="30" customHeight="1" x14ac:dyDescent="0.25">
      <c r="A95" s="22" t="s">
        <v>227</v>
      </c>
      <c r="B95" s="23"/>
      <c r="C95" s="23"/>
      <c r="D95" s="23"/>
      <c r="E95" s="23"/>
      <c r="F95" s="23"/>
      <c r="G95" s="23"/>
      <c r="H95" s="23"/>
      <c r="I95" s="23"/>
      <c r="J95" s="23"/>
      <c r="K95" s="23"/>
      <c r="L95" s="23"/>
      <c r="M95" s="23"/>
      <c r="N95" s="23"/>
      <c r="O95" s="23"/>
      <c r="P95" s="23"/>
      <c r="Q95" s="23"/>
      <c r="R95" s="23"/>
    </row>
    <row r="96" spans="1:18" ht="30" customHeight="1" x14ac:dyDescent="0.25">
      <c r="A96" s="22" t="s">
        <v>228</v>
      </c>
      <c r="B96" s="23"/>
      <c r="C96" s="23"/>
      <c r="D96" s="23"/>
      <c r="E96" s="23"/>
      <c r="F96" s="23"/>
      <c r="G96" s="23"/>
      <c r="H96" s="23"/>
      <c r="I96" s="23"/>
      <c r="J96" s="23"/>
      <c r="K96" s="23"/>
      <c r="L96" s="23"/>
      <c r="M96" s="23"/>
      <c r="N96" s="23"/>
      <c r="O96" s="23"/>
      <c r="P96" s="23"/>
      <c r="Q96" s="23"/>
      <c r="R96" s="23"/>
    </row>
  </sheetData>
  <mergeCells count="22">
    <mergeCell ref="O4:P4"/>
    <mergeCell ref="Q4:R4"/>
    <mergeCell ref="A1:R1"/>
    <mergeCell ref="A2:R2"/>
    <mergeCell ref="A84:R84"/>
    <mergeCell ref="E4:F4"/>
    <mergeCell ref="G4:H4"/>
    <mergeCell ref="I4:J4"/>
    <mergeCell ref="K4:L4"/>
    <mergeCell ref="M4:N4"/>
    <mergeCell ref="A85:R85"/>
    <mergeCell ref="A86:R86"/>
    <mergeCell ref="A87:R87"/>
    <mergeCell ref="A88:R88"/>
    <mergeCell ref="A89:R89"/>
    <mergeCell ref="A95:R95"/>
    <mergeCell ref="A96:R96"/>
    <mergeCell ref="A90:R90"/>
    <mergeCell ref="A91:R91"/>
    <mergeCell ref="A92:R92"/>
    <mergeCell ref="A93:R93"/>
    <mergeCell ref="A94:R94"/>
  </mergeCells>
  <pageMargins left="0.75" right="0.75" top="1" bottom="1" header="0.5" footer="0.5"/>
</worksheet>
</file>

<file path=xl/worksheets/sheet1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9"/>
  <dimension ref="A1:R96"/>
  <sheetViews>
    <sheetView zoomScale="80" workbookViewId="0">
      <pane xSplit="4" topLeftCell="E1" activePane="topRight" state="frozen"/>
      <selection sqref="A1:R1"/>
      <selection pane="topRight" sqref="A1:R1"/>
    </sheetView>
  </sheetViews>
  <sheetFormatPr defaultColWidth="11.42578125" defaultRowHeight="15" x14ac:dyDescent="0.25"/>
  <cols>
    <col min="1" max="1" width="50" customWidth="1"/>
  </cols>
  <sheetData>
    <row r="1" spans="1:18" x14ac:dyDescent="0.25">
      <c r="A1" s="26" t="s">
        <v>122</v>
      </c>
      <c r="B1" s="23"/>
      <c r="C1" s="23"/>
      <c r="D1" s="23"/>
      <c r="E1" s="23"/>
      <c r="F1" s="23"/>
      <c r="G1" s="23"/>
      <c r="H1" s="23"/>
      <c r="I1" s="23"/>
      <c r="J1" s="23"/>
      <c r="K1" s="23"/>
      <c r="L1" s="23"/>
      <c r="M1" s="23"/>
      <c r="N1" s="23"/>
      <c r="O1" s="23"/>
      <c r="P1" s="23"/>
      <c r="Q1" s="23"/>
      <c r="R1" s="23"/>
    </row>
    <row r="2" spans="1:18" x14ac:dyDescent="0.25">
      <c r="A2" s="27" t="s">
        <v>345</v>
      </c>
      <c r="B2" s="23"/>
      <c r="C2" s="23"/>
      <c r="D2" s="23"/>
      <c r="E2" s="23"/>
      <c r="F2" s="23"/>
      <c r="G2" s="23"/>
      <c r="H2" s="23"/>
      <c r="I2" s="23"/>
      <c r="J2" s="23"/>
      <c r="K2" s="23"/>
      <c r="L2" s="23"/>
      <c r="M2" s="23"/>
      <c r="N2" s="23"/>
      <c r="O2" s="23"/>
      <c r="P2" s="23"/>
      <c r="Q2" s="23"/>
      <c r="R2" s="23"/>
    </row>
    <row r="4" spans="1:18" ht="30" customHeight="1" x14ac:dyDescent="0.25">
      <c r="A4" s="4"/>
      <c r="B4" s="5" t="s">
        <v>123</v>
      </c>
      <c r="C4" s="5" t="s">
        <v>124</v>
      </c>
      <c r="D4" s="6" t="s">
        <v>123</v>
      </c>
      <c r="E4" s="24" t="s">
        <v>125</v>
      </c>
      <c r="F4" s="25"/>
      <c r="G4" s="24" t="s">
        <v>126</v>
      </c>
      <c r="H4" s="25"/>
      <c r="I4" s="24" t="s">
        <v>127</v>
      </c>
      <c r="J4" s="25"/>
      <c r="K4" s="24" t="s">
        <v>128</v>
      </c>
      <c r="L4" s="25"/>
      <c r="M4" s="24" t="s">
        <v>129</v>
      </c>
      <c r="N4" s="25"/>
      <c r="O4" s="24" t="s">
        <v>130</v>
      </c>
      <c r="P4" s="25"/>
      <c r="Q4" s="24" t="s">
        <v>131</v>
      </c>
      <c r="R4" s="25"/>
    </row>
    <row r="5" spans="1:18" x14ac:dyDescent="0.25">
      <c r="A5" s="7"/>
      <c r="B5" s="8" t="s">
        <v>132</v>
      </c>
      <c r="C5" s="8" t="s">
        <v>133</v>
      </c>
      <c r="D5" s="7" t="s">
        <v>134</v>
      </c>
      <c r="E5" s="8" t="s">
        <v>135</v>
      </c>
      <c r="F5" s="7" t="s">
        <v>136</v>
      </c>
      <c r="G5" s="8" t="s">
        <v>135</v>
      </c>
      <c r="H5" s="7" t="s">
        <v>136</v>
      </c>
      <c r="I5" s="8" t="s">
        <v>135</v>
      </c>
      <c r="J5" s="7" t="s">
        <v>136</v>
      </c>
      <c r="K5" s="8" t="s">
        <v>135</v>
      </c>
      <c r="L5" s="7" t="s">
        <v>136</v>
      </c>
      <c r="M5" s="8" t="s">
        <v>135</v>
      </c>
      <c r="N5" s="7" t="s">
        <v>136</v>
      </c>
      <c r="O5" s="8" t="s">
        <v>135</v>
      </c>
      <c r="P5" s="7" t="s">
        <v>136</v>
      </c>
      <c r="Q5" s="8" t="s">
        <v>135</v>
      </c>
      <c r="R5" s="7" t="s">
        <v>136</v>
      </c>
    </row>
    <row r="6" spans="1:18" x14ac:dyDescent="0.25">
      <c r="A6" s="9" t="s">
        <v>137</v>
      </c>
      <c r="B6" s="10"/>
      <c r="C6" s="10"/>
      <c r="D6" s="11"/>
      <c r="E6" s="10"/>
      <c r="F6" s="11"/>
      <c r="G6" s="10"/>
      <c r="H6" s="11"/>
      <c r="I6" s="10"/>
      <c r="J6" s="11"/>
      <c r="K6" s="10"/>
      <c r="L6" s="11"/>
      <c r="M6" s="10"/>
      <c r="N6" s="11"/>
      <c r="O6" s="10"/>
      <c r="P6" s="11"/>
      <c r="Q6" s="10"/>
      <c r="R6" s="12"/>
    </row>
    <row r="7" spans="1:18" x14ac:dyDescent="0.25">
      <c r="A7" s="11" t="s">
        <v>138</v>
      </c>
      <c r="B7" s="13">
        <v>14530</v>
      </c>
      <c r="C7" s="14">
        <f>(12189/B7*100)</f>
        <v>83.888506538196836</v>
      </c>
      <c r="D7" s="15">
        <v>2341</v>
      </c>
      <c r="E7" s="14">
        <v>24.8107039</v>
      </c>
      <c r="F7" s="16">
        <v>1.2489596000000001</v>
      </c>
      <c r="G7" s="14">
        <v>75.189296100000007</v>
      </c>
      <c r="H7" s="16">
        <v>1.2489596000000001</v>
      </c>
      <c r="I7" s="14" t="s">
        <v>139</v>
      </c>
      <c r="J7" s="16" t="s">
        <v>139</v>
      </c>
      <c r="K7" s="14">
        <v>0</v>
      </c>
      <c r="L7" s="16">
        <v>0</v>
      </c>
      <c r="M7" s="14">
        <v>0</v>
      </c>
      <c r="N7" s="16">
        <v>0</v>
      </c>
      <c r="O7" s="14">
        <v>0</v>
      </c>
      <c r="P7" s="16">
        <v>0</v>
      </c>
      <c r="Q7" s="14">
        <v>0</v>
      </c>
      <c r="R7" s="16">
        <v>0</v>
      </c>
    </row>
    <row r="8" spans="1:18" x14ac:dyDescent="0.25">
      <c r="A8" s="11" t="s">
        <v>140</v>
      </c>
      <c r="B8" s="13">
        <v>7007</v>
      </c>
      <c r="C8" s="14">
        <f>(5824/B8*100)</f>
        <v>83.116883116883116</v>
      </c>
      <c r="D8" s="15">
        <v>1183</v>
      </c>
      <c r="E8" s="14">
        <v>23.60034697</v>
      </c>
      <c r="F8" s="16">
        <v>1.3738374600000001</v>
      </c>
      <c r="G8" s="14">
        <v>76.399653029999996</v>
      </c>
      <c r="H8" s="16">
        <v>1.3738374600000001</v>
      </c>
      <c r="I8" s="14" t="s">
        <v>139</v>
      </c>
      <c r="J8" s="16" t="s">
        <v>139</v>
      </c>
      <c r="K8" s="14">
        <v>0</v>
      </c>
      <c r="L8" s="16">
        <v>0</v>
      </c>
      <c r="M8" s="14">
        <v>0</v>
      </c>
      <c r="N8" s="16">
        <v>0</v>
      </c>
      <c r="O8" s="14">
        <v>0</v>
      </c>
      <c r="P8" s="16">
        <v>0</v>
      </c>
      <c r="Q8" s="14">
        <v>0</v>
      </c>
      <c r="R8" s="16">
        <v>0</v>
      </c>
    </row>
    <row r="9" spans="1:18" x14ac:dyDescent="0.25">
      <c r="A9" s="11" t="s">
        <v>141</v>
      </c>
      <c r="B9" s="13">
        <v>9651</v>
      </c>
      <c r="C9" s="14">
        <f>(8148/B9*100)</f>
        <v>84.426484302144857</v>
      </c>
      <c r="D9" s="15">
        <v>1503</v>
      </c>
      <c r="E9" s="14">
        <v>25.997017490000001</v>
      </c>
      <c r="F9" s="16">
        <v>1.22935241</v>
      </c>
      <c r="G9" s="14">
        <v>74.002982509999995</v>
      </c>
      <c r="H9" s="16">
        <v>1.22935241</v>
      </c>
      <c r="I9" s="14" t="s">
        <v>139</v>
      </c>
      <c r="J9" s="16" t="s">
        <v>139</v>
      </c>
      <c r="K9" s="14">
        <v>0</v>
      </c>
      <c r="L9" s="16">
        <v>0</v>
      </c>
      <c r="M9" s="14">
        <v>0</v>
      </c>
      <c r="N9" s="16">
        <v>0</v>
      </c>
      <c r="O9" s="14">
        <v>0</v>
      </c>
      <c r="P9" s="16">
        <v>0</v>
      </c>
      <c r="Q9" s="14">
        <v>0</v>
      </c>
      <c r="R9" s="16">
        <v>0</v>
      </c>
    </row>
    <row r="10" spans="1:18" x14ac:dyDescent="0.25">
      <c r="A10" s="11" t="s">
        <v>142</v>
      </c>
      <c r="B10" s="13">
        <v>20058</v>
      </c>
      <c r="C10" s="14">
        <f>(16728/B10*100)</f>
        <v>83.398145378402631</v>
      </c>
      <c r="D10" s="15">
        <v>3330</v>
      </c>
      <c r="E10" s="14">
        <v>21.353342040000001</v>
      </c>
      <c r="F10" s="16">
        <v>1.0280408999999999</v>
      </c>
      <c r="G10" s="14">
        <v>78.646657959999999</v>
      </c>
      <c r="H10" s="16">
        <v>1.0280408999999999</v>
      </c>
      <c r="I10" s="14" t="s">
        <v>139</v>
      </c>
      <c r="J10" s="16" t="s">
        <v>139</v>
      </c>
      <c r="K10" s="14">
        <v>0</v>
      </c>
      <c r="L10" s="16">
        <v>0</v>
      </c>
      <c r="M10" s="14">
        <v>0</v>
      </c>
      <c r="N10" s="16">
        <v>0</v>
      </c>
      <c r="O10" s="14">
        <v>0</v>
      </c>
      <c r="P10" s="16">
        <v>0</v>
      </c>
      <c r="Q10" s="14">
        <v>0</v>
      </c>
      <c r="R10" s="16">
        <v>0</v>
      </c>
    </row>
    <row r="11" spans="1:18" x14ac:dyDescent="0.25">
      <c r="A11" s="11" t="s">
        <v>143</v>
      </c>
      <c r="B11" s="13">
        <v>7053</v>
      </c>
      <c r="C11" s="14">
        <f>(5945/B11*100)</f>
        <v>84.290372890968385</v>
      </c>
      <c r="D11" s="15">
        <v>1108</v>
      </c>
      <c r="E11" s="14">
        <v>26.770920719999999</v>
      </c>
      <c r="F11" s="16">
        <v>1.50420482</v>
      </c>
      <c r="G11" s="14">
        <v>73.229079279999993</v>
      </c>
      <c r="H11" s="16">
        <v>1.50420482</v>
      </c>
      <c r="I11" s="14" t="s">
        <v>139</v>
      </c>
      <c r="J11" s="16" t="s">
        <v>139</v>
      </c>
      <c r="K11" s="14">
        <v>0</v>
      </c>
      <c r="L11" s="16">
        <v>0</v>
      </c>
      <c r="M11" s="14">
        <v>0</v>
      </c>
      <c r="N11" s="16">
        <v>0</v>
      </c>
      <c r="O11" s="14">
        <v>0</v>
      </c>
      <c r="P11" s="16">
        <v>0</v>
      </c>
      <c r="Q11" s="14">
        <v>0</v>
      </c>
      <c r="R11" s="16">
        <v>0</v>
      </c>
    </row>
    <row r="12" spans="1:18" x14ac:dyDescent="0.25">
      <c r="A12" s="11" t="s">
        <v>144</v>
      </c>
      <c r="B12" s="13">
        <v>6894</v>
      </c>
      <c r="C12" s="14">
        <f>(5773/B12*100)</f>
        <v>83.739483608935302</v>
      </c>
      <c r="D12" s="15">
        <v>1121</v>
      </c>
      <c r="E12" s="14">
        <v>30.008181919999998</v>
      </c>
      <c r="F12" s="16">
        <v>1.5272032799999999</v>
      </c>
      <c r="G12" s="14">
        <v>69.991818080000002</v>
      </c>
      <c r="H12" s="16">
        <v>1.5272032799999999</v>
      </c>
      <c r="I12" s="14" t="s">
        <v>139</v>
      </c>
      <c r="J12" s="16" t="s">
        <v>139</v>
      </c>
      <c r="K12" s="14">
        <v>0</v>
      </c>
      <c r="L12" s="16">
        <v>0</v>
      </c>
      <c r="M12" s="14">
        <v>0</v>
      </c>
      <c r="N12" s="16">
        <v>0</v>
      </c>
      <c r="O12" s="14">
        <v>0</v>
      </c>
      <c r="P12" s="16">
        <v>0</v>
      </c>
      <c r="Q12" s="14">
        <v>0</v>
      </c>
      <c r="R12" s="16">
        <v>0</v>
      </c>
    </row>
    <row r="13" spans="1:18" x14ac:dyDescent="0.25">
      <c r="A13" s="11" t="s">
        <v>145</v>
      </c>
      <c r="B13" s="13">
        <v>7161</v>
      </c>
      <c r="C13" s="14">
        <f>(6056/B13*100)</f>
        <v>84.569194246613606</v>
      </c>
      <c r="D13" s="15">
        <v>1105</v>
      </c>
      <c r="E13" s="14">
        <v>21.097126939999999</v>
      </c>
      <c r="F13" s="16">
        <v>1.4203272199999999</v>
      </c>
      <c r="G13" s="14">
        <v>78.902873060000005</v>
      </c>
      <c r="H13" s="16">
        <v>1.4203272199999999</v>
      </c>
      <c r="I13" s="14" t="s">
        <v>139</v>
      </c>
      <c r="J13" s="16" t="s">
        <v>139</v>
      </c>
      <c r="K13" s="14">
        <v>0</v>
      </c>
      <c r="L13" s="16">
        <v>0</v>
      </c>
      <c r="M13" s="14">
        <v>0</v>
      </c>
      <c r="N13" s="16">
        <v>0</v>
      </c>
      <c r="O13" s="14">
        <v>0</v>
      </c>
      <c r="P13" s="16">
        <v>0</v>
      </c>
      <c r="Q13" s="14">
        <v>0</v>
      </c>
      <c r="R13" s="16">
        <v>0</v>
      </c>
    </row>
    <row r="14" spans="1:18" x14ac:dyDescent="0.25">
      <c r="A14" s="11" t="s">
        <v>146</v>
      </c>
      <c r="B14" s="13">
        <v>5587</v>
      </c>
      <c r="C14" s="14">
        <f>(4649/B14*100)</f>
        <v>83.211025595131559</v>
      </c>
      <c r="D14" s="15">
        <v>938</v>
      </c>
      <c r="E14" s="14">
        <v>15.798420910000001</v>
      </c>
      <c r="F14" s="16">
        <v>1.27872027</v>
      </c>
      <c r="G14" s="14">
        <v>84.201579089999996</v>
      </c>
      <c r="H14" s="16">
        <v>1.27872027</v>
      </c>
      <c r="I14" s="14" t="s">
        <v>139</v>
      </c>
      <c r="J14" s="16" t="s">
        <v>139</v>
      </c>
      <c r="K14" s="14">
        <v>0</v>
      </c>
      <c r="L14" s="16">
        <v>0</v>
      </c>
      <c r="M14" s="14">
        <v>0</v>
      </c>
      <c r="N14" s="16">
        <v>0</v>
      </c>
      <c r="O14" s="14">
        <v>0</v>
      </c>
      <c r="P14" s="16">
        <v>0</v>
      </c>
      <c r="Q14" s="14">
        <v>0</v>
      </c>
      <c r="R14" s="16">
        <v>0</v>
      </c>
    </row>
    <row r="15" spans="1:18" x14ac:dyDescent="0.25">
      <c r="A15" s="11" t="s">
        <v>147</v>
      </c>
      <c r="B15" s="13">
        <v>5882</v>
      </c>
      <c r="C15" s="14">
        <f>(4896/B15*100)</f>
        <v>83.236994219653184</v>
      </c>
      <c r="D15" s="15">
        <v>986</v>
      </c>
      <c r="E15" s="14">
        <v>21.132505829999999</v>
      </c>
      <c r="F15" s="16">
        <v>1.4152155</v>
      </c>
      <c r="G15" s="14">
        <v>78.867494170000001</v>
      </c>
      <c r="H15" s="16">
        <v>1.4152155</v>
      </c>
      <c r="I15" s="14" t="s">
        <v>139</v>
      </c>
      <c r="J15" s="16" t="s">
        <v>139</v>
      </c>
      <c r="K15" s="14">
        <v>0</v>
      </c>
      <c r="L15" s="16">
        <v>0</v>
      </c>
      <c r="M15" s="14">
        <v>0</v>
      </c>
      <c r="N15" s="16">
        <v>0</v>
      </c>
      <c r="O15" s="14">
        <v>0</v>
      </c>
      <c r="P15" s="16">
        <v>0</v>
      </c>
      <c r="Q15" s="14">
        <v>0</v>
      </c>
      <c r="R15" s="16">
        <v>0</v>
      </c>
    </row>
    <row r="16" spans="1:18" x14ac:dyDescent="0.25">
      <c r="A16" s="11" t="s">
        <v>148</v>
      </c>
      <c r="B16" s="13">
        <v>6108</v>
      </c>
      <c r="C16" s="14">
        <f>(5126/B16*100)</f>
        <v>83.922724296005242</v>
      </c>
      <c r="D16" s="15">
        <v>982</v>
      </c>
      <c r="E16" s="14">
        <v>28.482422440000001</v>
      </c>
      <c r="F16" s="16">
        <v>1.5984180800000001</v>
      </c>
      <c r="G16" s="14">
        <v>71.517577560000007</v>
      </c>
      <c r="H16" s="16">
        <v>1.5984180800000001</v>
      </c>
      <c r="I16" s="14" t="s">
        <v>139</v>
      </c>
      <c r="J16" s="16" t="s">
        <v>139</v>
      </c>
      <c r="K16" s="14">
        <v>0</v>
      </c>
      <c r="L16" s="16">
        <v>0</v>
      </c>
      <c r="M16" s="14">
        <v>0</v>
      </c>
      <c r="N16" s="16">
        <v>0</v>
      </c>
      <c r="O16" s="14">
        <v>0</v>
      </c>
      <c r="P16" s="16">
        <v>0</v>
      </c>
      <c r="Q16" s="14">
        <v>0</v>
      </c>
      <c r="R16" s="16">
        <v>0</v>
      </c>
    </row>
    <row r="17" spans="1:18" x14ac:dyDescent="0.25">
      <c r="A17" s="11" t="s">
        <v>149</v>
      </c>
      <c r="B17" s="13">
        <v>6504</v>
      </c>
      <c r="C17" s="14">
        <f>(5460/B17*100)</f>
        <v>83.948339483394832</v>
      </c>
      <c r="D17" s="15">
        <v>1044</v>
      </c>
      <c r="E17" s="14">
        <v>20.332441540000001</v>
      </c>
      <c r="F17" s="16">
        <v>1.33400981</v>
      </c>
      <c r="G17" s="14">
        <v>79.667558459999995</v>
      </c>
      <c r="H17" s="16">
        <v>1.33400981</v>
      </c>
      <c r="I17" s="14" t="s">
        <v>139</v>
      </c>
      <c r="J17" s="16" t="s">
        <v>139</v>
      </c>
      <c r="K17" s="14">
        <v>0</v>
      </c>
      <c r="L17" s="16">
        <v>0</v>
      </c>
      <c r="M17" s="14">
        <v>0</v>
      </c>
      <c r="N17" s="16">
        <v>0</v>
      </c>
      <c r="O17" s="14">
        <v>0</v>
      </c>
      <c r="P17" s="16">
        <v>0</v>
      </c>
      <c r="Q17" s="14">
        <v>0</v>
      </c>
      <c r="R17" s="16">
        <v>0</v>
      </c>
    </row>
    <row r="18" spans="1:18" x14ac:dyDescent="0.25">
      <c r="A18" s="11" t="s">
        <v>150</v>
      </c>
      <c r="B18" s="13">
        <v>5532</v>
      </c>
      <c r="C18" s="14">
        <f>(4600/B18*100)</f>
        <v>83.152566883586417</v>
      </c>
      <c r="D18" s="15">
        <v>932</v>
      </c>
      <c r="E18" s="14">
        <v>24.456742670000001</v>
      </c>
      <c r="F18" s="16">
        <v>1.64272934</v>
      </c>
      <c r="G18" s="14">
        <v>75.543257330000003</v>
      </c>
      <c r="H18" s="16">
        <v>1.64272934</v>
      </c>
      <c r="I18" s="14" t="s">
        <v>139</v>
      </c>
      <c r="J18" s="16" t="s">
        <v>139</v>
      </c>
      <c r="K18" s="14">
        <v>0</v>
      </c>
      <c r="L18" s="16">
        <v>0</v>
      </c>
      <c r="M18" s="14">
        <v>0</v>
      </c>
      <c r="N18" s="16">
        <v>0</v>
      </c>
      <c r="O18" s="14">
        <v>0</v>
      </c>
      <c r="P18" s="16">
        <v>0</v>
      </c>
      <c r="Q18" s="14">
        <v>0</v>
      </c>
      <c r="R18" s="16">
        <v>0</v>
      </c>
    </row>
    <row r="19" spans="1:18" x14ac:dyDescent="0.25">
      <c r="A19" s="11" t="s">
        <v>151</v>
      </c>
      <c r="B19" s="13">
        <v>5658</v>
      </c>
      <c r="C19" s="14">
        <f>(4757/B19*100)</f>
        <v>84.075645104277129</v>
      </c>
      <c r="D19" s="15">
        <v>901</v>
      </c>
      <c r="E19" s="14">
        <v>26.171101660000001</v>
      </c>
      <c r="F19" s="16">
        <v>1.20520173</v>
      </c>
      <c r="G19" s="14">
        <v>73.828898339999995</v>
      </c>
      <c r="H19" s="16">
        <v>1.20520173</v>
      </c>
      <c r="I19" s="14" t="s">
        <v>139</v>
      </c>
      <c r="J19" s="16" t="s">
        <v>139</v>
      </c>
      <c r="K19" s="14">
        <v>0</v>
      </c>
      <c r="L19" s="16">
        <v>0</v>
      </c>
      <c r="M19" s="14">
        <v>0</v>
      </c>
      <c r="N19" s="16">
        <v>0</v>
      </c>
      <c r="O19" s="14">
        <v>0</v>
      </c>
      <c r="P19" s="16">
        <v>0</v>
      </c>
      <c r="Q19" s="14">
        <v>0</v>
      </c>
      <c r="R19" s="16">
        <v>0</v>
      </c>
    </row>
    <row r="20" spans="1:18" x14ac:dyDescent="0.25">
      <c r="A20" s="11" t="s">
        <v>152</v>
      </c>
      <c r="B20" s="13">
        <v>3371</v>
      </c>
      <c r="C20" s="14">
        <f>(2826/B20*100)</f>
        <v>83.832690596262239</v>
      </c>
      <c r="D20" s="15">
        <v>545</v>
      </c>
      <c r="E20" s="14">
        <v>25.403435689999998</v>
      </c>
      <c r="F20" s="16">
        <v>1.8128363300000001</v>
      </c>
      <c r="G20" s="14">
        <v>74.596564310000005</v>
      </c>
      <c r="H20" s="16">
        <v>1.8128363300000001</v>
      </c>
      <c r="I20" s="14" t="s">
        <v>139</v>
      </c>
      <c r="J20" s="16" t="s">
        <v>139</v>
      </c>
      <c r="K20" s="14">
        <v>0</v>
      </c>
      <c r="L20" s="16">
        <v>0</v>
      </c>
      <c r="M20" s="14">
        <v>0</v>
      </c>
      <c r="N20" s="16">
        <v>0</v>
      </c>
      <c r="O20" s="14">
        <v>0</v>
      </c>
      <c r="P20" s="16">
        <v>0</v>
      </c>
      <c r="Q20" s="14">
        <v>0</v>
      </c>
      <c r="R20" s="16">
        <v>0</v>
      </c>
    </row>
    <row r="21" spans="1:18" x14ac:dyDescent="0.25">
      <c r="A21" s="11" t="s">
        <v>153</v>
      </c>
      <c r="B21" s="17" t="s">
        <v>154</v>
      </c>
      <c r="C21" s="17" t="s">
        <v>154</v>
      </c>
      <c r="D21" s="18" t="s">
        <v>154</v>
      </c>
      <c r="E21" s="17" t="s">
        <v>154</v>
      </c>
      <c r="F21" s="18" t="s">
        <v>154</v>
      </c>
      <c r="G21" s="17" t="s">
        <v>154</v>
      </c>
      <c r="H21" s="18" t="s">
        <v>154</v>
      </c>
      <c r="I21" s="17" t="s">
        <v>154</v>
      </c>
      <c r="J21" s="18" t="s">
        <v>154</v>
      </c>
      <c r="K21" s="17" t="s">
        <v>154</v>
      </c>
      <c r="L21" s="18" t="s">
        <v>154</v>
      </c>
      <c r="M21" s="17" t="s">
        <v>154</v>
      </c>
      <c r="N21" s="18" t="s">
        <v>154</v>
      </c>
      <c r="O21" s="17" t="s">
        <v>154</v>
      </c>
      <c r="P21" s="18" t="s">
        <v>154</v>
      </c>
      <c r="Q21" s="17" t="s">
        <v>154</v>
      </c>
      <c r="R21" s="18" t="s">
        <v>154</v>
      </c>
    </row>
    <row r="22" spans="1:18" x14ac:dyDescent="0.25">
      <c r="A22" s="11" t="s">
        <v>155</v>
      </c>
      <c r="B22" s="13">
        <v>6598</v>
      </c>
      <c r="C22" s="14">
        <f>(5614/B22*100)</f>
        <v>85.086389815095487</v>
      </c>
      <c r="D22" s="15">
        <v>984</v>
      </c>
      <c r="E22" s="14">
        <v>26.608699359999999</v>
      </c>
      <c r="F22" s="16">
        <v>1.4867617399999999</v>
      </c>
      <c r="G22" s="14">
        <v>73.391300639999997</v>
      </c>
      <c r="H22" s="16">
        <v>1.4867617399999999</v>
      </c>
      <c r="I22" s="14" t="s">
        <v>139</v>
      </c>
      <c r="J22" s="16" t="s">
        <v>139</v>
      </c>
      <c r="K22" s="14">
        <v>0</v>
      </c>
      <c r="L22" s="16">
        <v>0</v>
      </c>
      <c r="M22" s="14">
        <v>0</v>
      </c>
      <c r="N22" s="16">
        <v>0</v>
      </c>
      <c r="O22" s="14">
        <v>0</v>
      </c>
      <c r="P22" s="16">
        <v>0</v>
      </c>
      <c r="Q22" s="14">
        <v>0</v>
      </c>
      <c r="R22" s="16">
        <v>0</v>
      </c>
    </row>
    <row r="23" spans="1:18" x14ac:dyDescent="0.25">
      <c r="A23" s="11" t="s">
        <v>156</v>
      </c>
      <c r="B23" s="13">
        <v>11583</v>
      </c>
      <c r="C23" s="14">
        <f>(9647/B23*100)</f>
        <v>83.285849952516628</v>
      </c>
      <c r="D23" s="15">
        <v>1936</v>
      </c>
      <c r="E23" s="14">
        <v>24.599344380000002</v>
      </c>
      <c r="F23" s="16">
        <v>1.4800431000000001</v>
      </c>
      <c r="G23" s="14">
        <v>75.400655619999995</v>
      </c>
      <c r="H23" s="16">
        <v>1.4800431000000001</v>
      </c>
      <c r="I23" s="14" t="s">
        <v>139</v>
      </c>
      <c r="J23" s="16" t="s">
        <v>139</v>
      </c>
      <c r="K23" s="14">
        <v>0</v>
      </c>
      <c r="L23" s="16">
        <v>0</v>
      </c>
      <c r="M23" s="14">
        <v>0</v>
      </c>
      <c r="N23" s="16">
        <v>0</v>
      </c>
      <c r="O23" s="14">
        <v>0</v>
      </c>
      <c r="P23" s="16">
        <v>0</v>
      </c>
      <c r="Q23" s="14">
        <v>0</v>
      </c>
      <c r="R23" s="16">
        <v>0</v>
      </c>
    </row>
    <row r="24" spans="1:18" x14ac:dyDescent="0.25">
      <c r="A24" s="11" t="s">
        <v>157</v>
      </c>
      <c r="B24" s="13">
        <v>6647</v>
      </c>
      <c r="C24" s="14">
        <f>(5517/B24*100)</f>
        <v>82.999849556190767</v>
      </c>
      <c r="D24" s="15">
        <v>1130</v>
      </c>
      <c r="E24" s="14">
        <v>21.721952160000001</v>
      </c>
      <c r="F24" s="16">
        <v>1.2134448799999999</v>
      </c>
      <c r="G24" s="14">
        <v>78.278047839999999</v>
      </c>
      <c r="H24" s="16">
        <v>1.2134448799999999</v>
      </c>
      <c r="I24" s="14" t="s">
        <v>139</v>
      </c>
      <c r="J24" s="16" t="s">
        <v>139</v>
      </c>
      <c r="K24" s="14">
        <v>0</v>
      </c>
      <c r="L24" s="16">
        <v>0</v>
      </c>
      <c r="M24" s="14">
        <v>0</v>
      </c>
      <c r="N24" s="16">
        <v>0</v>
      </c>
      <c r="O24" s="14">
        <v>0</v>
      </c>
      <c r="P24" s="16">
        <v>0</v>
      </c>
      <c r="Q24" s="14">
        <v>0</v>
      </c>
      <c r="R24" s="16">
        <v>0</v>
      </c>
    </row>
    <row r="25" spans="1:18" x14ac:dyDescent="0.25">
      <c r="A25" s="11" t="s">
        <v>158</v>
      </c>
      <c r="B25" s="13">
        <v>5581</v>
      </c>
      <c r="C25" s="14">
        <f>(4615/B25*100)</f>
        <v>82.691273965239205</v>
      </c>
      <c r="D25" s="15">
        <v>966</v>
      </c>
      <c r="E25" s="14">
        <v>14.09460777</v>
      </c>
      <c r="F25" s="16">
        <v>1.18821902</v>
      </c>
      <c r="G25" s="14">
        <v>85.905392230000004</v>
      </c>
      <c r="H25" s="16">
        <v>1.18821902</v>
      </c>
      <c r="I25" s="14" t="s">
        <v>139</v>
      </c>
      <c r="J25" s="16" t="s">
        <v>139</v>
      </c>
      <c r="K25" s="14">
        <v>0</v>
      </c>
      <c r="L25" s="16">
        <v>0</v>
      </c>
      <c r="M25" s="14">
        <v>0</v>
      </c>
      <c r="N25" s="16">
        <v>0</v>
      </c>
      <c r="O25" s="14">
        <v>0</v>
      </c>
      <c r="P25" s="16">
        <v>0</v>
      </c>
      <c r="Q25" s="14">
        <v>0</v>
      </c>
      <c r="R25" s="16">
        <v>0</v>
      </c>
    </row>
    <row r="26" spans="1:18" x14ac:dyDescent="0.25">
      <c r="A26" s="11" t="s">
        <v>159</v>
      </c>
      <c r="B26" s="13">
        <v>4869</v>
      </c>
      <c r="C26" s="14">
        <f>(4049/B26*100)</f>
        <v>83.15875949887041</v>
      </c>
      <c r="D26" s="15">
        <v>820</v>
      </c>
      <c r="E26" s="14">
        <v>19.535069369999999</v>
      </c>
      <c r="F26" s="16">
        <v>1.3173118800000001</v>
      </c>
      <c r="G26" s="14">
        <v>80.464930629999998</v>
      </c>
      <c r="H26" s="16">
        <v>1.3173118800000001</v>
      </c>
      <c r="I26" s="14" t="s">
        <v>139</v>
      </c>
      <c r="J26" s="16" t="s">
        <v>139</v>
      </c>
      <c r="K26" s="14">
        <v>0</v>
      </c>
      <c r="L26" s="16">
        <v>0</v>
      </c>
      <c r="M26" s="14">
        <v>0</v>
      </c>
      <c r="N26" s="16">
        <v>0</v>
      </c>
      <c r="O26" s="14">
        <v>0</v>
      </c>
      <c r="P26" s="16">
        <v>0</v>
      </c>
      <c r="Q26" s="14">
        <v>0</v>
      </c>
      <c r="R26" s="16">
        <v>0</v>
      </c>
    </row>
    <row r="27" spans="1:18" x14ac:dyDescent="0.25">
      <c r="A27" s="11" t="s">
        <v>160</v>
      </c>
      <c r="B27" s="13">
        <v>5299</v>
      </c>
      <c r="C27" s="14">
        <f>(4454/B27*100)</f>
        <v>84.053595017927904</v>
      </c>
      <c r="D27" s="15">
        <v>845</v>
      </c>
      <c r="E27" s="14">
        <v>22.73048266</v>
      </c>
      <c r="F27" s="16">
        <v>1.54076149</v>
      </c>
      <c r="G27" s="14">
        <v>77.269517339999993</v>
      </c>
      <c r="H27" s="16">
        <v>1.54076149</v>
      </c>
      <c r="I27" s="14" t="s">
        <v>139</v>
      </c>
      <c r="J27" s="16" t="s">
        <v>139</v>
      </c>
      <c r="K27" s="14">
        <v>0</v>
      </c>
      <c r="L27" s="16">
        <v>0</v>
      </c>
      <c r="M27" s="14">
        <v>0</v>
      </c>
      <c r="N27" s="16">
        <v>0</v>
      </c>
      <c r="O27" s="14">
        <v>0</v>
      </c>
      <c r="P27" s="16">
        <v>0</v>
      </c>
      <c r="Q27" s="14">
        <v>0</v>
      </c>
      <c r="R27" s="16">
        <v>0</v>
      </c>
    </row>
    <row r="28" spans="1:18" x14ac:dyDescent="0.25">
      <c r="A28" s="11" t="s">
        <v>161</v>
      </c>
      <c r="B28" s="13">
        <v>7568</v>
      </c>
      <c r="C28" s="14">
        <f>(6449/B28*100)</f>
        <v>85.214059196617328</v>
      </c>
      <c r="D28" s="15">
        <v>1119</v>
      </c>
      <c r="E28" s="14">
        <v>20.42233654</v>
      </c>
      <c r="F28" s="16">
        <v>1.35256212</v>
      </c>
      <c r="G28" s="14">
        <v>79.577663459999997</v>
      </c>
      <c r="H28" s="16">
        <v>1.35256212</v>
      </c>
      <c r="I28" s="14" t="s">
        <v>139</v>
      </c>
      <c r="J28" s="16" t="s">
        <v>139</v>
      </c>
      <c r="K28" s="14">
        <v>0</v>
      </c>
      <c r="L28" s="16">
        <v>0</v>
      </c>
      <c r="M28" s="14">
        <v>0</v>
      </c>
      <c r="N28" s="16">
        <v>0</v>
      </c>
      <c r="O28" s="14">
        <v>0</v>
      </c>
      <c r="P28" s="16">
        <v>0</v>
      </c>
      <c r="Q28" s="14">
        <v>0</v>
      </c>
      <c r="R28" s="16">
        <v>0</v>
      </c>
    </row>
    <row r="29" spans="1:18" x14ac:dyDescent="0.25">
      <c r="A29" s="11" t="s">
        <v>162</v>
      </c>
      <c r="B29" s="13">
        <v>5385</v>
      </c>
      <c r="C29" s="14">
        <f>(4501/B29*100)</f>
        <v>83.584029712163428</v>
      </c>
      <c r="D29" s="15">
        <v>884</v>
      </c>
      <c r="E29" s="14">
        <v>29.065244100000001</v>
      </c>
      <c r="F29" s="16">
        <v>1.6556862800000001</v>
      </c>
      <c r="G29" s="14">
        <v>70.934755899999999</v>
      </c>
      <c r="H29" s="16">
        <v>1.6556862800000001</v>
      </c>
      <c r="I29" s="14" t="s">
        <v>139</v>
      </c>
      <c r="J29" s="16" t="s">
        <v>139</v>
      </c>
      <c r="K29" s="14">
        <v>0</v>
      </c>
      <c r="L29" s="16">
        <v>0</v>
      </c>
      <c r="M29" s="14">
        <v>0</v>
      </c>
      <c r="N29" s="16">
        <v>0</v>
      </c>
      <c r="O29" s="14">
        <v>0</v>
      </c>
      <c r="P29" s="16">
        <v>0</v>
      </c>
      <c r="Q29" s="14">
        <v>0</v>
      </c>
      <c r="R29" s="16">
        <v>0</v>
      </c>
    </row>
    <row r="30" spans="1:18" x14ac:dyDescent="0.25">
      <c r="A30" s="11" t="s">
        <v>163</v>
      </c>
      <c r="B30" s="13">
        <v>4520</v>
      </c>
      <c r="C30" s="14">
        <f>(3837/B30*100)</f>
        <v>84.88938053097344</v>
      </c>
      <c r="D30" s="15">
        <v>683</v>
      </c>
      <c r="E30" s="14">
        <v>27.134132619999999</v>
      </c>
      <c r="F30" s="16">
        <v>1.76938028</v>
      </c>
      <c r="G30" s="14">
        <v>72.865867379999997</v>
      </c>
      <c r="H30" s="16">
        <v>1.76938028</v>
      </c>
      <c r="I30" s="14" t="s">
        <v>139</v>
      </c>
      <c r="J30" s="16" t="s">
        <v>139</v>
      </c>
      <c r="K30" s="14">
        <v>0</v>
      </c>
      <c r="L30" s="16">
        <v>0</v>
      </c>
      <c r="M30" s="14">
        <v>0</v>
      </c>
      <c r="N30" s="16">
        <v>0</v>
      </c>
      <c r="O30" s="14">
        <v>0</v>
      </c>
      <c r="P30" s="16">
        <v>0</v>
      </c>
      <c r="Q30" s="14">
        <v>0</v>
      </c>
      <c r="R30" s="16">
        <v>0</v>
      </c>
    </row>
    <row r="31" spans="1:18" x14ac:dyDescent="0.25">
      <c r="A31" s="11" t="s">
        <v>164</v>
      </c>
      <c r="B31" s="13">
        <v>5456</v>
      </c>
      <c r="C31" s="14">
        <f>(4572/B31*100)</f>
        <v>83.797653958944281</v>
      </c>
      <c r="D31" s="15">
        <v>884</v>
      </c>
      <c r="E31" s="14">
        <v>19.229397110000001</v>
      </c>
      <c r="F31" s="16">
        <v>1.17382875</v>
      </c>
      <c r="G31" s="14">
        <v>80.770602890000006</v>
      </c>
      <c r="H31" s="16">
        <v>1.17382875</v>
      </c>
      <c r="I31" s="14" t="s">
        <v>139</v>
      </c>
      <c r="J31" s="16" t="s">
        <v>139</v>
      </c>
      <c r="K31" s="14">
        <v>0</v>
      </c>
      <c r="L31" s="16">
        <v>0</v>
      </c>
      <c r="M31" s="14">
        <v>0</v>
      </c>
      <c r="N31" s="16">
        <v>0</v>
      </c>
      <c r="O31" s="14">
        <v>0</v>
      </c>
      <c r="P31" s="16">
        <v>0</v>
      </c>
      <c r="Q31" s="14">
        <v>0</v>
      </c>
      <c r="R31" s="16">
        <v>0</v>
      </c>
    </row>
    <row r="32" spans="1:18" x14ac:dyDescent="0.25">
      <c r="A32" s="11" t="s">
        <v>165</v>
      </c>
      <c r="B32" s="17" t="s">
        <v>154</v>
      </c>
      <c r="C32" s="17" t="s">
        <v>154</v>
      </c>
      <c r="D32" s="18" t="s">
        <v>154</v>
      </c>
      <c r="E32" s="17" t="s">
        <v>154</v>
      </c>
      <c r="F32" s="18" t="s">
        <v>154</v>
      </c>
      <c r="G32" s="17" t="s">
        <v>154</v>
      </c>
      <c r="H32" s="18" t="s">
        <v>154</v>
      </c>
      <c r="I32" s="17" t="s">
        <v>154</v>
      </c>
      <c r="J32" s="18" t="s">
        <v>154</v>
      </c>
      <c r="K32" s="17" t="s">
        <v>154</v>
      </c>
      <c r="L32" s="18" t="s">
        <v>154</v>
      </c>
      <c r="M32" s="17" t="s">
        <v>154</v>
      </c>
      <c r="N32" s="18" t="s">
        <v>154</v>
      </c>
      <c r="O32" s="17" t="s">
        <v>154</v>
      </c>
      <c r="P32" s="18" t="s">
        <v>154</v>
      </c>
      <c r="Q32" s="17" t="s">
        <v>154</v>
      </c>
      <c r="R32" s="18" t="s">
        <v>154</v>
      </c>
    </row>
    <row r="33" spans="1:18" x14ac:dyDescent="0.25">
      <c r="A33" s="11" t="s">
        <v>166</v>
      </c>
      <c r="B33" s="13">
        <v>7325</v>
      </c>
      <c r="C33" s="14">
        <f>(6167/B33*100)</f>
        <v>84.191126279863482</v>
      </c>
      <c r="D33" s="15">
        <v>1158</v>
      </c>
      <c r="E33" s="14">
        <v>20.78413325</v>
      </c>
      <c r="F33" s="16">
        <v>1.41001833</v>
      </c>
      <c r="G33" s="14">
        <v>79.215866750000004</v>
      </c>
      <c r="H33" s="16">
        <v>1.41001833</v>
      </c>
      <c r="I33" s="14" t="s">
        <v>139</v>
      </c>
      <c r="J33" s="16" t="s">
        <v>139</v>
      </c>
      <c r="K33" s="14">
        <v>0</v>
      </c>
      <c r="L33" s="16">
        <v>0</v>
      </c>
      <c r="M33" s="14">
        <v>0</v>
      </c>
      <c r="N33" s="16">
        <v>0</v>
      </c>
      <c r="O33" s="14">
        <v>0</v>
      </c>
      <c r="P33" s="16">
        <v>0</v>
      </c>
      <c r="Q33" s="14">
        <v>0</v>
      </c>
      <c r="R33" s="16">
        <v>0</v>
      </c>
    </row>
    <row r="34" spans="1:18" x14ac:dyDescent="0.25">
      <c r="A34" s="11" t="s">
        <v>167</v>
      </c>
      <c r="B34" s="13">
        <v>6350</v>
      </c>
      <c r="C34" s="14">
        <f>(5369/B34*100)</f>
        <v>84.551181102362207</v>
      </c>
      <c r="D34" s="15">
        <v>981</v>
      </c>
      <c r="E34" s="14">
        <v>28.688852350000001</v>
      </c>
      <c r="F34" s="16">
        <v>1.46321474</v>
      </c>
      <c r="G34" s="14">
        <v>71.311147649999995</v>
      </c>
      <c r="H34" s="16">
        <v>1.46321474</v>
      </c>
      <c r="I34" s="14" t="s">
        <v>139</v>
      </c>
      <c r="J34" s="16" t="s">
        <v>139</v>
      </c>
      <c r="K34" s="14">
        <v>0</v>
      </c>
      <c r="L34" s="16">
        <v>0</v>
      </c>
      <c r="M34" s="14">
        <v>0</v>
      </c>
      <c r="N34" s="16">
        <v>0</v>
      </c>
      <c r="O34" s="14">
        <v>0</v>
      </c>
      <c r="P34" s="16">
        <v>0</v>
      </c>
      <c r="Q34" s="14">
        <v>0</v>
      </c>
      <c r="R34" s="16">
        <v>0</v>
      </c>
    </row>
    <row r="35" spans="1:18" x14ac:dyDescent="0.25">
      <c r="A35" s="11" t="s">
        <v>168</v>
      </c>
      <c r="B35" s="13">
        <v>6406</v>
      </c>
      <c r="C35" s="14">
        <f>(5366/B35*100)</f>
        <v>83.76522010615048</v>
      </c>
      <c r="D35" s="15">
        <v>1040</v>
      </c>
      <c r="E35" s="14">
        <v>18.45168829</v>
      </c>
      <c r="F35" s="16">
        <v>1.3407391799999999</v>
      </c>
      <c r="G35" s="14">
        <v>81.548311709999993</v>
      </c>
      <c r="H35" s="16">
        <v>1.3407391799999999</v>
      </c>
      <c r="I35" s="14" t="s">
        <v>139</v>
      </c>
      <c r="J35" s="16" t="s">
        <v>139</v>
      </c>
      <c r="K35" s="14">
        <v>0</v>
      </c>
      <c r="L35" s="16">
        <v>0</v>
      </c>
      <c r="M35" s="14">
        <v>0</v>
      </c>
      <c r="N35" s="16">
        <v>0</v>
      </c>
      <c r="O35" s="14">
        <v>0</v>
      </c>
      <c r="P35" s="16">
        <v>0</v>
      </c>
      <c r="Q35" s="14">
        <v>0</v>
      </c>
      <c r="R35" s="16">
        <v>0</v>
      </c>
    </row>
    <row r="36" spans="1:18" x14ac:dyDescent="0.25">
      <c r="A36" s="11" t="s">
        <v>169</v>
      </c>
      <c r="B36" s="13">
        <v>6736</v>
      </c>
      <c r="C36" s="14">
        <f>(5664/B36*100)</f>
        <v>84.085510688836109</v>
      </c>
      <c r="D36" s="15">
        <v>1072</v>
      </c>
      <c r="E36" s="14">
        <v>28.16331198</v>
      </c>
      <c r="F36" s="16">
        <v>1.43580017</v>
      </c>
      <c r="G36" s="14">
        <v>71.836688019999997</v>
      </c>
      <c r="H36" s="16">
        <v>1.43580017</v>
      </c>
      <c r="I36" s="14" t="s">
        <v>139</v>
      </c>
      <c r="J36" s="16" t="s">
        <v>139</v>
      </c>
      <c r="K36" s="14">
        <v>0</v>
      </c>
      <c r="L36" s="16">
        <v>0</v>
      </c>
      <c r="M36" s="14">
        <v>0</v>
      </c>
      <c r="N36" s="16">
        <v>0</v>
      </c>
      <c r="O36" s="14">
        <v>0</v>
      </c>
      <c r="P36" s="16">
        <v>0</v>
      </c>
      <c r="Q36" s="14">
        <v>0</v>
      </c>
      <c r="R36" s="16">
        <v>0</v>
      </c>
    </row>
    <row r="37" spans="1:18" x14ac:dyDescent="0.25">
      <c r="A37" s="11" t="s">
        <v>170</v>
      </c>
      <c r="B37" s="13">
        <v>5458</v>
      </c>
      <c r="C37" s="14">
        <f>(4613/B37*100)</f>
        <v>84.518138512275556</v>
      </c>
      <c r="D37" s="15">
        <v>845</v>
      </c>
      <c r="E37" s="14">
        <v>24.886856829999999</v>
      </c>
      <c r="F37" s="16">
        <v>1.4907268499999999</v>
      </c>
      <c r="G37" s="14">
        <v>75.113143170000001</v>
      </c>
      <c r="H37" s="16">
        <v>1.4907268499999999</v>
      </c>
      <c r="I37" s="14" t="s">
        <v>139</v>
      </c>
      <c r="J37" s="16" t="s">
        <v>139</v>
      </c>
      <c r="K37" s="14">
        <v>0</v>
      </c>
      <c r="L37" s="16">
        <v>0</v>
      </c>
      <c r="M37" s="14">
        <v>0</v>
      </c>
      <c r="N37" s="16">
        <v>0</v>
      </c>
      <c r="O37" s="14">
        <v>0</v>
      </c>
      <c r="P37" s="16">
        <v>0</v>
      </c>
      <c r="Q37" s="14">
        <v>0</v>
      </c>
      <c r="R37" s="16">
        <v>0</v>
      </c>
    </row>
    <row r="38" spans="1:18" x14ac:dyDescent="0.25">
      <c r="A38" s="11" t="s">
        <v>171</v>
      </c>
      <c r="B38" s="17" t="s">
        <v>154</v>
      </c>
      <c r="C38" s="17" t="s">
        <v>154</v>
      </c>
      <c r="D38" s="18" t="s">
        <v>154</v>
      </c>
      <c r="E38" s="17" t="s">
        <v>154</v>
      </c>
      <c r="F38" s="18" t="s">
        <v>154</v>
      </c>
      <c r="G38" s="17" t="s">
        <v>154</v>
      </c>
      <c r="H38" s="18" t="s">
        <v>154</v>
      </c>
      <c r="I38" s="17" t="s">
        <v>154</v>
      </c>
      <c r="J38" s="18" t="s">
        <v>154</v>
      </c>
      <c r="K38" s="17" t="s">
        <v>154</v>
      </c>
      <c r="L38" s="18" t="s">
        <v>154</v>
      </c>
      <c r="M38" s="17" t="s">
        <v>154</v>
      </c>
      <c r="N38" s="18" t="s">
        <v>154</v>
      </c>
      <c r="O38" s="17" t="s">
        <v>154</v>
      </c>
      <c r="P38" s="18" t="s">
        <v>154</v>
      </c>
      <c r="Q38" s="17" t="s">
        <v>154</v>
      </c>
      <c r="R38" s="18" t="s">
        <v>154</v>
      </c>
    </row>
    <row r="39" spans="1:18" x14ac:dyDescent="0.25">
      <c r="A39" s="11" t="s">
        <v>172</v>
      </c>
      <c r="B39" s="13">
        <v>5895</v>
      </c>
      <c r="C39" s="14">
        <f>(4868/B39*100)</f>
        <v>82.578456318914334</v>
      </c>
      <c r="D39" s="15">
        <v>1027</v>
      </c>
      <c r="E39" s="14">
        <v>29.86584642</v>
      </c>
      <c r="F39" s="16">
        <v>1.6789725</v>
      </c>
      <c r="G39" s="14">
        <v>70.134153580000003</v>
      </c>
      <c r="H39" s="16">
        <v>1.6789725</v>
      </c>
      <c r="I39" s="14" t="s">
        <v>139</v>
      </c>
      <c r="J39" s="16" t="s">
        <v>139</v>
      </c>
      <c r="K39" s="14">
        <v>0</v>
      </c>
      <c r="L39" s="16">
        <v>0</v>
      </c>
      <c r="M39" s="14">
        <v>0</v>
      </c>
      <c r="N39" s="16">
        <v>0</v>
      </c>
      <c r="O39" s="14">
        <v>0</v>
      </c>
      <c r="P39" s="16">
        <v>0</v>
      </c>
      <c r="Q39" s="14">
        <v>0</v>
      </c>
      <c r="R39" s="16">
        <v>0</v>
      </c>
    </row>
    <row r="40" spans="1:18" x14ac:dyDescent="0.25">
      <c r="A40" s="11" t="s">
        <v>173</v>
      </c>
      <c r="B40" s="13">
        <v>14157</v>
      </c>
      <c r="C40" s="14">
        <f>(11783/B40*100)</f>
        <v>83.230910503637773</v>
      </c>
      <c r="D40" s="15">
        <v>2374</v>
      </c>
      <c r="E40" s="14">
        <v>25.819158789999999</v>
      </c>
      <c r="F40" s="16">
        <v>1.13456706</v>
      </c>
      <c r="G40" s="14">
        <v>74.180841209999997</v>
      </c>
      <c r="H40" s="16">
        <v>1.13456706</v>
      </c>
      <c r="I40" s="14" t="s">
        <v>139</v>
      </c>
      <c r="J40" s="16" t="s">
        <v>139</v>
      </c>
      <c r="K40" s="14">
        <v>0</v>
      </c>
      <c r="L40" s="16">
        <v>0</v>
      </c>
      <c r="M40" s="14">
        <v>0</v>
      </c>
      <c r="N40" s="16">
        <v>0</v>
      </c>
      <c r="O40" s="14">
        <v>0</v>
      </c>
      <c r="P40" s="16">
        <v>0</v>
      </c>
      <c r="Q40" s="14">
        <v>0</v>
      </c>
      <c r="R40" s="16">
        <v>0</v>
      </c>
    </row>
    <row r="41" spans="1:18" x14ac:dyDescent="0.25">
      <c r="A41" s="11" t="s">
        <v>174</v>
      </c>
      <c r="B41" s="13">
        <v>5712</v>
      </c>
      <c r="C41" s="14">
        <f>(4777/B41*100)</f>
        <v>83.63095238095238</v>
      </c>
      <c r="D41" s="15">
        <v>935</v>
      </c>
      <c r="E41" s="14">
        <v>24.635456179999998</v>
      </c>
      <c r="F41" s="16">
        <v>1.5327611299999999</v>
      </c>
      <c r="G41" s="14">
        <v>75.364543819999994</v>
      </c>
      <c r="H41" s="16">
        <v>1.5327611299999999</v>
      </c>
      <c r="I41" s="14" t="s">
        <v>139</v>
      </c>
      <c r="J41" s="16" t="s">
        <v>139</v>
      </c>
      <c r="K41" s="14">
        <v>0</v>
      </c>
      <c r="L41" s="16">
        <v>0</v>
      </c>
      <c r="M41" s="14">
        <v>0</v>
      </c>
      <c r="N41" s="16">
        <v>0</v>
      </c>
      <c r="O41" s="14">
        <v>0</v>
      </c>
      <c r="P41" s="16">
        <v>0</v>
      </c>
      <c r="Q41" s="14">
        <v>0</v>
      </c>
      <c r="R41" s="16">
        <v>0</v>
      </c>
    </row>
    <row r="42" spans="1:18" x14ac:dyDescent="0.25">
      <c r="A42" s="11" t="s">
        <v>175</v>
      </c>
      <c r="B42" s="13">
        <f>IF(COUNT(B7:B41) &gt; 0, AVERAGE(B7:B41), "\u2014")</f>
        <v>7266.90625</v>
      </c>
      <c r="C42" s="14">
        <f>IF(COUNT(C7:C41) &gt; 0, AVERAGE(C7:C41), "—")</f>
        <v>83.81629354243708</v>
      </c>
      <c r="D42" s="15">
        <f>IF(COUNT(D7:D41) &gt; 0, AVERAGE(D7:D41), "—")</f>
        <v>1178.1875</v>
      </c>
      <c r="E42" s="14">
        <f>IF(COUNT(E7:E41) &gt; 0, AVERAGE(E7:E41), "—")</f>
        <v>23.807852527499996</v>
      </c>
      <c r="F42" s="16">
        <f>IF(COUNT(F7:F41) &gt; 0, SQRT(SUMSQ(F7:F41)/(COUNT(F7:F41)*COUNT(F7:F41)) ), "—")</f>
        <v>0.25228965585254348</v>
      </c>
      <c r="G42" s="14">
        <f>IF(COUNT(G7:G41) &gt; 0, AVERAGE(G7:G41), "—")</f>
        <v>76.192147472500011</v>
      </c>
      <c r="H42" s="16">
        <f>IF(COUNT(H7:H41) &gt; 0, SQRT(SUMSQ(H7:H41)/(COUNT(H7:H41)*COUNT(H7:H41)) ), "—")</f>
        <v>0.25228965585254348</v>
      </c>
      <c r="I42" s="14" t="str">
        <f>IF(COUNT(I7:I41) &gt; 0, AVERAGE(I7:I41), "—")</f>
        <v>—</v>
      </c>
      <c r="J42" s="16" t="str">
        <f>IF(COUNT(J7:J41) &gt; 0, SQRT(SUMSQ(J7:J41)/(COUNT(J7:J41)*COUNT(J7:J41)) ), "—")</f>
        <v>—</v>
      </c>
      <c r="K42" s="14">
        <f>IF(COUNT(K7:K41) &gt; 0, AVERAGE(K7:K41), "—")</f>
        <v>0</v>
      </c>
      <c r="L42" s="16">
        <f>IF(COUNT(L7:L41) &gt; 0, SQRT(SUMSQ(L7:L41)/(COUNT(L7:L41)*COUNT(L7:L41)) ), "—")</f>
        <v>0</v>
      </c>
      <c r="M42" s="14">
        <f>IF(COUNT(M7:M41) &gt; 0, AVERAGE(M7:M41), "—")</f>
        <v>0</v>
      </c>
      <c r="N42" s="16">
        <f>IF(COUNT(N7:N41) &gt; 0, SQRT(SUMSQ(N7:N41)/(COUNT(N7:N41)*COUNT(N7:N41)) ), "—")</f>
        <v>0</v>
      </c>
      <c r="O42" s="14">
        <f>IF(COUNT(O7:O41) &gt; 0, AVERAGE(O7:O41), "—")</f>
        <v>0</v>
      </c>
      <c r="P42" s="16">
        <f>IF(COUNT(P7:P41) &gt; 0, SQRT(SUMSQ(P7:P41)/(COUNT(P7:P41)*COUNT(P7:P41)) ), "—")</f>
        <v>0</v>
      </c>
      <c r="Q42" s="14">
        <f>IF(COUNT(Q7:Q41) &gt; 0, AVERAGE(Q7:Q41), "—")</f>
        <v>0</v>
      </c>
      <c r="R42" s="16">
        <f>IF(COUNT(R7:R41) &gt; 0, SQRT(SUMSQ(R7:R41)/(COUNT(R7:R41)*COUNT(R7:R41)) ), "—")</f>
        <v>0</v>
      </c>
    </row>
    <row r="43" spans="1:18" x14ac:dyDescent="0.25">
      <c r="A43" s="9" t="s">
        <v>176</v>
      </c>
      <c r="B43" s="10"/>
      <c r="C43" s="10"/>
      <c r="D43" s="11"/>
      <c r="E43" s="10"/>
      <c r="F43" s="11"/>
      <c r="G43" s="10"/>
      <c r="H43" s="11"/>
      <c r="I43" s="10"/>
      <c r="J43" s="11"/>
      <c r="K43" s="10"/>
      <c r="L43" s="11"/>
      <c r="M43" s="10"/>
      <c r="N43" s="11"/>
      <c r="O43" s="10"/>
      <c r="P43" s="11"/>
      <c r="Q43" s="10"/>
      <c r="R43" s="12"/>
    </row>
    <row r="44" spans="1:18" x14ac:dyDescent="0.25">
      <c r="A44" s="11" t="s">
        <v>177</v>
      </c>
      <c r="B44" s="17" t="s">
        <v>154</v>
      </c>
      <c r="C44" s="17" t="s">
        <v>154</v>
      </c>
      <c r="D44" s="18" t="s">
        <v>154</v>
      </c>
      <c r="E44" s="17" t="s">
        <v>154</v>
      </c>
      <c r="F44" s="18" t="s">
        <v>154</v>
      </c>
      <c r="G44" s="17" t="s">
        <v>154</v>
      </c>
      <c r="H44" s="18" t="s">
        <v>154</v>
      </c>
      <c r="I44" s="17" t="s">
        <v>154</v>
      </c>
      <c r="J44" s="18" t="s">
        <v>154</v>
      </c>
      <c r="K44" s="17" t="s">
        <v>154</v>
      </c>
      <c r="L44" s="18" t="s">
        <v>154</v>
      </c>
      <c r="M44" s="17" t="s">
        <v>154</v>
      </c>
      <c r="N44" s="18" t="s">
        <v>154</v>
      </c>
      <c r="O44" s="17" t="s">
        <v>154</v>
      </c>
      <c r="P44" s="18" t="s">
        <v>154</v>
      </c>
      <c r="Q44" s="17" t="s">
        <v>154</v>
      </c>
      <c r="R44" s="18" t="s">
        <v>154</v>
      </c>
    </row>
    <row r="45" spans="1:18" x14ac:dyDescent="0.25">
      <c r="A45" s="11" t="s">
        <v>178</v>
      </c>
      <c r="B45" s="17" t="s">
        <v>154</v>
      </c>
      <c r="C45" s="17" t="s">
        <v>154</v>
      </c>
      <c r="D45" s="18" t="s">
        <v>154</v>
      </c>
      <c r="E45" s="17" t="s">
        <v>154</v>
      </c>
      <c r="F45" s="18" t="s">
        <v>154</v>
      </c>
      <c r="G45" s="17" t="s">
        <v>154</v>
      </c>
      <c r="H45" s="18" t="s">
        <v>154</v>
      </c>
      <c r="I45" s="17" t="s">
        <v>154</v>
      </c>
      <c r="J45" s="18" t="s">
        <v>154</v>
      </c>
      <c r="K45" s="17" t="s">
        <v>154</v>
      </c>
      <c r="L45" s="18" t="s">
        <v>154</v>
      </c>
      <c r="M45" s="17" t="s">
        <v>154</v>
      </c>
      <c r="N45" s="18" t="s">
        <v>154</v>
      </c>
      <c r="O45" s="17" t="s">
        <v>154</v>
      </c>
      <c r="P45" s="18" t="s">
        <v>154</v>
      </c>
      <c r="Q45" s="17" t="s">
        <v>154</v>
      </c>
      <c r="R45" s="18" t="s">
        <v>154</v>
      </c>
    </row>
    <row r="46" spans="1:18" x14ac:dyDescent="0.25">
      <c r="A46" s="11" t="s">
        <v>179</v>
      </c>
      <c r="B46" s="13">
        <v>23141</v>
      </c>
      <c r="C46" s="14">
        <f>(20514/B46*100)</f>
        <v>88.647854457456461</v>
      </c>
      <c r="D46" s="15">
        <v>2627</v>
      </c>
      <c r="E46" s="14">
        <v>0</v>
      </c>
      <c r="F46" s="16">
        <v>0</v>
      </c>
      <c r="G46" s="14">
        <v>0</v>
      </c>
      <c r="H46" s="16">
        <v>0</v>
      </c>
      <c r="I46" s="14" t="s">
        <v>139</v>
      </c>
      <c r="J46" s="16" t="s">
        <v>139</v>
      </c>
      <c r="K46" s="14">
        <v>0</v>
      </c>
      <c r="L46" s="16">
        <v>0</v>
      </c>
      <c r="M46" s="14">
        <v>100</v>
      </c>
      <c r="N46" s="16">
        <v>0</v>
      </c>
      <c r="O46" s="14">
        <v>0</v>
      </c>
      <c r="P46" s="16">
        <v>0</v>
      </c>
      <c r="Q46" s="14">
        <v>0</v>
      </c>
      <c r="R46" s="16">
        <v>0</v>
      </c>
    </row>
    <row r="47" spans="1:18" x14ac:dyDescent="0.25">
      <c r="A47" s="11" t="s">
        <v>180</v>
      </c>
      <c r="B47" s="13">
        <v>5928</v>
      </c>
      <c r="C47" s="14">
        <f>(5004/B47*100)</f>
        <v>84.412955465587046</v>
      </c>
      <c r="D47" s="15">
        <v>924</v>
      </c>
      <c r="E47" s="14">
        <v>25.436298010000002</v>
      </c>
      <c r="F47" s="16">
        <v>1.41689321</v>
      </c>
      <c r="G47" s="14">
        <v>74.563701989999998</v>
      </c>
      <c r="H47" s="16">
        <v>1.41689321</v>
      </c>
      <c r="I47" s="14" t="s">
        <v>139</v>
      </c>
      <c r="J47" s="16" t="s">
        <v>139</v>
      </c>
      <c r="K47" s="14">
        <v>0</v>
      </c>
      <c r="L47" s="16">
        <v>0</v>
      </c>
      <c r="M47" s="14">
        <v>0</v>
      </c>
      <c r="N47" s="16">
        <v>0</v>
      </c>
      <c r="O47" s="14">
        <v>0</v>
      </c>
      <c r="P47" s="16">
        <v>0</v>
      </c>
      <c r="Q47" s="14">
        <v>0</v>
      </c>
      <c r="R47" s="16">
        <v>0</v>
      </c>
    </row>
    <row r="48" spans="1:18" x14ac:dyDescent="0.25">
      <c r="A48" s="11" t="s">
        <v>181</v>
      </c>
      <c r="B48" s="13">
        <v>9841</v>
      </c>
      <c r="C48" s="14">
        <f>(8203/B48*100)</f>
        <v>83.355350066050192</v>
      </c>
      <c r="D48" s="15">
        <v>1638</v>
      </c>
      <c r="E48" s="14">
        <v>20.793972620000002</v>
      </c>
      <c r="F48" s="16">
        <v>1.0947374000000001</v>
      </c>
      <c r="G48" s="14">
        <v>79.206027379999995</v>
      </c>
      <c r="H48" s="16">
        <v>1.0947374000000001</v>
      </c>
      <c r="I48" s="14" t="s">
        <v>139</v>
      </c>
      <c r="J48" s="16" t="s">
        <v>139</v>
      </c>
      <c r="K48" s="14">
        <v>0</v>
      </c>
      <c r="L48" s="16">
        <v>0</v>
      </c>
      <c r="M48" s="14">
        <v>0</v>
      </c>
      <c r="N48" s="16">
        <v>0</v>
      </c>
      <c r="O48" s="14">
        <v>0</v>
      </c>
      <c r="P48" s="16">
        <v>0</v>
      </c>
      <c r="Q48" s="14">
        <v>0</v>
      </c>
      <c r="R48" s="16">
        <v>0</v>
      </c>
    </row>
    <row r="49" spans="1:18" x14ac:dyDescent="0.25">
      <c r="A49" s="11" t="s">
        <v>182</v>
      </c>
      <c r="B49" s="17" t="s">
        <v>154</v>
      </c>
      <c r="C49" s="17" t="s">
        <v>154</v>
      </c>
      <c r="D49" s="18" t="s">
        <v>154</v>
      </c>
      <c r="E49" s="17" t="s">
        <v>154</v>
      </c>
      <c r="F49" s="18" t="s">
        <v>154</v>
      </c>
      <c r="G49" s="17" t="s">
        <v>154</v>
      </c>
      <c r="H49" s="18" t="s">
        <v>154</v>
      </c>
      <c r="I49" s="17" t="s">
        <v>154</v>
      </c>
      <c r="J49" s="18" t="s">
        <v>154</v>
      </c>
      <c r="K49" s="17" t="s">
        <v>154</v>
      </c>
      <c r="L49" s="18" t="s">
        <v>154</v>
      </c>
      <c r="M49" s="17" t="s">
        <v>154</v>
      </c>
      <c r="N49" s="18" t="s">
        <v>154</v>
      </c>
      <c r="O49" s="17" t="s">
        <v>154</v>
      </c>
      <c r="P49" s="18" t="s">
        <v>154</v>
      </c>
      <c r="Q49" s="17" t="s">
        <v>154</v>
      </c>
      <c r="R49" s="18" t="s">
        <v>154</v>
      </c>
    </row>
    <row r="50" spans="1:18" x14ac:dyDescent="0.25">
      <c r="A50" s="11" t="s">
        <v>183</v>
      </c>
      <c r="B50" s="13">
        <v>11795</v>
      </c>
      <c r="C50" s="14">
        <f>(9961/B50*100)</f>
        <v>84.451038575667653</v>
      </c>
      <c r="D50" s="15">
        <v>1834</v>
      </c>
      <c r="E50" s="14">
        <v>31.995339399999999</v>
      </c>
      <c r="F50" s="16">
        <v>1.4823568899999999</v>
      </c>
      <c r="G50" s="14">
        <v>68.004660599999994</v>
      </c>
      <c r="H50" s="16">
        <v>1.4823568899999999</v>
      </c>
      <c r="I50" s="14" t="s">
        <v>139</v>
      </c>
      <c r="J50" s="16" t="s">
        <v>139</v>
      </c>
      <c r="K50" s="14">
        <v>0</v>
      </c>
      <c r="L50" s="16">
        <v>0</v>
      </c>
      <c r="M50" s="14">
        <v>0</v>
      </c>
      <c r="N50" s="16">
        <v>0</v>
      </c>
      <c r="O50" s="14">
        <v>0</v>
      </c>
      <c r="P50" s="16">
        <v>0</v>
      </c>
      <c r="Q50" s="14">
        <v>0</v>
      </c>
      <c r="R50" s="16">
        <v>0</v>
      </c>
    </row>
    <row r="51" spans="1:18" x14ac:dyDescent="0.25">
      <c r="A51" s="11" t="s">
        <v>184</v>
      </c>
      <c r="B51" s="13">
        <v>6866</v>
      </c>
      <c r="C51" s="14">
        <f>(5926/B51*100)</f>
        <v>86.309350422371097</v>
      </c>
      <c r="D51" s="15">
        <v>940</v>
      </c>
      <c r="E51" s="14">
        <v>28.07319085</v>
      </c>
      <c r="F51" s="16">
        <v>1.4018776500000001</v>
      </c>
      <c r="G51" s="14">
        <v>71.926809149999997</v>
      </c>
      <c r="H51" s="16">
        <v>1.4018776500000001</v>
      </c>
      <c r="I51" s="14" t="s">
        <v>139</v>
      </c>
      <c r="J51" s="16" t="s">
        <v>139</v>
      </c>
      <c r="K51" s="14">
        <v>0</v>
      </c>
      <c r="L51" s="16">
        <v>0</v>
      </c>
      <c r="M51" s="14">
        <v>0</v>
      </c>
      <c r="N51" s="16">
        <v>0</v>
      </c>
      <c r="O51" s="14">
        <v>0</v>
      </c>
      <c r="P51" s="16">
        <v>0</v>
      </c>
      <c r="Q51" s="14">
        <v>0</v>
      </c>
      <c r="R51" s="16">
        <v>0</v>
      </c>
    </row>
    <row r="52" spans="1:18" x14ac:dyDescent="0.25">
      <c r="A52" s="11" t="s">
        <v>185</v>
      </c>
      <c r="B52" s="13">
        <v>5809</v>
      </c>
      <c r="C52" s="14">
        <f>(4863/B52*100)</f>
        <v>83.714925116198998</v>
      </c>
      <c r="D52" s="15">
        <v>946</v>
      </c>
      <c r="E52" s="14">
        <v>29.605783280000001</v>
      </c>
      <c r="F52" s="16">
        <v>1.57651779</v>
      </c>
      <c r="G52" s="14">
        <v>70.394216720000003</v>
      </c>
      <c r="H52" s="16">
        <v>1.57651779</v>
      </c>
      <c r="I52" s="14" t="s">
        <v>139</v>
      </c>
      <c r="J52" s="16" t="s">
        <v>139</v>
      </c>
      <c r="K52" s="14">
        <v>0</v>
      </c>
      <c r="L52" s="16">
        <v>0</v>
      </c>
      <c r="M52" s="14">
        <v>0</v>
      </c>
      <c r="N52" s="16">
        <v>0</v>
      </c>
      <c r="O52" s="14">
        <v>0</v>
      </c>
      <c r="P52" s="16">
        <v>0</v>
      </c>
      <c r="Q52" s="14">
        <v>0</v>
      </c>
      <c r="R52" s="16">
        <v>0</v>
      </c>
    </row>
    <row r="53" spans="1:18" x14ac:dyDescent="0.25">
      <c r="A53" s="11" t="s">
        <v>186</v>
      </c>
      <c r="B53" s="13">
        <v>5571</v>
      </c>
      <c r="C53" s="14">
        <f>(4698/B53*100)</f>
        <v>84.329563812600966</v>
      </c>
      <c r="D53" s="15">
        <v>873</v>
      </c>
      <c r="E53" s="14">
        <v>28.24417803</v>
      </c>
      <c r="F53" s="16">
        <v>1.61759444</v>
      </c>
      <c r="G53" s="14">
        <v>71.75582197</v>
      </c>
      <c r="H53" s="16">
        <v>1.61759444</v>
      </c>
      <c r="I53" s="14" t="s">
        <v>139</v>
      </c>
      <c r="J53" s="16" t="s">
        <v>139</v>
      </c>
      <c r="K53" s="14">
        <v>0</v>
      </c>
      <c r="L53" s="16">
        <v>0</v>
      </c>
      <c r="M53" s="14">
        <v>0</v>
      </c>
      <c r="N53" s="16">
        <v>0</v>
      </c>
      <c r="O53" s="14">
        <v>0</v>
      </c>
      <c r="P53" s="16">
        <v>0</v>
      </c>
      <c r="Q53" s="14">
        <v>0</v>
      </c>
      <c r="R53" s="16">
        <v>0</v>
      </c>
    </row>
    <row r="54" spans="1:18" x14ac:dyDescent="0.25">
      <c r="A54" s="11" t="s">
        <v>187</v>
      </c>
      <c r="B54" s="17" t="s">
        <v>154</v>
      </c>
      <c r="C54" s="17" t="s">
        <v>154</v>
      </c>
      <c r="D54" s="18" t="s">
        <v>154</v>
      </c>
      <c r="E54" s="17" t="s">
        <v>154</v>
      </c>
      <c r="F54" s="18" t="s">
        <v>154</v>
      </c>
      <c r="G54" s="17" t="s">
        <v>154</v>
      </c>
      <c r="H54" s="18" t="s">
        <v>154</v>
      </c>
      <c r="I54" s="17" t="s">
        <v>154</v>
      </c>
      <c r="J54" s="18" t="s">
        <v>154</v>
      </c>
      <c r="K54" s="17" t="s">
        <v>154</v>
      </c>
      <c r="L54" s="18" t="s">
        <v>154</v>
      </c>
      <c r="M54" s="17" t="s">
        <v>154</v>
      </c>
      <c r="N54" s="18" t="s">
        <v>154</v>
      </c>
      <c r="O54" s="17" t="s">
        <v>154</v>
      </c>
      <c r="P54" s="18" t="s">
        <v>154</v>
      </c>
      <c r="Q54" s="17" t="s">
        <v>154</v>
      </c>
      <c r="R54" s="18" t="s">
        <v>154</v>
      </c>
    </row>
    <row r="55" spans="1:18" x14ac:dyDescent="0.25">
      <c r="A55" s="11" t="s">
        <v>188</v>
      </c>
      <c r="B55" s="17" t="s">
        <v>154</v>
      </c>
      <c r="C55" s="17" t="s">
        <v>154</v>
      </c>
      <c r="D55" s="18" t="s">
        <v>154</v>
      </c>
      <c r="E55" s="17" t="s">
        <v>154</v>
      </c>
      <c r="F55" s="18" t="s">
        <v>154</v>
      </c>
      <c r="G55" s="17" t="s">
        <v>154</v>
      </c>
      <c r="H55" s="18" t="s">
        <v>154</v>
      </c>
      <c r="I55" s="17" t="s">
        <v>154</v>
      </c>
      <c r="J55" s="18" t="s">
        <v>154</v>
      </c>
      <c r="K55" s="17" t="s">
        <v>154</v>
      </c>
      <c r="L55" s="18" t="s">
        <v>154</v>
      </c>
      <c r="M55" s="17" t="s">
        <v>154</v>
      </c>
      <c r="N55" s="18" t="s">
        <v>154</v>
      </c>
      <c r="O55" s="17" t="s">
        <v>154</v>
      </c>
      <c r="P55" s="18" t="s">
        <v>154</v>
      </c>
      <c r="Q55" s="17" t="s">
        <v>154</v>
      </c>
      <c r="R55" s="18" t="s">
        <v>154</v>
      </c>
    </row>
    <row r="56" spans="1:18" x14ac:dyDescent="0.25">
      <c r="A56" s="11" t="s">
        <v>189</v>
      </c>
      <c r="B56" s="13">
        <v>5359</v>
      </c>
      <c r="C56" s="14">
        <f>(4458/B56*100)</f>
        <v>83.187161783914902</v>
      </c>
      <c r="D56" s="15">
        <v>901</v>
      </c>
      <c r="E56" s="14">
        <v>17.186400590000002</v>
      </c>
      <c r="F56" s="16">
        <v>1.4211076600000001</v>
      </c>
      <c r="G56" s="14">
        <v>82.813599409999995</v>
      </c>
      <c r="H56" s="16">
        <v>1.4211076600000001</v>
      </c>
      <c r="I56" s="14" t="s">
        <v>139</v>
      </c>
      <c r="J56" s="16" t="s">
        <v>139</v>
      </c>
      <c r="K56" s="14">
        <v>0</v>
      </c>
      <c r="L56" s="16">
        <v>0</v>
      </c>
      <c r="M56" s="14">
        <v>0</v>
      </c>
      <c r="N56" s="16">
        <v>0</v>
      </c>
      <c r="O56" s="14">
        <v>0</v>
      </c>
      <c r="P56" s="16">
        <v>0</v>
      </c>
      <c r="Q56" s="14">
        <v>0</v>
      </c>
      <c r="R56" s="16">
        <v>0</v>
      </c>
    </row>
    <row r="57" spans="1:18" x14ac:dyDescent="0.25">
      <c r="A57" s="11" t="s">
        <v>190</v>
      </c>
      <c r="B57" s="17" t="s">
        <v>154</v>
      </c>
      <c r="C57" s="17" t="s">
        <v>154</v>
      </c>
      <c r="D57" s="18" t="s">
        <v>154</v>
      </c>
      <c r="E57" s="17" t="s">
        <v>154</v>
      </c>
      <c r="F57" s="18" t="s">
        <v>154</v>
      </c>
      <c r="G57" s="17" t="s">
        <v>154</v>
      </c>
      <c r="H57" s="18" t="s">
        <v>154</v>
      </c>
      <c r="I57" s="17" t="s">
        <v>154</v>
      </c>
      <c r="J57" s="18" t="s">
        <v>154</v>
      </c>
      <c r="K57" s="17" t="s">
        <v>154</v>
      </c>
      <c r="L57" s="18" t="s">
        <v>154</v>
      </c>
      <c r="M57" s="17" t="s">
        <v>154</v>
      </c>
      <c r="N57" s="18" t="s">
        <v>154</v>
      </c>
      <c r="O57" s="17" t="s">
        <v>154</v>
      </c>
      <c r="P57" s="18" t="s">
        <v>154</v>
      </c>
      <c r="Q57" s="17" t="s">
        <v>154</v>
      </c>
      <c r="R57" s="18" t="s">
        <v>154</v>
      </c>
    </row>
    <row r="58" spans="1:18" x14ac:dyDescent="0.25">
      <c r="A58" s="11" t="s">
        <v>191</v>
      </c>
      <c r="B58" s="17" t="s">
        <v>154</v>
      </c>
      <c r="C58" s="17" t="s">
        <v>154</v>
      </c>
      <c r="D58" s="18" t="s">
        <v>154</v>
      </c>
      <c r="E58" s="17" t="s">
        <v>154</v>
      </c>
      <c r="F58" s="18" t="s">
        <v>154</v>
      </c>
      <c r="G58" s="17" t="s">
        <v>154</v>
      </c>
      <c r="H58" s="18" t="s">
        <v>154</v>
      </c>
      <c r="I58" s="17" t="s">
        <v>154</v>
      </c>
      <c r="J58" s="18" t="s">
        <v>154</v>
      </c>
      <c r="K58" s="17" t="s">
        <v>154</v>
      </c>
      <c r="L58" s="18" t="s">
        <v>154</v>
      </c>
      <c r="M58" s="17" t="s">
        <v>154</v>
      </c>
      <c r="N58" s="18" t="s">
        <v>154</v>
      </c>
      <c r="O58" s="17" t="s">
        <v>154</v>
      </c>
      <c r="P58" s="18" t="s">
        <v>154</v>
      </c>
      <c r="Q58" s="17" t="s">
        <v>154</v>
      </c>
      <c r="R58" s="18" t="s">
        <v>154</v>
      </c>
    </row>
    <row r="59" spans="1:18" x14ac:dyDescent="0.25">
      <c r="A59" s="11" t="s">
        <v>192</v>
      </c>
      <c r="B59" s="17" t="s">
        <v>154</v>
      </c>
      <c r="C59" s="17" t="s">
        <v>154</v>
      </c>
      <c r="D59" s="18" t="s">
        <v>154</v>
      </c>
      <c r="E59" s="17" t="s">
        <v>154</v>
      </c>
      <c r="F59" s="18" t="s">
        <v>154</v>
      </c>
      <c r="G59" s="17" t="s">
        <v>154</v>
      </c>
      <c r="H59" s="18" t="s">
        <v>154</v>
      </c>
      <c r="I59" s="17" t="s">
        <v>154</v>
      </c>
      <c r="J59" s="18" t="s">
        <v>154</v>
      </c>
      <c r="K59" s="17" t="s">
        <v>154</v>
      </c>
      <c r="L59" s="18" t="s">
        <v>154</v>
      </c>
      <c r="M59" s="17" t="s">
        <v>154</v>
      </c>
      <c r="N59" s="18" t="s">
        <v>154</v>
      </c>
      <c r="O59" s="17" t="s">
        <v>154</v>
      </c>
      <c r="P59" s="18" t="s">
        <v>154</v>
      </c>
      <c r="Q59" s="17" t="s">
        <v>154</v>
      </c>
      <c r="R59" s="18" t="s">
        <v>154</v>
      </c>
    </row>
    <row r="60" spans="1:18" x14ac:dyDescent="0.25">
      <c r="A60" s="11" t="s">
        <v>193</v>
      </c>
      <c r="B60" s="17" t="s">
        <v>154</v>
      </c>
      <c r="C60" s="17" t="s">
        <v>154</v>
      </c>
      <c r="D60" s="18" t="s">
        <v>154</v>
      </c>
      <c r="E60" s="17" t="s">
        <v>154</v>
      </c>
      <c r="F60" s="18" t="s">
        <v>154</v>
      </c>
      <c r="G60" s="17" t="s">
        <v>154</v>
      </c>
      <c r="H60" s="18" t="s">
        <v>154</v>
      </c>
      <c r="I60" s="17" t="s">
        <v>154</v>
      </c>
      <c r="J60" s="18" t="s">
        <v>154</v>
      </c>
      <c r="K60" s="17" t="s">
        <v>154</v>
      </c>
      <c r="L60" s="18" t="s">
        <v>154</v>
      </c>
      <c r="M60" s="17" t="s">
        <v>154</v>
      </c>
      <c r="N60" s="18" t="s">
        <v>154</v>
      </c>
      <c r="O60" s="17" t="s">
        <v>154</v>
      </c>
      <c r="P60" s="18" t="s">
        <v>154</v>
      </c>
      <c r="Q60" s="17" t="s">
        <v>154</v>
      </c>
      <c r="R60" s="18" t="s">
        <v>154</v>
      </c>
    </row>
    <row r="61" spans="1:18" x14ac:dyDescent="0.25">
      <c r="A61" s="11" t="s">
        <v>194</v>
      </c>
      <c r="B61" s="13">
        <v>6525</v>
      </c>
      <c r="C61" s="14">
        <f>(5466/B61*100)</f>
        <v>83.770114942528735</v>
      </c>
      <c r="D61" s="15">
        <v>1059</v>
      </c>
      <c r="E61" s="14">
        <v>27.49680583</v>
      </c>
      <c r="F61" s="16">
        <v>1.5286794399999999</v>
      </c>
      <c r="G61" s="14">
        <v>72.50319417</v>
      </c>
      <c r="H61" s="16">
        <v>1.5286794399999999</v>
      </c>
      <c r="I61" s="14" t="s">
        <v>139</v>
      </c>
      <c r="J61" s="16" t="s">
        <v>139</v>
      </c>
      <c r="K61" s="14">
        <v>0</v>
      </c>
      <c r="L61" s="16">
        <v>0</v>
      </c>
      <c r="M61" s="14">
        <v>0</v>
      </c>
      <c r="N61" s="16">
        <v>0</v>
      </c>
      <c r="O61" s="14">
        <v>0</v>
      </c>
      <c r="P61" s="16">
        <v>0</v>
      </c>
      <c r="Q61" s="14">
        <v>0</v>
      </c>
      <c r="R61" s="16">
        <v>0</v>
      </c>
    </row>
    <row r="62" spans="1:18" x14ac:dyDescent="0.25">
      <c r="A62" s="11" t="s">
        <v>195</v>
      </c>
      <c r="B62" s="13">
        <v>4476</v>
      </c>
      <c r="C62" s="14">
        <f>(3728/B62*100)</f>
        <v>83.288650580875782</v>
      </c>
      <c r="D62" s="15">
        <v>748</v>
      </c>
      <c r="E62" s="14">
        <v>11.66182671</v>
      </c>
      <c r="F62" s="16">
        <v>1.13283972</v>
      </c>
      <c r="G62" s="14">
        <v>88.33817329</v>
      </c>
      <c r="H62" s="16">
        <v>1.13283972</v>
      </c>
      <c r="I62" s="14" t="s">
        <v>139</v>
      </c>
      <c r="J62" s="16" t="s">
        <v>139</v>
      </c>
      <c r="K62" s="14">
        <v>0</v>
      </c>
      <c r="L62" s="16">
        <v>0</v>
      </c>
      <c r="M62" s="14">
        <v>0</v>
      </c>
      <c r="N62" s="16">
        <v>0</v>
      </c>
      <c r="O62" s="14">
        <v>0</v>
      </c>
      <c r="P62" s="16">
        <v>0</v>
      </c>
      <c r="Q62" s="14">
        <v>0</v>
      </c>
      <c r="R62" s="16">
        <v>0</v>
      </c>
    </row>
    <row r="63" spans="1:18" x14ac:dyDescent="0.25">
      <c r="A63" s="11" t="s">
        <v>196</v>
      </c>
      <c r="B63" s="17" t="s">
        <v>154</v>
      </c>
      <c r="C63" s="17" t="s">
        <v>154</v>
      </c>
      <c r="D63" s="18" t="s">
        <v>154</v>
      </c>
      <c r="E63" s="17" t="s">
        <v>154</v>
      </c>
      <c r="F63" s="18" t="s">
        <v>154</v>
      </c>
      <c r="G63" s="17" t="s">
        <v>154</v>
      </c>
      <c r="H63" s="18" t="s">
        <v>154</v>
      </c>
      <c r="I63" s="17" t="s">
        <v>154</v>
      </c>
      <c r="J63" s="18" t="s">
        <v>154</v>
      </c>
      <c r="K63" s="17" t="s">
        <v>154</v>
      </c>
      <c r="L63" s="18" t="s">
        <v>154</v>
      </c>
      <c r="M63" s="17" t="s">
        <v>154</v>
      </c>
      <c r="N63" s="18" t="s">
        <v>154</v>
      </c>
      <c r="O63" s="17" t="s">
        <v>154</v>
      </c>
      <c r="P63" s="18" t="s">
        <v>154</v>
      </c>
      <c r="Q63" s="17" t="s">
        <v>154</v>
      </c>
      <c r="R63" s="18" t="s">
        <v>154</v>
      </c>
    </row>
    <row r="64" spans="1:18" x14ac:dyDescent="0.25">
      <c r="A64" s="11" t="s">
        <v>197</v>
      </c>
      <c r="B64" s="17" t="s">
        <v>154</v>
      </c>
      <c r="C64" s="17" t="s">
        <v>154</v>
      </c>
      <c r="D64" s="18" t="s">
        <v>154</v>
      </c>
      <c r="E64" s="17" t="s">
        <v>154</v>
      </c>
      <c r="F64" s="18" t="s">
        <v>154</v>
      </c>
      <c r="G64" s="17" t="s">
        <v>154</v>
      </c>
      <c r="H64" s="18" t="s">
        <v>154</v>
      </c>
      <c r="I64" s="17" t="s">
        <v>154</v>
      </c>
      <c r="J64" s="18" t="s">
        <v>154</v>
      </c>
      <c r="K64" s="17" t="s">
        <v>154</v>
      </c>
      <c r="L64" s="18" t="s">
        <v>154</v>
      </c>
      <c r="M64" s="17" t="s">
        <v>154</v>
      </c>
      <c r="N64" s="18" t="s">
        <v>154</v>
      </c>
      <c r="O64" s="17" t="s">
        <v>154</v>
      </c>
      <c r="P64" s="18" t="s">
        <v>154</v>
      </c>
      <c r="Q64" s="17" t="s">
        <v>154</v>
      </c>
      <c r="R64" s="18" t="s">
        <v>154</v>
      </c>
    </row>
    <row r="65" spans="1:18" x14ac:dyDescent="0.25">
      <c r="A65" s="11" t="s">
        <v>198</v>
      </c>
      <c r="B65" s="17" t="s">
        <v>154</v>
      </c>
      <c r="C65" s="17" t="s">
        <v>154</v>
      </c>
      <c r="D65" s="18" t="s">
        <v>154</v>
      </c>
      <c r="E65" s="17" t="s">
        <v>154</v>
      </c>
      <c r="F65" s="18" t="s">
        <v>154</v>
      </c>
      <c r="G65" s="17" t="s">
        <v>154</v>
      </c>
      <c r="H65" s="18" t="s">
        <v>154</v>
      </c>
      <c r="I65" s="17" t="s">
        <v>154</v>
      </c>
      <c r="J65" s="18" t="s">
        <v>154</v>
      </c>
      <c r="K65" s="17" t="s">
        <v>154</v>
      </c>
      <c r="L65" s="18" t="s">
        <v>154</v>
      </c>
      <c r="M65" s="17" t="s">
        <v>154</v>
      </c>
      <c r="N65" s="18" t="s">
        <v>154</v>
      </c>
      <c r="O65" s="17" t="s">
        <v>154</v>
      </c>
      <c r="P65" s="18" t="s">
        <v>154</v>
      </c>
      <c r="Q65" s="17" t="s">
        <v>154</v>
      </c>
      <c r="R65" s="18" t="s">
        <v>154</v>
      </c>
    </row>
    <row r="66" spans="1:18" x14ac:dyDescent="0.25">
      <c r="A66" s="11" t="s">
        <v>199</v>
      </c>
      <c r="B66" s="13">
        <v>5665</v>
      </c>
      <c r="C66" s="14">
        <f>(4780/B66*100)</f>
        <v>84.377758164165925</v>
      </c>
      <c r="D66" s="15">
        <v>885</v>
      </c>
      <c r="E66" s="14">
        <v>25.236518669999999</v>
      </c>
      <c r="F66" s="16">
        <v>1.3874745799999999</v>
      </c>
      <c r="G66" s="14">
        <v>74.763481330000005</v>
      </c>
      <c r="H66" s="16">
        <v>1.3874745799999999</v>
      </c>
      <c r="I66" s="14" t="s">
        <v>139</v>
      </c>
      <c r="J66" s="16" t="s">
        <v>139</v>
      </c>
      <c r="K66" s="14">
        <v>0</v>
      </c>
      <c r="L66" s="16">
        <v>0</v>
      </c>
      <c r="M66" s="14">
        <v>0</v>
      </c>
      <c r="N66" s="16">
        <v>0</v>
      </c>
      <c r="O66" s="14">
        <v>0</v>
      </c>
      <c r="P66" s="16">
        <v>0</v>
      </c>
      <c r="Q66" s="14">
        <v>0</v>
      </c>
      <c r="R66" s="16">
        <v>0</v>
      </c>
    </row>
    <row r="67" spans="1:18" x14ac:dyDescent="0.25">
      <c r="A67" s="11" t="s">
        <v>200</v>
      </c>
      <c r="B67" s="13">
        <v>6971</v>
      </c>
      <c r="C67" s="14">
        <f>(6035/B67*100)</f>
        <v>86.572945058097844</v>
      </c>
      <c r="D67" s="15">
        <v>936</v>
      </c>
      <c r="E67" s="14">
        <v>32.228228440000002</v>
      </c>
      <c r="F67" s="16">
        <v>1.77411206</v>
      </c>
      <c r="G67" s="14">
        <v>67.771771560000005</v>
      </c>
      <c r="H67" s="16">
        <v>1.77411206</v>
      </c>
      <c r="I67" s="14" t="s">
        <v>139</v>
      </c>
      <c r="J67" s="16" t="s">
        <v>139</v>
      </c>
      <c r="K67" s="14">
        <v>0</v>
      </c>
      <c r="L67" s="16">
        <v>0</v>
      </c>
      <c r="M67" s="14">
        <v>0</v>
      </c>
      <c r="N67" s="16">
        <v>0</v>
      </c>
      <c r="O67" s="14">
        <v>0</v>
      </c>
      <c r="P67" s="16">
        <v>0</v>
      </c>
      <c r="Q67" s="14">
        <v>0</v>
      </c>
      <c r="R67" s="16">
        <v>0</v>
      </c>
    </row>
    <row r="68" spans="1:18" x14ac:dyDescent="0.25">
      <c r="A68" s="11" t="s">
        <v>201</v>
      </c>
      <c r="B68" s="17" t="s">
        <v>154</v>
      </c>
      <c r="C68" s="17" t="s">
        <v>154</v>
      </c>
      <c r="D68" s="18" t="s">
        <v>154</v>
      </c>
      <c r="E68" s="17" t="s">
        <v>154</v>
      </c>
      <c r="F68" s="18" t="s">
        <v>154</v>
      </c>
      <c r="G68" s="17" t="s">
        <v>154</v>
      </c>
      <c r="H68" s="18" t="s">
        <v>154</v>
      </c>
      <c r="I68" s="17" t="s">
        <v>154</v>
      </c>
      <c r="J68" s="18" t="s">
        <v>154</v>
      </c>
      <c r="K68" s="17" t="s">
        <v>154</v>
      </c>
      <c r="L68" s="18" t="s">
        <v>154</v>
      </c>
      <c r="M68" s="17" t="s">
        <v>154</v>
      </c>
      <c r="N68" s="18" t="s">
        <v>154</v>
      </c>
      <c r="O68" s="17" t="s">
        <v>154</v>
      </c>
      <c r="P68" s="18" t="s">
        <v>154</v>
      </c>
      <c r="Q68" s="17" t="s">
        <v>154</v>
      </c>
      <c r="R68" s="18" t="s">
        <v>154</v>
      </c>
    </row>
    <row r="69" spans="1:18" x14ac:dyDescent="0.25">
      <c r="A69" s="11" t="s">
        <v>202</v>
      </c>
      <c r="B69" s="17" t="s">
        <v>154</v>
      </c>
      <c r="C69" s="17" t="s">
        <v>154</v>
      </c>
      <c r="D69" s="18" t="s">
        <v>154</v>
      </c>
      <c r="E69" s="17" t="s">
        <v>154</v>
      </c>
      <c r="F69" s="18" t="s">
        <v>154</v>
      </c>
      <c r="G69" s="17" t="s">
        <v>154</v>
      </c>
      <c r="H69" s="18" t="s">
        <v>154</v>
      </c>
      <c r="I69" s="17" t="s">
        <v>154</v>
      </c>
      <c r="J69" s="18" t="s">
        <v>154</v>
      </c>
      <c r="K69" s="17" t="s">
        <v>154</v>
      </c>
      <c r="L69" s="18" t="s">
        <v>154</v>
      </c>
      <c r="M69" s="17" t="s">
        <v>154</v>
      </c>
      <c r="N69" s="18" t="s">
        <v>154</v>
      </c>
      <c r="O69" s="17" t="s">
        <v>154</v>
      </c>
      <c r="P69" s="18" t="s">
        <v>154</v>
      </c>
      <c r="Q69" s="17" t="s">
        <v>154</v>
      </c>
      <c r="R69" s="18" t="s">
        <v>154</v>
      </c>
    </row>
    <row r="70" spans="1:18" x14ac:dyDescent="0.25">
      <c r="A70" s="11" t="s">
        <v>203</v>
      </c>
      <c r="B70" s="13">
        <v>6036</v>
      </c>
      <c r="C70" s="14">
        <f>(5064/B70*100)</f>
        <v>83.896620278330019</v>
      </c>
      <c r="D70" s="15">
        <v>972</v>
      </c>
      <c r="E70" s="14">
        <v>25.492556929999999</v>
      </c>
      <c r="F70" s="16">
        <v>1.6829176699999999</v>
      </c>
      <c r="G70" s="14">
        <v>74.507443069999994</v>
      </c>
      <c r="H70" s="16">
        <v>1.6829176699999999</v>
      </c>
      <c r="I70" s="14" t="s">
        <v>139</v>
      </c>
      <c r="J70" s="16" t="s">
        <v>139</v>
      </c>
      <c r="K70" s="14">
        <v>0</v>
      </c>
      <c r="L70" s="16">
        <v>0</v>
      </c>
      <c r="M70" s="14">
        <v>0</v>
      </c>
      <c r="N70" s="16">
        <v>0</v>
      </c>
      <c r="O70" s="14">
        <v>0</v>
      </c>
      <c r="P70" s="16">
        <v>0</v>
      </c>
      <c r="Q70" s="14">
        <v>0</v>
      </c>
      <c r="R70" s="16">
        <v>0</v>
      </c>
    </row>
    <row r="71" spans="1:18" x14ac:dyDescent="0.25">
      <c r="A71" s="11" t="s">
        <v>204</v>
      </c>
      <c r="B71" s="17" t="s">
        <v>154</v>
      </c>
      <c r="C71" s="17" t="s">
        <v>154</v>
      </c>
      <c r="D71" s="18" t="s">
        <v>154</v>
      </c>
      <c r="E71" s="17" t="s">
        <v>154</v>
      </c>
      <c r="F71" s="18" t="s">
        <v>154</v>
      </c>
      <c r="G71" s="17" t="s">
        <v>154</v>
      </c>
      <c r="H71" s="18" t="s">
        <v>154</v>
      </c>
      <c r="I71" s="17" t="s">
        <v>154</v>
      </c>
      <c r="J71" s="18" t="s">
        <v>154</v>
      </c>
      <c r="K71" s="17" t="s">
        <v>154</v>
      </c>
      <c r="L71" s="18" t="s">
        <v>154</v>
      </c>
      <c r="M71" s="17" t="s">
        <v>154</v>
      </c>
      <c r="N71" s="18" t="s">
        <v>154</v>
      </c>
      <c r="O71" s="17" t="s">
        <v>154</v>
      </c>
      <c r="P71" s="18" t="s">
        <v>154</v>
      </c>
      <c r="Q71" s="17" t="s">
        <v>154</v>
      </c>
      <c r="R71" s="18" t="s">
        <v>154</v>
      </c>
    </row>
    <row r="72" spans="1:18" x14ac:dyDescent="0.25">
      <c r="A72" s="11" t="s">
        <v>205</v>
      </c>
      <c r="B72" s="13">
        <v>7708</v>
      </c>
      <c r="C72" s="14">
        <f>(6371/B72*100)</f>
        <v>82.654385054488841</v>
      </c>
      <c r="D72" s="15">
        <v>1337</v>
      </c>
      <c r="E72" s="14">
        <v>20.01672241</v>
      </c>
      <c r="F72" s="16">
        <v>1.09344058</v>
      </c>
      <c r="G72" s="14">
        <v>79.98327759</v>
      </c>
      <c r="H72" s="16">
        <v>1.09344058</v>
      </c>
      <c r="I72" s="14" t="s">
        <v>139</v>
      </c>
      <c r="J72" s="16" t="s">
        <v>139</v>
      </c>
      <c r="K72" s="14">
        <v>0</v>
      </c>
      <c r="L72" s="16">
        <v>0</v>
      </c>
      <c r="M72" s="14">
        <v>0</v>
      </c>
      <c r="N72" s="16">
        <v>0</v>
      </c>
      <c r="O72" s="14">
        <v>0</v>
      </c>
      <c r="P72" s="16">
        <v>0</v>
      </c>
      <c r="Q72" s="14">
        <v>0</v>
      </c>
      <c r="R72" s="16">
        <v>0</v>
      </c>
    </row>
    <row r="73" spans="1:18" x14ac:dyDescent="0.25">
      <c r="A73" s="11" t="s">
        <v>206</v>
      </c>
      <c r="B73" s="13">
        <v>8249</v>
      </c>
      <c r="C73" s="14">
        <f>(7002/B73*100)</f>
        <v>84.883016123166442</v>
      </c>
      <c r="D73" s="15">
        <v>1247</v>
      </c>
      <c r="E73" s="14">
        <v>50.779271880000003</v>
      </c>
      <c r="F73" s="16">
        <v>1.73728463</v>
      </c>
      <c r="G73" s="14">
        <v>49.220728119999997</v>
      </c>
      <c r="H73" s="16">
        <v>1.73728463</v>
      </c>
      <c r="I73" s="14" t="s">
        <v>139</v>
      </c>
      <c r="J73" s="16" t="s">
        <v>139</v>
      </c>
      <c r="K73" s="14">
        <v>0</v>
      </c>
      <c r="L73" s="16">
        <v>0</v>
      </c>
      <c r="M73" s="14">
        <v>0</v>
      </c>
      <c r="N73" s="16">
        <v>0</v>
      </c>
      <c r="O73" s="14">
        <v>0</v>
      </c>
      <c r="P73" s="16">
        <v>0</v>
      </c>
      <c r="Q73" s="14">
        <v>0</v>
      </c>
      <c r="R73" s="16">
        <v>0</v>
      </c>
    </row>
    <row r="74" spans="1:18" x14ac:dyDescent="0.25">
      <c r="A74" s="11" t="s">
        <v>207</v>
      </c>
      <c r="B74" s="17" t="s">
        <v>154</v>
      </c>
      <c r="C74" s="17" t="s">
        <v>154</v>
      </c>
      <c r="D74" s="18" t="s">
        <v>154</v>
      </c>
      <c r="E74" s="17" t="s">
        <v>154</v>
      </c>
      <c r="F74" s="18" t="s">
        <v>154</v>
      </c>
      <c r="G74" s="17" t="s">
        <v>154</v>
      </c>
      <c r="H74" s="18" t="s">
        <v>154</v>
      </c>
      <c r="I74" s="17" t="s">
        <v>154</v>
      </c>
      <c r="J74" s="18" t="s">
        <v>154</v>
      </c>
      <c r="K74" s="17" t="s">
        <v>154</v>
      </c>
      <c r="L74" s="18" t="s">
        <v>154</v>
      </c>
      <c r="M74" s="17" t="s">
        <v>154</v>
      </c>
      <c r="N74" s="18" t="s">
        <v>154</v>
      </c>
      <c r="O74" s="17" t="s">
        <v>154</v>
      </c>
      <c r="P74" s="18" t="s">
        <v>154</v>
      </c>
      <c r="Q74" s="17" t="s">
        <v>154</v>
      </c>
      <c r="R74" s="18" t="s">
        <v>154</v>
      </c>
    </row>
    <row r="75" spans="1:18" x14ac:dyDescent="0.25">
      <c r="A75" s="11" t="s">
        <v>208</v>
      </c>
      <c r="B75" s="13">
        <v>5375</v>
      </c>
      <c r="C75" s="14">
        <f>(4601/B75*100)</f>
        <v>85.6</v>
      </c>
      <c r="D75" s="15">
        <v>774</v>
      </c>
      <c r="E75" s="14">
        <v>27.87182516</v>
      </c>
      <c r="F75" s="16">
        <v>1.66325631</v>
      </c>
      <c r="G75" s="14">
        <v>72.12817484</v>
      </c>
      <c r="H75" s="16">
        <v>1.66325631</v>
      </c>
      <c r="I75" s="14" t="s">
        <v>139</v>
      </c>
      <c r="J75" s="16" t="s">
        <v>139</v>
      </c>
      <c r="K75" s="14">
        <v>0</v>
      </c>
      <c r="L75" s="16">
        <v>0</v>
      </c>
      <c r="M75" s="14">
        <v>0</v>
      </c>
      <c r="N75" s="16">
        <v>0</v>
      </c>
      <c r="O75" s="14">
        <v>0</v>
      </c>
      <c r="P75" s="16">
        <v>0</v>
      </c>
      <c r="Q75" s="14">
        <v>0</v>
      </c>
      <c r="R75" s="16">
        <v>0</v>
      </c>
    </row>
    <row r="76" spans="1:18" x14ac:dyDescent="0.25">
      <c r="A76" s="11" t="s">
        <v>209</v>
      </c>
      <c r="B76" s="13">
        <v>14167</v>
      </c>
      <c r="C76" s="14">
        <f>(11797/B76*100)</f>
        <v>83.270981859250369</v>
      </c>
      <c r="D76" s="15">
        <v>2370</v>
      </c>
      <c r="E76" s="14">
        <v>38.022347740000001</v>
      </c>
      <c r="F76" s="16">
        <v>1.3631522300000001</v>
      </c>
      <c r="G76" s="14">
        <v>61.977652259999999</v>
      </c>
      <c r="H76" s="16">
        <v>1.3631522300000001</v>
      </c>
      <c r="I76" s="14" t="s">
        <v>139</v>
      </c>
      <c r="J76" s="16" t="s">
        <v>139</v>
      </c>
      <c r="K76" s="14">
        <v>0</v>
      </c>
      <c r="L76" s="16">
        <v>0</v>
      </c>
      <c r="M76" s="14">
        <v>0</v>
      </c>
      <c r="N76" s="16">
        <v>0</v>
      </c>
      <c r="O76" s="14">
        <v>0</v>
      </c>
      <c r="P76" s="16">
        <v>0</v>
      </c>
      <c r="Q76" s="14">
        <v>0</v>
      </c>
      <c r="R76" s="16">
        <v>0</v>
      </c>
    </row>
    <row r="77" spans="1:18" x14ac:dyDescent="0.25">
      <c r="A77" s="11" t="s">
        <v>210</v>
      </c>
      <c r="B77" s="13">
        <v>6062</v>
      </c>
      <c r="C77" s="14">
        <f>(5164/B77*100)</f>
        <v>85.186407126360947</v>
      </c>
      <c r="D77" s="15">
        <v>898</v>
      </c>
      <c r="E77" s="14">
        <v>31.83085427</v>
      </c>
      <c r="F77" s="16">
        <v>1.46889819</v>
      </c>
      <c r="G77" s="14">
        <v>68.169145729999997</v>
      </c>
      <c r="H77" s="16">
        <v>1.46889819</v>
      </c>
      <c r="I77" s="14" t="s">
        <v>139</v>
      </c>
      <c r="J77" s="16" t="s">
        <v>139</v>
      </c>
      <c r="K77" s="14">
        <v>0</v>
      </c>
      <c r="L77" s="16">
        <v>0</v>
      </c>
      <c r="M77" s="14">
        <v>0</v>
      </c>
      <c r="N77" s="16">
        <v>0</v>
      </c>
      <c r="O77" s="14">
        <v>0</v>
      </c>
      <c r="P77" s="16">
        <v>0</v>
      </c>
      <c r="Q77" s="14">
        <v>0</v>
      </c>
      <c r="R77" s="16">
        <v>0</v>
      </c>
    </row>
    <row r="78" spans="1:18" x14ac:dyDescent="0.25">
      <c r="A78" s="11" t="s">
        <v>211</v>
      </c>
      <c r="B78" s="17" t="s">
        <v>154</v>
      </c>
      <c r="C78" s="17" t="s">
        <v>154</v>
      </c>
      <c r="D78" s="18" t="s">
        <v>154</v>
      </c>
      <c r="E78" s="17" t="s">
        <v>154</v>
      </c>
      <c r="F78" s="18" t="s">
        <v>154</v>
      </c>
      <c r="G78" s="17" t="s">
        <v>154</v>
      </c>
      <c r="H78" s="18" t="s">
        <v>154</v>
      </c>
      <c r="I78" s="17" t="s">
        <v>154</v>
      </c>
      <c r="J78" s="18" t="s">
        <v>154</v>
      </c>
      <c r="K78" s="17" t="s">
        <v>154</v>
      </c>
      <c r="L78" s="18" t="s">
        <v>154</v>
      </c>
      <c r="M78" s="17" t="s">
        <v>154</v>
      </c>
      <c r="N78" s="18" t="s">
        <v>154</v>
      </c>
      <c r="O78" s="17" t="s">
        <v>154</v>
      </c>
      <c r="P78" s="18" t="s">
        <v>154</v>
      </c>
      <c r="Q78" s="17" t="s">
        <v>154</v>
      </c>
      <c r="R78" s="18" t="s">
        <v>154</v>
      </c>
    </row>
    <row r="79" spans="1:18" ht="24.95" customHeight="1" x14ac:dyDescent="0.25">
      <c r="A79" s="11" t="s">
        <v>212</v>
      </c>
      <c r="B79" s="17" t="s">
        <v>154</v>
      </c>
      <c r="C79" s="17" t="s">
        <v>154</v>
      </c>
      <c r="D79" s="18" t="s">
        <v>154</v>
      </c>
      <c r="E79" s="17" t="s">
        <v>154</v>
      </c>
      <c r="F79" s="18" t="s">
        <v>154</v>
      </c>
      <c r="G79" s="17" t="s">
        <v>154</v>
      </c>
      <c r="H79" s="18" t="s">
        <v>154</v>
      </c>
      <c r="I79" s="17" t="s">
        <v>154</v>
      </c>
      <c r="J79" s="18" t="s">
        <v>154</v>
      </c>
      <c r="K79" s="17" t="s">
        <v>154</v>
      </c>
      <c r="L79" s="18" t="s">
        <v>154</v>
      </c>
      <c r="M79" s="17" t="s">
        <v>154</v>
      </c>
      <c r="N79" s="18" t="s">
        <v>154</v>
      </c>
      <c r="O79" s="17" t="s">
        <v>154</v>
      </c>
      <c r="P79" s="18" t="s">
        <v>154</v>
      </c>
      <c r="Q79" s="17" t="s">
        <v>154</v>
      </c>
      <c r="R79" s="18" t="s">
        <v>154</v>
      </c>
    </row>
    <row r="80" spans="1:18" x14ac:dyDescent="0.25">
      <c r="A80" s="11" t="s">
        <v>213</v>
      </c>
      <c r="B80" s="17" t="s">
        <v>154</v>
      </c>
      <c r="C80" s="17" t="s">
        <v>154</v>
      </c>
      <c r="D80" s="18" t="s">
        <v>154</v>
      </c>
      <c r="E80" s="17" t="s">
        <v>154</v>
      </c>
      <c r="F80" s="18" t="s">
        <v>154</v>
      </c>
      <c r="G80" s="17" t="s">
        <v>154</v>
      </c>
      <c r="H80" s="18" t="s">
        <v>154</v>
      </c>
      <c r="I80" s="17" t="s">
        <v>154</v>
      </c>
      <c r="J80" s="18" t="s">
        <v>154</v>
      </c>
      <c r="K80" s="17" t="s">
        <v>154</v>
      </c>
      <c r="L80" s="18" t="s">
        <v>154</v>
      </c>
      <c r="M80" s="17" t="s">
        <v>154</v>
      </c>
      <c r="N80" s="18" t="s">
        <v>154</v>
      </c>
      <c r="O80" s="17" t="s">
        <v>154</v>
      </c>
      <c r="P80" s="18" t="s">
        <v>154</v>
      </c>
      <c r="Q80" s="17" t="s">
        <v>154</v>
      </c>
      <c r="R80" s="18" t="s">
        <v>154</v>
      </c>
    </row>
    <row r="81" spans="1:18" x14ac:dyDescent="0.25">
      <c r="A81" s="19" t="s">
        <v>214</v>
      </c>
      <c r="B81" s="13">
        <v>8861</v>
      </c>
      <c r="C81" s="14">
        <f>(7377/B81*100)</f>
        <v>83.252454576232921</v>
      </c>
      <c r="D81" s="15">
        <v>1484</v>
      </c>
      <c r="E81" s="14">
        <v>36.307173130000002</v>
      </c>
      <c r="F81" s="16">
        <v>1.50218652</v>
      </c>
      <c r="G81" s="14">
        <v>63.692826869999998</v>
      </c>
      <c r="H81" s="16">
        <v>1.50218652</v>
      </c>
      <c r="I81" s="14" t="s">
        <v>139</v>
      </c>
      <c r="J81" s="16" t="s">
        <v>139</v>
      </c>
      <c r="K81" s="14">
        <v>0</v>
      </c>
      <c r="L81" s="16">
        <v>0</v>
      </c>
      <c r="M81" s="14">
        <v>0</v>
      </c>
      <c r="N81" s="16">
        <v>0</v>
      </c>
      <c r="O81" s="14">
        <v>0</v>
      </c>
      <c r="P81" s="16">
        <v>0</v>
      </c>
      <c r="Q81" s="14">
        <v>0</v>
      </c>
      <c r="R81" s="16">
        <v>0</v>
      </c>
    </row>
    <row r="82" spans="1:18" x14ac:dyDescent="0.25">
      <c r="A82" s="20"/>
      <c r="B82" s="20" t="s">
        <v>215</v>
      </c>
      <c r="C82" s="20" t="s">
        <v>215</v>
      </c>
      <c r="D82" s="20" t="s">
        <v>215</v>
      </c>
      <c r="E82" s="20" t="s">
        <v>215</v>
      </c>
      <c r="F82" s="20" t="s">
        <v>215</v>
      </c>
      <c r="G82" s="20" t="s">
        <v>215</v>
      </c>
      <c r="H82" s="20" t="s">
        <v>215</v>
      </c>
      <c r="I82" s="20" t="s">
        <v>215</v>
      </c>
      <c r="J82" s="20" t="s">
        <v>215</v>
      </c>
      <c r="K82" s="20" t="s">
        <v>215</v>
      </c>
      <c r="L82" s="20" t="s">
        <v>215</v>
      </c>
      <c r="M82" s="20" t="s">
        <v>215</v>
      </c>
      <c r="N82" s="20" t="s">
        <v>215</v>
      </c>
      <c r="O82" s="20" t="s">
        <v>215</v>
      </c>
      <c r="P82" s="20" t="s">
        <v>215</v>
      </c>
      <c r="Q82" s="20" t="s">
        <v>215</v>
      </c>
      <c r="R82" s="20" t="s">
        <v>215</v>
      </c>
    </row>
    <row r="83" spans="1:18" x14ac:dyDescent="0.25">
      <c r="A83" s="3" t="s">
        <v>216</v>
      </c>
    </row>
    <row r="84" spans="1:18" x14ac:dyDescent="0.25">
      <c r="A84" s="22" t="s">
        <v>217</v>
      </c>
      <c r="B84" s="23"/>
      <c r="C84" s="23"/>
      <c r="D84" s="23"/>
      <c r="E84" s="23"/>
      <c r="F84" s="23"/>
      <c r="G84" s="23"/>
      <c r="H84" s="23"/>
      <c r="I84" s="23"/>
      <c r="J84" s="23"/>
      <c r="K84" s="23"/>
      <c r="L84" s="23"/>
      <c r="M84" s="23"/>
      <c r="N84" s="23"/>
      <c r="O84" s="23"/>
      <c r="P84" s="23"/>
      <c r="Q84" s="23"/>
      <c r="R84" s="23"/>
    </row>
    <row r="85" spans="1:18" x14ac:dyDescent="0.25">
      <c r="A85" s="22" t="s">
        <v>218</v>
      </c>
      <c r="B85" s="23"/>
      <c r="C85" s="23"/>
      <c r="D85" s="23"/>
      <c r="E85" s="23"/>
      <c r="F85" s="23"/>
      <c r="G85" s="23"/>
      <c r="H85" s="23"/>
      <c r="I85" s="23"/>
      <c r="J85" s="23"/>
      <c r="K85" s="23"/>
      <c r="L85" s="23"/>
      <c r="M85" s="23"/>
      <c r="N85" s="23"/>
      <c r="O85" s="23"/>
      <c r="P85" s="23"/>
      <c r="Q85" s="23"/>
      <c r="R85" s="23"/>
    </row>
    <row r="86" spans="1:18" ht="30" customHeight="1" x14ac:dyDescent="0.25">
      <c r="A86" s="22" t="s">
        <v>219</v>
      </c>
      <c r="B86" s="23"/>
      <c r="C86" s="23"/>
      <c r="D86" s="23"/>
      <c r="E86" s="23"/>
      <c r="F86" s="23"/>
      <c r="G86" s="23"/>
      <c r="H86" s="23"/>
      <c r="I86" s="23"/>
      <c r="J86" s="23"/>
      <c r="K86" s="23"/>
      <c r="L86" s="23"/>
      <c r="M86" s="23"/>
      <c r="N86" s="23"/>
      <c r="O86" s="23"/>
      <c r="P86" s="23"/>
      <c r="Q86" s="23"/>
      <c r="R86" s="23"/>
    </row>
    <row r="87" spans="1:18" ht="30" customHeight="1" x14ac:dyDescent="0.25">
      <c r="A87" s="22" t="s">
        <v>215</v>
      </c>
      <c r="B87" s="23"/>
      <c r="C87" s="23"/>
      <c r="D87" s="23"/>
      <c r="E87" s="23"/>
      <c r="F87" s="23"/>
      <c r="G87" s="23"/>
      <c r="H87" s="23"/>
      <c r="I87" s="23"/>
      <c r="J87" s="23"/>
      <c r="K87" s="23"/>
      <c r="L87" s="23"/>
      <c r="M87" s="23"/>
      <c r="N87" s="23"/>
      <c r="O87" s="23"/>
      <c r="P87" s="23"/>
      <c r="Q87" s="23"/>
      <c r="R87" s="23"/>
    </row>
    <row r="88" spans="1:18" ht="30" customHeight="1" x14ac:dyDescent="0.25">
      <c r="A88" s="22" t="s">
        <v>220</v>
      </c>
      <c r="B88" s="23"/>
      <c r="C88" s="23"/>
      <c r="D88" s="23"/>
      <c r="E88" s="23"/>
      <c r="F88" s="23"/>
      <c r="G88" s="23"/>
      <c r="H88" s="23"/>
      <c r="I88" s="23"/>
      <c r="J88" s="23"/>
      <c r="K88" s="23"/>
      <c r="L88" s="23"/>
      <c r="M88" s="23"/>
      <c r="N88" s="23"/>
      <c r="O88" s="23"/>
      <c r="P88" s="23"/>
      <c r="Q88" s="23"/>
      <c r="R88" s="23"/>
    </row>
    <row r="89" spans="1:18" ht="30" customHeight="1" x14ac:dyDescent="0.25">
      <c r="A89" s="22" t="s">
        <v>221</v>
      </c>
      <c r="B89" s="23"/>
      <c r="C89" s="23"/>
      <c r="D89" s="23"/>
      <c r="E89" s="23"/>
      <c r="F89" s="23"/>
      <c r="G89" s="23"/>
      <c r="H89" s="23"/>
      <c r="I89" s="23"/>
      <c r="J89" s="23"/>
      <c r="K89" s="23"/>
      <c r="L89" s="23"/>
      <c r="M89" s="23"/>
      <c r="N89" s="23"/>
      <c r="O89" s="23"/>
      <c r="P89" s="23"/>
      <c r="Q89" s="23"/>
      <c r="R89" s="23"/>
    </row>
    <row r="90" spans="1:18" ht="30" customHeight="1" x14ac:dyDescent="0.25">
      <c r="A90" s="22" t="s">
        <v>222</v>
      </c>
      <c r="B90" s="23"/>
      <c r="C90" s="23"/>
      <c r="D90" s="23"/>
      <c r="E90" s="23"/>
      <c r="F90" s="23"/>
      <c r="G90" s="23"/>
      <c r="H90" s="23"/>
      <c r="I90" s="23"/>
      <c r="J90" s="23"/>
      <c r="K90" s="23"/>
      <c r="L90" s="23"/>
      <c r="M90" s="23"/>
      <c r="N90" s="23"/>
      <c r="O90" s="23"/>
      <c r="P90" s="23"/>
      <c r="Q90" s="23"/>
      <c r="R90" s="23"/>
    </row>
    <row r="91" spans="1:18" ht="30" customHeight="1" x14ac:dyDescent="0.25">
      <c r="A91" s="22" t="s">
        <v>223</v>
      </c>
      <c r="B91" s="23"/>
      <c r="C91" s="23"/>
      <c r="D91" s="23"/>
      <c r="E91" s="23"/>
      <c r="F91" s="23"/>
      <c r="G91" s="23"/>
      <c r="H91" s="23"/>
      <c r="I91" s="23"/>
      <c r="J91" s="23"/>
      <c r="K91" s="23"/>
      <c r="L91" s="23"/>
      <c r="M91" s="23"/>
      <c r="N91" s="23"/>
      <c r="O91" s="23"/>
      <c r="P91" s="23"/>
      <c r="Q91" s="23"/>
      <c r="R91" s="23"/>
    </row>
    <row r="92" spans="1:18" ht="30" customHeight="1" x14ac:dyDescent="0.25">
      <c r="A92" s="22" t="s">
        <v>224</v>
      </c>
      <c r="B92" s="23"/>
      <c r="C92" s="23"/>
      <c r="D92" s="23"/>
      <c r="E92" s="23"/>
      <c r="F92" s="23"/>
      <c r="G92" s="23"/>
      <c r="H92" s="23"/>
      <c r="I92" s="23"/>
      <c r="J92" s="23"/>
      <c r="K92" s="23"/>
      <c r="L92" s="23"/>
      <c r="M92" s="23"/>
      <c r="N92" s="23"/>
      <c r="O92" s="23"/>
      <c r="P92" s="23"/>
      <c r="Q92" s="23"/>
      <c r="R92" s="23"/>
    </row>
    <row r="93" spans="1:18" ht="30" customHeight="1" x14ac:dyDescent="0.25">
      <c r="A93" s="22" t="s">
        <v>225</v>
      </c>
      <c r="B93" s="23"/>
      <c r="C93" s="23"/>
      <c r="D93" s="23"/>
      <c r="E93" s="23"/>
      <c r="F93" s="23"/>
      <c r="G93" s="23"/>
      <c r="H93" s="23"/>
      <c r="I93" s="23"/>
      <c r="J93" s="23"/>
      <c r="K93" s="23"/>
      <c r="L93" s="23"/>
      <c r="M93" s="23"/>
      <c r="N93" s="23"/>
      <c r="O93" s="23"/>
      <c r="P93" s="23"/>
      <c r="Q93" s="23"/>
      <c r="R93" s="23"/>
    </row>
    <row r="94" spans="1:18" ht="30" customHeight="1" x14ac:dyDescent="0.25">
      <c r="A94" s="22" t="s">
        <v>226</v>
      </c>
      <c r="B94" s="23"/>
      <c r="C94" s="23"/>
      <c r="D94" s="23"/>
      <c r="E94" s="23"/>
      <c r="F94" s="23"/>
      <c r="G94" s="23"/>
      <c r="H94" s="23"/>
      <c r="I94" s="23"/>
      <c r="J94" s="23"/>
      <c r="K94" s="23"/>
      <c r="L94" s="23"/>
      <c r="M94" s="23"/>
      <c r="N94" s="23"/>
      <c r="O94" s="23"/>
      <c r="P94" s="23"/>
      <c r="Q94" s="23"/>
      <c r="R94" s="23"/>
    </row>
    <row r="95" spans="1:18" ht="30" customHeight="1" x14ac:dyDescent="0.25">
      <c r="A95" s="22" t="s">
        <v>227</v>
      </c>
      <c r="B95" s="23"/>
      <c r="C95" s="23"/>
      <c r="D95" s="23"/>
      <c r="E95" s="23"/>
      <c r="F95" s="23"/>
      <c r="G95" s="23"/>
      <c r="H95" s="23"/>
      <c r="I95" s="23"/>
      <c r="J95" s="23"/>
      <c r="K95" s="23"/>
      <c r="L95" s="23"/>
      <c r="M95" s="23"/>
      <c r="N95" s="23"/>
      <c r="O95" s="23"/>
      <c r="P95" s="23"/>
      <c r="Q95" s="23"/>
      <c r="R95" s="23"/>
    </row>
    <row r="96" spans="1:18" ht="30" customHeight="1" x14ac:dyDescent="0.25">
      <c r="A96" s="22" t="s">
        <v>228</v>
      </c>
      <c r="B96" s="23"/>
      <c r="C96" s="23"/>
      <c r="D96" s="23"/>
      <c r="E96" s="23"/>
      <c r="F96" s="23"/>
      <c r="G96" s="23"/>
      <c r="H96" s="23"/>
      <c r="I96" s="23"/>
      <c r="J96" s="23"/>
      <c r="K96" s="23"/>
      <c r="L96" s="23"/>
      <c r="M96" s="23"/>
      <c r="N96" s="23"/>
      <c r="O96" s="23"/>
      <c r="P96" s="23"/>
      <c r="Q96" s="23"/>
      <c r="R96" s="23"/>
    </row>
  </sheetData>
  <mergeCells count="22">
    <mergeCell ref="O4:P4"/>
    <mergeCell ref="Q4:R4"/>
    <mergeCell ref="A1:R1"/>
    <mergeCell ref="A2:R2"/>
    <mergeCell ref="A84:R84"/>
    <mergeCell ref="E4:F4"/>
    <mergeCell ref="G4:H4"/>
    <mergeCell ref="I4:J4"/>
    <mergeCell ref="K4:L4"/>
    <mergeCell ref="M4:N4"/>
    <mergeCell ref="A85:R85"/>
    <mergeCell ref="A86:R86"/>
    <mergeCell ref="A87:R87"/>
    <mergeCell ref="A88:R88"/>
    <mergeCell ref="A89:R89"/>
    <mergeCell ref="A95:R95"/>
    <mergeCell ref="A96:R96"/>
    <mergeCell ref="A90:R90"/>
    <mergeCell ref="A91:R91"/>
    <mergeCell ref="A92:R92"/>
    <mergeCell ref="A93:R93"/>
    <mergeCell ref="A94:R94"/>
  </mergeCells>
  <pageMargins left="0.75" right="0.75" top="1" bottom="1" header="0.5" footer="0.5"/>
</worksheet>
</file>

<file path=xl/worksheets/sheet1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0"/>
  <dimension ref="A1:R96"/>
  <sheetViews>
    <sheetView zoomScale="80" workbookViewId="0">
      <pane xSplit="4" topLeftCell="E1" activePane="topRight" state="frozen"/>
      <selection sqref="A1:R1"/>
      <selection pane="topRight" sqref="A1:R1"/>
    </sheetView>
  </sheetViews>
  <sheetFormatPr defaultColWidth="11.42578125" defaultRowHeight="15" x14ac:dyDescent="0.25"/>
  <cols>
    <col min="1" max="1" width="50" customWidth="1"/>
  </cols>
  <sheetData>
    <row r="1" spans="1:18" x14ac:dyDescent="0.25">
      <c r="A1" s="26" t="s">
        <v>122</v>
      </c>
      <c r="B1" s="23"/>
      <c r="C1" s="23"/>
      <c r="D1" s="23"/>
      <c r="E1" s="23"/>
      <c r="F1" s="23"/>
      <c r="G1" s="23"/>
      <c r="H1" s="23"/>
      <c r="I1" s="23"/>
      <c r="J1" s="23"/>
      <c r="K1" s="23"/>
      <c r="L1" s="23"/>
      <c r="M1" s="23"/>
      <c r="N1" s="23"/>
      <c r="O1" s="23"/>
      <c r="P1" s="23"/>
      <c r="Q1" s="23"/>
      <c r="R1" s="23"/>
    </row>
    <row r="2" spans="1:18" x14ac:dyDescent="0.25">
      <c r="A2" s="27" t="s">
        <v>346</v>
      </c>
      <c r="B2" s="23"/>
      <c r="C2" s="23"/>
      <c r="D2" s="23"/>
      <c r="E2" s="23"/>
      <c r="F2" s="23"/>
      <c r="G2" s="23"/>
      <c r="H2" s="23"/>
      <c r="I2" s="23"/>
      <c r="J2" s="23"/>
      <c r="K2" s="23"/>
      <c r="L2" s="23"/>
      <c r="M2" s="23"/>
      <c r="N2" s="23"/>
      <c r="O2" s="23"/>
      <c r="P2" s="23"/>
      <c r="Q2" s="23"/>
      <c r="R2" s="23"/>
    </row>
    <row r="4" spans="1:18" ht="30" customHeight="1" x14ac:dyDescent="0.25">
      <c r="A4" s="4"/>
      <c r="B4" s="5" t="s">
        <v>123</v>
      </c>
      <c r="C4" s="5" t="s">
        <v>124</v>
      </c>
      <c r="D4" s="6" t="s">
        <v>123</v>
      </c>
      <c r="E4" s="24" t="s">
        <v>125</v>
      </c>
      <c r="F4" s="25"/>
      <c r="G4" s="24" t="s">
        <v>126</v>
      </c>
      <c r="H4" s="25"/>
      <c r="I4" s="24" t="s">
        <v>127</v>
      </c>
      <c r="J4" s="25"/>
      <c r="K4" s="24" t="s">
        <v>128</v>
      </c>
      <c r="L4" s="25"/>
      <c r="M4" s="24" t="s">
        <v>129</v>
      </c>
      <c r="N4" s="25"/>
      <c r="O4" s="24" t="s">
        <v>130</v>
      </c>
      <c r="P4" s="25"/>
      <c r="Q4" s="24" t="s">
        <v>131</v>
      </c>
      <c r="R4" s="25"/>
    </row>
    <row r="5" spans="1:18" x14ac:dyDescent="0.25">
      <c r="A5" s="7"/>
      <c r="B5" s="8" t="s">
        <v>132</v>
      </c>
      <c r="C5" s="8" t="s">
        <v>133</v>
      </c>
      <c r="D5" s="7" t="s">
        <v>134</v>
      </c>
      <c r="E5" s="8" t="s">
        <v>135</v>
      </c>
      <c r="F5" s="7" t="s">
        <v>136</v>
      </c>
      <c r="G5" s="8" t="s">
        <v>135</v>
      </c>
      <c r="H5" s="7" t="s">
        <v>136</v>
      </c>
      <c r="I5" s="8" t="s">
        <v>135</v>
      </c>
      <c r="J5" s="7" t="s">
        <v>136</v>
      </c>
      <c r="K5" s="8" t="s">
        <v>135</v>
      </c>
      <c r="L5" s="7" t="s">
        <v>136</v>
      </c>
      <c r="M5" s="8" t="s">
        <v>135</v>
      </c>
      <c r="N5" s="7" t="s">
        <v>136</v>
      </c>
      <c r="O5" s="8" t="s">
        <v>135</v>
      </c>
      <c r="P5" s="7" t="s">
        <v>136</v>
      </c>
      <c r="Q5" s="8" t="s">
        <v>135</v>
      </c>
      <c r="R5" s="7" t="s">
        <v>136</v>
      </c>
    </row>
    <row r="6" spans="1:18" x14ac:dyDescent="0.25">
      <c r="A6" s="9" t="s">
        <v>137</v>
      </c>
      <c r="B6" s="10"/>
      <c r="C6" s="10"/>
      <c r="D6" s="11"/>
      <c r="E6" s="10"/>
      <c r="F6" s="11"/>
      <c r="G6" s="10"/>
      <c r="H6" s="11"/>
      <c r="I6" s="10"/>
      <c r="J6" s="11"/>
      <c r="K6" s="10"/>
      <c r="L6" s="11"/>
      <c r="M6" s="10"/>
      <c r="N6" s="11"/>
      <c r="O6" s="10"/>
      <c r="P6" s="11"/>
      <c r="Q6" s="10"/>
      <c r="R6" s="12"/>
    </row>
    <row r="7" spans="1:18" x14ac:dyDescent="0.25">
      <c r="A7" s="11" t="s">
        <v>138</v>
      </c>
      <c r="B7" s="13">
        <v>14530</v>
      </c>
      <c r="C7" s="14">
        <f>(12189/B7*100)</f>
        <v>83.888506538196836</v>
      </c>
      <c r="D7" s="15">
        <v>2341</v>
      </c>
      <c r="E7" s="14">
        <v>87.526498669999995</v>
      </c>
      <c r="F7" s="16">
        <v>0.87302522000000005</v>
      </c>
      <c r="G7" s="14">
        <v>12.473501329999999</v>
      </c>
      <c r="H7" s="16">
        <v>0.87302522000000005</v>
      </c>
      <c r="I7" s="14" t="s">
        <v>139</v>
      </c>
      <c r="J7" s="16" t="s">
        <v>139</v>
      </c>
      <c r="K7" s="14">
        <v>0</v>
      </c>
      <c r="L7" s="16">
        <v>0</v>
      </c>
      <c r="M7" s="14">
        <v>0</v>
      </c>
      <c r="N7" s="16">
        <v>0</v>
      </c>
      <c r="O7" s="14">
        <v>0</v>
      </c>
      <c r="P7" s="16">
        <v>0</v>
      </c>
      <c r="Q7" s="14">
        <v>0</v>
      </c>
      <c r="R7" s="16">
        <v>0</v>
      </c>
    </row>
    <row r="8" spans="1:18" x14ac:dyDescent="0.25">
      <c r="A8" s="11" t="s">
        <v>140</v>
      </c>
      <c r="B8" s="13">
        <v>7007</v>
      </c>
      <c r="C8" s="14">
        <f>(5824/B8*100)</f>
        <v>83.116883116883116</v>
      </c>
      <c r="D8" s="15">
        <v>1183</v>
      </c>
      <c r="E8" s="14">
        <v>92.401153590000007</v>
      </c>
      <c r="F8" s="16">
        <v>0.88165656999999997</v>
      </c>
      <c r="G8" s="14">
        <v>7.5988464100000002</v>
      </c>
      <c r="H8" s="16">
        <v>0.88165656999999997</v>
      </c>
      <c r="I8" s="14" t="s">
        <v>139</v>
      </c>
      <c r="J8" s="16" t="s">
        <v>139</v>
      </c>
      <c r="K8" s="14">
        <v>0</v>
      </c>
      <c r="L8" s="16">
        <v>0</v>
      </c>
      <c r="M8" s="14">
        <v>0</v>
      </c>
      <c r="N8" s="16">
        <v>0</v>
      </c>
      <c r="O8" s="14">
        <v>0</v>
      </c>
      <c r="P8" s="16">
        <v>0</v>
      </c>
      <c r="Q8" s="14">
        <v>0</v>
      </c>
      <c r="R8" s="16">
        <v>0</v>
      </c>
    </row>
    <row r="9" spans="1:18" x14ac:dyDescent="0.25">
      <c r="A9" s="11" t="s">
        <v>141</v>
      </c>
      <c r="B9" s="13">
        <v>9651</v>
      </c>
      <c r="C9" s="14">
        <f>(8148/B9*100)</f>
        <v>84.426484302144857</v>
      </c>
      <c r="D9" s="15">
        <v>1503</v>
      </c>
      <c r="E9" s="14">
        <v>90.424821940000001</v>
      </c>
      <c r="F9" s="16">
        <v>0.71548202000000005</v>
      </c>
      <c r="G9" s="14">
        <v>9.5751780600000007</v>
      </c>
      <c r="H9" s="16">
        <v>0.71548202000000005</v>
      </c>
      <c r="I9" s="14" t="s">
        <v>139</v>
      </c>
      <c r="J9" s="16" t="s">
        <v>139</v>
      </c>
      <c r="K9" s="14">
        <v>0</v>
      </c>
      <c r="L9" s="16">
        <v>0</v>
      </c>
      <c r="M9" s="14">
        <v>0</v>
      </c>
      <c r="N9" s="16">
        <v>0</v>
      </c>
      <c r="O9" s="14">
        <v>0</v>
      </c>
      <c r="P9" s="16">
        <v>0</v>
      </c>
      <c r="Q9" s="14">
        <v>0</v>
      </c>
      <c r="R9" s="16">
        <v>0</v>
      </c>
    </row>
    <row r="10" spans="1:18" x14ac:dyDescent="0.25">
      <c r="A10" s="11" t="s">
        <v>142</v>
      </c>
      <c r="B10" s="13">
        <v>20058</v>
      </c>
      <c r="C10" s="14">
        <f>(16728/B10*100)</f>
        <v>83.398145378402631</v>
      </c>
      <c r="D10" s="15">
        <v>3330</v>
      </c>
      <c r="E10" s="14">
        <v>87.756911869999996</v>
      </c>
      <c r="F10" s="16">
        <v>0.84879300000000002</v>
      </c>
      <c r="G10" s="14">
        <v>12.24308813</v>
      </c>
      <c r="H10" s="16">
        <v>0.84879300000000002</v>
      </c>
      <c r="I10" s="14" t="s">
        <v>139</v>
      </c>
      <c r="J10" s="16" t="s">
        <v>139</v>
      </c>
      <c r="K10" s="14">
        <v>0</v>
      </c>
      <c r="L10" s="16">
        <v>0</v>
      </c>
      <c r="M10" s="14">
        <v>0</v>
      </c>
      <c r="N10" s="16">
        <v>0</v>
      </c>
      <c r="O10" s="14">
        <v>0</v>
      </c>
      <c r="P10" s="16">
        <v>0</v>
      </c>
      <c r="Q10" s="14">
        <v>0</v>
      </c>
      <c r="R10" s="16">
        <v>0</v>
      </c>
    </row>
    <row r="11" spans="1:18" x14ac:dyDescent="0.25">
      <c r="A11" s="11" t="s">
        <v>143</v>
      </c>
      <c r="B11" s="13">
        <v>7053</v>
      </c>
      <c r="C11" s="14">
        <f>(5945/B11*100)</f>
        <v>84.290372890968385</v>
      </c>
      <c r="D11" s="15">
        <v>1108</v>
      </c>
      <c r="E11" s="14">
        <v>91.344612510000005</v>
      </c>
      <c r="F11" s="16">
        <v>1.0052493499999999</v>
      </c>
      <c r="G11" s="14">
        <v>8.6553874900000007</v>
      </c>
      <c r="H11" s="16">
        <v>1.0052493499999999</v>
      </c>
      <c r="I11" s="14" t="s">
        <v>139</v>
      </c>
      <c r="J11" s="16" t="s">
        <v>139</v>
      </c>
      <c r="K11" s="14">
        <v>0</v>
      </c>
      <c r="L11" s="16">
        <v>0</v>
      </c>
      <c r="M11" s="14">
        <v>0</v>
      </c>
      <c r="N11" s="16">
        <v>0</v>
      </c>
      <c r="O11" s="14">
        <v>0</v>
      </c>
      <c r="P11" s="16">
        <v>0</v>
      </c>
      <c r="Q11" s="14">
        <v>0</v>
      </c>
      <c r="R11" s="16">
        <v>0</v>
      </c>
    </row>
    <row r="12" spans="1:18" x14ac:dyDescent="0.25">
      <c r="A12" s="11" t="s">
        <v>144</v>
      </c>
      <c r="B12" s="13">
        <v>6894</v>
      </c>
      <c r="C12" s="14">
        <f>(5773/B12*100)</f>
        <v>83.739483608935302</v>
      </c>
      <c r="D12" s="15">
        <v>1121</v>
      </c>
      <c r="E12" s="14">
        <v>94.489658489999997</v>
      </c>
      <c r="F12" s="16">
        <v>0.74880904000000004</v>
      </c>
      <c r="G12" s="14">
        <v>5.5103415099999999</v>
      </c>
      <c r="H12" s="16">
        <v>0.74880904000000004</v>
      </c>
      <c r="I12" s="14" t="s">
        <v>139</v>
      </c>
      <c r="J12" s="16" t="s">
        <v>139</v>
      </c>
      <c r="K12" s="14">
        <v>0</v>
      </c>
      <c r="L12" s="16">
        <v>0</v>
      </c>
      <c r="M12" s="14">
        <v>0</v>
      </c>
      <c r="N12" s="16">
        <v>0</v>
      </c>
      <c r="O12" s="14">
        <v>0</v>
      </c>
      <c r="P12" s="16">
        <v>0</v>
      </c>
      <c r="Q12" s="14">
        <v>0</v>
      </c>
      <c r="R12" s="16">
        <v>0</v>
      </c>
    </row>
    <row r="13" spans="1:18" x14ac:dyDescent="0.25">
      <c r="A13" s="11" t="s">
        <v>145</v>
      </c>
      <c r="B13" s="13">
        <v>7161</v>
      </c>
      <c r="C13" s="14">
        <f>(6056/B13*100)</f>
        <v>84.569194246613606</v>
      </c>
      <c r="D13" s="15">
        <v>1105</v>
      </c>
      <c r="E13" s="14">
        <v>93.173585639999999</v>
      </c>
      <c r="F13" s="16">
        <v>0.88585020000000003</v>
      </c>
      <c r="G13" s="14">
        <v>6.8264143600000002</v>
      </c>
      <c r="H13" s="16">
        <v>0.88585020000000003</v>
      </c>
      <c r="I13" s="14" t="s">
        <v>139</v>
      </c>
      <c r="J13" s="16" t="s">
        <v>139</v>
      </c>
      <c r="K13" s="14">
        <v>0</v>
      </c>
      <c r="L13" s="16">
        <v>0</v>
      </c>
      <c r="M13" s="14">
        <v>0</v>
      </c>
      <c r="N13" s="16">
        <v>0</v>
      </c>
      <c r="O13" s="14">
        <v>0</v>
      </c>
      <c r="P13" s="16">
        <v>0</v>
      </c>
      <c r="Q13" s="14">
        <v>0</v>
      </c>
      <c r="R13" s="16">
        <v>0</v>
      </c>
    </row>
    <row r="14" spans="1:18" x14ac:dyDescent="0.25">
      <c r="A14" s="11" t="s">
        <v>146</v>
      </c>
      <c r="B14" s="13">
        <v>5587</v>
      </c>
      <c r="C14" s="14">
        <f>(4649/B14*100)</f>
        <v>83.211025595131559</v>
      </c>
      <c r="D14" s="15">
        <v>938</v>
      </c>
      <c r="E14" s="14">
        <v>92.124272289999993</v>
      </c>
      <c r="F14" s="16">
        <v>0.96304679000000004</v>
      </c>
      <c r="G14" s="14">
        <v>7.8757277099999996</v>
      </c>
      <c r="H14" s="16">
        <v>0.96304679000000004</v>
      </c>
      <c r="I14" s="14" t="s">
        <v>139</v>
      </c>
      <c r="J14" s="16" t="s">
        <v>139</v>
      </c>
      <c r="K14" s="14">
        <v>0</v>
      </c>
      <c r="L14" s="16">
        <v>0</v>
      </c>
      <c r="M14" s="14">
        <v>0</v>
      </c>
      <c r="N14" s="16">
        <v>0</v>
      </c>
      <c r="O14" s="14">
        <v>0</v>
      </c>
      <c r="P14" s="16">
        <v>0</v>
      </c>
      <c r="Q14" s="14">
        <v>0</v>
      </c>
      <c r="R14" s="16">
        <v>0</v>
      </c>
    </row>
    <row r="15" spans="1:18" x14ac:dyDescent="0.25">
      <c r="A15" s="11" t="s">
        <v>147</v>
      </c>
      <c r="B15" s="13">
        <v>5882</v>
      </c>
      <c r="C15" s="14">
        <f>(4896/B15*100)</f>
        <v>83.236994219653184</v>
      </c>
      <c r="D15" s="15">
        <v>986</v>
      </c>
      <c r="E15" s="14">
        <v>90.819880670000003</v>
      </c>
      <c r="F15" s="16">
        <v>1.0056447900000001</v>
      </c>
      <c r="G15" s="14">
        <v>9.1801193300000001</v>
      </c>
      <c r="H15" s="16">
        <v>1.0056447900000001</v>
      </c>
      <c r="I15" s="14" t="s">
        <v>139</v>
      </c>
      <c r="J15" s="16" t="s">
        <v>139</v>
      </c>
      <c r="K15" s="14">
        <v>0</v>
      </c>
      <c r="L15" s="16">
        <v>0</v>
      </c>
      <c r="M15" s="14">
        <v>0</v>
      </c>
      <c r="N15" s="16">
        <v>0</v>
      </c>
      <c r="O15" s="14">
        <v>0</v>
      </c>
      <c r="P15" s="16">
        <v>0</v>
      </c>
      <c r="Q15" s="14">
        <v>0</v>
      </c>
      <c r="R15" s="16">
        <v>0</v>
      </c>
    </row>
    <row r="16" spans="1:18" x14ac:dyDescent="0.25">
      <c r="A16" s="11" t="s">
        <v>148</v>
      </c>
      <c r="B16" s="13">
        <v>6108</v>
      </c>
      <c r="C16" s="14">
        <f>(5126/B16*100)</f>
        <v>83.922724296005242</v>
      </c>
      <c r="D16" s="15">
        <v>982</v>
      </c>
      <c r="E16" s="14">
        <v>90.761538970000004</v>
      </c>
      <c r="F16" s="16">
        <v>0.99765429999999999</v>
      </c>
      <c r="G16" s="14">
        <v>9.2384610299999999</v>
      </c>
      <c r="H16" s="16">
        <v>0.99765429999999999</v>
      </c>
      <c r="I16" s="14" t="s">
        <v>139</v>
      </c>
      <c r="J16" s="16" t="s">
        <v>139</v>
      </c>
      <c r="K16" s="14">
        <v>0</v>
      </c>
      <c r="L16" s="16">
        <v>0</v>
      </c>
      <c r="M16" s="14">
        <v>0</v>
      </c>
      <c r="N16" s="16">
        <v>0</v>
      </c>
      <c r="O16" s="14">
        <v>0</v>
      </c>
      <c r="P16" s="16">
        <v>0</v>
      </c>
      <c r="Q16" s="14">
        <v>0</v>
      </c>
      <c r="R16" s="16">
        <v>0</v>
      </c>
    </row>
    <row r="17" spans="1:18" x14ac:dyDescent="0.25">
      <c r="A17" s="11" t="s">
        <v>149</v>
      </c>
      <c r="B17" s="13">
        <v>6504</v>
      </c>
      <c r="C17" s="14">
        <f>(5460/B17*100)</f>
        <v>83.948339483394832</v>
      </c>
      <c r="D17" s="15">
        <v>1044</v>
      </c>
      <c r="E17" s="14">
        <v>94.874308360000001</v>
      </c>
      <c r="F17" s="16">
        <v>0.73125744000000004</v>
      </c>
      <c r="G17" s="14">
        <v>5.1256916400000003</v>
      </c>
      <c r="H17" s="16">
        <v>0.73125744000000004</v>
      </c>
      <c r="I17" s="14" t="s">
        <v>139</v>
      </c>
      <c r="J17" s="16" t="s">
        <v>139</v>
      </c>
      <c r="K17" s="14">
        <v>0</v>
      </c>
      <c r="L17" s="16">
        <v>0</v>
      </c>
      <c r="M17" s="14">
        <v>0</v>
      </c>
      <c r="N17" s="16">
        <v>0</v>
      </c>
      <c r="O17" s="14">
        <v>0</v>
      </c>
      <c r="P17" s="16">
        <v>0</v>
      </c>
      <c r="Q17" s="14">
        <v>0</v>
      </c>
      <c r="R17" s="16">
        <v>0</v>
      </c>
    </row>
    <row r="18" spans="1:18" x14ac:dyDescent="0.25">
      <c r="A18" s="11" t="s">
        <v>150</v>
      </c>
      <c r="B18" s="13">
        <v>5532</v>
      </c>
      <c r="C18" s="14">
        <f>(4600/B18*100)</f>
        <v>83.152566883586417</v>
      </c>
      <c r="D18" s="15">
        <v>932</v>
      </c>
      <c r="E18" s="14">
        <v>91.462581779999994</v>
      </c>
      <c r="F18" s="16">
        <v>0.93506772999999999</v>
      </c>
      <c r="G18" s="14">
        <v>8.5374182199999993</v>
      </c>
      <c r="H18" s="16">
        <v>0.93506772999999999</v>
      </c>
      <c r="I18" s="14" t="s">
        <v>139</v>
      </c>
      <c r="J18" s="16" t="s">
        <v>139</v>
      </c>
      <c r="K18" s="14">
        <v>0</v>
      </c>
      <c r="L18" s="16">
        <v>0</v>
      </c>
      <c r="M18" s="14">
        <v>0</v>
      </c>
      <c r="N18" s="16">
        <v>0</v>
      </c>
      <c r="O18" s="14">
        <v>0</v>
      </c>
      <c r="P18" s="16">
        <v>0</v>
      </c>
      <c r="Q18" s="14">
        <v>0</v>
      </c>
      <c r="R18" s="16">
        <v>0</v>
      </c>
    </row>
    <row r="19" spans="1:18" x14ac:dyDescent="0.25">
      <c r="A19" s="11" t="s">
        <v>151</v>
      </c>
      <c r="B19" s="13">
        <v>5658</v>
      </c>
      <c r="C19" s="14">
        <f>(4757/B19*100)</f>
        <v>84.075645104277129</v>
      </c>
      <c r="D19" s="15">
        <v>901</v>
      </c>
      <c r="E19" s="14">
        <v>92.074357039999995</v>
      </c>
      <c r="F19" s="16">
        <v>0.98862567000000001</v>
      </c>
      <c r="G19" s="14">
        <v>7.9256429600000002</v>
      </c>
      <c r="H19" s="16">
        <v>0.98862567000000001</v>
      </c>
      <c r="I19" s="14" t="s">
        <v>139</v>
      </c>
      <c r="J19" s="16" t="s">
        <v>139</v>
      </c>
      <c r="K19" s="14">
        <v>0</v>
      </c>
      <c r="L19" s="16">
        <v>0</v>
      </c>
      <c r="M19" s="14">
        <v>0</v>
      </c>
      <c r="N19" s="16">
        <v>0</v>
      </c>
      <c r="O19" s="14">
        <v>0</v>
      </c>
      <c r="P19" s="16">
        <v>0</v>
      </c>
      <c r="Q19" s="14">
        <v>0</v>
      </c>
      <c r="R19" s="16">
        <v>0</v>
      </c>
    </row>
    <row r="20" spans="1:18" x14ac:dyDescent="0.25">
      <c r="A20" s="11" t="s">
        <v>152</v>
      </c>
      <c r="B20" s="13">
        <v>3371</v>
      </c>
      <c r="C20" s="14">
        <f>(2826/B20*100)</f>
        <v>83.832690596262239</v>
      </c>
      <c r="D20" s="15">
        <v>545</v>
      </c>
      <c r="E20" s="14">
        <v>89.871709580000001</v>
      </c>
      <c r="F20" s="16">
        <v>1.27231136</v>
      </c>
      <c r="G20" s="14">
        <v>10.128290420000001</v>
      </c>
      <c r="H20" s="16">
        <v>1.27231136</v>
      </c>
      <c r="I20" s="14" t="s">
        <v>139</v>
      </c>
      <c r="J20" s="16" t="s">
        <v>139</v>
      </c>
      <c r="K20" s="14">
        <v>0</v>
      </c>
      <c r="L20" s="16">
        <v>0</v>
      </c>
      <c r="M20" s="14">
        <v>0</v>
      </c>
      <c r="N20" s="16">
        <v>0</v>
      </c>
      <c r="O20" s="14">
        <v>0</v>
      </c>
      <c r="P20" s="16">
        <v>0</v>
      </c>
      <c r="Q20" s="14">
        <v>0</v>
      </c>
      <c r="R20" s="16">
        <v>0</v>
      </c>
    </row>
    <row r="21" spans="1:18" x14ac:dyDescent="0.25">
      <c r="A21" s="11" t="s">
        <v>153</v>
      </c>
      <c r="B21" s="17" t="s">
        <v>154</v>
      </c>
      <c r="C21" s="17" t="s">
        <v>154</v>
      </c>
      <c r="D21" s="18" t="s">
        <v>154</v>
      </c>
      <c r="E21" s="17" t="s">
        <v>154</v>
      </c>
      <c r="F21" s="18" t="s">
        <v>154</v>
      </c>
      <c r="G21" s="17" t="s">
        <v>154</v>
      </c>
      <c r="H21" s="18" t="s">
        <v>154</v>
      </c>
      <c r="I21" s="17" t="s">
        <v>154</v>
      </c>
      <c r="J21" s="18" t="s">
        <v>154</v>
      </c>
      <c r="K21" s="17" t="s">
        <v>154</v>
      </c>
      <c r="L21" s="18" t="s">
        <v>154</v>
      </c>
      <c r="M21" s="17" t="s">
        <v>154</v>
      </c>
      <c r="N21" s="18" t="s">
        <v>154</v>
      </c>
      <c r="O21" s="17" t="s">
        <v>154</v>
      </c>
      <c r="P21" s="18" t="s">
        <v>154</v>
      </c>
      <c r="Q21" s="17" t="s">
        <v>154</v>
      </c>
      <c r="R21" s="18" t="s">
        <v>154</v>
      </c>
    </row>
    <row r="22" spans="1:18" x14ac:dyDescent="0.25">
      <c r="A22" s="11" t="s">
        <v>155</v>
      </c>
      <c r="B22" s="13">
        <v>6598</v>
      </c>
      <c r="C22" s="14">
        <f>(5614/B22*100)</f>
        <v>85.086389815095487</v>
      </c>
      <c r="D22" s="15">
        <v>984</v>
      </c>
      <c r="E22" s="14">
        <v>92.710478679999994</v>
      </c>
      <c r="F22" s="16">
        <v>0.88771078000000003</v>
      </c>
      <c r="G22" s="14">
        <v>7.2895213200000004</v>
      </c>
      <c r="H22" s="16">
        <v>0.88771078000000003</v>
      </c>
      <c r="I22" s="14" t="s">
        <v>139</v>
      </c>
      <c r="J22" s="16" t="s">
        <v>139</v>
      </c>
      <c r="K22" s="14">
        <v>0</v>
      </c>
      <c r="L22" s="16">
        <v>0</v>
      </c>
      <c r="M22" s="14">
        <v>0</v>
      </c>
      <c r="N22" s="16">
        <v>0</v>
      </c>
      <c r="O22" s="14">
        <v>0</v>
      </c>
      <c r="P22" s="16">
        <v>0</v>
      </c>
      <c r="Q22" s="14">
        <v>0</v>
      </c>
      <c r="R22" s="16">
        <v>0</v>
      </c>
    </row>
    <row r="23" spans="1:18" x14ac:dyDescent="0.25">
      <c r="A23" s="11" t="s">
        <v>156</v>
      </c>
      <c r="B23" s="13">
        <v>11583</v>
      </c>
      <c r="C23" s="14">
        <f>(9647/B23*100)</f>
        <v>83.285849952516628</v>
      </c>
      <c r="D23" s="15">
        <v>1936</v>
      </c>
      <c r="E23" s="14">
        <v>90.470874690000002</v>
      </c>
      <c r="F23" s="16">
        <v>0.92590302000000002</v>
      </c>
      <c r="G23" s="14">
        <v>9.5291253099999995</v>
      </c>
      <c r="H23" s="16">
        <v>0.92590302000000002</v>
      </c>
      <c r="I23" s="14" t="s">
        <v>139</v>
      </c>
      <c r="J23" s="16" t="s">
        <v>139</v>
      </c>
      <c r="K23" s="14">
        <v>0</v>
      </c>
      <c r="L23" s="16">
        <v>0</v>
      </c>
      <c r="M23" s="14">
        <v>0</v>
      </c>
      <c r="N23" s="16">
        <v>0</v>
      </c>
      <c r="O23" s="14">
        <v>0</v>
      </c>
      <c r="P23" s="16">
        <v>0</v>
      </c>
      <c r="Q23" s="14">
        <v>0</v>
      </c>
      <c r="R23" s="16">
        <v>0</v>
      </c>
    </row>
    <row r="24" spans="1:18" x14ac:dyDescent="0.25">
      <c r="A24" s="11" t="s">
        <v>157</v>
      </c>
      <c r="B24" s="13">
        <v>6647</v>
      </c>
      <c r="C24" s="14">
        <f>(5517/B24*100)</f>
        <v>82.999849556190767</v>
      </c>
      <c r="D24" s="15">
        <v>1130</v>
      </c>
      <c r="E24" s="14">
        <v>88.548916079999998</v>
      </c>
      <c r="F24" s="16">
        <v>0.85301952000000003</v>
      </c>
      <c r="G24" s="14">
        <v>11.45108392</v>
      </c>
      <c r="H24" s="16">
        <v>0.85301952000000003</v>
      </c>
      <c r="I24" s="14" t="s">
        <v>139</v>
      </c>
      <c r="J24" s="16" t="s">
        <v>139</v>
      </c>
      <c r="K24" s="14">
        <v>0</v>
      </c>
      <c r="L24" s="16">
        <v>0</v>
      </c>
      <c r="M24" s="14">
        <v>0</v>
      </c>
      <c r="N24" s="16">
        <v>0</v>
      </c>
      <c r="O24" s="14">
        <v>0</v>
      </c>
      <c r="P24" s="16">
        <v>0</v>
      </c>
      <c r="Q24" s="14">
        <v>0</v>
      </c>
      <c r="R24" s="16">
        <v>0</v>
      </c>
    </row>
    <row r="25" spans="1:18" x14ac:dyDescent="0.25">
      <c r="A25" s="11" t="s">
        <v>158</v>
      </c>
      <c r="B25" s="13">
        <v>5581</v>
      </c>
      <c r="C25" s="14">
        <f>(4615/B25*100)</f>
        <v>82.691273965239205</v>
      </c>
      <c r="D25" s="15">
        <v>966</v>
      </c>
      <c r="E25" s="14">
        <v>89.173951369999997</v>
      </c>
      <c r="F25" s="16">
        <v>1.0501038199999999</v>
      </c>
      <c r="G25" s="14">
        <v>10.826048630000001</v>
      </c>
      <c r="H25" s="16">
        <v>1.0501038199999999</v>
      </c>
      <c r="I25" s="14" t="s">
        <v>139</v>
      </c>
      <c r="J25" s="16" t="s">
        <v>139</v>
      </c>
      <c r="K25" s="14">
        <v>0</v>
      </c>
      <c r="L25" s="16">
        <v>0</v>
      </c>
      <c r="M25" s="14">
        <v>0</v>
      </c>
      <c r="N25" s="16">
        <v>0</v>
      </c>
      <c r="O25" s="14">
        <v>0</v>
      </c>
      <c r="P25" s="16">
        <v>0</v>
      </c>
      <c r="Q25" s="14">
        <v>0</v>
      </c>
      <c r="R25" s="16">
        <v>0</v>
      </c>
    </row>
    <row r="26" spans="1:18" x14ac:dyDescent="0.25">
      <c r="A26" s="11" t="s">
        <v>159</v>
      </c>
      <c r="B26" s="13">
        <v>4869</v>
      </c>
      <c r="C26" s="14">
        <f>(4049/B26*100)</f>
        <v>83.15875949887041</v>
      </c>
      <c r="D26" s="15">
        <v>820</v>
      </c>
      <c r="E26" s="14">
        <v>92.106523170000003</v>
      </c>
      <c r="F26" s="16">
        <v>0.94489283000000002</v>
      </c>
      <c r="G26" s="14">
        <v>7.89347683</v>
      </c>
      <c r="H26" s="16">
        <v>0.94489283000000002</v>
      </c>
      <c r="I26" s="14" t="s">
        <v>139</v>
      </c>
      <c r="J26" s="16" t="s">
        <v>139</v>
      </c>
      <c r="K26" s="14">
        <v>0</v>
      </c>
      <c r="L26" s="16">
        <v>0</v>
      </c>
      <c r="M26" s="14">
        <v>0</v>
      </c>
      <c r="N26" s="16">
        <v>0</v>
      </c>
      <c r="O26" s="14">
        <v>0</v>
      </c>
      <c r="P26" s="16">
        <v>0</v>
      </c>
      <c r="Q26" s="14">
        <v>0</v>
      </c>
      <c r="R26" s="16">
        <v>0</v>
      </c>
    </row>
    <row r="27" spans="1:18" x14ac:dyDescent="0.25">
      <c r="A27" s="11" t="s">
        <v>160</v>
      </c>
      <c r="B27" s="13">
        <v>5299</v>
      </c>
      <c r="C27" s="14">
        <f>(4454/B27*100)</f>
        <v>84.053595017927904</v>
      </c>
      <c r="D27" s="15">
        <v>845</v>
      </c>
      <c r="E27" s="14">
        <v>92.324323340000007</v>
      </c>
      <c r="F27" s="16">
        <v>0.89982108999999999</v>
      </c>
      <c r="G27" s="14">
        <v>7.6756766599999997</v>
      </c>
      <c r="H27" s="16">
        <v>0.89982108999999999</v>
      </c>
      <c r="I27" s="14" t="s">
        <v>139</v>
      </c>
      <c r="J27" s="16" t="s">
        <v>139</v>
      </c>
      <c r="K27" s="14">
        <v>0</v>
      </c>
      <c r="L27" s="16">
        <v>0</v>
      </c>
      <c r="M27" s="14">
        <v>0</v>
      </c>
      <c r="N27" s="16">
        <v>0</v>
      </c>
      <c r="O27" s="14">
        <v>0</v>
      </c>
      <c r="P27" s="16">
        <v>0</v>
      </c>
      <c r="Q27" s="14">
        <v>0</v>
      </c>
      <c r="R27" s="16">
        <v>0</v>
      </c>
    </row>
    <row r="28" spans="1:18" x14ac:dyDescent="0.25">
      <c r="A28" s="11" t="s">
        <v>161</v>
      </c>
      <c r="B28" s="13">
        <v>7568</v>
      </c>
      <c r="C28" s="14">
        <f>(6449/B28*100)</f>
        <v>85.214059196617328</v>
      </c>
      <c r="D28" s="15">
        <v>1119</v>
      </c>
      <c r="E28" s="14">
        <v>91.898903720000007</v>
      </c>
      <c r="F28" s="16">
        <v>1.01560305</v>
      </c>
      <c r="G28" s="14">
        <v>8.1010962800000001</v>
      </c>
      <c r="H28" s="16">
        <v>1.01560305</v>
      </c>
      <c r="I28" s="14" t="s">
        <v>139</v>
      </c>
      <c r="J28" s="16" t="s">
        <v>139</v>
      </c>
      <c r="K28" s="14">
        <v>0</v>
      </c>
      <c r="L28" s="16">
        <v>0</v>
      </c>
      <c r="M28" s="14">
        <v>0</v>
      </c>
      <c r="N28" s="16">
        <v>0</v>
      </c>
      <c r="O28" s="14">
        <v>0</v>
      </c>
      <c r="P28" s="16">
        <v>0</v>
      </c>
      <c r="Q28" s="14">
        <v>0</v>
      </c>
      <c r="R28" s="16">
        <v>0</v>
      </c>
    </row>
    <row r="29" spans="1:18" x14ac:dyDescent="0.25">
      <c r="A29" s="11" t="s">
        <v>162</v>
      </c>
      <c r="B29" s="13">
        <v>5385</v>
      </c>
      <c r="C29" s="14">
        <f>(4501/B29*100)</f>
        <v>83.584029712163428</v>
      </c>
      <c r="D29" s="15">
        <v>884</v>
      </c>
      <c r="E29" s="14">
        <v>92.798722710000007</v>
      </c>
      <c r="F29" s="16">
        <v>0.98968981</v>
      </c>
      <c r="G29" s="14">
        <v>7.2012772900000002</v>
      </c>
      <c r="H29" s="16">
        <v>0.98968981</v>
      </c>
      <c r="I29" s="14" t="s">
        <v>139</v>
      </c>
      <c r="J29" s="16" t="s">
        <v>139</v>
      </c>
      <c r="K29" s="14">
        <v>0</v>
      </c>
      <c r="L29" s="16">
        <v>0</v>
      </c>
      <c r="M29" s="14">
        <v>0</v>
      </c>
      <c r="N29" s="16">
        <v>0</v>
      </c>
      <c r="O29" s="14">
        <v>0</v>
      </c>
      <c r="P29" s="16">
        <v>0</v>
      </c>
      <c r="Q29" s="14">
        <v>0</v>
      </c>
      <c r="R29" s="16">
        <v>0</v>
      </c>
    </row>
    <row r="30" spans="1:18" x14ac:dyDescent="0.25">
      <c r="A30" s="11" t="s">
        <v>163</v>
      </c>
      <c r="B30" s="13">
        <v>4520</v>
      </c>
      <c r="C30" s="14">
        <f>(3837/B30*100)</f>
        <v>84.88938053097344</v>
      </c>
      <c r="D30" s="15">
        <v>683</v>
      </c>
      <c r="E30" s="14">
        <v>88.237809060000004</v>
      </c>
      <c r="F30" s="16">
        <v>1.08084801</v>
      </c>
      <c r="G30" s="14">
        <v>11.76219094</v>
      </c>
      <c r="H30" s="16">
        <v>1.08084801</v>
      </c>
      <c r="I30" s="14" t="s">
        <v>139</v>
      </c>
      <c r="J30" s="16" t="s">
        <v>139</v>
      </c>
      <c r="K30" s="14">
        <v>0</v>
      </c>
      <c r="L30" s="16">
        <v>0</v>
      </c>
      <c r="M30" s="14">
        <v>0</v>
      </c>
      <c r="N30" s="16">
        <v>0</v>
      </c>
      <c r="O30" s="14">
        <v>0</v>
      </c>
      <c r="P30" s="16">
        <v>0</v>
      </c>
      <c r="Q30" s="14">
        <v>0</v>
      </c>
      <c r="R30" s="16">
        <v>0</v>
      </c>
    </row>
    <row r="31" spans="1:18" x14ac:dyDescent="0.25">
      <c r="A31" s="11" t="s">
        <v>164</v>
      </c>
      <c r="B31" s="13">
        <v>5456</v>
      </c>
      <c r="C31" s="14">
        <f>(4572/B31*100)</f>
        <v>83.797653958944281</v>
      </c>
      <c r="D31" s="15">
        <v>884</v>
      </c>
      <c r="E31" s="14">
        <v>92.039197250000001</v>
      </c>
      <c r="F31" s="16">
        <v>0.86511784999999997</v>
      </c>
      <c r="G31" s="14">
        <v>7.96080275</v>
      </c>
      <c r="H31" s="16">
        <v>0.86511784999999997</v>
      </c>
      <c r="I31" s="14" t="s">
        <v>139</v>
      </c>
      <c r="J31" s="16" t="s">
        <v>139</v>
      </c>
      <c r="K31" s="14">
        <v>0</v>
      </c>
      <c r="L31" s="16">
        <v>0</v>
      </c>
      <c r="M31" s="14">
        <v>0</v>
      </c>
      <c r="N31" s="16">
        <v>0</v>
      </c>
      <c r="O31" s="14">
        <v>0</v>
      </c>
      <c r="P31" s="16">
        <v>0</v>
      </c>
      <c r="Q31" s="14">
        <v>0</v>
      </c>
      <c r="R31" s="16">
        <v>0</v>
      </c>
    </row>
    <row r="32" spans="1:18" x14ac:dyDescent="0.25">
      <c r="A32" s="11" t="s">
        <v>165</v>
      </c>
      <c r="B32" s="17" t="s">
        <v>154</v>
      </c>
      <c r="C32" s="17" t="s">
        <v>154</v>
      </c>
      <c r="D32" s="18" t="s">
        <v>154</v>
      </c>
      <c r="E32" s="17" t="s">
        <v>154</v>
      </c>
      <c r="F32" s="18" t="s">
        <v>154</v>
      </c>
      <c r="G32" s="17" t="s">
        <v>154</v>
      </c>
      <c r="H32" s="18" t="s">
        <v>154</v>
      </c>
      <c r="I32" s="17" t="s">
        <v>154</v>
      </c>
      <c r="J32" s="18" t="s">
        <v>154</v>
      </c>
      <c r="K32" s="17" t="s">
        <v>154</v>
      </c>
      <c r="L32" s="18" t="s">
        <v>154</v>
      </c>
      <c r="M32" s="17" t="s">
        <v>154</v>
      </c>
      <c r="N32" s="18" t="s">
        <v>154</v>
      </c>
      <c r="O32" s="17" t="s">
        <v>154</v>
      </c>
      <c r="P32" s="18" t="s">
        <v>154</v>
      </c>
      <c r="Q32" s="17" t="s">
        <v>154</v>
      </c>
      <c r="R32" s="18" t="s">
        <v>154</v>
      </c>
    </row>
    <row r="33" spans="1:18" x14ac:dyDescent="0.25">
      <c r="A33" s="11" t="s">
        <v>166</v>
      </c>
      <c r="B33" s="13">
        <v>7325</v>
      </c>
      <c r="C33" s="14">
        <f>(6167/B33*100)</f>
        <v>84.191126279863482</v>
      </c>
      <c r="D33" s="15">
        <v>1158</v>
      </c>
      <c r="E33" s="14">
        <v>90.024166519999994</v>
      </c>
      <c r="F33" s="16">
        <v>0.93908796000000005</v>
      </c>
      <c r="G33" s="14">
        <v>9.9758334800000004</v>
      </c>
      <c r="H33" s="16">
        <v>0.93908796000000005</v>
      </c>
      <c r="I33" s="14" t="s">
        <v>139</v>
      </c>
      <c r="J33" s="16" t="s">
        <v>139</v>
      </c>
      <c r="K33" s="14">
        <v>0</v>
      </c>
      <c r="L33" s="16">
        <v>0</v>
      </c>
      <c r="M33" s="14">
        <v>0</v>
      </c>
      <c r="N33" s="16">
        <v>0</v>
      </c>
      <c r="O33" s="14">
        <v>0</v>
      </c>
      <c r="P33" s="16">
        <v>0</v>
      </c>
      <c r="Q33" s="14">
        <v>0</v>
      </c>
      <c r="R33" s="16">
        <v>0</v>
      </c>
    </row>
    <row r="34" spans="1:18" x14ac:dyDescent="0.25">
      <c r="A34" s="11" t="s">
        <v>167</v>
      </c>
      <c r="B34" s="13">
        <v>6350</v>
      </c>
      <c r="C34" s="14">
        <f>(5369/B34*100)</f>
        <v>84.551181102362207</v>
      </c>
      <c r="D34" s="15">
        <v>981</v>
      </c>
      <c r="E34" s="14">
        <v>92.799688270000004</v>
      </c>
      <c r="F34" s="16">
        <v>0.90394026000000005</v>
      </c>
      <c r="G34" s="14">
        <v>7.2003117300000001</v>
      </c>
      <c r="H34" s="16">
        <v>0.90394026000000005</v>
      </c>
      <c r="I34" s="14" t="s">
        <v>139</v>
      </c>
      <c r="J34" s="16" t="s">
        <v>139</v>
      </c>
      <c r="K34" s="14">
        <v>0</v>
      </c>
      <c r="L34" s="16">
        <v>0</v>
      </c>
      <c r="M34" s="14">
        <v>0</v>
      </c>
      <c r="N34" s="16">
        <v>0</v>
      </c>
      <c r="O34" s="14">
        <v>0</v>
      </c>
      <c r="P34" s="16">
        <v>0</v>
      </c>
      <c r="Q34" s="14">
        <v>0</v>
      </c>
      <c r="R34" s="16">
        <v>0</v>
      </c>
    </row>
    <row r="35" spans="1:18" x14ac:dyDescent="0.25">
      <c r="A35" s="11" t="s">
        <v>168</v>
      </c>
      <c r="B35" s="13">
        <v>6406</v>
      </c>
      <c r="C35" s="14">
        <f>(5366/B35*100)</f>
        <v>83.76522010615048</v>
      </c>
      <c r="D35" s="15">
        <v>1040</v>
      </c>
      <c r="E35" s="14">
        <v>89.477185840000004</v>
      </c>
      <c r="F35" s="16">
        <v>1.3785550499999999</v>
      </c>
      <c r="G35" s="14">
        <v>10.522814159999999</v>
      </c>
      <c r="H35" s="16">
        <v>1.3785550499999999</v>
      </c>
      <c r="I35" s="14" t="s">
        <v>139</v>
      </c>
      <c r="J35" s="16" t="s">
        <v>139</v>
      </c>
      <c r="K35" s="14">
        <v>0</v>
      </c>
      <c r="L35" s="16">
        <v>0</v>
      </c>
      <c r="M35" s="14">
        <v>0</v>
      </c>
      <c r="N35" s="16">
        <v>0</v>
      </c>
      <c r="O35" s="14">
        <v>0</v>
      </c>
      <c r="P35" s="16">
        <v>0</v>
      </c>
      <c r="Q35" s="14">
        <v>0</v>
      </c>
      <c r="R35" s="16">
        <v>0</v>
      </c>
    </row>
    <row r="36" spans="1:18" x14ac:dyDescent="0.25">
      <c r="A36" s="11" t="s">
        <v>169</v>
      </c>
      <c r="B36" s="13">
        <v>6736</v>
      </c>
      <c r="C36" s="14">
        <f>(5664/B36*100)</f>
        <v>84.085510688836109</v>
      </c>
      <c r="D36" s="15">
        <v>1072</v>
      </c>
      <c r="E36" s="14">
        <v>90.686256779999994</v>
      </c>
      <c r="F36" s="16">
        <v>0.79988718999999997</v>
      </c>
      <c r="G36" s="14">
        <v>9.3137432199999992</v>
      </c>
      <c r="H36" s="16">
        <v>0.79988718999999997</v>
      </c>
      <c r="I36" s="14" t="s">
        <v>139</v>
      </c>
      <c r="J36" s="16" t="s">
        <v>139</v>
      </c>
      <c r="K36" s="14">
        <v>0</v>
      </c>
      <c r="L36" s="16">
        <v>0</v>
      </c>
      <c r="M36" s="14">
        <v>0</v>
      </c>
      <c r="N36" s="16">
        <v>0</v>
      </c>
      <c r="O36" s="14">
        <v>0</v>
      </c>
      <c r="P36" s="16">
        <v>0</v>
      </c>
      <c r="Q36" s="14">
        <v>0</v>
      </c>
      <c r="R36" s="16">
        <v>0</v>
      </c>
    </row>
    <row r="37" spans="1:18" x14ac:dyDescent="0.25">
      <c r="A37" s="11" t="s">
        <v>170</v>
      </c>
      <c r="B37" s="13">
        <v>5458</v>
      </c>
      <c r="C37" s="14">
        <f>(4613/B37*100)</f>
        <v>84.518138512275556</v>
      </c>
      <c r="D37" s="15">
        <v>845</v>
      </c>
      <c r="E37" s="14">
        <v>90.341293620000002</v>
      </c>
      <c r="F37" s="16">
        <v>1.2009863000000001</v>
      </c>
      <c r="G37" s="14">
        <v>9.6587063799999999</v>
      </c>
      <c r="H37" s="16">
        <v>1.2009863000000001</v>
      </c>
      <c r="I37" s="14" t="s">
        <v>139</v>
      </c>
      <c r="J37" s="16" t="s">
        <v>139</v>
      </c>
      <c r="K37" s="14">
        <v>0</v>
      </c>
      <c r="L37" s="16">
        <v>0</v>
      </c>
      <c r="M37" s="14">
        <v>0</v>
      </c>
      <c r="N37" s="16">
        <v>0</v>
      </c>
      <c r="O37" s="14">
        <v>0</v>
      </c>
      <c r="P37" s="16">
        <v>0</v>
      </c>
      <c r="Q37" s="14">
        <v>0</v>
      </c>
      <c r="R37" s="16">
        <v>0</v>
      </c>
    </row>
    <row r="38" spans="1:18" x14ac:dyDescent="0.25">
      <c r="A38" s="11" t="s">
        <v>171</v>
      </c>
      <c r="B38" s="17" t="s">
        <v>154</v>
      </c>
      <c r="C38" s="17" t="s">
        <v>154</v>
      </c>
      <c r="D38" s="18" t="s">
        <v>154</v>
      </c>
      <c r="E38" s="17" t="s">
        <v>154</v>
      </c>
      <c r="F38" s="18" t="s">
        <v>154</v>
      </c>
      <c r="G38" s="17" t="s">
        <v>154</v>
      </c>
      <c r="H38" s="18" t="s">
        <v>154</v>
      </c>
      <c r="I38" s="17" t="s">
        <v>154</v>
      </c>
      <c r="J38" s="18" t="s">
        <v>154</v>
      </c>
      <c r="K38" s="17" t="s">
        <v>154</v>
      </c>
      <c r="L38" s="18" t="s">
        <v>154</v>
      </c>
      <c r="M38" s="17" t="s">
        <v>154</v>
      </c>
      <c r="N38" s="18" t="s">
        <v>154</v>
      </c>
      <c r="O38" s="17" t="s">
        <v>154</v>
      </c>
      <c r="P38" s="18" t="s">
        <v>154</v>
      </c>
      <c r="Q38" s="17" t="s">
        <v>154</v>
      </c>
      <c r="R38" s="18" t="s">
        <v>154</v>
      </c>
    </row>
    <row r="39" spans="1:18" x14ac:dyDescent="0.25">
      <c r="A39" s="11" t="s">
        <v>172</v>
      </c>
      <c r="B39" s="13">
        <v>5895</v>
      </c>
      <c r="C39" s="14">
        <f>(4868/B39*100)</f>
        <v>82.578456318914334</v>
      </c>
      <c r="D39" s="15">
        <v>1027</v>
      </c>
      <c r="E39" s="14">
        <v>94.533596099999997</v>
      </c>
      <c r="F39" s="16">
        <v>0.75821905000000001</v>
      </c>
      <c r="G39" s="14">
        <v>5.4664039000000004</v>
      </c>
      <c r="H39" s="16">
        <v>0.75821905000000001</v>
      </c>
      <c r="I39" s="14" t="s">
        <v>139</v>
      </c>
      <c r="J39" s="16" t="s">
        <v>139</v>
      </c>
      <c r="K39" s="14">
        <v>0</v>
      </c>
      <c r="L39" s="16">
        <v>0</v>
      </c>
      <c r="M39" s="14">
        <v>0</v>
      </c>
      <c r="N39" s="16">
        <v>0</v>
      </c>
      <c r="O39" s="14">
        <v>0</v>
      </c>
      <c r="P39" s="16">
        <v>0</v>
      </c>
      <c r="Q39" s="14">
        <v>0</v>
      </c>
      <c r="R39" s="16">
        <v>0</v>
      </c>
    </row>
    <row r="40" spans="1:18" x14ac:dyDescent="0.25">
      <c r="A40" s="11" t="s">
        <v>173</v>
      </c>
      <c r="B40" s="13">
        <v>14157</v>
      </c>
      <c r="C40" s="14">
        <f>(11783/B40*100)</f>
        <v>83.230910503637773</v>
      </c>
      <c r="D40" s="15">
        <v>2374</v>
      </c>
      <c r="E40" s="14">
        <v>86.259072070000002</v>
      </c>
      <c r="F40" s="16">
        <v>1.20972477</v>
      </c>
      <c r="G40" s="14">
        <v>13.74092793</v>
      </c>
      <c r="H40" s="16">
        <v>1.20972477</v>
      </c>
      <c r="I40" s="14" t="s">
        <v>139</v>
      </c>
      <c r="J40" s="16" t="s">
        <v>139</v>
      </c>
      <c r="K40" s="14">
        <v>0</v>
      </c>
      <c r="L40" s="16">
        <v>0</v>
      </c>
      <c r="M40" s="14">
        <v>0</v>
      </c>
      <c r="N40" s="16">
        <v>0</v>
      </c>
      <c r="O40" s="14">
        <v>0</v>
      </c>
      <c r="P40" s="16">
        <v>0</v>
      </c>
      <c r="Q40" s="14">
        <v>0</v>
      </c>
      <c r="R40" s="16">
        <v>0</v>
      </c>
    </row>
    <row r="41" spans="1:18" x14ac:dyDescent="0.25">
      <c r="A41" s="11" t="s">
        <v>174</v>
      </c>
      <c r="B41" s="13">
        <v>5712</v>
      </c>
      <c r="C41" s="14">
        <f>(4777/B41*100)</f>
        <v>83.63095238095238</v>
      </c>
      <c r="D41" s="15">
        <v>935</v>
      </c>
      <c r="E41" s="14">
        <v>88.938433720000006</v>
      </c>
      <c r="F41" s="16">
        <v>0.86401011000000005</v>
      </c>
      <c r="G41" s="14">
        <v>11.061566279999999</v>
      </c>
      <c r="H41" s="16">
        <v>0.86401011000000005</v>
      </c>
      <c r="I41" s="14" t="s">
        <v>139</v>
      </c>
      <c r="J41" s="16" t="s">
        <v>139</v>
      </c>
      <c r="K41" s="14">
        <v>0</v>
      </c>
      <c r="L41" s="16">
        <v>0</v>
      </c>
      <c r="M41" s="14">
        <v>0</v>
      </c>
      <c r="N41" s="16">
        <v>0</v>
      </c>
      <c r="O41" s="14">
        <v>0</v>
      </c>
      <c r="P41" s="16">
        <v>0</v>
      </c>
      <c r="Q41" s="14">
        <v>0</v>
      </c>
      <c r="R41" s="16">
        <v>0</v>
      </c>
    </row>
    <row r="42" spans="1:18" x14ac:dyDescent="0.25">
      <c r="A42" s="11" t="s">
        <v>175</v>
      </c>
      <c r="B42" s="13">
        <f>IF(COUNT(B7:B41) &gt; 0, AVERAGE(B7:B41), "\u2014")</f>
        <v>7266.90625</v>
      </c>
      <c r="C42" s="14">
        <f>IF(COUNT(C7:C41) &gt; 0, AVERAGE(C7:C41), "—")</f>
        <v>83.81629354243708</v>
      </c>
      <c r="D42" s="15">
        <f>IF(COUNT(D7:D41) &gt; 0, AVERAGE(D7:D41), "—")</f>
        <v>1178.1875</v>
      </c>
      <c r="E42" s="14">
        <f>IF(COUNT(E7:E41) &gt; 0, AVERAGE(E7:E41), "—")</f>
        <v>91.014852637187502</v>
      </c>
      <c r="F42" s="16">
        <f>IF(COUNT(F7:F41) &gt; 0, SQRT(SUMSQ(F7:F41)/(COUNT(F7:F41)*COUNT(F7:F41)) ), "—")</f>
        <v>0.17013147422040167</v>
      </c>
      <c r="G42" s="14">
        <f>IF(COUNT(G7:G41) &gt; 0, AVERAGE(G7:G41), "—")</f>
        <v>8.9851473628125014</v>
      </c>
      <c r="H42" s="16">
        <f>IF(COUNT(H7:H41) &gt; 0, SQRT(SUMSQ(H7:H41)/(COUNT(H7:H41)*COUNT(H7:H41)) ), "—")</f>
        <v>0.17013147422040167</v>
      </c>
      <c r="I42" s="14" t="str">
        <f>IF(COUNT(I7:I41) &gt; 0, AVERAGE(I7:I41), "—")</f>
        <v>—</v>
      </c>
      <c r="J42" s="16" t="str">
        <f>IF(COUNT(J7:J41) &gt; 0, SQRT(SUMSQ(J7:J41)/(COUNT(J7:J41)*COUNT(J7:J41)) ), "—")</f>
        <v>—</v>
      </c>
      <c r="K42" s="14">
        <f>IF(COUNT(K7:K41) &gt; 0, AVERAGE(K7:K41), "—")</f>
        <v>0</v>
      </c>
      <c r="L42" s="16">
        <f>IF(COUNT(L7:L41) &gt; 0, SQRT(SUMSQ(L7:L41)/(COUNT(L7:L41)*COUNT(L7:L41)) ), "—")</f>
        <v>0</v>
      </c>
      <c r="M42" s="14">
        <f>IF(COUNT(M7:M41) &gt; 0, AVERAGE(M7:M41), "—")</f>
        <v>0</v>
      </c>
      <c r="N42" s="16">
        <f>IF(COUNT(N7:N41) &gt; 0, SQRT(SUMSQ(N7:N41)/(COUNT(N7:N41)*COUNT(N7:N41)) ), "—")</f>
        <v>0</v>
      </c>
      <c r="O42" s="14">
        <f>IF(COUNT(O7:O41) &gt; 0, AVERAGE(O7:O41), "—")</f>
        <v>0</v>
      </c>
      <c r="P42" s="16">
        <f>IF(COUNT(P7:P41) &gt; 0, SQRT(SUMSQ(P7:P41)/(COUNT(P7:P41)*COUNT(P7:P41)) ), "—")</f>
        <v>0</v>
      </c>
      <c r="Q42" s="14">
        <f>IF(COUNT(Q7:Q41) &gt; 0, AVERAGE(Q7:Q41), "—")</f>
        <v>0</v>
      </c>
      <c r="R42" s="16">
        <f>IF(COUNT(R7:R41) &gt; 0, SQRT(SUMSQ(R7:R41)/(COUNT(R7:R41)*COUNT(R7:R41)) ), "—")</f>
        <v>0</v>
      </c>
    </row>
    <row r="43" spans="1:18" x14ac:dyDescent="0.25">
      <c r="A43" s="9" t="s">
        <v>176</v>
      </c>
      <c r="B43" s="10"/>
      <c r="C43" s="10"/>
      <c r="D43" s="11"/>
      <c r="E43" s="10"/>
      <c r="F43" s="11"/>
      <c r="G43" s="10"/>
      <c r="H43" s="11"/>
      <c r="I43" s="10"/>
      <c r="J43" s="11"/>
      <c r="K43" s="10"/>
      <c r="L43" s="11"/>
      <c r="M43" s="10"/>
      <c r="N43" s="11"/>
      <c r="O43" s="10"/>
      <c r="P43" s="11"/>
      <c r="Q43" s="10"/>
      <c r="R43" s="12"/>
    </row>
    <row r="44" spans="1:18" x14ac:dyDescent="0.25">
      <c r="A44" s="11" t="s">
        <v>177</v>
      </c>
      <c r="B44" s="17" t="s">
        <v>154</v>
      </c>
      <c r="C44" s="17" t="s">
        <v>154</v>
      </c>
      <c r="D44" s="18" t="s">
        <v>154</v>
      </c>
      <c r="E44" s="17" t="s">
        <v>154</v>
      </c>
      <c r="F44" s="18" t="s">
        <v>154</v>
      </c>
      <c r="G44" s="17" t="s">
        <v>154</v>
      </c>
      <c r="H44" s="18" t="s">
        <v>154</v>
      </c>
      <c r="I44" s="17" t="s">
        <v>154</v>
      </c>
      <c r="J44" s="18" t="s">
        <v>154</v>
      </c>
      <c r="K44" s="17" t="s">
        <v>154</v>
      </c>
      <c r="L44" s="18" t="s">
        <v>154</v>
      </c>
      <c r="M44" s="17" t="s">
        <v>154</v>
      </c>
      <c r="N44" s="18" t="s">
        <v>154</v>
      </c>
      <c r="O44" s="17" t="s">
        <v>154</v>
      </c>
      <c r="P44" s="18" t="s">
        <v>154</v>
      </c>
      <c r="Q44" s="17" t="s">
        <v>154</v>
      </c>
      <c r="R44" s="18" t="s">
        <v>154</v>
      </c>
    </row>
    <row r="45" spans="1:18" x14ac:dyDescent="0.25">
      <c r="A45" s="11" t="s">
        <v>178</v>
      </c>
      <c r="B45" s="17" t="s">
        <v>154</v>
      </c>
      <c r="C45" s="17" t="s">
        <v>154</v>
      </c>
      <c r="D45" s="18" t="s">
        <v>154</v>
      </c>
      <c r="E45" s="17" t="s">
        <v>154</v>
      </c>
      <c r="F45" s="18" t="s">
        <v>154</v>
      </c>
      <c r="G45" s="17" t="s">
        <v>154</v>
      </c>
      <c r="H45" s="18" t="s">
        <v>154</v>
      </c>
      <c r="I45" s="17" t="s">
        <v>154</v>
      </c>
      <c r="J45" s="18" t="s">
        <v>154</v>
      </c>
      <c r="K45" s="17" t="s">
        <v>154</v>
      </c>
      <c r="L45" s="18" t="s">
        <v>154</v>
      </c>
      <c r="M45" s="17" t="s">
        <v>154</v>
      </c>
      <c r="N45" s="18" t="s">
        <v>154</v>
      </c>
      <c r="O45" s="17" t="s">
        <v>154</v>
      </c>
      <c r="P45" s="18" t="s">
        <v>154</v>
      </c>
      <c r="Q45" s="17" t="s">
        <v>154</v>
      </c>
      <c r="R45" s="18" t="s">
        <v>154</v>
      </c>
    </row>
    <row r="46" spans="1:18" x14ac:dyDescent="0.25">
      <c r="A46" s="11" t="s">
        <v>179</v>
      </c>
      <c r="B46" s="13">
        <v>23141</v>
      </c>
      <c r="C46" s="14">
        <f>(20514/B46*100)</f>
        <v>88.647854457456461</v>
      </c>
      <c r="D46" s="15">
        <v>2627</v>
      </c>
      <c r="E46" s="14">
        <v>92.430181770000004</v>
      </c>
      <c r="F46" s="16">
        <v>0.69718811000000003</v>
      </c>
      <c r="G46" s="14">
        <v>7.5698182300000001</v>
      </c>
      <c r="H46" s="16">
        <v>0.69718811000000003</v>
      </c>
      <c r="I46" s="14" t="s">
        <v>139</v>
      </c>
      <c r="J46" s="16" t="s">
        <v>139</v>
      </c>
      <c r="K46" s="14">
        <v>0</v>
      </c>
      <c r="L46" s="16">
        <v>0</v>
      </c>
      <c r="M46" s="14">
        <v>0</v>
      </c>
      <c r="N46" s="16">
        <v>0</v>
      </c>
      <c r="O46" s="14">
        <v>0</v>
      </c>
      <c r="P46" s="16">
        <v>0</v>
      </c>
      <c r="Q46" s="14">
        <v>0</v>
      </c>
      <c r="R46" s="16">
        <v>0</v>
      </c>
    </row>
    <row r="47" spans="1:18" x14ac:dyDescent="0.25">
      <c r="A47" s="11" t="s">
        <v>180</v>
      </c>
      <c r="B47" s="13">
        <v>5928</v>
      </c>
      <c r="C47" s="14">
        <f>(5004/B47*100)</f>
        <v>84.412955465587046</v>
      </c>
      <c r="D47" s="15">
        <v>924</v>
      </c>
      <c r="E47" s="14">
        <v>90.911475690000003</v>
      </c>
      <c r="F47" s="16">
        <v>0.96895611000000004</v>
      </c>
      <c r="G47" s="14">
        <v>9.0885243100000004</v>
      </c>
      <c r="H47" s="16">
        <v>0.96895611000000004</v>
      </c>
      <c r="I47" s="14" t="s">
        <v>139</v>
      </c>
      <c r="J47" s="16" t="s">
        <v>139</v>
      </c>
      <c r="K47" s="14">
        <v>0</v>
      </c>
      <c r="L47" s="16">
        <v>0</v>
      </c>
      <c r="M47" s="14">
        <v>0</v>
      </c>
      <c r="N47" s="16">
        <v>0</v>
      </c>
      <c r="O47" s="14">
        <v>0</v>
      </c>
      <c r="P47" s="16">
        <v>0</v>
      </c>
      <c r="Q47" s="14">
        <v>0</v>
      </c>
      <c r="R47" s="16">
        <v>0</v>
      </c>
    </row>
    <row r="48" spans="1:18" x14ac:dyDescent="0.25">
      <c r="A48" s="11" t="s">
        <v>181</v>
      </c>
      <c r="B48" s="13">
        <v>9841</v>
      </c>
      <c r="C48" s="14">
        <f>(8203/B48*100)</f>
        <v>83.355350066050192</v>
      </c>
      <c r="D48" s="15">
        <v>1638</v>
      </c>
      <c r="E48" s="14">
        <v>93.134402129999998</v>
      </c>
      <c r="F48" s="16">
        <v>0.87918735999999997</v>
      </c>
      <c r="G48" s="14">
        <v>6.8655978700000002</v>
      </c>
      <c r="H48" s="16">
        <v>0.87918735999999997</v>
      </c>
      <c r="I48" s="14" t="s">
        <v>139</v>
      </c>
      <c r="J48" s="16" t="s">
        <v>139</v>
      </c>
      <c r="K48" s="14">
        <v>0</v>
      </c>
      <c r="L48" s="16">
        <v>0</v>
      </c>
      <c r="M48" s="14">
        <v>0</v>
      </c>
      <c r="N48" s="16">
        <v>0</v>
      </c>
      <c r="O48" s="14">
        <v>0</v>
      </c>
      <c r="P48" s="16">
        <v>0</v>
      </c>
      <c r="Q48" s="14">
        <v>0</v>
      </c>
      <c r="R48" s="16">
        <v>0</v>
      </c>
    </row>
    <row r="49" spans="1:18" x14ac:dyDescent="0.25">
      <c r="A49" s="11" t="s">
        <v>182</v>
      </c>
      <c r="B49" s="17" t="s">
        <v>154</v>
      </c>
      <c r="C49" s="17" t="s">
        <v>154</v>
      </c>
      <c r="D49" s="18" t="s">
        <v>154</v>
      </c>
      <c r="E49" s="17" t="s">
        <v>154</v>
      </c>
      <c r="F49" s="18" t="s">
        <v>154</v>
      </c>
      <c r="G49" s="17" t="s">
        <v>154</v>
      </c>
      <c r="H49" s="18" t="s">
        <v>154</v>
      </c>
      <c r="I49" s="17" t="s">
        <v>154</v>
      </c>
      <c r="J49" s="18" t="s">
        <v>154</v>
      </c>
      <c r="K49" s="17" t="s">
        <v>154</v>
      </c>
      <c r="L49" s="18" t="s">
        <v>154</v>
      </c>
      <c r="M49" s="17" t="s">
        <v>154</v>
      </c>
      <c r="N49" s="18" t="s">
        <v>154</v>
      </c>
      <c r="O49" s="17" t="s">
        <v>154</v>
      </c>
      <c r="P49" s="18" t="s">
        <v>154</v>
      </c>
      <c r="Q49" s="17" t="s">
        <v>154</v>
      </c>
      <c r="R49" s="18" t="s">
        <v>154</v>
      </c>
    </row>
    <row r="50" spans="1:18" x14ac:dyDescent="0.25">
      <c r="A50" s="11" t="s">
        <v>183</v>
      </c>
      <c r="B50" s="13">
        <v>11795</v>
      </c>
      <c r="C50" s="14">
        <f>(9961/B50*100)</f>
        <v>84.451038575667653</v>
      </c>
      <c r="D50" s="15">
        <v>1834</v>
      </c>
      <c r="E50" s="14">
        <v>94.668555209999994</v>
      </c>
      <c r="F50" s="16">
        <v>0.63201485000000002</v>
      </c>
      <c r="G50" s="14">
        <v>5.3314447899999999</v>
      </c>
      <c r="H50" s="16">
        <v>0.63201485000000002</v>
      </c>
      <c r="I50" s="14" t="s">
        <v>139</v>
      </c>
      <c r="J50" s="16" t="s">
        <v>139</v>
      </c>
      <c r="K50" s="14">
        <v>0</v>
      </c>
      <c r="L50" s="16">
        <v>0</v>
      </c>
      <c r="M50" s="14">
        <v>0</v>
      </c>
      <c r="N50" s="16">
        <v>0</v>
      </c>
      <c r="O50" s="14">
        <v>0</v>
      </c>
      <c r="P50" s="16">
        <v>0</v>
      </c>
      <c r="Q50" s="14">
        <v>0</v>
      </c>
      <c r="R50" s="16">
        <v>0</v>
      </c>
    </row>
    <row r="51" spans="1:18" x14ac:dyDescent="0.25">
      <c r="A51" s="11" t="s">
        <v>184</v>
      </c>
      <c r="B51" s="13">
        <v>6866</v>
      </c>
      <c r="C51" s="14">
        <f>(5926/B51*100)</f>
        <v>86.309350422371097</v>
      </c>
      <c r="D51" s="15">
        <v>940</v>
      </c>
      <c r="E51" s="14">
        <v>91.77486442</v>
      </c>
      <c r="F51" s="16">
        <v>0.82354468999999997</v>
      </c>
      <c r="G51" s="14">
        <v>8.2251355799999999</v>
      </c>
      <c r="H51" s="16">
        <v>0.82354468999999997</v>
      </c>
      <c r="I51" s="14" t="s">
        <v>139</v>
      </c>
      <c r="J51" s="16" t="s">
        <v>139</v>
      </c>
      <c r="K51" s="14">
        <v>0</v>
      </c>
      <c r="L51" s="16">
        <v>0</v>
      </c>
      <c r="M51" s="14">
        <v>0</v>
      </c>
      <c r="N51" s="16">
        <v>0</v>
      </c>
      <c r="O51" s="14">
        <v>0</v>
      </c>
      <c r="P51" s="16">
        <v>0</v>
      </c>
      <c r="Q51" s="14">
        <v>0</v>
      </c>
      <c r="R51" s="16">
        <v>0</v>
      </c>
    </row>
    <row r="52" spans="1:18" x14ac:dyDescent="0.25">
      <c r="A52" s="11" t="s">
        <v>185</v>
      </c>
      <c r="B52" s="13">
        <v>5809</v>
      </c>
      <c r="C52" s="14">
        <f>(4863/B52*100)</f>
        <v>83.714925116198998</v>
      </c>
      <c r="D52" s="15">
        <v>946</v>
      </c>
      <c r="E52" s="14">
        <v>89.45182552</v>
      </c>
      <c r="F52" s="16">
        <v>1.2026210900000001</v>
      </c>
      <c r="G52" s="14">
        <v>10.54817448</v>
      </c>
      <c r="H52" s="16">
        <v>1.2026210900000001</v>
      </c>
      <c r="I52" s="14" t="s">
        <v>139</v>
      </c>
      <c r="J52" s="16" t="s">
        <v>139</v>
      </c>
      <c r="K52" s="14">
        <v>0</v>
      </c>
      <c r="L52" s="16">
        <v>0</v>
      </c>
      <c r="M52" s="14">
        <v>0</v>
      </c>
      <c r="N52" s="16">
        <v>0</v>
      </c>
      <c r="O52" s="14">
        <v>0</v>
      </c>
      <c r="P52" s="16">
        <v>0</v>
      </c>
      <c r="Q52" s="14">
        <v>0</v>
      </c>
      <c r="R52" s="16">
        <v>0</v>
      </c>
    </row>
    <row r="53" spans="1:18" x14ac:dyDescent="0.25">
      <c r="A53" s="11" t="s">
        <v>186</v>
      </c>
      <c r="B53" s="13">
        <v>5571</v>
      </c>
      <c r="C53" s="14">
        <f>(4698/B53*100)</f>
        <v>84.329563812600966</v>
      </c>
      <c r="D53" s="15">
        <v>873</v>
      </c>
      <c r="E53" s="14">
        <v>88.895475649999995</v>
      </c>
      <c r="F53" s="16">
        <v>1.1614191199999999</v>
      </c>
      <c r="G53" s="14">
        <v>11.10452435</v>
      </c>
      <c r="H53" s="16">
        <v>1.1614191199999999</v>
      </c>
      <c r="I53" s="14" t="s">
        <v>139</v>
      </c>
      <c r="J53" s="16" t="s">
        <v>139</v>
      </c>
      <c r="K53" s="14">
        <v>0</v>
      </c>
      <c r="L53" s="16">
        <v>0</v>
      </c>
      <c r="M53" s="14">
        <v>0</v>
      </c>
      <c r="N53" s="16">
        <v>0</v>
      </c>
      <c r="O53" s="14">
        <v>0</v>
      </c>
      <c r="P53" s="16">
        <v>0</v>
      </c>
      <c r="Q53" s="14">
        <v>0</v>
      </c>
      <c r="R53" s="16">
        <v>0</v>
      </c>
    </row>
    <row r="54" spans="1:18" x14ac:dyDescent="0.25">
      <c r="A54" s="11" t="s">
        <v>187</v>
      </c>
      <c r="B54" s="17" t="s">
        <v>154</v>
      </c>
      <c r="C54" s="17" t="s">
        <v>154</v>
      </c>
      <c r="D54" s="18" t="s">
        <v>154</v>
      </c>
      <c r="E54" s="17" t="s">
        <v>154</v>
      </c>
      <c r="F54" s="18" t="s">
        <v>154</v>
      </c>
      <c r="G54" s="17" t="s">
        <v>154</v>
      </c>
      <c r="H54" s="18" t="s">
        <v>154</v>
      </c>
      <c r="I54" s="17" t="s">
        <v>154</v>
      </c>
      <c r="J54" s="18" t="s">
        <v>154</v>
      </c>
      <c r="K54" s="17" t="s">
        <v>154</v>
      </c>
      <c r="L54" s="18" t="s">
        <v>154</v>
      </c>
      <c r="M54" s="17" t="s">
        <v>154</v>
      </c>
      <c r="N54" s="18" t="s">
        <v>154</v>
      </c>
      <c r="O54" s="17" t="s">
        <v>154</v>
      </c>
      <c r="P54" s="18" t="s">
        <v>154</v>
      </c>
      <c r="Q54" s="17" t="s">
        <v>154</v>
      </c>
      <c r="R54" s="18" t="s">
        <v>154</v>
      </c>
    </row>
    <row r="55" spans="1:18" x14ac:dyDescent="0.25">
      <c r="A55" s="11" t="s">
        <v>188</v>
      </c>
      <c r="B55" s="17" t="s">
        <v>154</v>
      </c>
      <c r="C55" s="17" t="s">
        <v>154</v>
      </c>
      <c r="D55" s="18" t="s">
        <v>154</v>
      </c>
      <c r="E55" s="17" t="s">
        <v>154</v>
      </c>
      <c r="F55" s="18" t="s">
        <v>154</v>
      </c>
      <c r="G55" s="17" t="s">
        <v>154</v>
      </c>
      <c r="H55" s="18" t="s">
        <v>154</v>
      </c>
      <c r="I55" s="17" t="s">
        <v>154</v>
      </c>
      <c r="J55" s="18" t="s">
        <v>154</v>
      </c>
      <c r="K55" s="17" t="s">
        <v>154</v>
      </c>
      <c r="L55" s="18" t="s">
        <v>154</v>
      </c>
      <c r="M55" s="17" t="s">
        <v>154</v>
      </c>
      <c r="N55" s="18" t="s">
        <v>154</v>
      </c>
      <c r="O55" s="17" t="s">
        <v>154</v>
      </c>
      <c r="P55" s="18" t="s">
        <v>154</v>
      </c>
      <c r="Q55" s="17" t="s">
        <v>154</v>
      </c>
      <c r="R55" s="18" t="s">
        <v>154</v>
      </c>
    </row>
    <row r="56" spans="1:18" x14ac:dyDescent="0.25">
      <c r="A56" s="11" t="s">
        <v>189</v>
      </c>
      <c r="B56" s="13">
        <v>5359</v>
      </c>
      <c r="C56" s="14">
        <f>(4458/B56*100)</f>
        <v>83.187161783914902</v>
      </c>
      <c r="D56" s="15">
        <v>901</v>
      </c>
      <c r="E56" s="14">
        <v>90.363839839999997</v>
      </c>
      <c r="F56" s="16">
        <v>0.89402245999999996</v>
      </c>
      <c r="G56" s="14">
        <v>9.6361601599999993</v>
      </c>
      <c r="H56" s="16">
        <v>0.89402245999999996</v>
      </c>
      <c r="I56" s="14" t="s">
        <v>139</v>
      </c>
      <c r="J56" s="16" t="s">
        <v>139</v>
      </c>
      <c r="K56" s="14">
        <v>0</v>
      </c>
      <c r="L56" s="16">
        <v>0</v>
      </c>
      <c r="M56" s="14">
        <v>0</v>
      </c>
      <c r="N56" s="16">
        <v>0</v>
      </c>
      <c r="O56" s="14">
        <v>0</v>
      </c>
      <c r="P56" s="16">
        <v>0</v>
      </c>
      <c r="Q56" s="14">
        <v>0</v>
      </c>
      <c r="R56" s="16">
        <v>0</v>
      </c>
    </row>
    <row r="57" spans="1:18" x14ac:dyDescent="0.25">
      <c r="A57" s="11" t="s">
        <v>190</v>
      </c>
      <c r="B57" s="17" t="s">
        <v>154</v>
      </c>
      <c r="C57" s="17" t="s">
        <v>154</v>
      </c>
      <c r="D57" s="18" t="s">
        <v>154</v>
      </c>
      <c r="E57" s="17" t="s">
        <v>154</v>
      </c>
      <c r="F57" s="18" t="s">
        <v>154</v>
      </c>
      <c r="G57" s="17" t="s">
        <v>154</v>
      </c>
      <c r="H57" s="18" t="s">
        <v>154</v>
      </c>
      <c r="I57" s="17" t="s">
        <v>154</v>
      </c>
      <c r="J57" s="18" t="s">
        <v>154</v>
      </c>
      <c r="K57" s="17" t="s">
        <v>154</v>
      </c>
      <c r="L57" s="18" t="s">
        <v>154</v>
      </c>
      <c r="M57" s="17" t="s">
        <v>154</v>
      </c>
      <c r="N57" s="18" t="s">
        <v>154</v>
      </c>
      <c r="O57" s="17" t="s">
        <v>154</v>
      </c>
      <c r="P57" s="18" t="s">
        <v>154</v>
      </c>
      <c r="Q57" s="17" t="s">
        <v>154</v>
      </c>
      <c r="R57" s="18" t="s">
        <v>154</v>
      </c>
    </row>
    <row r="58" spans="1:18" x14ac:dyDescent="0.25">
      <c r="A58" s="11" t="s">
        <v>191</v>
      </c>
      <c r="B58" s="17" t="s">
        <v>154</v>
      </c>
      <c r="C58" s="17" t="s">
        <v>154</v>
      </c>
      <c r="D58" s="18" t="s">
        <v>154</v>
      </c>
      <c r="E58" s="17" t="s">
        <v>154</v>
      </c>
      <c r="F58" s="18" t="s">
        <v>154</v>
      </c>
      <c r="G58" s="17" t="s">
        <v>154</v>
      </c>
      <c r="H58" s="18" t="s">
        <v>154</v>
      </c>
      <c r="I58" s="17" t="s">
        <v>154</v>
      </c>
      <c r="J58" s="18" t="s">
        <v>154</v>
      </c>
      <c r="K58" s="17" t="s">
        <v>154</v>
      </c>
      <c r="L58" s="18" t="s">
        <v>154</v>
      </c>
      <c r="M58" s="17" t="s">
        <v>154</v>
      </c>
      <c r="N58" s="18" t="s">
        <v>154</v>
      </c>
      <c r="O58" s="17" t="s">
        <v>154</v>
      </c>
      <c r="P58" s="18" t="s">
        <v>154</v>
      </c>
      <c r="Q58" s="17" t="s">
        <v>154</v>
      </c>
      <c r="R58" s="18" t="s">
        <v>154</v>
      </c>
    </row>
    <row r="59" spans="1:18" x14ac:dyDescent="0.25">
      <c r="A59" s="11" t="s">
        <v>192</v>
      </c>
      <c r="B59" s="17" t="s">
        <v>154</v>
      </c>
      <c r="C59" s="17" t="s">
        <v>154</v>
      </c>
      <c r="D59" s="18" t="s">
        <v>154</v>
      </c>
      <c r="E59" s="17" t="s">
        <v>154</v>
      </c>
      <c r="F59" s="18" t="s">
        <v>154</v>
      </c>
      <c r="G59" s="17" t="s">
        <v>154</v>
      </c>
      <c r="H59" s="18" t="s">
        <v>154</v>
      </c>
      <c r="I59" s="17" t="s">
        <v>154</v>
      </c>
      <c r="J59" s="18" t="s">
        <v>154</v>
      </c>
      <c r="K59" s="17" t="s">
        <v>154</v>
      </c>
      <c r="L59" s="18" t="s">
        <v>154</v>
      </c>
      <c r="M59" s="17" t="s">
        <v>154</v>
      </c>
      <c r="N59" s="18" t="s">
        <v>154</v>
      </c>
      <c r="O59" s="17" t="s">
        <v>154</v>
      </c>
      <c r="P59" s="18" t="s">
        <v>154</v>
      </c>
      <c r="Q59" s="17" t="s">
        <v>154</v>
      </c>
      <c r="R59" s="18" t="s">
        <v>154</v>
      </c>
    </row>
    <row r="60" spans="1:18" x14ac:dyDescent="0.25">
      <c r="A60" s="11" t="s">
        <v>193</v>
      </c>
      <c r="B60" s="17" t="s">
        <v>154</v>
      </c>
      <c r="C60" s="17" t="s">
        <v>154</v>
      </c>
      <c r="D60" s="18" t="s">
        <v>154</v>
      </c>
      <c r="E60" s="17" t="s">
        <v>154</v>
      </c>
      <c r="F60" s="18" t="s">
        <v>154</v>
      </c>
      <c r="G60" s="17" t="s">
        <v>154</v>
      </c>
      <c r="H60" s="18" t="s">
        <v>154</v>
      </c>
      <c r="I60" s="17" t="s">
        <v>154</v>
      </c>
      <c r="J60" s="18" t="s">
        <v>154</v>
      </c>
      <c r="K60" s="17" t="s">
        <v>154</v>
      </c>
      <c r="L60" s="18" t="s">
        <v>154</v>
      </c>
      <c r="M60" s="17" t="s">
        <v>154</v>
      </c>
      <c r="N60" s="18" t="s">
        <v>154</v>
      </c>
      <c r="O60" s="17" t="s">
        <v>154</v>
      </c>
      <c r="P60" s="18" t="s">
        <v>154</v>
      </c>
      <c r="Q60" s="17" t="s">
        <v>154</v>
      </c>
      <c r="R60" s="18" t="s">
        <v>154</v>
      </c>
    </row>
    <row r="61" spans="1:18" x14ac:dyDescent="0.25">
      <c r="A61" s="11" t="s">
        <v>194</v>
      </c>
      <c r="B61" s="13">
        <v>6525</v>
      </c>
      <c r="C61" s="14">
        <f>(5466/B61*100)</f>
        <v>83.770114942528735</v>
      </c>
      <c r="D61" s="15">
        <v>1059</v>
      </c>
      <c r="E61" s="14">
        <v>92.366937919999998</v>
      </c>
      <c r="F61" s="16">
        <v>0.93024147000000001</v>
      </c>
      <c r="G61" s="14">
        <v>7.6330620800000002</v>
      </c>
      <c r="H61" s="16">
        <v>0.93024147000000001</v>
      </c>
      <c r="I61" s="14" t="s">
        <v>139</v>
      </c>
      <c r="J61" s="16" t="s">
        <v>139</v>
      </c>
      <c r="K61" s="14">
        <v>0</v>
      </c>
      <c r="L61" s="16">
        <v>0</v>
      </c>
      <c r="M61" s="14">
        <v>0</v>
      </c>
      <c r="N61" s="16">
        <v>0</v>
      </c>
      <c r="O61" s="14">
        <v>0</v>
      </c>
      <c r="P61" s="16">
        <v>0</v>
      </c>
      <c r="Q61" s="14">
        <v>0</v>
      </c>
      <c r="R61" s="16">
        <v>0</v>
      </c>
    </row>
    <row r="62" spans="1:18" x14ac:dyDescent="0.25">
      <c r="A62" s="11" t="s">
        <v>195</v>
      </c>
      <c r="B62" s="13">
        <v>4476</v>
      </c>
      <c r="C62" s="14">
        <f>(3728/B62*100)</f>
        <v>83.288650580875782</v>
      </c>
      <c r="D62" s="15">
        <v>748</v>
      </c>
      <c r="E62" s="14">
        <v>90.753001440000006</v>
      </c>
      <c r="F62" s="16">
        <v>1.1110524100000001</v>
      </c>
      <c r="G62" s="14">
        <v>9.2469985599999998</v>
      </c>
      <c r="H62" s="16">
        <v>1.1110524100000001</v>
      </c>
      <c r="I62" s="14" t="s">
        <v>139</v>
      </c>
      <c r="J62" s="16" t="s">
        <v>139</v>
      </c>
      <c r="K62" s="14">
        <v>0</v>
      </c>
      <c r="L62" s="16">
        <v>0</v>
      </c>
      <c r="M62" s="14">
        <v>0</v>
      </c>
      <c r="N62" s="16">
        <v>0</v>
      </c>
      <c r="O62" s="14">
        <v>0</v>
      </c>
      <c r="P62" s="16">
        <v>0</v>
      </c>
      <c r="Q62" s="14">
        <v>0</v>
      </c>
      <c r="R62" s="16">
        <v>0</v>
      </c>
    </row>
    <row r="63" spans="1:18" x14ac:dyDescent="0.25">
      <c r="A63" s="11" t="s">
        <v>196</v>
      </c>
      <c r="B63" s="17" t="s">
        <v>154</v>
      </c>
      <c r="C63" s="17" t="s">
        <v>154</v>
      </c>
      <c r="D63" s="18" t="s">
        <v>154</v>
      </c>
      <c r="E63" s="17" t="s">
        <v>154</v>
      </c>
      <c r="F63" s="18" t="s">
        <v>154</v>
      </c>
      <c r="G63" s="17" t="s">
        <v>154</v>
      </c>
      <c r="H63" s="18" t="s">
        <v>154</v>
      </c>
      <c r="I63" s="17" t="s">
        <v>154</v>
      </c>
      <c r="J63" s="18" t="s">
        <v>154</v>
      </c>
      <c r="K63" s="17" t="s">
        <v>154</v>
      </c>
      <c r="L63" s="18" t="s">
        <v>154</v>
      </c>
      <c r="M63" s="17" t="s">
        <v>154</v>
      </c>
      <c r="N63" s="18" t="s">
        <v>154</v>
      </c>
      <c r="O63" s="17" t="s">
        <v>154</v>
      </c>
      <c r="P63" s="18" t="s">
        <v>154</v>
      </c>
      <c r="Q63" s="17" t="s">
        <v>154</v>
      </c>
      <c r="R63" s="18" t="s">
        <v>154</v>
      </c>
    </row>
    <row r="64" spans="1:18" x14ac:dyDescent="0.25">
      <c r="A64" s="11" t="s">
        <v>197</v>
      </c>
      <c r="B64" s="17" t="s">
        <v>154</v>
      </c>
      <c r="C64" s="17" t="s">
        <v>154</v>
      </c>
      <c r="D64" s="18" t="s">
        <v>154</v>
      </c>
      <c r="E64" s="17" t="s">
        <v>154</v>
      </c>
      <c r="F64" s="18" t="s">
        <v>154</v>
      </c>
      <c r="G64" s="17" t="s">
        <v>154</v>
      </c>
      <c r="H64" s="18" t="s">
        <v>154</v>
      </c>
      <c r="I64" s="17" t="s">
        <v>154</v>
      </c>
      <c r="J64" s="18" t="s">
        <v>154</v>
      </c>
      <c r="K64" s="17" t="s">
        <v>154</v>
      </c>
      <c r="L64" s="18" t="s">
        <v>154</v>
      </c>
      <c r="M64" s="17" t="s">
        <v>154</v>
      </c>
      <c r="N64" s="18" t="s">
        <v>154</v>
      </c>
      <c r="O64" s="17" t="s">
        <v>154</v>
      </c>
      <c r="P64" s="18" t="s">
        <v>154</v>
      </c>
      <c r="Q64" s="17" t="s">
        <v>154</v>
      </c>
      <c r="R64" s="18" t="s">
        <v>154</v>
      </c>
    </row>
    <row r="65" spans="1:18" x14ac:dyDescent="0.25">
      <c r="A65" s="11" t="s">
        <v>198</v>
      </c>
      <c r="B65" s="17" t="s">
        <v>154</v>
      </c>
      <c r="C65" s="17" t="s">
        <v>154</v>
      </c>
      <c r="D65" s="18" t="s">
        <v>154</v>
      </c>
      <c r="E65" s="17" t="s">
        <v>154</v>
      </c>
      <c r="F65" s="18" t="s">
        <v>154</v>
      </c>
      <c r="G65" s="17" t="s">
        <v>154</v>
      </c>
      <c r="H65" s="18" t="s">
        <v>154</v>
      </c>
      <c r="I65" s="17" t="s">
        <v>154</v>
      </c>
      <c r="J65" s="18" t="s">
        <v>154</v>
      </c>
      <c r="K65" s="17" t="s">
        <v>154</v>
      </c>
      <c r="L65" s="18" t="s">
        <v>154</v>
      </c>
      <c r="M65" s="17" t="s">
        <v>154</v>
      </c>
      <c r="N65" s="18" t="s">
        <v>154</v>
      </c>
      <c r="O65" s="17" t="s">
        <v>154</v>
      </c>
      <c r="P65" s="18" t="s">
        <v>154</v>
      </c>
      <c r="Q65" s="17" t="s">
        <v>154</v>
      </c>
      <c r="R65" s="18" t="s">
        <v>154</v>
      </c>
    </row>
    <row r="66" spans="1:18" x14ac:dyDescent="0.25">
      <c r="A66" s="11" t="s">
        <v>199</v>
      </c>
      <c r="B66" s="13">
        <v>5665</v>
      </c>
      <c r="C66" s="14">
        <f>(4780/B66*100)</f>
        <v>84.377758164165925</v>
      </c>
      <c r="D66" s="15">
        <v>885</v>
      </c>
      <c r="E66" s="14">
        <v>91.344828500000006</v>
      </c>
      <c r="F66" s="16">
        <v>1.0875522099999999</v>
      </c>
      <c r="G66" s="14">
        <v>8.6551714999999998</v>
      </c>
      <c r="H66" s="16">
        <v>1.0875522099999999</v>
      </c>
      <c r="I66" s="14" t="s">
        <v>139</v>
      </c>
      <c r="J66" s="16" t="s">
        <v>139</v>
      </c>
      <c r="K66" s="14">
        <v>0</v>
      </c>
      <c r="L66" s="16">
        <v>0</v>
      </c>
      <c r="M66" s="14">
        <v>0</v>
      </c>
      <c r="N66" s="16">
        <v>0</v>
      </c>
      <c r="O66" s="14">
        <v>0</v>
      </c>
      <c r="P66" s="16">
        <v>0</v>
      </c>
      <c r="Q66" s="14">
        <v>0</v>
      </c>
      <c r="R66" s="16">
        <v>0</v>
      </c>
    </row>
    <row r="67" spans="1:18" x14ac:dyDescent="0.25">
      <c r="A67" s="11" t="s">
        <v>200</v>
      </c>
      <c r="B67" s="13">
        <v>6971</v>
      </c>
      <c r="C67" s="14">
        <f>(6035/B67*100)</f>
        <v>86.572945058097844</v>
      </c>
      <c r="D67" s="15">
        <v>936</v>
      </c>
      <c r="E67" s="14">
        <v>89.010744149999994</v>
      </c>
      <c r="F67" s="16">
        <v>1.3239441599999999</v>
      </c>
      <c r="G67" s="14">
        <v>10.989255849999999</v>
      </c>
      <c r="H67" s="16">
        <v>1.3239441599999999</v>
      </c>
      <c r="I67" s="14" t="s">
        <v>139</v>
      </c>
      <c r="J67" s="16" t="s">
        <v>139</v>
      </c>
      <c r="K67" s="14">
        <v>0</v>
      </c>
      <c r="L67" s="16">
        <v>0</v>
      </c>
      <c r="M67" s="14">
        <v>0</v>
      </c>
      <c r="N67" s="16">
        <v>0</v>
      </c>
      <c r="O67" s="14">
        <v>0</v>
      </c>
      <c r="P67" s="16">
        <v>0</v>
      </c>
      <c r="Q67" s="14">
        <v>0</v>
      </c>
      <c r="R67" s="16">
        <v>0</v>
      </c>
    </row>
    <row r="68" spans="1:18" x14ac:dyDescent="0.25">
      <c r="A68" s="11" t="s">
        <v>201</v>
      </c>
      <c r="B68" s="17" t="s">
        <v>154</v>
      </c>
      <c r="C68" s="17" t="s">
        <v>154</v>
      </c>
      <c r="D68" s="18" t="s">
        <v>154</v>
      </c>
      <c r="E68" s="17" t="s">
        <v>154</v>
      </c>
      <c r="F68" s="18" t="s">
        <v>154</v>
      </c>
      <c r="G68" s="17" t="s">
        <v>154</v>
      </c>
      <c r="H68" s="18" t="s">
        <v>154</v>
      </c>
      <c r="I68" s="17" t="s">
        <v>154</v>
      </c>
      <c r="J68" s="18" t="s">
        <v>154</v>
      </c>
      <c r="K68" s="17" t="s">
        <v>154</v>
      </c>
      <c r="L68" s="18" t="s">
        <v>154</v>
      </c>
      <c r="M68" s="17" t="s">
        <v>154</v>
      </c>
      <c r="N68" s="18" t="s">
        <v>154</v>
      </c>
      <c r="O68" s="17" t="s">
        <v>154</v>
      </c>
      <c r="P68" s="18" t="s">
        <v>154</v>
      </c>
      <c r="Q68" s="17" t="s">
        <v>154</v>
      </c>
      <c r="R68" s="18" t="s">
        <v>154</v>
      </c>
    </row>
    <row r="69" spans="1:18" x14ac:dyDescent="0.25">
      <c r="A69" s="11" t="s">
        <v>202</v>
      </c>
      <c r="B69" s="17" t="s">
        <v>154</v>
      </c>
      <c r="C69" s="17" t="s">
        <v>154</v>
      </c>
      <c r="D69" s="18" t="s">
        <v>154</v>
      </c>
      <c r="E69" s="17" t="s">
        <v>154</v>
      </c>
      <c r="F69" s="18" t="s">
        <v>154</v>
      </c>
      <c r="G69" s="17" t="s">
        <v>154</v>
      </c>
      <c r="H69" s="18" t="s">
        <v>154</v>
      </c>
      <c r="I69" s="17" t="s">
        <v>154</v>
      </c>
      <c r="J69" s="18" t="s">
        <v>154</v>
      </c>
      <c r="K69" s="17" t="s">
        <v>154</v>
      </c>
      <c r="L69" s="18" t="s">
        <v>154</v>
      </c>
      <c r="M69" s="17" t="s">
        <v>154</v>
      </c>
      <c r="N69" s="18" t="s">
        <v>154</v>
      </c>
      <c r="O69" s="17" t="s">
        <v>154</v>
      </c>
      <c r="P69" s="18" t="s">
        <v>154</v>
      </c>
      <c r="Q69" s="17" t="s">
        <v>154</v>
      </c>
      <c r="R69" s="18" t="s">
        <v>154</v>
      </c>
    </row>
    <row r="70" spans="1:18" x14ac:dyDescent="0.25">
      <c r="A70" s="11" t="s">
        <v>203</v>
      </c>
      <c r="B70" s="13">
        <v>6036</v>
      </c>
      <c r="C70" s="14">
        <f>(5064/B70*100)</f>
        <v>83.896620278330019</v>
      </c>
      <c r="D70" s="15">
        <v>972</v>
      </c>
      <c r="E70" s="14">
        <v>91.132166699999999</v>
      </c>
      <c r="F70" s="16">
        <v>1.1045826599999999</v>
      </c>
      <c r="G70" s="14">
        <v>8.8678332999999991</v>
      </c>
      <c r="H70" s="16">
        <v>1.1045826599999999</v>
      </c>
      <c r="I70" s="14" t="s">
        <v>139</v>
      </c>
      <c r="J70" s="16" t="s">
        <v>139</v>
      </c>
      <c r="K70" s="14">
        <v>0</v>
      </c>
      <c r="L70" s="16">
        <v>0</v>
      </c>
      <c r="M70" s="14">
        <v>0</v>
      </c>
      <c r="N70" s="16">
        <v>0</v>
      </c>
      <c r="O70" s="14">
        <v>0</v>
      </c>
      <c r="P70" s="16">
        <v>0</v>
      </c>
      <c r="Q70" s="14">
        <v>0</v>
      </c>
      <c r="R70" s="16">
        <v>0</v>
      </c>
    </row>
    <row r="71" spans="1:18" x14ac:dyDescent="0.25">
      <c r="A71" s="11" t="s">
        <v>204</v>
      </c>
      <c r="B71" s="17" t="s">
        <v>154</v>
      </c>
      <c r="C71" s="17" t="s">
        <v>154</v>
      </c>
      <c r="D71" s="18" t="s">
        <v>154</v>
      </c>
      <c r="E71" s="17" t="s">
        <v>154</v>
      </c>
      <c r="F71" s="18" t="s">
        <v>154</v>
      </c>
      <c r="G71" s="17" t="s">
        <v>154</v>
      </c>
      <c r="H71" s="18" t="s">
        <v>154</v>
      </c>
      <c r="I71" s="17" t="s">
        <v>154</v>
      </c>
      <c r="J71" s="18" t="s">
        <v>154</v>
      </c>
      <c r="K71" s="17" t="s">
        <v>154</v>
      </c>
      <c r="L71" s="18" t="s">
        <v>154</v>
      </c>
      <c r="M71" s="17" t="s">
        <v>154</v>
      </c>
      <c r="N71" s="18" t="s">
        <v>154</v>
      </c>
      <c r="O71" s="17" t="s">
        <v>154</v>
      </c>
      <c r="P71" s="18" t="s">
        <v>154</v>
      </c>
      <c r="Q71" s="17" t="s">
        <v>154</v>
      </c>
      <c r="R71" s="18" t="s">
        <v>154</v>
      </c>
    </row>
    <row r="72" spans="1:18" x14ac:dyDescent="0.25">
      <c r="A72" s="11" t="s">
        <v>205</v>
      </c>
      <c r="B72" s="13">
        <v>7708</v>
      </c>
      <c r="C72" s="14">
        <f>(6371/B72*100)</f>
        <v>82.654385054488841</v>
      </c>
      <c r="D72" s="15">
        <v>1337</v>
      </c>
      <c r="E72" s="14">
        <v>88.326403040000002</v>
      </c>
      <c r="F72" s="16">
        <v>1.1154244900000001</v>
      </c>
      <c r="G72" s="14">
        <v>11.673596959999999</v>
      </c>
      <c r="H72" s="16">
        <v>1.1154244900000001</v>
      </c>
      <c r="I72" s="14" t="s">
        <v>139</v>
      </c>
      <c r="J72" s="16" t="s">
        <v>139</v>
      </c>
      <c r="K72" s="14">
        <v>0</v>
      </c>
      <c r="L72" s="16">
        <v>0</v>
      </c>
      <c r="M72" s="14">
        <v>0</v>
      </c>
      <c r="N72" s="16">
        <v>0</v>
      </c>
      <c r="O72" s="14">
        <v>0</v>
      </c>
      <c r="P72" s="16">
        <v>0</v>
      </c>
      <c r="Q72" s="14">
        <v>0</v>
      </c>
      <c r="R72" s="16">
        <v>0</v>
      </c>
    </row>
    <row r="73" spans="1:18" x14ac:dyDescent="0.25">
      <c r="A73" s="11" t="s">
        <v>206</v>
      </c>
      <c r="B73" s="13">
        <v>8249</v>
      </c>
      <c r="C73" s="14">
        <f>(7002/B73*100)</f>
        <v>84.883016123166442</v>
      </c>
      <c r="D73" s="15">
        <v>1247</v>
      </c>
      <c r="E73" s="14">
        <v>92.735547120000007</v>
      </c>
      <c r="F73" s="16">
        <v>0.63518889999999995</v>
      </c>
      <c r="G73" s="14">
        <v>7.2644528800000003</v>
      </c>
      <c r="H73" s="16">
        <v>0.63518889999999995</v>
      </c>
      <c r="I73" s="14" t="s">
        <v>139</v>
      </c>
      <c r="J73" s="16" t="s">
        <v>139</v>
      </c>
      <c r="K73" s="14">
        <v>0</v>
      </c>
      <c r="L73" s="16">
        <v>0</v>
      </c>
      <c r="M73" s="14">
        <v>0</v>
      </c>
      <c r="N73" s="16">
        <v>0</v>
      </c>
      <c r="O73" s="14">
        <v>0</v>
      </c>
      <c r="P73" s="16">
        <v>0</v>
      </c>
      <c r="Q73" s="14">
        <v>0</v>
      </c>
      <c r="R73" s="16">
        <v>0</v>
      </c>
    </row>
    <row r="74" spans="1:18" x14ac:dyDescent="0.25">
      <c r="A74" s="11" t="s">
        <v>207</v>
      </c>
      <c r="B74" s="17" t="s">
        <v>154</v>
      </c>
      <c r="C74" s="17" t="s">
        <v>154</v>
      </c>
      <c r="D74" s="18" t="s">
        <v>154</v>
      </c>
      <c r="E74" s="17" t="s">
        <v>154</v>
      </c>
      <c r="F74" s="18" t="s">
        <v>154</v>
      </c>
      <c r="G74" s="17" t="s">
        <v>154</v>
      </c>
      <c r="H74" s="18" t="s">
        <v>154</v>
      </c>
      <c r="I74" s="17" t="s">
        <v>154</v>
      </c>
      <c r="J74" s="18" t="s">
        <v>154</v>
      </c>
      <c r="K74" s="17" t="s">
        <v>154</v>
      </c>
      <c r="L74" s="18" t="s">
        <v>154</v>
      </c>
      <c r="M74" s="17" t="s">
        <v>154</v>
      </c>
      <c r="N74" s="18" t="s">
        <v>154</v>
      </c>
      <c r="O74" s="17" t="s">
        <v>154</v>
      </c>
      <c r="P74" s="18" t="s">
        <v>154</v>
      </c>
      <c r="Q74" s="17" t="s">
        <v>154</v>
      </c>
      <c r="R74" s="18" t="s">
        <v>154</v>
      </c>
    </row>
    <row r="75" spans="1:18" x14ac:dyDescent="0.25">
      <c r="A75" s="11" t="s">
        <v>208</v>
      </c>
      <c r="B75" s="13">
        <v>5375</v>
      </c>
      <c r="C75" s="14">
        <f>(4601/B75*100)</f>
        <v>85.6</v>
      </c>
      <c r="D75" s="15">
        <v>774</v>
      </c>
      <c r="E75" s="14">
        <v>92.392685659999998</v>
      </c>
      <c r="F75" s="16">
        <v>1.09046439</v>
      </c>
      <c r="G75" s="14">
        <v>7.6073143400000003</v>
      </c>
      <c r="H75" s="16">
        <v>1.09046439</v>
      </c>
      <c r="I75" s="14" t="s">
        <v>139</v>
      </c>
      <c r="J75" s="16" t="s">
        <v>139</v>
      </c>
      <c r="K75" s="14">
        <v>0</v>
      </c>
      <c r="L75" s="16">
        <v>0</v>
      </c>
      <c r="M75" s="14">
        <v>0</v>
      </c>
      <c r="N75" s="16">
        <v>0</v>
      </c>
      <c r="O75" s="14">
        <v>0</v>
      </c>
      <c r="P75" s="16">
        <v>0</v>
      </c>
      <c r="Q75" s="14">
        <v>0</v>
      </c>
      <c r="R75" s="16">
        <v>0</v>
      </c>
    </row>
    <row r="76" spans="1:18" x14ac:dyDescent="0.25">
      <c r="A76" s="11" t="s">
        <v>209</v>
      </c>
      <c r="B76" s="13">
        <v>14167</v>
      </c>
      <c r="C76" s="14">
        <f>(11797/B76*100)</f>
        <v>83.270981859250369</v>
      </c>
      <c r="D76" s="15">
        <v>2370</v>
      </c>
      <c r="E76" s="14">
        <v>85.722248109999995</v>
      </c>
      <c r="F76" s="16">
        <v>0.83975306999999999</v>
      </c>
      <c r="G76" s="14">
        <v>14.277751889999999</v>
      </c>
      <c r="H76" s="16">
        <v>0.83975306999999999</v>
      </c>
      <c r="I76" s="14" t="s">
        <v>139</v>
      </c>
      <c r="J76" s="16" t="s">
        <v>139</v>
      </c>
      <c r="K76" s="14">
        <v>0</v>
      </c>
      <c r="L76" s="16">
        <v>0</v>
      </c>
      <c r="M76" s="14">
        <v>0</v>
      </c>
      <c r="N76" s="16">
        <v>0</v>
      </c>
      <c r="O76" s="14">
        <v>0</v>
      </c>
      <c r="P76" s="16">
        <v>0</v>
      </c>
      <c r="Q76" s="14">
        <v>0</v>
      </c>
      <c r="R76" s="16">
        <v>0</v>
      </c>
    </row>
    <row r="77" spans="1:18" x14ac:dyDescent="0.25">
      <c r="A77" s="11" t="s">
        <v>210</v>
      </c>
      <c r="B77" s="13">
        <v>6062</v>
      </c>
      <c r="C77" s="14">
        <f>(5164/B77*100)</f>
        <v>85.186407126360947</v>
      </c>
      <c r="D77" s="15">
        <v>898</v>
      </c>
      <c r="E77" s="14">
        <v>91.798402999999993</v>
      </c>
      <c r="F77" s="16">
        <v>0.89585360999999997</v>
      </c>
      <c r="G77" s="14">
        <v>8.2015969999999996</v>
      </c>
      <c r="H77" s="16">
        <v>0.89585360999999997</v>
      </c>
      <c r="I77" s="14" t="s">
        <v>139</v>
      </c>
      <c r="J77" s="16" t="s">
        <v>139</v>
      </c>
      <c r="K77" s="14">
        <v>0</v>
      </c>
      <c r="L77" s="16">
        <v>0</v>
      </c>
      <c r="M77" s="14">
        <v>0</v>
      </c>
      <c r="N77" s="16">
        <v>0</v>
      </c>
      <c r="O77" s="14">
        <v>0</v>
      </c>
      <c r="P77" s="16">
        <v>0</v>
      </c>
      <c r="Q77" s="14">
        <v>0</v>
      </c>
      <c r="R77" s="16">
        <v>0</v>
      </c>
    </row>
    <row r="78" spans="1:18" x14ac:dyDescent="0.25">
      <c r="A78" s="11" t="s">
        <v>211</v>
      </c>
      <c r="B78" s="17" t="s">
        <v>154</v>
      </c>
      <c r="C78" s="17" t="s">
        <v>154</v>
      </c>
      <c r="D78" s="18" t="s">
        <v>154</v>
      </c>
      <c r="E78" s="17" t="s">
        <v>154</v>
      </c>
      <c r="F78" s="18" t="s">
        <v>154</v>
      </c>
      <c r="G78" s="17" t="s">
        <v>154</v>
      </c>
      <c r="H78" s="18" t="s">
        <v>154</v>
      </c>
      <c r="I78" s="17" t="s">
        <v>154</v>
      </c>
      <c r="J78" s="18" t="s">
        <v>154</v>
      </c>
      <c r="K78" s="17" t="s">
        <v>154</v>
      </c>
      <c r="L78" s="18" t="s">
        <v>154</v>
      </c>
      <c r="M78" s="17" t="s">
        <v>154</v>
      </c>
      <c r="N78" s="18" t="s">
        <v>154</v>
      </c>
      <c r="O78" s="17" t="s">
        <v>154</v>
      </c>
      <c r="P78" s="18" t="s">
        <v>154</v>
      </c>
      <c r="Q78" s="17" t="s">
        <v>154</v>
      </c>
      <c r="R78" s="18" t="s">
        <v>154</v>
      </c>
    </row>
    <row r="79" spans="1:18" ht="24.95" customHeight="1" x14ac:dyDescent="0.25">
      <c r="A79" s="11" t="s">
        <v>212</v>
      </c>
      <c r="B79" s="17" t="s">
        <v>154</v>
      </c>
      <c r="C79" s="17" t="s">
        <v>154</v>
      </c>
      <c r="D79" s="18" t="s">
        <v>154</v>
      </c>
      <c r="E79" s="17" t="s">
        <v>154</v>
      </c>
      <c r="F79" s="18" t="s">
        <v>154</v>
      </c>
      <c r="G79" s="17" t="s">
        <v>154</v>
      </c>
      <c r="H79" s="18" t="s">
        <v>154</v>
      </c>
      <c r="I79" s="17" t="s">
        <v>154</v>
      </c>
      <c r="J79" s="18" t="s">
        <v>154</v>
      </c>
      <c r="K79" s="17" t="s">
        <v>154</v>
      </c>
      <c r="L79" s="18" t="s">
        <v>154</v>
      </c>
      <c r="M79" s="17" t="s">
        <v>154</v>
      </c>
      <c r="N79" s="18" t="s">
        <v>154</v>
      </c>
      <c r="O79" s="17" t="s">
        <v>154</v>
      </c>
      <c r="P79" s="18" t="s">
        <v>154</v>
      </c>
      <c r="Q79" s="17" t="s">
        <v>154</v>
      </c>
      <c r="R79" s="18" t="s">
        <v>154</v>
      </c>
    </row>
    <row r="80" spans="1:18" x14ac:dyDescent="0.25">
      <c r="A80" s="11" t="s">
        <v>213</v>
      </c>
      <c r="B80" s="17" t="s">
        <v>154</v>
      </c>
      <c r="C80" s="17" t="s">
        <v>154</v>
      </c>
      <c r="D80" s="18" t="s">
        <v>154</v>
      </c>
      <c r="E80" s="17" t="s">
        <v>154</v>
      </c>
      <c r="F80" s="18" t="s">
        <v>154</v>
      </c>
      <c r="G80" s="17" t="s">
        <v>154</v>
      </c>
      <c r="H80" s="18" t="s">
        <v>154</v>
      </c>
      <c r="I80" s="17" t="s">
        <v>154</v>
      </c>
      <c r="J80" s="18" t="s">
        <v>154</v>
      </c>
      <c r="K80" s="17" t="s">
        <v>154</v>
      </c>
      <c r="L80" s="18" t="s">
        <v>154</v>
      </c>
      <c r="M80" s="17" t="s">
        <v>154</v>
      </c>
      <c r="N80" s="18" t="s">
        <v>154</v>
      </c>
      <c r="O80" s="17" t="s">
        <v>154</v>
      </c>
      <c r="P80" s="18" t="s">
        <v>154</v>
      </c>
      <c r="Q80" s="17" t="s">
        <v>154</v>
      </c>
      <c r="R80" s="18" t="s">
        <v>154</v>
      </c>
    </row>
    <row r="81" spans="1:18" x14ac:dyDescent="0.25">
      <c r="A81" s="19" t="s">
        <v>214</v>
      </c>
      <c r="B81" s="13">
        <v>8861</v>
      </c>
      <c r="C81" s="14">
        <f>(7377/B81*100)</f>
        <v>83.252454576232921</v>
      </c>
      <c r="D81" s="15">
        <v>1484</v>
      </c>
      <c r="E81" s="14">
        <v>91.661395560000003</v>
      </c>
      <c r="F81" s="16">
        <v>0.94294995999999998</v>
      </c>
      <c r="G81" s="14">
        <v>8.3386044399999992</v>
      </c>
      <c r="H81" s="16">
        <v>0.94294995999999998</v>
      </c>
      <c r="I81" s="14" t="s">
        <v>139</v>
      </c>
      <c r="J81" s="16" t="s">
        <v>139</v>
      </c>
      <c r="K81" s="14">
        <v>0</v>
      </c>
      <c r="L81" s="16">
        <v>0</v>
      </c>
      <c r="M81" s="14">
        <v>0</v>
      </c>
      <c r="N81" s="16">
        <v>0</v>
      </c>
      <c r="O81" s="14">
        <v>0</v>
      </c>
      <c r="P81" s="16">
        <v>0</v>
      </c>
      <c r="Q81" s="14">
        <v>0</v>
      </c>
      <c r="R81" s="16">
        <v>0</v>
      </c>
    </row>
    <row r="82" spans="1:18" x14ac:dyDescent="0.25">
      <c r="A82" s="20"/>
      <c r="B82" s="20" t="s">
        <v>215</v>
      </c>
      <c r="C82" s="20" t="s">
        <v>215</v>
      </c>
      <c r="D82" s="20" t="s">
        <v>215</v>
      </c>
      <c r="E82" s="20" t="s">
        <v>215</v>
      </c>
      <c r="F82" s="20" t="s">
        <v>215</v>
      </c>
      <c r="G82" s="20" t="s">
        <v>215</v>
      </c>
      <c r="H82" s="20" t="s">
        <v>215</v>
      </c>
      <c r="I82" s="20" t="s">
        <v>215</v>
      </c>
      <c r="J82" s="20" t="s">
        <v>215</v>
      </c>
      <c r="K82" s="20" t="s">
        <v>215</v>
      </c>
      <c r="L82" s="20" t="s">
        <v>215</v>
      </c>
      <c r="M82" s="20" t="s">
        <v>215</v>
      </c>
      <c r="N82" s="20" t="s">
        <v>215</v>
      </c>
      <c r="O82" s="20" t="s">
        <v>215</v>
      </c>
      <c r="P82" s="20" t="s">
        <v>215</v>
      </c>
      <c r="Q82" s="20" t="s">
        <v>215</v>
      </c>
      <c r="R82" s="20" t="s">
        <v>215</v>
      </c>
    </row>
    <row r="83" spans="1:18" x14ac:dyDescent="0.25">
      <c r="A83" s="3" t="s">
        <v>216</v>
      </c>
    </row>
    <row r="84" spans="1:18" x14ac:dyDescent="0.25">
      <c r="A84" s="22" t="s">
        <v>217</v>
      </c>
      <c r="B84" s="23"/>
      <c r="C84" s="23"/>
      <c r="D84" s="23"/>
      <c r="E84" s="23"/>
      <c r="F84" s="23"/>
      <c r="G84" s="23"/>
      <c r="H84" s="23"/>
      <c r="I84" s="23"/>
      <c r="J84" s="23"/>
      <c r="K84" s="23"/>
      <c r="L84" s="23"/>
      <c r="M84" s="23"/>
      <c r="N84" s="23"/>
      <c r="O84" s="23"/>
      <c r="P84" s="23"/>
      <c r="Q84" s="23"/>
      <c r="R84" s="23"/>
    </row>
    <row r="85" spans="1:18" x14ac:dyDescent="0.25">
      <c r="A85" s="22" t="s">
        <v>218</v>
      </c>
      <c r="B85" s="23"/>
      <c r="C85" s="23"/>
      <c r="D85" s="23"/>
      <c r="E85" s="23"/>
      <c r="F85" s="23"/>
      <c r="G85" s="23"/>
      <c r="H85" s="23"/>
      <c r="I85" s="23"/>
      <c r="J85" s="23"/>
      <c r="K85" s="23"/>
      <c r="L85" s="23"/>
      <c r="M85" s="23"/>
      <c r="N85" s="23"/>
      <c r="O85" s="23"/>
      <c r="P85" s="23"/>
      <c r="Q85" s="23"/>
      <c r="R85" s="23"/>
    </row>
    <row r="86" spans="1:18" ht="30" customHeight="1" x14ac:dyDescent="0.25">
      <c r="A86" s="22" t="s">
        <v>219</v>
      </c>
      <c r="B86" s="23"/>
      <c r="C86" s="23"/>
      <c r="D86" s="23"/>
      <c r="E86" s="23"/>
      <c r="F86" s="23"/>
      <c r="G86" s="23"/>
      <c r="H86" s="23"/>
      <c r="I86" s="23"/>
      <c r="J86" s="23"/>
      <c r="K86" s="23"/>
      <c r="L86" s="23"/>
      <c r="M86" s="23"/>
      <c r="N86" s="23"/>
      <c r="O86" s="23"/>
      <c r="P86" s="23"/>
      <c r="Q86" s="23"/>
      <c r="R86" s="23"/>
    </row>
    <row r="87" spans="1:18" ht="30" customHeight="1" x14ac:dyDescent="0.25">
      <c r="A87" s="22" t="s">
        <v>215</v>
      </c>
      <c r="B87" s="23"/>
      <c r="C87" s="23"/>
      <c r="D87" s="23"/>
      <c r="E87" s="23"/>
      <c r="F87" s="23"/>
      <c r="G87" s="23"/>
      <c r="H87" s="23"/>
      <c r="I87" s="23"/>
      <c r="J87" s="23"/>
      <c r="K87" s="23"/>
      <c r="L87" s="23"/>
      <c r="M87" s="23"/>
      <c r="N87" s="23"/>
      <c r="O87" s="23"/>
      <c r="P87" s="23"/>
      <c r="Q87" s="23"/>
      <c r="R87" s="23"/>
    </row>
    <row r="88" spans="1:18" ht="30" customHeight="1" x14ac:dyDescent="0.25">
      <c r="A88" s="22" t="s">
        <v>220</v>
      </c>
      <c r="B88" s="23"/>
      <c r="C88" s="23"/>
      <c r="D88" s="23"/>
      <c r="E88" s="23"/>
      <c r="F88" s="23"/>
      <c r="G88" s="23"/>
      <c r="H88" s="23"/>
      <c r="I88" s="23"/>
      <c r="J88" s="23"/>
      <c r="K88" s="23"/>
      <c r="L88" s="23"/>
      <c r="M88" s="23"/>
      <c r="N88" s="23"/>
      <c r="O88" s="23"/>
      <c r="P88" s="23"/>
      <c r="Q88" s="23"/>
      <c r="R88" s="23"/>
    </row>
    <row r="89" spans="1:18" ht="30" customHeight="1" x14ac:dyDescent="0.25">
      <c r="A89" s="22" t="s">
        <v>221</v>
      </c>
      <c r="B89" s="23"/>
      <c r="C89" s="23"/>
      <c r="D89" s="23"/>
      <c r="E89" s="23"/>
      <c r="F89" s="23"/>
      <c r="G89" s="23"/>
      <c r="H89" s="23"/>
      <c r="I89" s="23"/>
      <c r="J89" s="23"/>
      <c r="K89" s="23"/>
      <c r="L89" s="23"/>
      <c r="M89" s="23"/>
      <c r="N89" s="23"/>
      <c r="O89" s="23"/>
      <c r="P89" s="23"/>
      <c r="Q89" s="23"/>
      <c r="R89" s="23"/>
    </row>
    <row r="90" spans="1:18" ht="30" customHeight="1" x14ac:dyDescent="0.25">
      <c r="A90" s="22" t="s">
        <v>222</v>
      </c>
      <c r="B90" s="23"/>
      <c r="C90" s="23"/>
      <c r="D90" s="23"/>
      <c r="E90" s="23"/>
      <c r="F90" s="23"/>
      <c r="G90" s="23"/>
      <c r="H90" s="23"/>
      <c r="I90" s="23"/>
      <c r="J90" s="23"/>
      <c r="K90" s="23"/>
      <c r="L90" s="23"/>
      <c r="M90" s="23"/>
      <c r="N90" s="23"/>
      <c r="O90" s="23"/>
      <c r="P90" s="23"/>
      <c r="Q90" s="23"/>
      <c r="R90" s="23"/>
    </row>
    <row r="91" spans="1:18" ht="30" customHeight="1" x14ac:dyDescent="0.25">
      <c r="A91" s="22" t="s">
        <v>223</v>
      </c>
      <c r="B91" s="23"/>
      <c r="C91" s="23"/>
      <c r="D91" s="23"/>
      <c r="E91" s="23"/>
      <c r="F91" s="23"/>
      <c r="G91" s="23"/>
      <c r="H91" s="23"/>
      <c r="I91" s="23"/>
      <c r="J91" s="23"/>
      <c r="K91" s="23"/>
      <c r="L91" s="23"/>
      <c r="M91" s="23"/>
      <c r="N91" s="23"/>
      <c r="O91" s="23"/>
      <c r="P91" s="23"/>
      <c r="Q91" s="23"/>
      <c r="R91" s="23"/>
    </row>
    <row r="92" spans="1:18" ht="30" customHeight="1" x14ac:dyDescent="0.25">
      <c r="A92" s="22" t="s">
        <v>224</v>
      </c>
      <c r="B92" s="23"/>
      <c r="C92" s="23"/>
      <c r="D92" s="23"/>
      <c r="E92" s="23"/>
      <c r="F92" s="23"/>
      <c r="G92" s="23"/>
      <c r="H92" s="23"/>
      <c r="I92" s="23"/>
      <c r="J92" s="23"/>
      <c r="K92" s="23"/>
      <c r="L92" s="23"/>
      <c r="M92" s="23"/>
      <c r="N92" s="23"/>
      <c r="O92" s="23"/>
      <c r="P92" s="23"/>
      <c r="Q92" s="23"/>
      <c r="R92" s="23"/>
    </row>
    <row r="93" spans="1:18" ht="30" customHeight="1" x14ac:dyDescent="0.25">
      <c r="A93" s="22" t="s">
        <v>225</v>
      </c>
      <c r="B93" s="23"/>
      <c r="C93" s="23"/>
      <c r="D93" s="23"/>
      <c r="E93" s="23"/>
      <c r="F93" s="23"/>
      <c r="G93" s="23"/>
      <c r="H93" s="23"/>
      <c r="I93" s="23"/>
      <c r="J93" s="23"/>
      <c r="K93" s="23"/>
      <c r="L93" s="23"/>
      <c r="M93" s="23"/>
      <c r="N93" s="23"/>
      <c r="O93" s="23"/>
      <c r="P93" s="23"/>
      <c r="Q93" s="23"/>
      <c r="R93" s="23"/>
    </row>
    <row r="94" spans="1:18" ht="30" customHeight="1" x14ac:dyDescent="0.25">
      <c r="A94" s="22" t="s">
        <v>226</v>
      </c>
      <c r="B94" s="23"/>
      <c r="C94" s="23"/>
      <c r="D94" s="23"/>
      <c r="E94" s="23"/>
      <c r="F94" s="23"/>
      <c r="G94" s="23"/>
      <c r="H94" s="23"/>
      <c r="I94" s="23"/>
      <c r="J94" s="23"/>
      <c r="K94" s="23"/>
      <c r="L94" s="23"/>
      <c r="M94" s="23"/>
      <c r="N94" s="23"/>
      <c r="O94" s="23"/>
      <c r="P94" s="23"/>
      <c r="Q94" s="23"/>
      <c r="R94" s="23"/>
    </row>
    <row r="95" spans="1:18" ht="30" customHeight="1" x14ac:dyDescent="0.25">
      <c r="A95" s="22" t="s">
        <v>227</v>
      </c>
      <c r="B95" s="23"/>
      <c r="C95" s="23"/>
      <c r="D95" s="23"/>
      <c r="E95" s="23"/>
      <c r="F95" s="23"/>
      <c r="G95" s="23"/>
      <c r="H95" s="23"/>
      <c r="I95" s="23"/>
      <c r="J95" s="23"/>
      <c r="K95" s="23"/>
      <c r="L95" s="23"/>
      <c r="M95" s="23"/>
      <c r="N95" s="23"/>
      <c r="O95" s="23"/>
      <c r="P95" s="23"/>
      <c r="Q95" s="23"/>
      <c r="R95" s="23"/>
    </row>
    <row r="96" spans="1:18" ht="30" customHeight="1" x14ac:dyDescent="0.25">
      <c r="A96" s="22" t="s">
        <v>228</v>
      </c>
      <c r="B96" s="23"/>
      <c r="C96" s="23"/>
      <c r="D96" s="23"/>
      <c r="E96" s="23"/>
      <c r="F96" s="23"/>
      <c r="G96" s="23"/>
      <c r="H96" s="23"/>
      <c r="I96" s="23"/>
      <c r="J96" s="23"/>
      <c r="K96" s="23"/>
      <c r="L96" s="23"/>
      <c r="M96" s="23"/>
      <c r="N96" s="23"/>
      <c r="O96" s="23"/>
      <c r="P96" s="23"/>
      <c r="Q96" s="23"/>
      <c r="R96" s="23"/>
    </row>
  </sheetData>
  <mergeCells count="22">
    <mergeCell ref="O4:P4"/>
    <mergeCell ref="Q4:R4"/>
    <mergeCell ref="A1:R1"/>
    <mergeCell ref="A2:R2"/>
    <mergeCell ref="A84:R84"/>
    <mergeCell ref="E4:F4"/>
    <mergeCell ref="G4:H4"/>
    <mergeCell ref="I4:J4"/>
    <mergeCell ref="K4:L4"/>
    <mergeCell ref="M4:N4"/>
    <mergeCell ref="A85:R85"/>
    <mergeCell ref="A86:R86"/>
    <mergeCell ref="A87:R87"/>
    <mergeCell ref="A88:R88"/>
    <mergeCell ref="A89:R89"/>
    <mergeCell ref="A95:R95"/>
    <mergeCell ref="A96:R96"/>
    <mergeCell ref="A90:R90"/>
    <mergeCell ref="A91:R91"/>
    <mergeCell ref="A92:R92"/>
    <mergeCell ref="A93:R93"/>
    <mergeCell ref="A94:R94"/>
  </mergeCells>
  <pageMargins left="0.75" right="0.75" top="1" bottom="1" header="0.5" footer="0.5"/>
</worksheet>
</file>

<file path=xl/worksheets/sheet1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1"/>
  <dimension ref="A1:R96"/>
  <sheetViews>
    <sheetView zoomScale="80" workbookViewId="0">
      <pane xSplit="4" topLeftCell="E1" activePane="topRight" state="frozen"/>
      <selection sqref="A1:R1"/>
      <selection pane="topRight" sqref="A1:R1"/>
    </sheetView>
  </sheetViews>
  <sheetFormatPr defaultColWidth="11.42578125" defaultRowHeight="15" x14ac:dyDescent="0.25"/>
  <cols>
    <col min="1" max="1" width="50" customWidth="1"/>
  </cols>
  <sheetData>
    <row r="1" spans="1:18" x14ac:dyDescent="0.25">
      <c r="A1" s="26" t="s">
        <v>122</v>
      </c>
      <c r="B1" s="23"/>
      <c r="C1" s="23"/>
      <c r="D1" s="23"/>
      <c r="E1" s="23"/>
      <c r="F1" s="23"/>
      <c r="G1" s="23"/>
      <c r="H1" s="23"/>
      <c r="I1" s="23"/>
      <c r="J1" s="23"/>
      <c r="K1" s="23"/>
      <c r="L1" s="23"/>
      <c r="M1" s="23"/>
      <c r="N1" s="23"/>
      <c r="O1" s="23"/>
      <c r="P1" s="23"/>
      <c r="Q1" s="23"/>
      <c r="R1" s="23"/>
    </row>
    <row r="2" spans="1:18" x14ac:dyDescent="0.25">
      <c r="A2" s="27" t="s">
        <v>347</v>
      </c>
      <c r="B2" s="23"/>
      <c r="C2" s="23"/>
      <c r="D2" s="23"/>
      <c r="E2" s="23"/>
      <c r="F2" s="23"/>
      <c r="G2" s="23"/>
      <c r="H2" s="23"/>
      <c r="I2" s="23"/>
      <c r="J2" s="23"/>
      <c r="K2" s="23"/>
      <c r="L2" s="23"/>
      <c r="M2" s="23"/>
      <c r="N2" s="23"/>
      <c r="O2" s="23"/>
      <c r="P2" s="23"/>
      <c r="Q2" s="23"/>
      <c r="R2" s="23"/>
    </row>
    <row r="4" spans="1:18" ht="30" customHeight="1" x14ac:dyDescent="0.25">
      <c r="A4" s="4"/>
      <c r="B4" s="5" t="s">
        <v>123</v>
      </c>
      <c r="C4" s="5" t="s">
        <v>124</v>
      </c>
      <c r="D4" s="6" t="s">
        <v>123</v>
      </c>
      <c r="E4" s="24" t="s">
        <v>125</v>
      </c>
      <c r="F4" s="25"/>
      <c r="G4" s="24" t="s">
        <v>126</v>
      </c>
      <c r="H4" s="25"/>
      <c r="I4" s="24" t="s">
        <v>127</v>
      </c>
      <c r="J4" s="25"/>
      <c r="K4" s="24" t="s">
        <v>128</v>
      </c>
      <c r="L4" s="25"/>
      <c r="M4" s="24" t="s">
        <v>129</v>
      </c>
      <c r="N4" s="25"/>
      <c r="O4" s="24" t="s">
        <v>130</v>
      </c>
      <c r="P4" s="25"/>
      <c r="Q4" s="24" t="s">
        <v>131</v>
      </c>
      <c r="R4" s="25"/>
    </row>
    <row r="5" spans="1:18" x14ac:dyDescent="0.25">
      <c r="A5" s="7"/>
      <c r="B5" s="8" t="s">
        <v>132</v>
      </c>
      <c r="C5" s="8" t="s">
        <v>133</v>
      </c>
      <c r="D5" s="7" t="s">
        <v>134</v>
      </c>
      <c r="E5" s="8" t="s">
        <v>135</v>
      </c>
      <c r="F5" s="7" t="s">
        <v>136</v>
      </c>
      <c r="G5" s="8" t="s">
        <v>135</v>
      </c>
      <c r="H5" s="7" t="s">
        <v>136</v>
      </c>
      <c r="I5" s="8" t="s">
        <v>135</v>
      </c>
      <c r="J5" s="7" t="s">
        <v>136</v>
      </c>
      <c r="K5" s="8" t="s">
        <v>135</v>
      </c>
      <c r="L5" s="7" t="s">
        <v>136</v>
      </c>
      <c r="M5" s="8" t="s">
        <v>135</v>
      </c>
      <c r="N5" s="7" t="s">
        <v>136</v>
      </c>
      <c r="O5" s="8" t="s">
        <v>135</v>
      </c>
      <c r="P5" s="7" t="s">
        <v>136</v>
      </c>
      <c r="Q5" s="8" t="s">
        <v>135</v>
      </c>
      <c r="R5" s="7" t="s">
        <v>136</v>
      </c>
    </row>
    <row r="6" spans="1:18" x14ac:dyDescent="0.25">
      <c r="A6" s="9" t="s">
        <v>137</v>
      </c>
      <c r="B6" s="10"/>
      <c r="C6" s="10"/>
      <c r="D6" s="11"/>
      <c r="E6" s="10"/>
      <c r="F6" s="11"/>
      <c r="G6" s="10"/>
      <c r="H6" s="11"/>
      <c r="I6" s="10"/>
      <c r="J6" s="11"/>
      <c r="K6" s="10"/>
      <c r="L6" s="11"/>
      <c r="M6" s="10"/>
      <c r="N6" s="11"/>
      <c r="O6" s="10"/>
      <c r="P6" s="11"/>
      <c r="Q6" s="10"/>
      <c r="R6" s="12"/>
    </row>
    <row r="7" spans="1:18" x14ac:dyDescent="0.25">
      <c r="A7" s="11" t="s">
        <v>138</v>
      </c>
      <c r="B7" s="13">
        <v>14530</v>
      </c>
      <c r="C7" s="14">
        <f>(12189/B7*100)</f>
        <v>83.888506538196836</v>
      </c>
      <c r="D7" s="15">
        <v>2341</v>
      </c>
      <c r="E7" s="14">
        <v>42.167687549999997</v>
      </c>
      <c r="F7" s="16">
        <v>1.2278587700000001</v>
      </c>
      <c r="G7" s="14">
        <v>57.832312450000003</v>
      </c>
      <c r="H7" s="16">
        <v>1.2278587700000001</v>
      </c>
      <c r="I7" s="14" t="s">
        <v>139</v>
      </c>
      <c r="J7" s="16" t="s">
        <v>139</v>
      </c>
      <c r="K7" s="14">
        <v>0</v>
      </c>
      <c r="L7" s="16">
        <v>0</v>
      </c>
      <c r="M7" s="14">
        <v>0</v>
      </c>
      <c r="N7" s="16">
        <v>0</v>
      </c>
      <c r="O7" s="14">
        <v>0</v>
      </c>
      <c r="P7" s="16">
        <v>0</v>
      </c>
      <c r="Q7" s="14">
        <v>0</v>
      </c>
      <c r="R7" s="16">
        <v>0</v>
      </c>
    </row>
    <row r="8" spans="1:18" x14ac:dyDescent="0.25">
      <c r="A8" s="11" t="s">
        <v>140</v>
      </c>
      <c r="B8" s="13">
        <v>7007</v>
      </c>
      <c r="C8" s="14">
        <f>(5824/B8*100)</f>
        <v>83.116883116883116</v>
      </c>
      <c r="D8" s="15">
        <v>1183</v>
      </c>
      <c r="E8" s="14">
        <v>52.80467737</v>
      </c>
      <c r="F8" s="16">
        <v>1.5907699500000001</v>
      </c>
      <c r="G8" s="14">
        <v>47.19532263</v>
      </c>
      <c r="H8" s="16">
        <v>1.5907699500000001</v>
      </c>
      <c r="I8" s="14" t="s">
        <v>139</v>
      </c>
      <c r="J8" s="16" t="s">
        <v>139</v>
      </c>
      <c r="K8" s="14">
        <v>0</v>
      </c>
      <c r="L8" s="16">
        <v>0</v>
      </c>
      <c r="M8" s="14">
        <v>0</v>
      </c>
      <c r="N8" s="16">
        <v>0</v>
      </c>
      <c r="O8" s="14">
        <v>0</v>
      </c>
      <c r="P8" s="16">
        <v>0</v>
      </c>
      <c r="Q8" s="14">
        <v>0</v>
      </c>
      <c r="R8" s="16">
        <v>0</v>
      </c>
    </row>
    <row r="9" spans="1:18" x14ac:dyDescent="0.25">
      <c r="A9" s="11" t="s">
        <v>141</v>
      </c>
      <c r="B9" s="13">
        <v>9651</v>
      </c>
      <c r="C9" s="14">
        <f>(8148/B9*100)</f>
        <v>84.426484302144857</v>
      </c>
      <c r="D9" s="15">
        <v>1503</v>
      </c>
      <c r="E9" s="14">
        <v>55.768037960000001</v>
      </c>
      <c r="F9" s="16">
        <v>1.29905955</v>
      </c>
      <c r="G9" s="14">
        <v>44.231962039999999</v>
      </c>
      <c r="H9" s="16">
        <v>1.29905955</v>
      </c>
      <c r="I9" s="14" t="s">
        <v>139</v>
      </c>
      <c r="J9" s="16" t="s">
        <v>139</v>
      </c>
      <c r="K9" s="14">
        <v>0</v>
      </c>
      <c r="L9" s="16">
        <v>0</v>
      </c>
      <c r="M9" s="14">
        <v>0</v>
      </c>
      <c r="N9" s="16">
        <v>0</v>
      </c>
      <c r="O9" s="14">
        <v>0</v>
      </c>
      <c r="P9" s="16">
        <v>0</v>
      </c>
      <c r="Q9" s="14">
        <v>0</v>
      </c>
      <c r="R9" s="16">
        <v>0</v>
      </c>
    </row>
    <row r="10" spans="1:18" x14ac:dyDescent="0.25">
      <c r="A10" s="11" t="s">
        <v>142</v>
      </c>
      <c r="B10" s="13">
        <v>20058</v>
      </c>
      <c r="C10" s="14">
        <f>(16728/B10*100)</f>
        <v>83.398145378402631</v>
      </c>
      <c r="D10" s="15">
        <v>3330</v>
      </c>
      <c r="E10" s="14">
        <v>44.145836119999998</v>
      </c>
      <c r="F10" s="16">
        <v>1.2298975400000001</v>
      </c>
      <c r="G10" s="14">
        <v>55.854163880000002</v>
      </c>
      <c r="H10" s="16">
        <v>1.2298975400000001</v>
      </c>
      <c r="I10" s="14" t="s">
        <v>139</v>
      </c>
      <c r="J10" s="16" t="s">
        <v>139</v>
      </c>
      <c r="K10" s="14">
        <v>0</v>
      </c>
      <c r="L10" s="16">
        <v>0</v>
      </c>
      <c r="M10" s="14">
        <v>0</v>
      </c>
      <c r="N10" s="16">
        <v>0</v>
      </c>
      <c r="O10" s="14">
        <v>0</v>
      </c>
      <c r="P10" s="16">
        <v>0</v>
      </c>
      <c r="Q10" s="14">
        <v>0</v>
      </c>
      <c r="R10" s="16">
        <v>0</v>
      </c>
    </row>
    <row r="11" spans="1:18" x14ac:dyDescent="0.25">
      <c r="A11" s="11" t="s">
        <v>143</v>
      </c>
      <c r="B11" s="13">
        <v>7053</v>
      </c>
      <c r="C11" s="14">
        <f>(5945/B11*100)</f>
        <v>84.290372890968385</v>
      </c>
      <c r="D11" s="15">
        <v>1108</v>
      </c>
      <c r="E11" s="14">
        <v>66.046667510000006</v>
      </c>
      <c r="F11" s="16">
        <v>1.7372769800000001</v>
      </c>
      <c r="G11" s="14">
        <v>33.953332490000001</v>
      </c>
      <c r="H11" s="16">
        <v>1.7372769800000001</v>
      </c>
      <c r="I11" s="14" t="s">
        <v>139</v>
      </c>
      <c r="J11" s="16" t="s">
        <v>139</v>
      </c>
      <c r="K11" s="14">
        <v>0</v>
      </c>
      <c r="L11" s="16">
        <v>0</v>
      </c>
      <c r="M11" s="14">
        <v>0</v>
      </c>
      <c r="N11" s="16">
        <v>0</v>
      </c>
      <c r="O11" s="14">
        <v>0</v>
      </c>
      <c r="P11" s="16">
        <v>0</v>
      </c>
      <c r="Q11" s="14">
        <v>0</v>
      </c>
      <c r="R11" s="16">
        <v>0</v>
      </c>
    </row>
    <row r="12" spans="1:18" x14ac:dyDescent="0.25">
      <c r="A12" s="11" t="s">
        <v>144</v>
      </c>
      <c r="B12" s="13">
        <v>6894</v>
      </c>
      <c r="C12" s="14">
        <f>(5773/B12*100)</f>
        <v>83.739483608935302</v>
      </c>
      <c r="D12" s="15">
        <v>1121</v>
      </c>
      <c r="E12" s="14">
        <v>50.516042890000001</v>
      </c>
      <c r="F12" s="16">
        <v>1.7041256600000001</v>
      </c>
      <c r="G12" s="14">
        <v>49.483957109999999</v>
      </c>
      <c r="H12" s="16">
        <v>1.7041256600000001</v>
      </c>
      <c r="I12" s="14" t="s">
        <v>139</v>
      </c>
      <c r="J12" s="16" t="s">
        <v>139</v>
      </c>
      <c r="K12" s="14">
        <v>0</v>
      </c>
      <c r="L12" s="16">
        <v>0</v>
      </c>
      <c r="M12" s="14">
        <v>0</v>
      </c>
      <c r="N12" s="16">
        <v>0</v>
      </c>
      <c r="O12" s="14">
        <v>0</v>
      </c>
      <c r="P12" s="16">
        <v>0</v>
      </c>
      <c r="Q12" s="14">
        <v>0</v>
      </c>
      <c r="R12" s="16">
        <v>0</v>
      </c>
    </row>
    <row r="13" spans="1:18" x14ac:dyDescent="0.25">
      <c r="A13" s="11" t="s">
        <v>145</v>
      </c>
      <c r="B13" s="13">
        <v>7161</v>
      </c>
      <c r="C13" s="14">
        <f>(6056/B13*100)</f>
        <v>84.569194246613606</v>
      </c>
      <c r="D13" s="15">
        <v>1105</v>
      </c>
      <c r="E13" s="14">
        <v>48.957099599999999</v>
      </c>
      <c r="F13" s="16">
        <v>1.8990927799999999</v>
      </c>
      <c r="G13" s="14">
        <v>51.042900400000001</v>
      </c>
      <c r="H13" s="16">
        <v>1.8990927799999999</v>
      </c>
      <c r="I13" s="14" t="s">
        <v>139</v>
      </c>
      <c r="J13" s="16" t="s">
        <v>139</v>
      </c>
      <c r="K13" s="14">
        <v>0</v>
      </c>
      <c r="L13" s="16">
        <v>0</v>
      </c>
      <c r="M13" s="14">
        <v>0</v>
      </c>
      <c r="N13" s="16">
        <v>0</v>
      </c>
      <c r="O13" s="14">
        <v>0</v>
      </c>
      <c r="P13" s="16">
        <v>0</v>
      </c>
      <c r="Q13" s="14">
        <v>0</v>
      </c>
      <c r="R13" s="16">
        <v>0</v>
      </c>
    </row>
    <row r="14" spans="1:18" x14ac:dyDescent="0.25">
      <c r="A14" s="11" t="s">
        <v>146</v>
      </c>
      <c r="B14" s="13">
        <v>5587</v>
      </c>
      <c r="C14" s="14">
        <f>(4649/B14*100)</f>
        <v>83.211025595131559</v>
      </c>
      <c r="D14" s="15">
        <v>938</v>
      </c>
      <c r="E14" s="14">
        <v>43.780949380000003</v>
      </c>
      <c r="F14" s="16">
        <v>1.64327687</v>
      </c>
      <c r="G14" s="14">
        <v>56.219050619999997</v>
      </c>
      <c r="H14" s="16">
        <v>1.64327687</v>
      </c>
      <c r="I14" s="14" t="s">
        <v>139</v>
      </c>
      <c r="J14" s="16" t="s">
        <v>139</v>
      </c>
      <c r="K14" s="14">
        <v>0</v>
      </c>
      <c r="L14" s="16">
        <v>0</v>
      </c>
      <c r="M14" s="14">
        <v>0</v>
      </c>
      <c r="N14" s="16">
        <v>0</v>
      </c>
      <c r="O14" s="14">
        <v>0</v>
      </c>
      <c r="P14" s="16">
        <v>0</v>
      </c>
      <c r="Q14" s="14">
        <v>0</v>
      </c>
      <c r="R14" s="16">
        <v>0</v>
      </c>
    </row>
    <row r="15" spans="1:18" x14ac:dyDescent="0.25">
      <c r="A15" s="11" t="s">
        <v>147</v>
      </c>
      <c r="B15" s="13">
        <v>5882</v>
      </c>
      <c r="C15" s="14">
        <f>(4896/B15*100)</f>
        <v>83.236994219653184</v>
      </c>
      <c r="D15" s="15">
        <v>986</v>
      </c>
      <c r="E15" s="14">
        <v>40.723986170000003</v>
      </c>
      <c r="F15" s="16">
        <v>1.4963695299999999</v>
      </c>
      <c r="G15" s="14">
        <v>59.276013829999997</v>
      </c>
      <c r="H15" s="16">
        <v>1.4963695299999999</v>
      </c>
      <c r="I15" s="14" t="s">
        <v>139</v>
      </c>
      <c r="J15" s="16" t="s">
        <v>139</v>
      </c>
      <c r="K15" s="14">
        <v>0</v>
      </c>
      <c r="L15" s="16">
        <v>0</v>
      </c>
      <c r="M15" s="14">
        <v>0</v>
      </c>
      <c r="N15" s="16">
        <v>0</v>
      </c>
      <c r="O15" s="14">
        <v>0</v>
      </c>
      <c r="P15" s="16">
        <v>0</v>
      </c>
      <c r="Q15" s="14">
        <v>0</v>
      </c>
      <c r="R15" s="16">
        <v>0</v>
      </c>
    </row>
    <row r="16" spans="1:18" x14ac:dyDescent="0.25">
      <c r="A16" s="11" t="s">
        <v>148</v>
      </c>
      <c r="B16" s="13">
        <v>6108</v>
      </c>
      <c r="C16" s="14">
        <f>(5126/B16*100)</f>
        <v>83.922724296005242</v>
      </c>
      <c r="D16" s="15">
        <v>982</v>
      </c>
      <c r="E16" s="14">
        <v>53.414340510000002</v>
      </c>
      <c r="F16" s="16">
        <v>1.54847044</v>
      </c>
      <c r="G16" s="14">
        <v>46.585659489999998</v>
      </c>
      <c r="H16" s="16">
        <v>1.54847044</v>
      </c>
      <c r="I16" s="14" t="s">
        <v>139</v>
      </c>
      <c r="J16" s="16" t="s">
        <v>139</v>
      </c>
      <c r="K16" s="14">
        <v>0</v>
      </c>
      <c r="L16" s="16">
        <v>0</v>
      </c>
      <c r="M16" s="14">
        <v>0</v>
      </c>
      <c r="N16" s="16">
        <v>0</v>
      </c>
      <c r="O16" s="14">
        <v>0</v>
      </c>
      <c r="P16" s="16">
        <v>0</v>
      </c>
      <c r="Q16" s="14">
        <v>0</v>
      </c>
      <c r="R16" s="16">
        <v>0</v>
      </c>
    </row>
    <row r="17" spans="1:18" x14ac:dyDescent="0.25">
      <c r="A17" s="11" t="s">
        <v>149</v>
      </c>
      <c r="B17" s="13">
        <v>6504</v>
      </c>
      <c r="C17" s="14">
        <f>(5460/B17*100)</f>
        <v>83.948339483394832</v>
      </c>
      <c r="D17" s="15">
        <v>1044</v>
      </c>
      <c r="E17" s="14">
        <v>49.928660280000003</v>
      </c>
      <c r="F17" s="16">
        <v>1.6984003599999999</v>
      </c>
      <c r="G17" s="14">
        <v>50.071339719999997</v>
      </c>
      <c r="H17" s="16">
        <v>1.6984003599999999</v>
      </c>
      <c r="I17" s="14" t="s">
        <v>139</v>
      </c>
      <c r="J17" s="16" t="s">
        <v>139</v>
      </c>
      <c r="K17" s="14">
        <v>0</v>
      </c>
      <c r="L17" s="16">
        <v>0</v>
      </c>
      <c r="M17" s="14">
        <v>0</v>
      </c>
      <c r="N17" s="16">
        <v>0</v>
      </c>
      <c r="O17" s="14">
        <v>0</v>
      </c>
      <c r="P17" s="16">
        <v>0</v>
      </c>
      <c r="Q17" s="14">
        <v>0</v>
      </c>
      <c r="R17" s="16">
        <v>0</v>
      </c>
    </row>
    <row r="18" spans="1:18" x14ac:dyDescent="0.25">
      <c r="A18" s="11" t="s">
        <v>150</v>
      </c>
      <c r="B18" s="13">
        <v>5532</v>
      </c>
      <c r="C18" s="14">
        <f>(4600/B18*100)</f>
        <v>83.152566883586417</v>
      </c>
      <c r="D18" s="15">
        <v>932</v>
      </c>
      <c r="E18" s="14">
        <v>65.659527920000002</v>
      </c>
      <c r="F18" s="16">
        <v>1.9471157100000001</v>
      </c>
      <c r="G18" s="14">
        <v>34.340472079999998</v>
      </c>
      <c r="H18" s="16">
        <v>1.9471157100000001</v>
      </c>
      <c r="I18" s="14" t="s">
        <v>139</v>
      </c>
      <c r="J18" s="16" t="s">
        <v>139</v>
      </c>
      <c r="K18" s="14">
        <v>0</v>
      </c>
      <c r="L18" s="16">
        <v>0</v>
      </c>
      <c r="M18" s="14">
        <v>0</v>
      </c>
      <c r="N18" s="16">
        <v>0</v>
      </c>
      <c r="O18" s="14">
        <v>0</v>
      </c>
      <c r="P18" s="16">
        <v>0</v>
      </c>
      <c r="Q18" s="14">
        <v>0</v>
      </c>
      <c r="R18" s="16">
        <v>0</v>
      </c>
    </row>
    <row r="19" spans="1:18" x14ac:dyDescent="0.25">
      <c r="A19" s="11" t="s">
        <v>151</v>
      </c>
      <c r="B19" s="13">
        <v>5658</v>
      </c>
      <c r="C19" s="14">
        <f>(4757/B19*100)</f>
        <v>84.075645104277129</v>
      </c>
      <c r="D19" s="15">
        <v>901</v>
      </c>
      <c r="E19" s="14">
        <v>65.725210939999997</v>
      </c>
      <c r="F19" s="16">
        <v>1.5067812300000001</v>
      </c>
      <c r="G19" s="14">
        <v>34.274789060000003</v>
      </c>
      <c r="H19" s="16">
        <v>1.5067812300000001</v>
      </c>
      <c r="I19" s="14" t="s">
        <v>139</v>
      </c>
      <c r="J19" s="16" t="s">
        <v>139</v>
      </c>
      <c r="K19" s="14">
        <v>0</v>
      </c>
      <c r="L19" s="16">
        <v>0</v>
      </c>
      <c r="M19" s="14">
        <v>0</v>
      </c>
      <c r="N19" s="16">
        <v>0</v>
      </c>
      <c r="O19" s="14">
        <v>0</v>
      </c>
      <c r="P19" s="16">
        <v>0</v>
      </c>
      <c r="Q19" s="14">
        <v>0</v>
      </c>
      <c r="R19" s="16">
        <v>0</v>
      </c>
    </row>
    <row r="20" spans="1:18" x14ac:dyDescent="0.25">
      <c r="A20" s="11" t="s">
        <v>152</v>
      </c>
      <c r="B20" s="13">
        <v>3371</v>
      </c>
      <c r="C20" s="14">
        <f>(2826/B20*100)</f>
        <v>83.832690596262239</v>
      </c>
      <c r="D20" s="15">
        <v>545</v>
      </c>
      <c r="E20" s="14">
        <v>52.503914090000002</v>
      </c>
      <c r="F20" s="16">
        <v>2.2267345600000001</v>
      </c>
      <c r="G20" s="14">
        <v>47.496085909999998</v>
      </c>
      <c r="H20" s="16">
        <v>2.2267345600000001</v>
      </c>
      <c r="I20" s="14" t="s">
        <v>139</v>
      </c>
      <c r="J20" s="16" t="s">
        <v>139</v>
      </c>
      <c r="K20" s="14">
        <v>0</v>
      </c>
      <c r="L20" s="16">
        <v>0</v>
      </c>
      <c r="M20" s="14">
        <v>0</v>
      </c>
      <c r="N20" s="16">
        <v>0</v>
      </c>
      <c r="O20" s="14">
        <v>0</v>
      </c>
      <c r="P20" s="16">
        <v>0</v>
      </c>
      <c r="Q20" s="14">
        <v>0</v>
      </c>
      <c r="R20" s="16">
        <v>0</v>
      </c>
    </row>
    <row r="21" spans="1:18" x14ac:dyDescent="0.25">
      <c r="A21" s="11" t="s">
        <v>153</v>
      </c>
      <c r="B21" s="17" t="s">
        <v>154</v>
      </c>
      <c r="C21" s="17" t="s">
        <v>154</v>
      </c>
      <c r="D21" s="18" t="s">
        <v>154</v>
      </c>
      <c r="E21" s="17" t="s">
        <v>154</v>
      </c>
      <c r="F21" s="18" t="s">
        <v>154</v>
      </c>
      <c r="G21" s="17" t="s">
        <v>154</v>
      </c>
      <c r="H21" s="18" t="s">
        <v>154</v>
      </c>
      <c r="I21" s="17" t="s">
        <v>154</v>
      </c>
      <c r="J21" s="18" t="s">
        <v>154</v>
      </c>
      <c r="K21" s="17" t="s">
        <v>154</v>
      </c>
      <c r="L21" s="18" t="s">
        <v>154</v>
      </c>
      <c r="M21" s="17" t="s">
        <v>154</v>
      </c>
      <c r="N21" s="18" t="s">
        <v>154</v>
      </c>
      <c r="O21" s="17" t="s">
        <v>154</v>
      </c>
      <c r="P21" s="18" t="s">
        <v>154</v>
      </c>
      <c r="Q21" s="17" t="s">
        <v>154</v>
      </c>
      <c r="R21" s="18" t="s">
        <v>154</v>
      </c>
    </row>
    <row r="22" spans="1:18" x14ac:dyDescent="0.25">
      <c r="A22" s="11" t="s">
        <v>155</v>
      </c>
      <c r="B22" s="13">
        <v>6598</v>
      </c>
      <c r="C22" s="14">
        <f>(5614/B22*100)</f>
        <v>85.086389815095487</v>
      </c>
      <c r="D22" s="15">
        <v>984</v>
      </c>
      <c r="E22" s="14">
        <v>56.823817509999998</v>
      </c>
      <c r="F22" s="16">
        <v>1.60056738</v>
      </c>
      <c r="G22" s="14">
        <v>43.176182490000002</v>
      </c>
      <c r="H22" s="16">
        <v>1.60056738</v>
      </c>
      <c r="I22" s="14" t="s">
        <v>139</v>
      </c>
      <c r="J22" s="16" t="s">
        <v>139</v>
      </c>
      <c r="K22" s="14">
        <v>0</v>
      </c>
      <c r="L22" s="16">
        <v>0</v>
      </c>
      <c r="M22" s="14">
        <v>0</v>
      </c>
      <c r="N22" s="16">
        <v>0</v>
      </c>
      <c r="O22" s="14">
        <v>0</v>
      </c>
      <c r="P22" s="16">
        <v>0</v>
      </c>
      <c r="Q22" s="14">
        <v>0</v>
      </c>
      <c r="R22" s="16">
        <v>0</v>
      </c>
    </row>
    <row r="23" spans="1:18" x14ac:dyDescent="0.25">
      <c r="A23" s="11" t="s">
        <v>156</v>
      </c>
      <c r="B23" s="13">
        <v>11583</v>
      </c>
      <c r="C23" s="14">
        <f>(9647/B23*100)</f>
        <v>83.285849952516628</v>
      </c>
      <c r="D23" s="15">
        <v>1936</v>
      </c>
      <c r="E23" s="14">
        <v>62.91479923</v>
      </c>
      <c r="F23" s="16">
        <v>1.421672</v>
      </c>
      <c r="G23" s="14">
        <v>37.08520077</v>
      </c>
      <c r="H23" s="16">
        <v>1.421672</v>
      </c>
      <c r="I23" s="14" t="s">
        <v>139</v>
      </c>
      <c r="J23" s="16" t="s">
        <v>139</v>
      </c>
      <c r="K23" s="14">
        <v>0</v>
      </c>
      <c r="L23" s="16">
        <v>0</v>
      </c>
      <c r="M23" s="14">
        <v>0</v>
      </c>
      <c r="N23" s="16">
        <v>0</v>
      </c>
      <c r="O23" s="14">
        <v>0</v>
      </c>
      <c r="P23" s="16">
        <v>0</v>
      </c>
      <c r="Q23" s="14">
        <v>0</v>
      </c>
      <c r="R23" s="16">
        <v>0</v>
      </c>
    </row>
    <row r="24" spans="1:18" x14ac:dyDescent="0.25">
      <c r="A24" s="11" t="s">
        <v>157</v>
      </c>
      <c r="B24" s="13">
        <v>6647</v>
      </c>
      <c r="C24" s="14">
        <f>(5517/B24*100)</f>
        <v>82.999849556190767</v>
      </c>
      <c r="D24" s="15">
        <v>1130</v>
      </c>
      <c r="E24" s="14">
        <v>24.070469429999999</v>
      </c>
      <c r="F24" s="16">
        <v>1.31594597</v>
      </c>
      <c r="G24" s="14">
        <v>75.929530569999997</v>
      </c>
      <c r="H24" s="16">
        <v>1.31594597</v>
      </c>
      <c r="I24" s="14" t="s">
        <v>139</v>
      </c>
      <c r="J24" s="16" t="s">
        <v>139</v>
      </c>
      <c r="K24" s="14">
        <v>0</v>
      </c>
      <c r="L24" s="16">
        <v>0</v>
      </c>
      <c r="M24" s="14">
        <v>0</v>
      </c>
      <c r="N24" s="16">
        <v>0</v>
      </c>
      <c r="O24" s="14">
        <v>0</v>
      </c>
      <c r="P24" s="16">
        <v>0</v>
      </c>
      <c r="Q24" s="14">
        <v>0</v>
      </c>
      <c r="R24" s="16">
        <v>0</v>
      </c>
    </row>
    <row r="25" spans="1:18" x14ac:dyDescent="0.25">
      <c r="A25" s="11" t="s">
        <v>158</v>
      </c>
      <c r="B25" s="13">
        <v>5581</v>
      </c>
      <c r="C25" s="14">
        <f>(4615/B25*100)</f>
        <v>82.691273965239205</v>
      </c>
      <c r="D25" s="15">
        <v>966</v>
      </c>
      <c r="E25" s="14">
        <v>42.02415113</v>
      </c>
      <c r="F25" s="16">
        <v>1.50175057</v>
      </c>
      <c r="G25" s="14">
        <v>57.97584887</v>
      </c>
      <c r="H25" s="16">
        <v>1.50175057</v>
      </c>
      <c r="I25" s="14" t="s">
        <v>139</v>
      </c>
      <c r="J25" s="16" t="s">
        <v>139</v>
      </c>
      <c r="K25" s="14">
        <v>0</v>
      </c>
      <c r="L25" s="16">
        <v>0</v>
      </c>
      <c r="M25" s="14">
        <v>0</v>
      </c>
      <c r="N25" s="16">
        <v>0</v>
      </c>
      <c r="O25" s="14">
        <v>0</v>
      </c>
      <c r="P25" s="16">
        <v>0</v>
      </c>
      <c r="Q25" s="14">
        <v>0</v>
      </c>
      <c r="R25" s="16">
        <v>0</v>
      </c>
    </row>
    <row r="26" spans="1:18" x14ac:dyDescent="0.25">
      <c r="A26" s="11" t="s">
        <v>159</v>
      </c>
      <c r="B26" s="13">
        <v>4869</v>
      </c>
      <c r="C26" s="14">
        <f>(4049/B26*100)</f>
        <v>83.15875949887041</v>
      </c>
      <c r="D26" s="15">
        <v>820</v>
      </c>
      <c r="E26" s="14">
        <v>59.18104864</v>
      </c>
      <c r="F26" s="16">
        <v>1.83831608</v>
      </c>
      <c r="G26" s="14">
        <v>40.81895136</v>
      </c>
      <c r="H26" s="16">
        <v>1.83831608</v>
      </c>
      <c r="I26" s="14" t="s">
        <v>139</v>
      </c>
      <c r="J26" s="16" t="s">
        <v>139</v>
      </c>
      <c r="K26" s="14">
        <v>0</v>
      </c>
      <c r="L26" s="16">
        <v>0</v>
      </c>
      <c r="M26" s="14">
        <v>0</v>
      </c>
      <c r="N26" s="16">
        <v>0</v>
      </c>
      <c r="O26" s="14">
        <v>0</v>
      </c>
      <c r="P26" s="16">
        <v>0</v>
      </c>
      <c r="Q26" s="14">
        <v>0</v>
      </c>
      <c r="R26" s="16">
        <v>0</v>
      </c>
    </row>
    <row r="27" spans="1:18" x14ac:dyDescent="0.25">
      <c r="A27" s="11" t="s">
        <v>160</v>
      </c>
      <c r="B27" s="13">
        <v>5299</v>
      </c>
      <c r="C27" s="14">
        <f>(4454/B27*100)</f>
        <v>84.053595017927904</v>
      </c>
      <c r="D27" s="15">
        <v>845</v>
      </c>
      <c r="E27" s="14">
        <v>53.539236600000002</v>
      </c>
      <c r="F27" s="16">
        <v>1.6432817099999999</v>
      </c>
      <c r="G27" s="14">
        <v>46.460763399999998</v>
      </c>
      <c r="H27" s="16">
        <v>1.6432817099999999</v>
      </c>
      <c r="I27" s="14" t="s">
        <v>139</v>
      </c>
      <c r="J27" s="16" t="s">
        <v>139</v>
      </c>
      <c r="K27" s="14">
        <v>0</v>
      </c>
      <c r="L27" s="16">
        <v>0</v>
      </c>
      <c r="M27" s="14">
        <v>0</v>
      </c>
      <c r="N27" s="16">
        <v>0</v>
      </c>
      <c r="O27" s="14">
        <v>0</v>
      </c>
      <c r="P27" s="16">
        <v>0</v>
      </c>
      <c r="Q27" s="14">
        <v>0</v>
      </c>
      <c r="R27" s="16">
        <v>0</v>
      </c>
    </row>
    <row r="28" spans="1:18" x14ac:dyDescent="0.25">
      <c r="A28" s="11" t="s">
        <v>161</v>
      </c>
      <c r="B28" s="13">
        <v>7568</v>
      </c>
      <c r="C28" s="14">
        <f>(6449/B28*100)</f>
        <v>85.214059196617328</v>
      </c>
      <c r="D28" s="15">
        <v>1119</v>
      </c>
      <c r="E28" s="14">
        <v>69.447003609999996</v>
      </c>
      <c r="F28" s="16">
        <v>1.4095819700000001</v>
      </c>
      <c r="G28" s="14">
        <v>30.552996390000001</v>
      </c>
      <c r="H28" s="16">
        <v>1.4095819700000001</v>
      </c>
      <c r="I28" s="14" t="s">
        <v>139</v>
      </c>
      <c r="J28" s="16" t="s">
        <v>139</v>
      </c>
      <c r="K28" s="14">
        <v>0</v>
      </c>
      <c r="L28" s="16">
        <v>0</v>
      </c>
      <c r="M28" s="14">
        <v>0</v>
      </c>
      <c r="N28" s="16">
        <v>0</v>
      </c>
      <c r="O28" s="14">
        <v>0</v>
      </c>
      <c r="P28" s="16">
        <v>0</v>
      </c>
      <c r="Q28" s="14">
        <v>0</v>
      </c>
      <c r="R28" s="16">
        <v>0</v>
      </c>
    </row>
    <row r="29" spans="1:18" x14ac:dyDescent="0.25">
      <c r="A29" s="11" t="s">
        <v>162</v>
      </c>
      <c r="B29" s="13">
        <v>5385</v>
      </c>
      <c r="C29" s="14">
        <f>(4501/B29*100)</f>
        <v>83.584029712163428</v>
      </c>
      <c r="D29" s="15">
        <v>884</v>
      </c>
      <c r="E29" s="14">
        <v>54.462344100000003</v>
      </c>
      <c r="F29" s="16">
        <v>1.72881106</v>
      </c>
      <c r="G29" s="14">
        <v>45.537655899999997</v>
      </c>
      <c r="H29" s="16">
        <v>1.72881106</v>
      </c>
      <c r="I29" s="14" t="s">
        <v>139</v>
      </c>
      <c r="J29" s="16" t="s">
        <v>139</v>
      </c>
      <c r="K29" s="14">
        <v>0</v>
      </c>
      <c r="L29" s="16">
        <v>0</v>
      </c>
      <c r="M29" s="14">
        <v>0</v>
      </c>
      <c r="N29" s="16">
        <v>0</v>
      </c>
      <c r="O29" s="14">
        <v>0</v>
      </c>
      <c r="P29" s="16">
        <v>0</v>
      </c>
      <c r="Q29" s="14">
        <v>0</v>
      </c>
      <c r="R29" s="16">
        <v>0</v>
      </c>
    </row>
    <row r="30" spans="1:18" x14ac:dyDescent="0.25">
      <c r="A30" s="11" t="s">
        <v>163</v>
      </c>
      <c r="B30" s="13">
        <v>4520</v>
      </c>
      <c r="C30" s="14">
        <f>(3837/B30*100)</f>
        <v>84.88938053097344</v>
      </c>
      <c r="D30" s="15">
        <v>683</v>
      </c>
      <c r="E30" s="14">
        <v>43.216234700000001</v>
      </c>
      <c r="F30" s="16">
        <v>1.7931971600000001</v>
      </c>
      <c r="G30" s="14">
        <v>56.783765299999999</v>
      </c>
      <c r="H30" s="16">
        <v>1.7931971600000001</v>
      </c>
      <c r="I30" s="14" t="s">
        <v>139</v>
      </c>
      <c r="J30" s="16" t="s">
        <v>139</v>
      </c>
      <c r="K30" s="14">
        <v>0</v>
      </c>
      <c r="L30" s="16">
        <v>0</v>
      </c>
      <c r="M30" s="14">
        <v>0</v>
      </c>
      <c r="N30" s="16">
        <v>0</v>
      </c>
      <c r="O30" s="14">
        <v>0</v>
      </c>
      <c r="P30" s="16">
        <v>0</v>
      </c>
      <c r="Q30" s="14">
        <v>0</v>
      </c>
      <c r="R30" s="16">
        <v>0</v>
      </c>
    </row>
    <row r="31" spans="1:18" x14ac:dyDescent="0.25">
      <c r="A31" s="11" t="s">
        <v>164</v>
      </c>
      <c r="B31" s="13">
        <v>5456</v>
      </c>
      <c r="C31" s="14">
        <f>(4572/B31*100)</f>
        <v>83.797653958944281</v>
      </c>
      <c r="D31" s="15">
        <v>884</v>
      </c>
      <c r="E31" s="14">
        <v>56.242661490000003</v>
      </c>
      <c r="F31" s="16">
        <v>1.7307051200000001</v>
      </c>
      <c r="G31" s="14">
        <v>43.757338509999997</v>
      </c>
      <c r="H31" s="16">
        <v>1.7307051200000001</v>
      </c>
      <c r="I31" s="14" t="s">
        <v>139</v>
      </c>
      <c r="J31" s="16" t="s">
        <v>139</v>
      </c>
      <c r="K31" s="14">
        <v>0</v>
      </c>
      <c r="L31" s="16">
        <v>0</v>
      </c>
      <c r="M31" s="14">
        <v>0</v>
      </c>
      <c r="N31" s="16">
        <v>0</v>
      </c>
      <c r="O31" s="14">
        <v>0</v>
      </c>
      <c r="P31" s="16">
        <v>0</v>
      </c>
      <c r="Q31" s="14">
        <v>0</v>
      </c>
      <c r="R31" s="16">
        <v>0</v>
      </c>
    </row>
    <row r="32" spans="1:18" x14ac:dyDescent="0.25">
      <c r="A32" s="11" t="s">
        <v>165</v>
      </c>
      <c r="B32" s="17" t="s">
        <v>154</v>
      </c>
      <c r="C32" s="17" t="s">
        <v>154</v>
      </c>
      <c r="D32" s="18" t="s">
        <v>154</v>
      </c>
      <c r="E32" s="17" t="s">
        <v>154</v>
      </c>
      <c r="F32" s="18" t="s">
        <v>154</v>
      </c>
      <c r="G32" s="17" t="s">
        <v>154</v>
      </c>
      <c r="H32" s="18" t="s">
        <v>154</v>
      </c>
      <c r="I32" s="17" t="s">
        <v>154</v>
      </c>
      <c r="J32" s="18" t="s">
        <v>154</v>
      </c>
      <c r="K32" s="17" t="s">
        <v>154</v>
      </c>
      <c r="L32" s="18" t="s">
        <v>154</v>
      </c>
      <c r="M32" s="17" t="s">
        <v>154</v>
      </c>
      <c r="N32" s="18" t="s">
        <v>154</v>
      </c>
      <c r="O32" s="17" t="s">
        <v>154</v>
      </c>
      <c r="P32" s="18" t="s">
        <v>154</v>
      </c>
      <c r="Q32" s="17" t="s">
        <v>154</v>
      </c>
      <c r="R32" s="18" t="s">
        <v>154</v>
      </c>
    </row>
    <row r="33" spans="1:18" x14ac:dyDescent="0.25">
      <c r="A33" s="11" t="s">
        <v>166</v>
      </c>
      <c r="B33" s="13">
        <v>7325</v>
      </c>
      <c r="C33" s="14">
        <f>(6167/B33*100)</f>
        <v>84.191126279863482</v>
      </c>
      <c r="D33" s="15">
        <v>1158</v>
      </c>
      <c r="E33" s="14">
        <v>48.126156180000002</v>
      </c>
      <c r="F33" s="16">
        <v>1.5272937099999999</v>
      </c>
      <c r="G33" s="14">
        <v>51.873843819999998</v>
      </c>
      <c r="H33" s="16">
        <v>1.5272937099999999</v>
      </c>
      <c r="I33" s="14" t="s">
        <v>139</v>
      </c>
      <c r="J33" s="16" t="s">
        <v>139</v>
      </c>
      <c r="K33" s="14">
        <v>0</v>
      </c>
      <c r="L33" s="16">
        <v>0</v>
      </c>
      <c r="M33" s="14">
        <v>0</v>
      </c>
      <c r="N33" s="16">
        <v>0</v>
      </c>
      <c r="O33" s="14">
        <v>0</v>
      </c>
      <c r="P33" s="16">
        <v>0</v>
      </c>
      <c r="Q33" s="14">
        <v>0</v>
      </c>
      <c r="R33" s="16">
        <v>0</v>
      </c>
    </row>
    <row r="34" spans="1:18" x14ac:dyDescent="0.25">
      <c r="A34" s="11" t="s">
        <v>167</v>
      </c>
      <c r="B34" s="13">
        <v>6350</v>
      </c>
      <c r="C34" s="14">
        <f>(5369/B34*100)</f>
        <v>84.551181102362207</v>
      </c>
      <c r="D34" s="15">
        <v>981</v>
      </c>
      <c r="E34" s="14">
        <v>64.815872350000006</v>
      </c>
      <c r="F34" s="16">
        <v>1.34073452</v>
      </c>
      <c r="G34" s="14">
        <v>35.184127650000001</v>
      </c>
      <c r="H34" s="16">
        <v>1.34073452</v>
      </c>
      <c r="I34" s="14" t="s">
        <v>139</v>
      </c>
      <c r="J34" s="16" t="s">
        <v>139</v>
      </c>
      <c r="K34" s="14">
        <v>0</v>
      </c>
      <c r="L34" s="16">
        <v>0</v>
      </c>
      <c r="M34" s="14">
        <v>0</v>
      </c>
      <c r="N34" s="16">
        <v>0</v>
      </c>
      <c r="O34" s="14">
        <v>0</v>
      </c>
      <c r="P34" s="16">
        <v>0</v>
      </c>
      <c r="Q34" s="14">
        <v>0</v>
      </c>
      <c r="R34" s="16">
        <v>0</v>
      </c>
    </row>
    <row r="35" spans="1:18" x14ac:dyDescent="0.25">
      <c r="A35" s="11" t="s">
        <v>168</v>
      </c>
      <c r="B35" s="13">
        <v>6406</v>
      </c>
      <c r="C35" s="14">
        <f>(5366/B35*100)</f>
        <v>83.76522010615048</v>
      </c>
      <c r="D35" s="15">
        <v>1040</v>
      </c>
      <c r="E35" s="14">
        <v>47.699759489999998</v>
      </c>
      <c r="F35" s="16">
        <v>2.02750181</v>
      </c>
      <c r="G35" s="14">
        <v>52.300240510000002</v>
      </c>
      <c r="H35" s="16">
        <v>2.02750181</v>
      </c>
      <c r="I35" s="14" t="s">
        <v>139</v>
      </c>
      <c r="J35" s="16" t="s">
        <v>139</v>
      </c>
      <c r="K35" s="14">
        <v>0</v>
      </c>
      <c r="L35" s="16">
        <v>0</v>
      </c>
      <c r="M35" s="14">
        <v>0</v>
      </c>
      <c r="N35" s="16">
        <v>0</v>
      </c>
      <c r="O35" s="14">
        <v>0</v>
      </c>
      <c r="P35" s="16">
        <v>0</v>
      </c>
      <c r="Q35" s="14">
        <v>0</v>
      </c>
      <c r="R35" s="16">
        <v>0</v>
      </c>
    </row>
    <row r="36" spans="1:18" x14ac:dyDescent="0.25">
      <c r="A36" s="11" t="s">
        <v>169</v>
      </c>
      <c r="B36" s="13">
        <v>6736</v>
      </c>
      <c r="C36" s="14">
        <f>(5664/B36*100)</f>
        <v>84.085510688836109</v>
      </c>
      <c r="D36" s="15">
        <v>1072</v>
      </c>
      <c r="E36" s="14">
        <v>56.520705319999998</v>
      </c>
      <c r="F36" s="16">
        <v>1.71494013</v>
      </c>
      <c r="G36" s="14">
        <v>43.479294680000002</v>
      </c>
      <c r="H36" s="16">
        <v>1.71494013</v>
      </c>
      <c r="I36" s="14" t="s">
        <v>139</v>
      </c>
      <c r="J36" s="16" t="s">
        <v>139</v>
      </c>
      <c r="K36" s="14">
        <v>0</v>
      </c>
      <c r="L36" s="16">
        <v>0</v>
      </c>
      <c r="M36" s="14">
        <v>0</v>
      </c>
      <c r="N36" s="16">
        <v>0</v>
      </c>
      <c r="O36" s="14">
        <v>0</v>
      </c>
      <c r="P36" s="16">
        <v>0</v>
      </c>
      <c r="Q36" s="14">
        <v>0</v>
      </c>
      <c r="R36" s="16">
        <v>0</v>
      </c>
    </row>
    <row r="37" spans="1:18" x14ac:dyDescent="0.25">
      <c r="A37" s="11" t="s">
        <v>170</v>
      </c>
      <c r="B37" s="13">
        <v>5458</v>
      </c>
      <c r="C37" s="14">
        <f>(4613/B37*100)</f>
        <v>84.518138512275556</v>
      </c>
      <c r="D37" s="15">
        <v>845</v>
      </c>
      <c r="E37" s="14">
        <v>46.251197490000003</v>
      </c>
      <c r="F37" s="16">
        <v>1.7227471299999999</v>
      </c>
      <c r="G37" s="14">
        <v>53.748802509999997</v>
      </c>
      <c r="H37" s="16">
        <v>1.7227471299999999</v>
      </c>
      <c r="I37" s="14" t="s">
        <v>139</v>
      </c>
      <c r="J37" s="16" t="s">
        <v>139</v>
      </c>
      <c r="K37" s="14">
        <v>0</v>
      </c>
      <c r="L37" s="16">
        <v>0</v>
      </c>
      <c r="M37" s="14">
        <v>0</v>
      </c>
      <c r="N37" s="16">
        <v>0</v>
      </c>
      <c r="O37" s="14">
        <v>0</v>
      </c>
      <c r="P37" s="16">
        <v>0</v>
      </c>
      <c r="Q37" s="14">
        <v>0</v>
      </c>
      <c r="R37" s="16">
        <v>0</v>
      </c>
    </row>
    <row r="38" spans="1:18" x14ac:dyDescent="0.25">
      <c r="A38" s="11" t="s">
        <v>171</v>
      </c>
      <c r="B38" s="17" t="s">
        <v>154</v>
      </c>
      <c r="C38" s="17" t="s">
        <v>154</v>
      </c>
      <c r="D38" s="18" t="s">
        <v>154</v>
      </c>
      <c r="E38" s="17" t="s">
        <v>154</v>
      </c>
      <c r="F38" s="18" t="s">
        <v>154</v>
      </c>
      <c r="G38" s="17" t="s">
        <v>154</v>
      </c>
      <c r="H38" s="18" t="s">
        <v>154</v>
      </c>
      <c r="I38" s="17" t="s">
        <v>154</v>
      </c>
      <c r="J38" s="18" t="s">
        <v>154</v>
      </c>
      <c r="K38" s="17" t="s">
        <v>154</v>
      </c>
      <c r="L38" s="18" t="s">
        <v>154</v>
      </c>
      <c r="M38" s="17" t="s">
        <v>154</v>
      </c>
      <c r="N38" s="18" t="s">
        <v>154</v>
      </c>
      <c r="O38" s="17" t="s">
        <v>154</v>
      </c>
      <c r="P38" s="18" t="s">
        <v>154</v>
      </c>
      <c r="Q38" s="17" t="s">
        <v>154</v>
      </c>
      <c r="R38" s="18" t="s">
        <v>154</v>
      </c>
    </row>
    <row r="39" spans="1:18" x14ac:dyDescent="0.25">
      <c r="A39" s="11" t="s">
        <v>172</v>
      </c>
      <c r="B39" s="13">
        <v>5895</v>
      </c>
      <c r="C39" s="14">
        <f>(4868/B39*100)</f>
        <v>82.578456318914334</v>
      </c>
      <c r="D39" s="15">
        <v>1027</v>
      </c>
      <c r="E39" s="14">
        <v>72.227407360000001</v>
      </c>
      <c r="F39" s="16">
        <v>1.5178820399999999</v>
      </c>
      <c r="G39" s="14">
        <v>27.772592639999999</v>
      </c>
      <c r="H39" s="16">
        <v>1.5178820399999999</v>
      </c>
      <c r="I39" s="14" t="s">
        <v>139</v>
      </c>
      <c r="J39" s="16" t="s">
        <v>139</v>
      </c>
      <c r="K39" s="14">
        <v>0</v>
      </c>
      <c r="L39" s="16">
        <v>0</v>
      </c>
      <c r="M39" s="14">
        <v>0</v>
      </c>
      <c r="N39" s="16">
        <v>0</v>
      </c>
      <c r="O39" s="14">
        <v>0</v>
      </c>
      <c r="P39" s="16">
        <v>0</v>
      </c>
      <c r="Q39" s="14">
        <v>0</v>
      </c>
      <c r="R39" s="16">
        <v>0</v>
      </c>
    </row>
    <row r="40" spans="1:18" x14ac:dyDescent="0.25">
      <c r="A40" s="11" t="s">
        <v>173</v>
      </c>
      <c r="B40" s="13">
        <v>14157</v>
      </c>
      <c r="C40" s="14">
        <f>(11783/B40*100)</f>
        <v>83.230910503637773</v>
      </c>
      <c r="D40" s="15">
        <v>2374</v>
      </c>
      <c r="E40" s="14">
        <v>45.667159990000002</v>
      </c>
      <c r="F40" s="16">
        <v>1.5405190099999999</v>
      </c>
      <c r="G40" s="14">
        <v>54.332840009999998</v>
      </c>
      <c r="H40" s="16">
        <v>1.5405190099999999</v>
      </c>
      <c r="I40" s="14" t="s">
        <v>139</v>
      </c>
      <c r="J40" s="16" t="s">
        <v>139</v>
      </c>
      <c r="K40" s="14">
        <v>0</v>
      </c>
      <c r="L40" s="16">
        <v>0</v>
      </c>
      <c r="M40" s="14">
        <v>0</v>
      </c>
      <c r="N40" s="16">
        <v>0</v>
      </c>
      <c r="O40" s="14">
        <v>0</v>
      </c>
      <c r="P40" s="16">
        <v>0</v>
      </c>
      <c r="Q40" s="14">
        <v>0</v>
      </c>
      <c r="R40" s="16">
        <v>0</v>
      </c>
    </row>
    <row r="41" spans="1:18" x14ac:dyDescent="0.25">
      <c r="A41" s="11" t="s">
        <v>174</v>
      </c>
      <c r="B41" s="13">
        <v>5712</v>
      </c>
      <c r="C41" s="14">
        <f>(4777/B41*100)</f>
        <v>83.63095238095238</v>
      </c>
      <c r="D41" s="15">
        <v>935</v>
      </c>
      <c r="E41" s="14">
        <v>42.88085607</v>
      </c>
      <c r="F41" s="16">
        <v>2.0339822000000001</v>
      </c>
      <c r="G41" s="14">
        <v>57.11914393</v>
      </c>
      <c r="H41" s="16">
        <v>2.0339822000000001</v>
      </c>
      <c r="I41" s="14" t="s">
        <v>139</v>
      </c>
      <c r="J41" s="16" t="s">
        <v>139</v>
      </c>
      <c r="K41" s="14">
        <v>0</v>
      </c>
      <c r="L41" s="16">
        <v>0</v>
      </c>
      <c r="M41" s="14">
        <v>0</v>
      </c>
      <c r="N41" s="16">
        <v>0</v>
      </c>
      <c r="O41" s="14">
        <v>0</v>
      </c>
      <c r="P41" s="16">
        <v>0</v>
      </c>
      <c r="Q41" s="14">
        <v>0</v>
      </c>
      <c r="R41" s="16">
        <v>0</v>
      </c>
    </row>
    <row r="42" spans="1:18" x14ac:dyDescent="0.25">
      <c r="A42" s="11" t="s">
        <v>175</v>
      </c>
      <c r="B42" s="13">
        <f>IF(COUNT(B7:B41) &gt; 0, AVERAGE(B7:B41), "\u2014")</f>
        <v>7266.90625</v>
      </c>
      <c r="C42" s="14">
        <f>IF(COUNT(C7:C41) &gt; 0, AVERAGE(C7:C41), "—")</f>
        <v>83.81629354243708</v>
      </c>
      <c r="D42" s="15">
        <f>IF(COUNT(D7:D41) &gt; 0, AVERAGE(D7:D41), "—")</f>
        <v>1178.1875</v>
      </c>
      <c r="E42" s="14">
        <f>IF(COUNT(E7:E41) &gt; 0, AVERAGE(E7:E41), "—")</f>
        <v>52.445422468124995</v>
      </c>
      <c r="F42" s="16">
        <f>IF(COUNT(F7:F41) &gt; 0, SQRT(SUMSQ(F7:F41)/(COUNT(F7:F41)*COUNT(F7:F41)) ), "—")</f>
        <v>0.29116100807555106</v>
      </c>
      <c r="G42" s="14">
        <f>IF(COUNT(G7:G41) &gt; 0, AVERAGE(G7:G41), "—")</f>
        <v>47.554577531875005</v>
      </c>
      <c r="H42" s="16">
        <f>IF(COUNT(H7:H41) &gt; 0, SQRT(SUMSQ(H7:H41)/(COUNT(H7:H41)*COUNT(H7:H41)) ), "—")</f>
        <v>0.29116100807555106</v>
      </c>
      <c r="I42" s="14" t="str">
        <f>IF(COUNT(I7:I41) &gt; 0, AVERAGE(I7:I41), "—")</f>
        <v>—</v>
      </c>
      <c r="J42" s="16" t="str">
        <f>IF(COUNT(J7:J41) &gt; 0, SQRT(SUMSQ(J7:J41)/(COUNT(J7:J41)*COUNT(J7:J41)) ), "—")</f>
        <v>—</v>
      </c>
      <c r="K42" s="14">
        <f>IF(COUNT(K7:K41) &gt; 0, AVERAGE(K7:K41), "—")</f>
        <v>0</v>
      </c>
      <c r="L42" s="16">
        <f>IF(COUNT(L7:L41) &gt; 0, SQRT(SUMSQ(L7:L41)/(COUNT(L7:L41)*COUNT(L7:L41)) ), "—")</f>
        <v>0</v>
      </c>
      <c r="M42" s="14">
        <f>IF(COUNT(M7:M41) &gt; 0, AVERAGE(M7:M41), "—")</f>
        <v>0</v>
      </c>
      <c r="N42" s="16">
        <f>IF(COUNT(N7:N41) &gt; 0, SQRT(SUMSQ(N7:N41)/(COUNT(N7:N41)*COUNT(N7:N41)) ), "—")</f>
        <v>0</v>
      </c>
      <c r="O42" s="14">
        <f>IF(COUNT(O7:O41) &gt; 0, AVERAGE(O7:O41), "—")</f>
        <v>0</v>
      </c>
      <c r="P42" s="16">
        <f>IF(COUNT(P7:P41) &gt; 0, SQRT(SUMSQ(P7:P41)/(COUNT(P7:P41)*COUNT(P7:P41)) ), "—")</f>
        <v>0</v>
      </c>
      <c r="Q42" s="14">
        <f>IF(COUNT(Q7:Q41) &gt; 0, AVERAGE(Q7:Q41), "—")</f>
        <v>0</v>
      </c>
      <c r="R42" s="16">
        <f>IF(COUNT(R7:R41) &gt; 0, SQRT(SUMSQ(R7:R41)/(COUNT(R7:R41)*COUNT(R7:R41)) ), "—")</f>
        <v>0</v>
      </c>
    </row>
    <row r="43" spans="1:18" x14ac:dyDescent="0.25">
      <c r="A43" s="9" t="s">
        <v>176</v>
      </c>
      <c r="B43" s="10"/>
      <c r="C43" s="10"/>
      <c r="D43" s="11"/>
      <c r="E43" s="10"/>
      <c r="F43" s="11"/>
      <c r="G43" s="10"/>
      <c r="H43" s="11"/>
      <c r="I43" s="10"/>
      <c r="J43" s="11"/>
      <c r="K43" s="10"/>
      <c r="L43" s="11"/>
      <c r="M43" s="10"/>
      <c r="N43" s="11"/>
      <c r="O43" s="10"/>
      <c r="P43" s="11"/>
      <c r="Q43" s="10"/>
      <c r="R43" s="12"/>
    </row>
    <row r="44" spans="1:18" x14ac:dyDescent="0.25">
      <c r="A44" s="11" t="s">
        <v>177</v>
      </c>
      <c r="B44" s="17" t="s">
        <v>154</v>
      </c>
      <c r="C44" s="17" t="s">
        <v>154</v>
      </c>
      <c r="D44" s="18" t="s">
        <v>154</v>
      </c>
      <c r="E44" s="17" t="s">
        <v>154</v>
      </c>
      <c r="F44" s="18" t="s">
        <v>154</v>
      </c>
      <c r="G44" s="17" t="s">
        <v>154</v>
      </c>
      <c r="H44" s="18" t="s">
        <v>154</v>
      </c>
      <c r="I44" s="17" t="s">
        <v>154</v>
      </c>
      <c r="J44" s="18" t="s">
        <v>154</v>
      </c>
      <c r="K44" s="17" t="s">
        <v>154</v>
      </c>
      <c r="L44" s="18" t="s">
        <v>154</v>
      </c>
      <c r="M44" s="17" t="s">
        <v>154</v>
      </c>
      <c r="N44" s="18" t="s">
        <v>154</v>
      </c>
      <c r="O44" s="17" t="s">
        <v>154</v>
      </c>
      <c r="P44" s="18" t="s">
        <v>154</v>
      </c>
      <c r="Q44" s="17" t="s">
        <v>154</v>
      </c>
      <c r="R44" s="18" t="s">
        <v>154</v>
      </c>
    </row>
    <row r="45" spans="1:18" x14ac:dyDescent="0.25">
      <c r="A45" s="11" t="s">
        <v>178</v>
      </c>
      <c r="B45" s="17" t="s">
        <v>154</v>
      </c>
      <c r="C45" s="17" t="s">
        <v>154</v>
      </c>
      <c r="D45" s="18" t="s">
        <v>154</v>
      </c>
      <c r="E45" s="17" t="s">
        <v>154</v>
      </c>
      <c r="F45" s="18" t="s">
        <v>154</v>
      </c>
      <c r="G45" s="17" t="s">
        <v>154</v>
      </c>
      <c r="H45" s="18" t="s">
        <v>154</v>
      </c>
      <c r="I45" s="17" t="s">
        <v>154</v>
      </c>
      <c r="J45" s="18" t="s">
        <v>154</v>
      </c>
      <c r="K45" s="17" t="s">
        <v>154</v>
      </c>
      <c r="L45" s="18" t="s">
        <v>154</v>
      </c>
      <c r="M45" s="17" t="s">
        <v>154</v>
      </c>
      <c r="N45" s="18" t="s">
        <v>154</v>
      </c>
      <c r="O45" s="17" t="s">
        <v>154</v>
      </c>
      <c r="P45" s="18" t="s">
        <v>154</v>
      </c>
      <c r="Q45" s="17" t="s">
        <v>154</v>
      </c>
      <c r="R45" s="18" t="s">
        <v>154</v>
      </c>
    </row>
    <row r="46" spans="1:18" x14ac:dyDescent="0.25">
      <c r="A46" s="11" t="s">
        <v>179</v>
      </c>
      <c r="B46" s="13">
        <v>23141</v>
      </c>
      <c r="C46" s="14">
        <f>(20514/B46*100)</f>
        <v>88.647854457456461</v>
      </c>
      <c r="D46" s="15">
        <v>2627</v>
      </c>
      <c r="E46" s="14">
        <v>66.671784669999994</v>
      </c>
      <c r="F46" s="16">
        <v>1.09777536</v>
      </c>
      <c r="G46" s="14">
        <v>33.328215329999999</v>
      </c>
      <c r="H46" s="16">
        <v>1.09777536</v>
      </c>
      <c r="I46" s="14" t="s">
        <v>139</v>
      </c>
      <c r="J46" s="16" t="s">
        <v>139</v>
      </c>
      <c r="K46" s="14">
        <v>0</v>
      </c>
      <c r="L46" s="16">
        <v>0</v>
      </c>
      <c r="M46" s="14">
        <v>0</v>
      </c>
      <c r="N46" s="16">
        <v>0</v>
      </c>
      <c r="O46" s="14">
        <v>0</v>
      </c>
      <c r="P46" s="16">
        <v>0</v>
      </c>
      <c r="Q46" s="14">
        <v>0</v>
      </c>
      <c r="R46" s="16">
        <v>0</v>
      </c>
    </row>
    <row r="47" spans="1:18" x14ac:dyDescent="0.25">
      <c r="A47" s="11" t="s">
        <v>180</v>
      </c>
      <c r="B47" s="13">
        <v>5928</v>
      </c>
      <c r="C47" s="14">
        <f>(5004/B47*100)</f>
        <v>84.412955465587046</v>
      </c>
      <c r="D47" s="15">
        <v>924</v>
      </c>
      <c r="E47" s="14">
        <v>69.204926279999995</v>
      </c>
      <c r="F47" s="16">
        <v>1.7284027099999999</v>
      </c>
      <c r="G47" s="14">
        <v>30.795073720000001</v>
      </c>
      <c r="H47" s="16">
        <v>1.7284027099999999</v>
      </c>
      <c r="I47" s="14" t="s">
        <v>139</v>
      </c>
      <c r="J47" s="16" t="s">
        <v>139</v>
      </c>
      <c r="K47" s="14">
        <v>0</v>
      </c>
      <c r="L47" s="16">
        <v>0</v>
      </c>
      <c r="M47" s="14">
        <v>0</v>
      </c>
      <c r="N47" s="16">
        <v>0</v>
      </c>
      <c r="O47" s="14">
        <v>0</v>
      </c>
      <c r="P47" s="16">
        <v>0</v>
      </c>
      <c r="Q47" s="14">
        <v>0</v>
      </c>
      <c r="R47" s="16">
        <v>0</v>
      </c>
    </row>
    <row r="48" spans="1:18" x14ac:dyDescent="0.25">
      <c r="A48" s="11" t="s">
        <v>181</v>
      </c>
      <c r="B48" s="13">
        <v>9841</v>
      </c>
      <c r="C48" s="14">
        <f>(8203/B48*100)</f>
        <v>83.355350066050192</v>
      </c>
      <c r="D48" s="15">
        <v>1638</v>
      </c>
      <c r="E48" s="14">
        <v>54.003161839999997</v>
      </c>
      <c r="F48" s="16">
        <v>1.62792059</v>
      </c>
      <c r="G48" s="14">
        <v>45.996838160000003</v>
      </c>
      <c r="H48" s="16">
        <v>1.62792059</v>
      </c>
      <c r="I48" s="14" t="s">
        <v>139</v>
      </c>
      <c r="J48" s="16" t="s">
        <v>139</v>
      </c>
      <c r="K48" s="14">
        <v>0</v>
      </c>
      <c r="L48" s="16">
        <v>0</v>
      </c>
      <c r="M48" s="14">
        <v>0</v>
      </c>
      <c r="N48" s="16">
        <v>0</v>
      </c>
      <c r="O48" s="14">
        <v>0</v>
      </c>
      <c r="P48" s="16">
        <v>0</v>
      </c>
      <c r="Q48" s="14">
        <v>0</v>
      </c>
      <c r="R48" s="16">
        <v>0</v>
      </c>
    </row>
    <row r="49" spans="1:18" x14ac:dyDescent="0.25">
      <c r="A49" s="11" t="s">
        <v>182</v>
      </c>
      <c r="B49" s="17" t="s">
        <v>154</v>
      </c>
      <c r="C49" s="17" t="s">
        <v>154</v>
      </c>
      <c r="D49" s="18" t="s">
        <v>154</v>
      </c>
      <c r="E49" s="17" t="s">
        <v>154</v>
      </c>
      <c r="F49" s="18" t="s">
        <v>154</v>
      </c>
      <c r="G49" s="17" t="s">
        <v>154</v>
      </c>
      <c r="H49" s="18" t="s">
        <v>154</v>
      </c>
      <c r="I49" s="17" t="s">
        <v>154</v>
      </c>
      <c r="J49" s="18" t="s">
        <v>154</v>
      </c>
      <c r="K49" s="17" t="s">
        <v>154</v>
      </c>
      <c r="L49" s="18" t="s">
        <v>154</v>
      </c>
      <c r="M49" s="17" t="s">
        <v>154</v>
      </c>
      <c r="N49" s="18" t="s">
        <v>154</v>
      </c>
      <c r="O49" s="17" t="s">
        <v>154</v>
      </c>
      <c r="P49" s="18" t="s">
        <v>154</v>
      </c>
      <c r="Q49" s="17" t="s">
        <v>154</v>
      </c>
      <c r="R49" s="18" t="s">
        <v>154</v>
      </c>
    </row>
    <row r="50" spans="1:18" x14ac:dyDescent="0.25">
      <c r="A50" s="11" t="s">
        <v>183</v>
      </c>
      <c r="B50" s="13">
        <v>11795</v>
      </c>
      <c r="C50" s="14">
        <f>(9961/B50*100)</f>
        <v>84.451038575667653</v>
      </c>
      <c r="D50" s="15">
        <v>1834</v>
      </c>
      <c r="E50" s="14">
        <v>70.981970630000006</v>
      </c>
      <c r="F50" s="16">
        <v>1.31847103</v>
      </c>
      <c r="G50" s="14">
        <v>29.018029370000001</v>
      </c>
      <c r="H50" s="16">
        <v>1.31847103</v>
      </c>
      <c r="I50" s="14" t="s">
        <v>139</v>
      </c>
      <c r="J50" s="16" t="s">
        <v>139</v>
      </c>
      <c r="K50" s="14">
        <v>0</v>
      </c>
      <c r="L50" s="16">
        <v>0</v>
      </c>
      <c r="M50" s="14">
        <v>0</v>
      </c>
      <c r="N50" s="16">
        <v>0</v>
      </c>
      <c r="O50" s="14">
        <v>0</v>
      </c>
      <c r="P50" s="16">
        <v>0</v>
      </c>
      <c r="Q50" s="14">
        <v>0</v>
      </c>
      <c r="R50" s="16">
        <v>0</v>
      </c>
    </row>
    <row r="51" spans="1:18" x14ac:dyDescent="0.25">
      <c r="A51" s="11" t="s">
        <v>184</v>
      </c>
      <c r="B51" s="13">
        <v>6866</v>
      </c>
      <c r="C51" s="14">
        <f>(5926/B51*100)</f>
        <v>86.309350422371097</v>
      </c>
      <c r="D51" s="15">
        <v>940</v>
      </c>
      <c r="E51" s="14">
        <v>68.369217669999998</v>
      </c>
      <c r="F51" s="16">
        <v>1.85560346</v>
      </c>
      <c r="G51" s="14">
        <v>31.630782329999999</v>
      </c>
      <c r="H51" s="16">
        <v>1.85560346</v>
      </c>
      <c r="I51" s="14" t="s">
        <v>139</v>
      </c>
      <c r="J51" s="16" t="s">
        <v>139</v>
      </c>
      <c r="K51" s="14">
        <v>0</v>
      </c>
      <c r="L51" s="16">
        <v>0</v>
      </c>
      <c r="M51" s="14">
        <v>0</v>
      </c>
      <c r="N51" s="16">
        <v>0</v>
      </c>
      <c r="O51" s="14">
        <v>0</v>
      </c>
      <c r="P51" s="16">
        <v>0</v>
      </c>
      <c r="Q51" s="14">
        <v>0</v>
      </c>
      <c r="R51" s="16">
        <v>0</v>
      </c>
    </row>
    <row r="52" spans="1:18" x14ac:dyDescent="0.25">
      <c r="A52" s="11" t="s">
        <v>185</v>
      </c>
      <c r="B52" s="13">
        <v>5809</v>
      </c>
      <c r="C52" s="14">
        <f>(4863/B52*100)</f>
        <v>83.714925116198998</v>
      </c>
      <c r="D52" s="15">
        <v>946</v>
      </c>
      <c r="E52" s="14">
        <v>54.473481489999998</v>
      </c>
      <c r="F52" s="16">
        <v>1.47050908</v>
      </c>
      <c r="G52" s="14">
        <v>45.526518510000002</v>
      </c>
      <c r="H52" s="16">
        <v>1.47050908</v>
      </c>
      <c r="I52" s="14" t="s">
        <v>139</v>
      </c>
      <c r="J52" s="16" t="s">
        <v>139</v>
      </c>
      <c r="K52" s="14">
        <v>0</v>
      </c>
      <c r="L52" s="16">
        <v>0</v>
      </c>
      <c r="M52" s="14">
        <v>0</v>
      </c>
      <c r="N52" s="16">
        <v>0</v>
      </c>
      <c r="O52" s="14">
        <v>0</v>
      </c>
      <c r="P52" s="16">
        <v>0</v>
      </c>
      <c r="Q52" s="14">
        <v>0</v>
      </c>
      <c r="R52" s="16">
        <v>0</v>
      </c>
    </row>
    <row r="53" spans="1:18" x14ac:dyDescent="0.25">
      <c r="A53" s="11" t="s">
        <v>186</v>
      </c>
      <c r="B53" s="13">
        <v>5571</v>
      </c>
      <c r="C53" s="14">
        <f>(4698/B53*100)</f>
        <v>84.329563812600966</v>
      </c>
      <c r="D53" s="15">
        <v>873</v>
      </c>
      <c r="E53" s="14">
        <v>60.589896699999997</v>
      </c>
      <c r="F53" s="16">
        <v>1.72347827</v>
      </c>
      <c r="G53" s="14">
        <v>39.410103300000003</v>
      </c>
      <c r="H53" s="16">
        <v>1.72347827</v>
      </c>
      <c r="I53" s="14" t="s">
        <v>139</v>
      </c>
      <c r="J53" s="16" t="s">
        <v>139</v>
      </c>
      <c r="K53" s="14">
        <v>0</v>
      </c>
      <c r="L53" s="16">
        <v>0</v>
      </c>
      <c r="M53" s="14">
        <v>0</v>
      </c>
      <c r="N53" s="16">
        <v>0</v>
      </c>
      <c r="O53" s="14">
        <v>0</v>
      </c>
      <c r="P53" s="16">
        <v>0</v>
      </c>
      <c r="Q53" s="14">
        <v>0</v>
      </c>
      <c r="R53" s="16">
        <v>0</v>
      </c>
    </row>
    <row r="54" spans="1:18" x14ac:dyDescent="0.25">
      <c r="A54" s="11" t="s">
        <v>187</v>
      </c>
      <c r="B54" s="17" t="s">
        <v>154</v>
      </c>
      <c r="C54" s="17" t="s">
        <v>154</v>
      </c>
      <c r="D54" s="18" t="s">
        <v>154</v>
      </c>
      <c r="E54" s="17" t="s">
        <v>154</v>
      </c>
      <c r="F54" s="18" t="s">
        <v>154</v>
      </c>
      <c r="G54" s="17" t="s">
        <v>154</v>
      </c>
      <c r="H54" s="18" t="s">
        <v>154</v>
      </c>
      <c r="I54" s="17" t="s">
        <v>154</v>
      </c>
      <c r="J54" s="18" t="s">
        <v>154</v>
      </c>
      <c r="K54" s="17" t="s">
        <v>154</v>
      </c>
      <c r="L54" s="18" t="s">
        <v>154</v>
      </c>
      <c r="M54" s="17" t="s">
        <v>154</v>
      </c>
      <c r="N54" s="18" t="s">
        <v>154</v>
      </c>
      <c r="O54" s="17" t="s">
        <v>154</v>
      </c>
      <c r="P54" s="18" t="s">
        <v>154</v>
      </c>
      <c r="Q54" s="17" t="s">
        <v>154</v>
      </c>
      <c r="R54" s="18" t="s">
        <v>154</v>
      </c>
    </row>
    <row r="55" spans="1:18" x14ac:dyDescent="0.25">
      <c r="A55" s="11" t="s">
        <v>188</v>
      </c>
      <c r="B55" s="17" t="s">
        <v>154</v>
      </c>
      <c r="C55" s="17" t="s">
        <v>154</v>
      </c>
      <c r="D55" s="18" t="s">
        <v>154</v>
      </c>
      <c r="E55" s="17" t="s">
        <v>154</v>
      </c>
      <c r="F55" s="18" t="s">
        <v>154</v>
      </c>
      <c r="G55" s="17" t="s">
        <v>154</v>
      </c>
      <c r="H55" s="18" t="s">
        <v>154</v>
      </c>
      <c r="I55" s="17" t="s">
        <v>154</v>
      </c>
      <c r="J55" s="18" t="s">
        <v>154</v>
      </c>
      <c r="K55" s="17" t="s">
        <v>154</v>
      </c>
      <c r="L55" s="18" t="s">
        <v>154</v>
      </c>
      <c r="M55" s="17" t="s">
        <v>154</v>
      </c>
      <c r="N55" s="18" t="s">
        <v>154</v>
      </c>
      <c r="O55" s="17" t="s">
        <v>154</v>
      </c>
      <c r="P55" s="18" t="s">
        <v>154</v>
      </c>
      <c r="Q55" s="17" t="s">
        <v>154</v>
      </c>
      <c r="R55" s="18" t="s">
        <v>154</v>
      </c>
    </row>
    <row r="56" spans="1:18" x14ac:dyDescent="0.25">
      <c r="A56" s="11" t="s">
        <v>189</v>
      </c>
      <c r="B56" s="13">
        <v>5359</v>
      </c>
      <c r="C56" s="14">
        <f>(4458/B56*100)</f>
        <v>83.187161783914902</v>
      </c>
      <c r="D56" s="15">
        <v>901</v>
      </c>
      <c r="E56" s="14">
        <v>36.74840227</v>
      </c>
      <c r="F56" s="16">
        <v>1.9017855100000001</v>
      </c>
      <c r="G56" s="14">
        <v>63.25159773</v>
      </c>
      <c r="H56" s="16">
        <v>1.9017855100000001</v>
      </c>
      <c r="I56" s="14" t="s">
        <v>139</v>
      </c>
      <c r="J56" s="16" t="s">
        <v>139</v>
      </c>
      <c r="K56" s="14">
        <v>0</v>
      </c>
      <c r="L56" s="16">
        <v>0</v>
      </c>
      <c r="M56" s="14">
        <v>0</v>
      </c>
      <c r="N56" s="16">
        <v>0</v>
      </c>
      <c r="O56" s="14">
        <v>0</v>
      </c>
      <c r="P56" s="16">
        <v>0</v>
      </c>
      <c r="Q56" s="14">
        <v>0</v>
      </c>
      <c r="R56" s="16">
        <v>0</v>
      </c>
    </row>
    <row r="57" spans="1:18" x14ac:dyDescent="0.25">
      <c r="A57" s="11" t="s">
        <v>190</v>
      </c>
      <c r="B57" s="17" t="s">
        <v>154</v>
      </c>
      <c r="C57" s="17" t="s">
        <v>154</v>
      </c>
      <c r="D57" s="18" t="s">
        <v>154</v>
      </c>
      <c r="E57" s="17" t="s">
        <v>154</v>
      </c>
      <c r="F57" s="18" t="s">
        <v>154</v>
      </c>
      <c r="G57" s="17" t="s">
        <v>154</v>
      </c>
      <c r="H57" s="18" t="s">
        <v>154</v>
      </c>
      <c r="I57" s="17" t="s">
        <v>154</v>
      </c>
      <c r="J57" s="18" t="s">
        <v>154</v>
      </c>
      <c r="K57" s="17" t="s">
        <v>154</v>
      </c>
      <c r="L57" s="18" t="s">
        <v>154</v>
      </c>
      <c r="M57" s="17" t="s">
        <v>154</v>
      </c>
      <c r="N57" s="18" t="s">
        <v>154</v>
      </c>
      <c r="O57" s="17" t="s">
        <v>154</v>
      </c>
      <c r="P57" s="18" t="s">
        <v>154</v>
      </c>
      <c r="Q57" s="17" t="s">
        <v>154</v>
      </c>
      <c r="R57" s="18" t="s">
        <v>154</v>
      </c>
    </row>
    <row r="58" spans="1:18" x14ac:dyDescent="0.25">
      <c r="A58" s="11" t="s">
        <v>191</v>
      </c>
      <c r="B58" s="17" t="s">
        <v>154</v>
      </c>
      <c r="C58" s="17" t="s">
        <v>154</v>
      </c>
      <c r="D58" s="18" t="s">
        <v>154</v>
      </c>
      <c r="E58" s="17" t="s">
        <v>154</v>
      </c>
      <c r="F58" s="18" t="s">
        <v>154</v>
      </c>
      <c r="G58" s="17" t="s">
        <v>154</v>
      </c>
      <c r="H58" s="18" t="s">
        <v>154</v>
      </c>
      <c r="I58" s="17" t="s">
        <v>154</v>
      </c>
      <c r="J58" s="18" t="s">
        <v>154</v>
      </c>
      <c r="K58" s="17" t="s">
        <v>154</v>
      </c>
      <c r="L58" s="18" t="s">
        <v>154</v>
      </c>
      <c r="M58" s="17" t="s">
        <v>154</v>
      </c>
      <c r="N58" s="18" t="s">
        <v>154</v>
      </c>
      <c r="O58" s="17" t="s">
        <v>154</v>
      </c>
      <c r="P58" s="18" t="s">
        <v>154</v>
      </c>
      <c r="Q58" s="17" t="s">
        <v>154</v>
      </c>
      <c r="R58" s="18" t="s">
        <v>154</v>
      </c>
    </row>
    <row r="59" spans="1:18" x14ac:dyDescent="0.25">
      <c r="A59" s="11" t="s">
        <v>192</v>
      </c>
      <c r="B59" s="17" t="s">
        <v>154</v>
      </c>
      <c r="C59" s="17" t="s">
        <v>154</v>
      </c>
      <c r="D59" s="18" t="s">
        <v>154</v>
      </c>
      <c r="E59" s="17" t="s">
        <v>154</v>
      </c>
      <c r="F59" s="18" t="s">
        <v>154</v>
      </c>
      <c r="G59" s="17" t="s">
        <v>154</v>
      </c>
      <c r="H59" s="18" t="s">
        <v>154</v>
      </c>
      <c r="I59" s="17" t="s">
        <v>154</v>
      </c>
      <c r="J59" s="18" t="s">
        <v>154</v>
      </c>
      <c r="K59" s="17" t="s">
        <v>154</v>
      </c>
      <c r="L59" s="18" t="s">
        <v>154</v>
      </c>
      <c r="M59" s="17" t="s">
        <v>154</v>
      </c>
      <c r="N59" s="18" t="s">
        <v>154</v>
      </c>
      <c r="O59" s="17" t="s">
        <v>154</v>
      </c>
      <c r="P59" s="18" t="s">
        <v>154</v>
      </c>
      <c r="Q59" s="17" t="s">
        <v>154</v>
      </c>
      <c r="R59" s="18" t="s">
        <v>154</v>
      </c>
    </row>
    <row r="60" spans="1:18" x14ac:dyDescent="0.25">
      <c r="A60" s="11" t="s">
        <v>193</v>
      </c>
      <c r="B60" s="17" t="s">
        <v>154</v>
      </c>
      <c r="C60" s="17" t="s">
        <v>154</v>
      </c>
      <c r="D60" s="18" t="s">
        <v>154</v>
      </c>
      <c r="E60" s="17" t="s">
        <v>154</v>
      </c>
      <c r="F60" s="18" t="s">
        <v>154</v>
      </c>
      <c r="G60" s="17" t="s">
        <v>154</v>
      </c>
      <c r="H60" s="18" t="s">
        <v>154</v>
      </c>
      <c r="I60" s="17" t="s">
        <v>154</v>
      </c>
      <c r="J60" s="18" t="s">
        <v>154</v>
      </c>
      <c r="K60" s="17" t="s">
        <v>154</v>
      </c>
      <c r="L60" s="18" t="s">
        <v>154</v>
      </c>
      <c r="M60" s="17" t="s">
        <v>154</v>
      </c>
      <c r="N60" s="18" t="s">
        <v>154</v>
      </c>
      <c r="O60" s="17" t="s">
        <v>154</v>
      </c>
      <c r="P60" s="18" t="s">
        <v>154</v>
      </c>
      <c r="Q60" s="17" t="s">
        <v>154</v>
      </c>
      <c r="R60" s="18" t="s">
        <v>154</v>
      </c>
    </row>
    <row r="61" spans="1:18" x14ac:dyDescent="0.25">
      <c r="A61" s="11" t="s">
        <v>194</v>
      </c>
      <c r="B61" s="13">
        <v>6525</v>
      </c>
      <c r="C61" s="14">
        <f>(5466/B61*100)</f>
        <v>83.770114942528735</v>
      </c>
      <c r="D61" s="15">
        <v>1059</v>
      </c>
      <c r="E61" s="14">
        <v>56.420039469999999</v>
      </c>
      <c r="F61" s="16">
        <v>1.9121535300000001</v>
      </c>
      <c r="G61" s="14">
        <v>43.579960530000001</v>
      </c>
      <c r="H61" s="16">
        <v>1.9121535300000001</v>
      </c>
      <c r="I61" s="14" t="s">
        <v>139</v>
      </c>
      <c r="J61" s="16" t="s">
        <v>139</v>
      </c>
      <c r="K61" s="14">
        <v>0</v>
      </c>
      <c r="L61" s="16">
        <v>0</v>
      </c>
      <c r="M61" s="14">
        <v>0</v>
      </c>
      <c r="N61" s="16">
        <v>0</v>
      </c>
      <c r="O61" s="14">
        <v>0</v>
      </c>
      <c r="P61" s="16">
        <v>0</v>
      </c>
      <c r="Q61" s="14">
        <v>0</v>
      </c>
      <c r="R61" s="16">
        <v>0</v>
      </c>
    </row>
    <row r="62" spans="1:18" x14ac:dyDescent="0.25">
      <c r="A62" s="11" t="s">
        <v>195</v>
      </c>
      <c r="B62" s="13">
        <v>4476</v>
      </c>
      <c r="C62" s="14">
        <f>(3728/B62*100)</f>
        <v>83.288650580875782</v>
      </c>
      <c r="D62" s="15">
        <v>748</v>
      </c>
      <c r="E62" s="14">
        <v>41.873943799999999</v>
      </c>
      <c r="F62" s="16">
        <v>1.6011295800000001</v>
      </c>
      <c r="G62" s="14">
        <v>58.126056200000001</v>
      </c>
      <c r="H62" s="16">
        <v>1.6011295800000001</v>
      </c>
      <c r="I62" s="14" t="s">
        <v>139</v>
      </c>
      <c r="J62" s="16" t="s">
        <v>139</v>
      </c>
      <c r="K62" s="14">
        <v>0</v>
      </c>
      <c r="L62" s="16">
        <v>0</v>
      </c>
      <c r="M62" s="14">
        <v>0</v>
      </c>
      <c r="N62" s="16">
        <v>0</v>
      </c>
      <c r="O62" s="14">
        <v>0</v>
      </c>
      <c r="P62" s="16">
        <v>0</v>
      </c>
      <c r="Q62" s="14">
        <v>0</v>
      </c>
      <c r="R62" s="16">
        <v>0</v>
      </c>
    </row>
    <row r="63" spans="1:18" x14ac:dyDescent="0.25">
      <c r="A63" s="11" t="s">
        <v>196</v>
      </c>
      <c r="B63" s="17" t="s">
        <v>154</v>
      </c>
      <c r="C63" s="17" t="s">
        <v>154</v>
      </c>
      <c r="D63" s="18" t="s">
        <v>154</v>
      </c>
      <c r="E63" s="17" t="s">
        <v>154</v>
      </c>
      <c r="F63" s="18" t="s">
        <v>154</v>
      </c>
      <c r="G63" s="17" t="s">
        <v>154</v>
      </c>
      <c r="H63" s="18" t="s">
        <v>154</v>
      </c>
      <c r="I63" s="17" t="s">
        <v>154</v>
      </c>
      <c r="J63" s="18" t="s">
        <v>154</v>
      </c>
      <c r="K63" s="17" t="s">
        <v>154</v>
      </c>
      <c r="L63" s="18" t="s">
        <v>154</v>
      </c>
      <c r="M63" s="17" t="s">
        <v>154</v>
      </c>
      <c r="N63" s="18" t="s">
        <v>154</v>
      </c>
      <c r="O63" s="17" t="s">
        <v>154</v>
      </c>
      <c r="P63" s="18" t="s">
        <v>154</v>
      </c>
      <c r="Q63" s="17" t="s">
        <v>154</v>
      </c>
      <c r="R63" s="18" t="s">
        <v>154</v>
      </c>
    </row>
    <row r="64" spans="1:18" x14ac:dyDescent="0.25">
      <c r="A64" s="11" t="s">
        <v>197</v>
      </c>
      <c r="B64" s="17" t="s">
        <v>154</v>
      </c>
      <c r="C64" s="17" t="s">
        <v>154</v>
      </c>
      <c r="D64" s="18" t="s">
        <v>154</v>
      </c>
      <c r="E64" s="17" t="s">
        <v>154</v>
      </c>
      <c r="F64" s="18" t="s">
        <v>154</v>
      </c>
      <c r="G64" s="17" t="s">
        <v>154</v>
      </c>
      <c r="H64" s="18" t="s">
        <v>154</v>
      </c>
      <c r="I64" s="17" t="s">
        <v>154</v>
      </c>
      <c r="J64" s="18" t="s">
        <v>154</v>
      </c>
      <c r="K64" s="17" t="s">
        <v>154</v>
      </c>
      <c r="L64" s="18" t="s">
        <v>154</v>
      </c>
      <c r="M64" s="17" t="s">
        <v>154</v>
      </c>
      <c r="N64" s="18" t="s">
        <v>154</v>
      </c>
      <c r="O64" s="17" t="s">
        <v>154</v>
      </c>
      <c r="P64" s="18" t="s">
        <v>154</v>
      </c>
      <c r="Q64" s="17" t="s">
        <v>154</v>
      </c>
      <c r="R64" s="18" t="s">
        <v>154</v>
      </c>
    </row>
    <row r="65" spans="1:18" x14ac:dyDescent="0.25">
      <c r="A65" s="11" t="s">
        <v>198</v>
      </c>
      <c r="B65" s="17" t="s">
        <v>154</v>
      </c>
      <c r="C65" s="17" t="s">
        <v>154</v>
      </c>
      <c r="D65" s="18" t="s">
        <v>154</v>
      </c>
      <c r="E65" s="17" t="s">
        <v>154</v>
      </c>
      <c r="F65" s="18" t="s">
        <v>154</v>
      </c>
      <c r="G65" s="17" t="s">
        <v>154</v>
      </c>
      <c r="H65" s="18" t="s">
        <v>154</v>
      </c>
      <c r="I65" s="17" t="s">
        <v>154</v>
      </c>
      <c r="J65" s="18" t="s">
        <v>154</v>
      </c>
      <c r="K65" s="17" t="s">
        <v>154</v>
      </c>
      <c r="L65" s="18" t="s">
        <v>154</v>
      </c>
      <c r="M65" s="17" t="s">
        <v>154</v>
      </c>
      <c r="N65" s="18" t="s">
        <v>154</v>
      </c>
      <c r="O65" s="17" t="s">
        <v>154</v>
      </c>
      <c r="P65" s="18" t="s">
        <v>154</v>
      </c>
      <c r="Q65" s="17" t="s">
        <v>154</v>
      </c>
      <c r="R65" s="18" t="s">
        <v>154</v>
      </c>
    </row>
    <row r="66" spans="1:18" x14ac:dyDescent="0.25">
      <c r="A66" s="11" t="s">
        <v>199</v>
      </c>
      <c r="B66" s="13">
        <v>5665</v>
      </c>
      <c r="C66" s="14">
        <f>(4780/B66*100)</f>
        <v>84.377758164165925</v>
      </c>
      <c r="D66" s="15">
        <v>885</v>
      </c>
      <c r="E66" s="14">
        <v>67.246535969999996</v>
      </c>
      <c r="F66" s="16">
        <v>1.7021774999999999</v>
      </c>
      <c r="G66" s="14">
        <v>32.753464030000004</v>
      </c>
      <c r="H66" s="16">
        <v>1.7021774999999999</v>
      </c>
      <c r="I66" s="14" t="s">
        <v>139</v>
      </c>
      <c r="J66" s="16" t="s">
        <v>139</v>
      </c>
      <c r="K66" s="14">
        <v>0</v>
      </c>
      <c r="L66" s="16">
        <v>0</v>
      </c>
      <c r="M66" s="14">
        <v>0</v>
      </c>
      <c r="N66" s="16">
        <v>0</v>
      </c>
      <c r="O66" s="14">
        <v>0</v>
      </c>
      <c r="P66" s="16">
        <v>0</v>
      </c>
      <c r="Q66" s="14">
        <v>0</v>
      </c>
      <c r="R66" s="16">
        <v>0</v>
      </c>
    </row>
    <row r="67" spans="1:18" x14ac:dyDescent="0.25">
      <c r="A67" s="11" t="s">
        <v>200</v>
      </c>
      <c r="B67" s="13">
        <v>6971</v>
      </c>
      <c r="C67" s="14">
        <f>(6035/B67*100)</f>
        <v>86.572945058097844</v>
      </c>
      <c r="D67" s="15">
        <v>936</v>
      </c>
      <c r="E67" s="14">
        <v>69.849000759999996</v>
      </c>
      <c r="F67" s="16">
        <v>1.64918323</v>
      </c>
      <c r="G67" s="14">
        <v>30.150999240000001</v>
      </c>
      <c r="H67" s="16">
        <v>1.64918323</v>
      </c>
      <c r="I67" s="14" t="s">
        <v>139</v>
      </c>
      <c r="J67" s="16" t="s">
        <v>139</v>
      </c>
      <c r="K67" s="14">
        <v>0</v>
      </c>
      <c r="L67" s="16">
        <v>0</v>
      </c>
      <c r="M67" s="14">
        <v>0</v>
      </c>
      <c r="N67" s="16">
        <v>0</v>
      </c>
      <c r="O67" s="14">
        <v>0</v>
      </c>
      <c r="P67" s="16">
        <v>0</v>
      </c>
      <c r="Q67" s="14">
        <v>0</v>
      </c>
      <c r="R67" s="16">
        <v>0</v>
      </c>
    </row>
    <row r="68" spans="1:18" x14ac:dyDescent="0.25">
      <c r="A68" s="11" t="s">
        <v>201</v>
      </c>
      <c r="B68" s="17" t="s">
        <v>154</v>
      </c>
      <c r="C68" s="17" t="s">
        <v>154</v>
      </c>
      <c r="D68" s="18" t="s">
        <v>154</v>
      </c>
      <c r="E68" s="17" t="s">
        <v>154</v>
      </c>
      <c r="F68" s="18" t="s">
        <v>154</v>
      </c>
      <c r="G68" s="17" t="s">
        <v>154</v>
      </c>
      <c r="H68" s="18" t="s">
        <v>154</v>
      </c>
      <c r="I68" s="17" t="s">
        <v>154</v>
      </c>
      <c r="J68" s="18" t="s">
        <v>154</v>
      </c>
      <c r="K68" s="17" t="s">
        <v>154</v>
      </c>
      <c r="L68" s="18" t="s">
        <v>154</v>
      </c>
      <c r="M68" s="17" t="s">
        <v>154</v>
      </c>
      <c r="N68" s="18" t="s">
        <v>154</v>
      </c>
      <c r="O68" s="17" t="s">
        <v>154</v>
      </c>
      <c r="P68" s="18" t="s">
        <v>154</v>
      </c>
      <c r="Q68" s="17" t="s">
        <v>154</v>
      </c>
      <c r="R68" s="18" t="s">
        <v>154</v>
      </c>
    </row>
    <row r="69" spans="1:18" x14ac:dyDescent="0.25">
      <c r="A69" s="11" t="s">
        <v>202</v>
      </c>
      <c r="B69" s="17" t="s">
        <v>154</v>
      </c>
      <c r="C69" s="17" t="s">
        <v>154</v>
      </c>
      <c r="D69" s="18" t="s">
        <v>154</v>
      </c>
      <c r="E69" s="17" t="s">
        <v>154</v>
      </c>
      <c r="F69" s="18" t="s">
        <v>154</v>
      </c>
      <c r="G69" s="17" t="s">
        <v>154</v>
      </c>
      <c r="H69" s="18" t="s">
        <v>154</v>
      </c>
      <c r="I69" s="17" t="s">
        <v>154</v>
      </c>
      <c r="J69" s="18" t="s">
        <v>154</v>
      </c>
      <c r="K69" s="17" t="s">
        <v>154</v>
      </c>
      <c r="L69" s="18" t="s">
        <v>154</v>
      </c>
      <c r="M69" s="17" t="s">
        <v>154</v>
      </c>
      <c r="N69" s="18" t="s">
        <v>154</v>
      </c>
      <c r="O69" s="17" t="s">
        <v>154</v>
      </c>
      <c r="P69" s="18" t="s">
        <v>154</v>
      </c>
      <c r="Q69" s="17" t="s">
        <v>154</v>
      </c>
      <c r="R69" s="18" t="s">
        <v>154</v>
      </c>
    </row>
    <row r="70" spans="1:18" x14ac:dyDescent="0.25">
      <c r="A70" s="11" t="s">
        <v>203</v>
      </c>
      <c r="B70" s="13">
        <v>6036</v>
      </c>
      <c r="C70" s="14">
        <f>(5064/B70*100)</f>
        <v>83.896620278330019</v>
      </c>
      <c r="D70" s="15">
        <v>972</v>
      </c>
      <c r="E70" s="14">
        <v>60.803393270000001</v>
      </c>
      <c r="F70" s="16">
        <v>2.17846517</v>
      </c>
      <c r="G70" s="14">
        <v>39.196606729999999</v>
      </c>
      <c r="H70" s="16">
        <v>2.17846517</v>
      </c>
      <c r="I70" s="14" t="s">
        <v>139</v>
      </c>
      <c r="J70" s="16" t="s">
        <v>139</v>
      </c>
      <c r="K70" s="14">
        <v>0</v>
      </c>
      <c r="L70" s="16">
        <v>0</v>
      </c>
      <c r="M70" s="14">
        <v>0</v>
      </c>
      <c r="N70" s="16">
        <v>0</v>
      </c>
      <c r="O70" s="14">
        <v>0</v>
      </c>
      <c r="P70" s="16">
        <v>0</v>
      </c>
      <c r="Q70" s="14">
        <v>0</v>
      </c>
      <c r="R70" s="16">
        <v>0</v>
      </c>
    </row>
    <row r="71" spans="1:18" x14ac:dyDescent="0.25">
      <c r="A71" s="11" t="s">
        <v>204</v>
      </c>
      <c r="B71" s="17" t="s">
        <v>154</v>
      </c>
      <c r="C71" s="17" t="s">
        <v>154</v>
      </c>
      <c r="D71" s="18" t="s">
        <v>154</v>
      </c>
      <c r="E71" s="17" t="s">
        <v>154</v>
      </c>
      <c r="F71" s="18" t="s">
        <v>154</v>
      </c>
      <c r="G71" s="17" t="s">
        <v>154</v>
      </c>
      <c r="H71" s="18" t="s">
        <v>154</v>
      </c>
      <c r="I71" s="17" t="s">
        <v>154</v>
      </c>
      <c r="J71" s="18" t="s">
        <v>154</v>
      </c>
      <c r="K71" s="17" t="s">
        <v>154</v>
      </c>
      <c r="L71" s="18" t="s">
        <v>154</v>
      </c>
      <c r="M71" s="17" t="s">
        <v>154</v>
      </c>
      <c r="N71" s="18" t="s">
        <v>154</v>
      </c>
      <c r="O71" s="17" t="s">
        <v>154</v>
      </c>
      <c r="P71" s="18" t="s">
        <v>154</v>
      </c>
      <c r="Q71" s="17" t="s">
        <v>154</v>
      </c>
      <c r="R71" s="18" t="s">
        <v>154</v>
      </c>
    </row>
    <row r="72" spans="1:18" x14ac:dyDescent="0.25">
      <c r="A72" s="11" t="s">
        <v>205</v>
      </c>
      <c r="B72" s="13">
        <v>7708</v>
      </c>
      <c r="C72" s="14">
        <f>(6371/B72*100)</f>
        <v>82.654385054488841</v>
      </c>
      <c r="D72" s="15">
        <v>1337</v>
      </c>
      <c r="E72" s="14">
        <v>37.104741930000003</v>
      </c>
      <c r="F72" s="16">
        <v>1.60720898</v>
      </c>
      <c r="G72" s="14">
        <v>62.895258069999997</v>
      </c>
      <c r="H72" s="16">
        <v>1.60720898</v>
      </c>
      <c r="I72" s="14" t="s">
        <v>139</v>
      </c>
      <c r="J72" s="16" t="s">
        <v>139</v>
      </c>
      <c r="K72" s="14">
        <v>0</v>
      </c>
      <c r="L72" s="16">
        <v>0</v>
      </c>
      <c r="M72" s="14">
        <v>0</v>
      </c>
      <c r="N72" s="16">
        <v>0</v>
      </c>
      <c r="O72" s="14">
        <v>0</v>
      </c>
      <c r="P72" s="16">
        <v>0</v>
      </c>
      <c r="Q72" s="14">
        <v>0</v>
      </c>
      <c r="R72" s="16">
        <v>0</v>
      </c>
    </row>
    <row r="73" spans="1:18" x14ac:dyDescent="0.25">
      <c r="A73" s="11" t="s">
        <v>206</v>
      </c>
      <c r="B73" s="13">
        <v>8249</v>
      </c>
      <c r="C73" s="14">
        <f>(7002/B73*100)</f>
        <v>84.883016123166442</v>
      </c>
      <c r="D73" s="15">
        <v>1247</v>
      </c>
      <c r="E73" s="14">
        <v>54.931802249999997</v>
      </c>
      <c r="F73" s="16">
        <v>1.9369943000000001</v>
      </c>
      <c r="G73" s="14">
        <v>45.068197750000003</v>
      </c>
      <c r="H73" s="16">
        <v>1.9369943000000001</v>
      </c>
      <c r="I73" s="14" t="s">
        <v>139</v>
      </c>
      <c r="J73" s="16" t="s">
        <v>139</v>
      </c>
      <c r="K73" s="14">
        <v>0</v>
      </c>
      <c r="L73" s="16">
        <v>0</v>
      </c>
      <c r="M73" s="14">
        <v>0</v>
      </c>
      <c r="N73" s="16">
        <v>0</v>
      </c>
      <c r="O73" s="14">
        <v>0</v>
      </c>
      <c r="P73" s="16">
        <v>0</v>
      </c>
      <c r="Q73" s="14">
        <v>0</v>
      </c>
      <c r="R73" s="16">
        <v>0</v>
      </c>
    </row>
    <row r="74" spans="1:18" x14ac:dyDescent="0.25">
      <c r="A74" s="11" t="s">
        <v>207</v>
      </c>
      <c r="B74" s="17" t="s">
        <v>154</v>
      </c>
      <c r="C74" s="17" t="s">
        <v>154</v>
      </c>
      <c r="D74" s="18" t="s">
        <v>154</v>
      </c>
      <c r="E74" s="17" t="s">
        <v>154</v>
      </c>
      <c r="F74" s="18" t="s">
        <v>154</v>
      </c>
      <c r="G74" s="17" t="s">
        <v>154</v>
      </c>
      <c r="H74" s="18" t="s">
        <v>154</v>
      </c>
      <c r="I74" s="17" t="s">
        <v>154</v>
      </c>
      <c r="J74" s="18" t="s">
        <v>154</v>
      </c>
      <c r="K74" s="17" t="s">
        <v>154</v>
      </c>
      <c r="L74" s="18" t="s">
        <v>154</v>
      </c>
      <c r="M74" s="17" t="s">
        <v>154</v>
      </c>
      <c r="N74" s="18" t="s">
        <v>154</v>
      </c>
      <c r="O74" s="17" t="s">
        <v>154</v>
      </c>
      <c r="P74" s="18" t="s">
        <v>154</v>
      </c>
      <c r="Q74" s="17" t="s">
        <v>154</v>
      </c>
      <c r="R74" s="18" t="s">
        <v>154</v>
      </c>
    </row>
    <row r="75" spans="1:18" x14ac:dyDescent="0.25">
      <c r="A75" s="11" t="s">
        <v>208</v>
      </c>
      <c r="B75" s="13">
        <v>5375</v>
      </c>
      <c r="C75" s="14">
        <f>(4601/B75*100)</f>
        <v>85.6</v>
      </c>
      <c r="D75" s="15">
        <v>774</v>
      </c>
      <c r="E75" s="14">
        <v>73.414866529999998</v>
      </c>
      <c r="F75" s="16">
        <v>1.59031134</v>
      </c>
      <c r="G75" s="14">
        <v>26.585133469999999</v>
      </c>
      <c r="H75" s="16">
        <v>1.59031134</v>
      </c>
      <c r="I75" s="14" t="s">
        <v>139</v>
      </c>
      <c r="J75" s="16" t="s">
        <v>139</v>
      </c>
      <c r="K75" s="14">
        <v>0</v>
      </c>
      <c r="L75" s="16">
        <v>0</v>
      </c>
      <c r="M75" s="14">
        <v>0</v>
      </c>
      <c r="N75" s="16">
        <v>0</v>
      </c>
      <c r="O75" s="14">
        <v>0</v>
      </c>
      <c r="P75" s="16">
        <v>0</v>
      </c>
      <c r="Q75" s="14">
        <v>0</v>
      </c>
      <c r="R75" s="16">
        <v>0</v>
      </c>
    </row>
    <row r="76" spans="1:18" x14ac:dyDescent="0.25">
      <c r="A76" s="11" t="s">
        <v>209</v>
      </c>
      <c r="B76" s="13">
        <v>14167</v>
      </c>
      <c r="C76" s="14">
        <f>(11797/B76*100)</f>
        <v>83.270981859250369</v>
      </c>
      <c r="D76" s="15">
        <v>2370</v>
      </c>
      <c r="E76" s="14">
        <v>64.311889559999997</v>
      </c>
      <c r="F76" s="16">
        <v>1.4014849300000001</v>
      </c>
      <c r="G76" s="14">
        <v>35.688110440000003</v>
      </c>
      <c r="H76" s="16">
        <v>1.4014849300000001</v>
      </c>
      <c r="I76" s="14" t="s">
        <v>139</v>
      </c>
      <c r="J76" s="16" t="s">
        <v>139</v>
      </c>
      <c r="K76" s="14">
        <v>0</v>
      </c>
      <c r="L76" s="16">
        <v>0</v>
      </c>
      <c r="M76" s="14">
        <v>0</v>
      </c>
      <c r="N76" s="16">
        <v>0</v>
      </c>
      <c r="O76" s="14">
        <v>0</v>
      </c>
      <c r="P76" s="16">
        <v>0</v>
      </c>
      <c r="Q76" s="14">
        <v>0</v>
      </c>
      <c r="R76" s="16">
        <v>0</v>
      </c>
    </row>
    <row r="77" spans="1:18" x14ac:dyDescent="0.25">
      <c r="A77" s="11" t="s">
        <v>210</v>
      </c>
      <c r="B77" s="13">
        <v>6062</v>
      </c>
      <c r="C77" s="14">
        <f>(5164/B77*100)</f>
        <v>85.186407126360947</v>
      </c>
      <c r="D77" s="15">
        <v>898</v>
      </c>
      <c r="E77" s="14">
        <v>67.741284789999995</v>
      </c>
      <c r="F77" s="16">
        <v>1.4781570399999999</v>
      </c>
      <c r="G77" s="14">
        <v>32.258715209999998</v>
      </c>
      <c r="H77" s="16">
        <v>1.4781570399999999</v>
      </c>
      <c r="I77" s="14" t="s">
        <v>139</v>
      </c>
      <c r="J77" s="16" t="s">
        <v>139</v>
      </c>
      <c r="K77" s="14">
        <v>0</v>
      </c>
      <c r="L77" s="16">
        <v>0</v>
      </c>
      <c r="M77" s="14">
        <v>0</v>
      </c>
      <c r="N77" s="16">
        <v>0</v>
      </c>
      <c r="O77" s="14">
        <v>0</v>
      </c>
      <c r="P77" s="16">
        <v>0</v>
      </c>
      <c r="Q77" s="14">
        <v>0</v>
      </c>
      <c r="R77" s="16">
        <v>0</v>
      </c>
    </row>
    <row r="78" spans="1:18" x14ac:dyDescent="0.25">
      <c r="A78" s="11" t="s">
        <v>211</v>
      </c>
      <c r="B78" s="17" t="s">
        <v>154</v>
      </c>
      <c r="C78" s="17" t="s">
        <v>154</v>
      </c>
      <c r="D78" s="18" t="s">
        <v>154</v>
      </c>
      <c r="E78" s="17" t="s">
        <v>154</v>
      </c>
      <c r="F78" s="18" t="s">
        <v>154</v>
      </c>
      <c r="G78" s="17" t="s">
        <v>154</v>
      </c>
      <c r="H78" s="18" t="s">
        <v>154</v>
      </c>
      <c r="I78" s="17" t="s">
        <v>154</v>
      </c>
      <c r="J78" s="18" t="s">
        <v>154</v>
      </c>
      <c r="K78" s="17" t="s">
        <v>154</v>
      </c>
      <c r="L78" s="18" t="s">
        <v>154</v>
      </c>
      <c r="M78" s="17" t="s">
        <v>154</v>
      </c>
      <c r="N78" s="18" t="s">
        <v>154</v>
      </c>
      <c r="O78" s="17" t="s">
        <v>154</v>
      </c>
      <c r="P78" s="18" t="s">
        <v>154</v>
      </c>
      <c r="Q78" s="17" t="s">
        <v>154</v>
      </c>
      <c r="R78" s="18" t="s">
        <v>154</v>
      </c>
    </row>
    <row r="79" spans="1:18" ht="24.95" customHeight="1" x14ac:dyDescent="0.25">
      <c r="A79" s="11" t="s">
        <v>212</v>
      </c>
      <c r="B79" s="17" t="s">
        <v>154</v>
      </c>
      <c r="C79" s="17" t="s">
        <v>154</v>
      </c>
      <c r="D79" s="18" t="s">
        <v>154</v>
      </c>
      <c r="E79" s="17" t="s">
        <v>154</v>
      </c>
      <c r="F79" s="18" t="s">
        <v>154</v>
      </c>
      <c r="G79" s="17" t="s">
        <v>154</v>
      </c>
      <c r="H79" s="18" t="s">
        <v>154</v>
      </c>
      <c r="I79" s="17" t="s">
        <v>154</v>
      </c>
      <c r="J79" s="18" t="s">
        <v>154</v>
      </c>
      <c r="K79" s="17" t="s">
        <v>154</v>
      </c>
      <c r="L79" s="18" t="s">
        <v>154</v>
      </c>
      <c r="M79" s="17" t="s">
        <v>154</v>
      </c>
      <c r="N79" s="18" t="s">
        <v>154</v>
      </c>
      <c r="O79" s="17" t="s">
        <v>154</v>
      </c>
      <c r="P79" s="18" t="s">
        <v>154</v>
      </c>
      <c r="Q79" s="17" t="s">
        <v>154</v>
      </c>
      <c r="R79" s="18" t="s">
        <v>154</v>
      </c>
    </row>
    <row r="80" spans="1:18" x14ac:dyDescent="0.25">
      <c r="A80" s="11" t="s">
        <v>213</v>
      </c>
      <c r="B80" s="17" t="s">
        <v>154</v>
      </c>
      <c r="C80" s="17" t="s">
        <v>154</v>
      </c>
      <c r="D80" s="18" t="s">
        <v>154</v>
      </c>
      <c r="E80" s="17" t="s">
        <v>154</v>
      </c>
      <c r="F80" s="18" t="s">
        <v>154</v>
      </c>
      <c r="G80" s="17" t="s">
        <v>154</v>
      </c>
      <c r="H80" s="18" t="s">
        <v>154</v>
      </c>
      <c r="I80" s="17" t="s">
        <v>154</v>
      </c>
      <c r="J80" s="18" t="s">
        <v>154</v>
      </c>
      <c r="K80" s="17" t="s">
        <v>154</v>
      </c>
      <c r="L80" s="18" t="s">
        <v>154</v>
      </c>
      <c r="M80" s="17" t="s">
        <v>154</v>
      </c>
      <c r="N80" s="18" t="s">
        <v>154</v>
      </c>
      <c r="O80" s="17" t="s">
        <v>154</v>
      </c>
      <c r="P80" s="18" t="s">
        <v>154</v>
      </c>
      <c r="Q80" s="17" t="s">
        <v>154</v>
      </c>
      <c r="R80" s="18" t="s">
        <v>154</v>
      </c>
    </row>
    <row r="81" spans="1:18" x14ac:dyDescent="0.25">
      <c r="A81" s="19" t="s">
        <v>214</v>
      </c>
      <c r="B81" s="13">
        <v>8861</v>
      </c>
      <c r="C81" s="14">
        <f>(7377/B81*100)</f>
        <v>83.252454576232921</v>
      </c>
      <c r="D81" s="15">
        <v>1484</v>
      </c>
      <c r="E81" s="14">
        <v>57.285810939999998</v>
      </c>
      <c r="F81" s="16">
        <v>1.6630444099999999</v>
      </c>
      <c r="G81" s="14">
        <v>42.714189060000002</v>
      </c>
      <c r="H81" s="16">
        <v>1.6630444099999999</v>
      </c>
      <c r="I81" s="14" t="s">
        <v>139</v>
      </c>
      <c r="J81" s="16" t="s">
        <v>139</v>
      </c>
      <c r="K81" s="14">
        <v>0</v>
      </c>
      <c r="L81" s="16">
        <v>0</v>
      </c>
      <c r="M81" s="14">
        <v>0</v>
      </c>
      <c r="N81" s="16">
        <v>0</v>
      </c>
      <c r="O81" s="14">
        <v>0</v>
      </c>
      <c r="P81" s="16">
        <v>0</v>
      </c>
      <c r="Q81" s="14">
        <v>0</v>
      </c>
      <c r="R81" s="16">
        <v>0</v>
      </c>
    </row>
    <row r="82" spans="1:18" x14ac:dyDescent="0.25">
      <c r="A82" s="20"/>
      <c r="B82" s="20" t="s">
        <v>215</v>
      </c>
      <c r="C82" s="20" t="s">
        <v>215</v>
      </c>
      <c r="D82" s="20" t="s">
        <v>215</v>
      </c>
      <c r="E82" s="20" t="s">
        <v>215</v>
      </c>
      <c r="F82" s="20" t="s">
        <v>215</v>
      </c>
      <c r="G82" s="20" t="s">
        <v>215</v>
      </c>
      <c r="H82" s="20" t="s">
        <v>215</v>
      </c>
      <c r="I82" s="20" t="s">
        <v>215</v>
      </c>
      <c r="J82" s="20" t="s">
        <v>215</v>
      </c>
      <c r="K82" s="20" t="s">
        <v>215</v>
      </c>
      <c r="L82" s="20" t="s">
        <v>215</v>
      </c>
      <c r="M82" s="20" t="s">
        <v>215</v>
      </c>
      <c r="N82" s="20" t="s">
        <v>215</v>
      </c>
      <c r="O82" s="20" t="s">
        <v>215</v>
      </c>
      <c r="P82" s="20" t="s">
        <v>215</v>
      </c>
      <c r="Q82" s="20" t="s">
        <v>215</v>
      </c>
      <c r="R82" s="20" t="s">
        <v>215</v>
      </c>
    </row>
    <row r="83" spans="1:18" x14ac:dyDescent="0.25">
      <c r="A83" s="3" t="s">
        <v>216</v>
      </c>
    </row>
    <row r="84" spans="1:18" x14ac:dyDescent="0.25">
      <c r="A84" s="22" t="s">
        <v>217</v>
      </c>
      <c r="B84" s="23"/>
      <c r="C84" s="23"/>
      <c r="D84" s="23"/>
      <c r="E84" s="23"/>
      <c r="F84" s="23"/>
      <c r="G84" s="23"/>
      <c r="H84" s="23"/>
      <c r="I84" s="23"/>
      <c r="J84" s="23"/>
      <c r="K84" s="23"/>
      <c r="L84" s="23"/>
      <c r="M84" s="23"/>
      <c r="N84" s="23"/>
      <c r="O84" s="23"/>
      <c r="P84" s="23"/>
      <c r="Q84" s="23"/>
      <c r="R84" s="23"/>
    </row>
    <row r="85" spans="1:18" x14ac:dyDescent="0.25">
      <c r="A85" s="22" t="s">
        <v>218</v>
      </c>
      <c r="B85" s="23"/>
      <c r="C85" s="23"/>
      <c r="D85" s="23"/>
      <c r="E85" s="23"/>
      <c r="F85" s="23"/>
      <c r="G85" s="23"/>
      <c r="H85" s="23"/>
      <c r="I85" s="23"/>
      <c r="J85" s="23"/>
      <c r="K85" s="23"/>
      <c r="L85" s="23"/>
      <c r="M85" s="23"/>
      <c r="N85" s="23"/>
      <c r="O85" s="23"/>
      <c r="P85" s="23"/>
      <c r="Q85" s="23"/>
      <c r="R85" s="23"/>
    </row>
    <row r="86" spans="1:18" ht="30" customHeight="1" x14ac:dyDescent="0.25">
      <c r="A86" s="22" t="s">
        <v>219</v>
      </c>
      <c r="B86" s="23"/>
      <c r="C86" s="23"/>
      <c r="D86" s="23"/>
      <c r="E86" s="23"/>
      <c r="F86" s="23"/>
      <c r="G86" s="23"/>
      <c r="H86" s="23"/>
      <c r="I86" s="23"/>
      <c r="J86" s="23"/>
      <c r="K86" s="23"/>
      <c r="L86" s="23"/>
      <c r="M86" s="23"/>
      <c r="N86" s="23"/>
      <c r="O86" s="23"/>
      <c r="P86" s="23"/>
      <c r="Q86" s="23"/>
      <c r="R86" s="23"/>
    </row>
    <row r="87" spans="1:18" ht="30" customHeight="1" x14ac:dyDescent="0.25">
      <c r="A87" s="22" t="s">
        <v>215</v>
      </c>
      <c r="B87" s="23"/>
      <c r="C87" s="23"/>
      <c r="D87" s="23"/>
      <c r="E87" s="23"/>
      <c r="F87" s="23"/>
      <c r="G87" s="23"/>
      <c r="H87" s="23"/>
      <c r="I87" s="23"/>
      <c r="J87" s="23"/>
      <c r="K87" s="23"/>
      <c r="L87" s="23"/>
      <c r="M87" s="23"/>
      <c r="N87" s="23"/>
      <c r="O87" s="23"/>
      <c r="P87" s="23"/>
      <c r="Q87" s="23"/>
      <c r="R87" s="23"/>
    </row>
    <row r="88" spans="1:18" ht="30" customHeight="1" x14ac:dyDescent="0.25">
      <c r="A88" s="22" t="s">
        <v>220</v>
      </c>
      <c r="B88" s="23"/>
      <c r="C88" s="23"/>
      <c r="D88" s="23"/>
      <c r="E88" s="23"/>
      <c r="F88" s="23"/>
      <c r="G88" s="23"/>
      <c r="H88" s="23"/>
      <c r="I88" s="23"/>
      <c r="J88" s="23"/>
      <c r="K88" s="23"/>
      <c r="L88" s="23"/>
      <c r="M88" s="23"/>
      <c r="N88" s="23"/>
      <c r="O88" s="23"/>
      <c r="P88" s="23"/>
      <c r="Q88" s="23"/>
      <c r="R88" s="23"/>
    </row>
    <row r="89" spans="1:18" ht="30" customHeight="1" x14ac:dyDescent="0.25">
      <c r="A89" s="22" t="s">
        <v>221</v>
      </c>
      <c r="B89" s="23"/>
      <c r="C89" s="23"/>
      <c r="D89" s="23"/>
      <c r="E89" s="23"/>
      <c r="F89" s="23"/>
      <c r="G89" s="23"/>
      <c r="H89" s="23"/>
      <c r="I89" s="23"/>
      <c r="J89" s="23"/>
      <c r="K89" s="23"/>
      <c r="L89" s="23"/>
      <c r="M89" s="23"/>
      <c r="N89" s="23"/>
      <c r="O89" s="23"/>
      <c r="P89" s="23"/>
      <c r="Q89" s="23"/>
      <c r="R89" s="23"/>
    </row>
    <row r="90" spans="1:18" ht="30" customHeight="1" x14ac:dyDescent="0.25">
      <c r="A90" s="22" t="s">
        <v>222</v>
      </c>
      <c r="B90" s="23"/>
      <c r="C90" s="23"/>
      <c r="D90" s="23"/>
      <c r="E90" s="23"/>
      <c r="F90" s="23"/>
      <c r="G90" s="23"/>
      <c r="H90" s="23"/>
      <c r="I90" s="23"/>
      <c r="J90" s="23"/>
      <c r="K90" s="23"/>
      <c r="L90" s="23"/>
      <c r="M90" s="23"/>
      <c r="N90" s="23"/>
      <c r="O90" s="23"/>
      <c r="P90" s="23"/>
      <c r="Q90" s="23"/>
      <c r="R90" s="23"/>
    </row>
    <row r="91" spans="1:18" ht="30" customHeight="1" x14ac:dyDescent="0.25">
      <c r="A91" s="22" t="s">
        <v>223</v>
      </c>
      <c r="B91" s="23"/>
      <c r="C91" s="23"/>
      <c r="D91" s="23"/>
      <c r="E91" s="23"/>
      <c r="F91" s="23"/>
      <c r="G91" s="23"/>
      <c r="H91" s="23"/>
      <c r="I91" s="23"/>
      <c r="J91" s="23"/>
      <c r="K91" s="23"/>
      <c r="L91" s="23"/>
      <c r="M91" s="23"/>
      <c r="N91" s="23"/>
      <c r="O91" s="23"/>
      <c r="P91" s="23"/>
      <c r="Q91" s="23"/>
      <c r="R91" s="23"/>
    </row>
    <row r="92" spans="1:18" ht="30" customHeight="1" x14ac:dyDescent="0.25">
      <c r="A92" s="22" t="s">
        <v>224</v>
      </c>
      <c r="B92" s="23"/>
      <c r="C92" s="23"/>
      <c r="D92" s="23"/>
      <c r="E92" s="23"/>
      <c r="F92" s="23"/>
      <c r="G92" s="23"/>
      <c r="H92" s="23"/>
      <c r="I92" s="23"/>
      <c r="J92" s="23"/>
      <c r="K92" s="23"/>
      <c r="L92" s="23"/>
      <c r="M92" s="23"/>
      <c r="N92" s="23"/>
      <c r="O92" s="23"/>
      <c r="P92" s="23"/>
      <c r="Q92" s="23"/>
      <c r="R92" s="23"/>
    </row>
    <row r="93" spans="1:18" ht="30" customHeight="1" x14ac:dyDescent="0.25">
      <c r="A93" s="22" t="s">
        <v>225</v>
      </c>
      <c r="B93" s="23"/>
      <c r="C93" s="23"/>
      <c r="D93" s="23"/>
      <c r="E93" s="23"/>
      <c r="F93" s="23"/>
      <c r="G93" s="23"/>
      <c r="H93" s="23"/>
      <c r="I93" s="23"/>
      <c r="J93" s="23"/>
      <c r="K93" s="23"/>
      <c r="L93" s="23"/>
      <c r="M93" s="23"/>
      <c r="N93" s="23"/>
      <c r="O93" s="23"/>
      <c r="P93" s="23"/>
      <c r="Q93" s="23"/>
      <c r="R93" s="23"/>
    </row>
    <row r="94" spans="1:18" ht="30" customHeight="1" x14ac:dyDescent="0.25">
      <c r="A94" s="22" t="s">
        <v>226</v>
      </c>
      <c r="B94" s="23"/>
      <c r="C94" s="23"/>
      <c r="D94" s="23"/>
      <c r="E94" s="23"/>
      <c r="F94" s="23"/>
      <c r="G94" s="23"/>
      <c r="H94" s="23"/>
      <c r="I94" s="23"/>
      <c r="J94" s="23"/>
      <c r="K94" s="23"/>
      <c r="L94" s="23"/>
      <c r="M94" s="23"/>
      <c r="N94" s="23"/>
      <c r="O94" s="23"/>
      <c r="P94" s="23"/>
      <c r="Q94" s="23"/>
      <c r="R94" s="23"/>
    </row>
    <row r="95" spans="1:18" ht="30" customHeight="1" x14ac:dyDescent="0.25">
      <c r="A95" s="22" t="s">
        <v>227</v>
      </c>
      <c r="B95" s="23"/>
      <c r="C95" s="23"/>
      <c r="D95" s="23"/>
      <c r="E95" s="23"/>
      <c r="F95" s="23"/>
      <c r="G95" s="23"/>
      <c r="H95" s="23"/>
      <c r="I95" s="23"/>
      <c r="J95" s="23"/>
      <c r="K95" s="23"/>
      <c r="L95" s="23"/>
      <c r="M95" s="23"/>
      <c r="N95" s="23"/>
      <c r="O95" s="23"/>
      <c r="P95" s="23"/>
      <c r="Q95" s="23"/>
      <c r="R95" s="23"/>
    </row>
    <row r="96" spans="1:18" ht="30" customHeight="1" x14ac:dyDescent="0.25">
      <c r="A96" s="22" t="s">
        <v>228</v>
      </c>
      <c r="B96" s="23"/>
      <c r="C96" s="23"/>
      <c r="D96" s="23"/>
      <c r="E96" s="23"/>
      <c r="F96" s="23"/>
      <c r="G96" s="23"/>
      <c r="H96" s="23"/>
      <c r="I96" s="23"/>
      <c r="J96" s="23"/>
      <c r="K96" s="23"/>
      <c r="L96" s="23"/>
      <c r="M96" s="23"/>
      <c r="N96" s="23"/>
      <c r="O96" s="23"/>
      <c r="P96" s="23"/>
      <c r="Q96" s="23"/>
      <c r="R96" s="23"/>
    </row>
  </sheetData>
  <mergeCells count="22">
    <mergeCell ref="O4:P4"/>
    <mergeCell ref="Q4:R4"/>
    <mergeCell ref="A1:R1"/>
    <mergeCell ref="A2:R2"/>
    <mergeCell ref="A84:R84"/>
    <mergeCell ref="E4:F4"/>
    <mergeCell ref="G4:H4"/>
    <mergeCell ref="I4:J4"/>
    <mergeCell ref="K4:L4"/>
    <mergeCell ref="M4:N4"/>
    <mergeCell ref="A85:R85"/>
    <mergeCell ref="A86:R86"/>
    <mergeCell ref="A87:R87"/>
    <mergeCell ref="A88:R88"/>
    <mergeCell ref="A89:R89"/>
    <mergeCell ref="A95:R95"/>
    <mergeCell ref="A96:R96"/>
    <mergeCell ref="A90:R90"/>
    <mergeCell ref="A91:R91"/>
    <mergeCell ref="A92:R92"/>
    <mergeCell ref="A93:R93"/>
    <mergeCell ref="A94:R94"/>
  </mergeCells>
  <pageMargins left="0.75" right="0.75" top="1" bottom="1" header="0.5" footer="0.5"/>
</worksheet>
</file>

<file path=xl/worksheets/sheet1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2"/>
  <dimension ref="A1:R96"/>
  <sheetViews>
    <sheetView zoomScale="80" workbookViewId="0">
      <pane xSplit="4" topLeftCell="E1" activePane="topRight" state="frozen"/>
      <selection sqref="A1:R1"/>
      <selection pane="topRight" sqref="A1:R1"/>
    </sheetView>
  </sheetViews>
  <sheetFormatPr defaultColWidth="11.42578125" defaultRowHeight="15" x14ac:dyDescent="0.25"/>
  <cols>
    <col min="1" max="1" width="50" customWidth="1"/>
  </cols>
  <sheetData>
    <row r="1" spans="1:18" x14ac:dyDescent="0.25">
      <c r="A1" s="26" t="s">
        <v>122</v>
      </c>
      <c r="B1" s="23"/>
      <c r="C1" s="23"/>
      <c r="D1" s="23"/>
      <c r="E1" s="23"/>
      <c r="F1" s="23"/>
      <c r="G1" s="23"/>
      <c r="H1" s="23"/>
      <c r="I1" s="23"/>
      <c r="J1" s="23"/>
      <c r="K1" s="23"/>
      <c r="L1" s="23"/>
      <c r="M1" s="23"/>
      <c r="N1" s="23"/>
      <c r="O1" s="23"/>
      <c r="P1" s="23"/>
      <c r="Q1" s="23"/>
      <c r="R1" s="23"/>
    </row>
    <row r="2" spans="1:18" x14ac:dyDescent="0.25">
      <c r="A2" s="27" t="s">
        <v>348</v>
      </c>
      <c r="B2" s="23"/>
      <c r="C2" s="23"/>
      <c r="D2" s="23"/>
      <c r="E2" s="23"/>
      <c r="F2" s="23"/>
      <c r="G2" s="23"/>
      <c r="H2" s="23"/>
      <c r="I2" s="23"/>
      <c r="J2" s="23"/>
      <c r="K2" s="23"/>
      <c r="L2" s="23"/>
      <c r="M2" s="23"/>
      <c r="N2" s="23"/>
      <c r="O2" s="23"/>
      <c r="P2" s="23"/>
      <c r="Q2" s="23"/>
      <c r="R2" s="23"/>
    </row>
    <row r="4" spans="1:18" ht="30" customHeight="1" x14ac:dyDescent="0.25">
      <c r="A4" s="4"/>
      <c r="B4" s="5" t="s">
        <v>123</v>
      </c>
      <c r="C4" s="5" t="s">
        <v>124</v>
      </c>
      <c r="D4" s="6" t="s">
        <v>123</v>
      </c>
      <c r="E4" s="24" t="s">
        <v>125</v>
      </c>
      <c r="F4" s="25"/>
      <c r="G4" s="24" t="s">
        <v>126</v>
      </c>
      <c r="H4" s="25"/>
      <c r="I4" s="24" t="s">
        <v>127</v>
      </c>
      <c r="J4" s="25"/>
      <c r="K4" s="24" t="s">
        <v>128</v>
      </c>
      <c r="L4" s="25"/>
      <c r="M4" s="24" t="s">
        <v>129</v>
      </c>
      <c r="N4" s="25"/>
      <c r="O4" s="24" t="s">
        <v>130</v>
      </c>
      <c r="P4" s="25"/>
      <c r="Q4" s="24" t="s">
        <v>131</v>
      </c>
      <c r="R4" s="25"/>
    </row>
    <row r="5" spans="1:18" x14ac:dyDescent="0.25">
      <c r="A5" s="7"/>
      <c r="B5" s="8" t="s">
        <v>132</v>
      </c>
      <c r="C5" s="8" t="s">
        <v>133</v>
      </c>
      <c r="D5" s="7" t="s">
        <v>134</v>
      </c>
      <c r="E5" s="8" t="s">
        <v>135</v>
      </c>
      <c r="F5" s="7" t="s">
        <v>136</v>
      </c>
      <c r="G5" s="8" t="s">
        <v>135</v>
      </c>
      <c r="H5" s="7" t="s">
        <v>136</v>
      </c>
      <c r="I5" s="8" t="s">
        <v>135</v>
      </c>
      <c r="J5" s="7" t="s">
        <v>136</v>
      </c>
      <c r="K5" s="8" t="s">
        <v>135</v>
      </c>
      <c r="L5" s="7" t="s">
        <v>136</v>
      </c>
      <c r="M5" s="8" t="s">
        <v>135</v>
      </c>
      <c r="N5" s="7" t="s">
        <v>136</v>
      </c>
      <c r="O5" s="8" t="s">
        <v>135</v>
      </c>
      <c r="P5" s="7" t="s">
        <v>136</v>
      </c>
      <c r="Q5" s="8" t="s">
        <v>135</v>
      </c>
      <c r="R5" s="7" t="s">
        <v>136</v>
      </c>
    </row>
    <row r="6" spans="1:18" x14ac:dyDescent="0.25">
      <c r="A6" s="9" t="s">
        <v>137</v>
      </c>
      <c r="B6" s="10"/>
      <c r="C6" s="10"/>
      <c r="D6" s="11"/>
      <c r="E6" s="10"/>
      <c r="F6" s="11"/>
      <c r="G6" s="10"/>
      <c r="H6" s="11"/>
      <c r="I6" s="10"/>
      <c r="J6" s="11"/>
      <c r="K6" s="10"/>
      <c r="L6" s="11"/>
      <c r="M6" s="10"/>
      <c r="N6" s="11"/>
      <c r="O6" s="10"/>
      <c r="P6" s="11"/>
      <c r="Q6" s="10"/>
      <c r="R6" s="12"/>
    </row>
    <row r="7" spans="1:18" x14ac:dyDescent="0.25">
      <c r="A7" s="11" t="s">
        <v>138</v>
      </c>
      <c r="B7" s="13">
        <v>14530</v>
      </c>
      <c r="C7" s="14">
        <f>(12189/B7*100)</f>
        <v>83.888506538196836</v>
      </c>
      <c r="D7" s="15">
        <v>2341</v>
      </c>
      <c r="E7" s="14">
        <v>25.750134150000001</v>
      </c>
      <c r="F7" s="16">
        <v>0.99996779000000002</v>
      </c>
      <c r="G7" s="14">
        <v>74.249865850000006</v>
      </c>
      <c r="H7" s="16">
        <v>0.99996779000000002</v>
      </c>
      <c r="I7" s="14" t="s">
        <v>139</v>
      </c>
      <c r="J7" s="16" t="s">
        <v>139</v>
      </c>
      <c r="K7" s="14">
        <v>0</v>
      </c>
      <c r="L7" s="16">
        <v>0</v>
      </c>
      <c r="M7" s="14">
        <v>0</v>
      </c>
      <c r="N7" s="16">
        <v>0</v>
      </c>
      <c r="O7" s="14">
        <v>0</v>
      </c>
      <c r="P7" s="16">
        <v>0</v>
      </c>
      <c r="Q7" s="14">
        <v>0</v>
      </c>
      <c r="R7" s="16">
        <v>0</v>
      </c>
    </row>
    <row r="8" spans="1:18" x14ac:dyDescent="0.25">
      <c r="A8" s="11" t="s">
        <v>140</v>
      </c>
      <c r="B8" s="13">
        <v>7007</v>
      </c>
      <c r="C8" s="14">
        <f>(5824/B8*100)</f>
        <v>83.116883116883116</v>
      </c>
      <c r="D8" s="15">
        <v>1183</v>
      </c>
      <c r="E8" s="14">
        <v>34.96587427</v>
      </c>
      <c r="F8" s="16">
        <v>1.59354339</v>
      </c>
      <c r="G8" s="14">
        <v>65.03412573</v>
      </c>
      <c r="H8" s="16">
        <v>1.59354339</v>
      </c>
      <c r="I8" s="14" t="s">
        <v>139</v>
      </c>
      <c r="J8" s="16" t="s">
        <v>139</v>
      </c>
      <c r="K8" s="14">
        <v>0</v>
      </c>
      <c r="L8" s="16">
        <v>0</v>
      </c>
      <c r="M8" s="14">
        <v>0</v>
      </c>
      <c r="N8" s="16">
        <v>0</v>
      </c>
      <c r="O8" s="14">
        <v>0</v>
      </c>
      <c r="P8" s="16">
        <v>0</v>
      </c>
      <c r="Q8" s="14">
        <v>0</v>
      </c>
      <c r="R8" s="16">
        <v>0</v>
      </c>
    </row>
    <row r="9" spans="1:18" x14ac:dyDescent="0.25">
      <c r="A9" s="11" t="s">
        <v>141</v>
      </c>
      <c r="B9" s="13">
        <v>9651</v>
      </c>
      <c r="C9" s="14">
        <f>(8148/B9*100)</f>
        <v>84.426484302144857</v>
      </c>
      <c r="D9" s="15">
        <v>1503</v>
      </c>
      <c r="E9" s="14">
        <v>34.489535699999998</v>
      </c>
      <c r="F9" s="16">
        <v>1.3358747099999999</v>
      </c>
      <c r="G9" s="14">
        <v>65.510464299999995</v>
      </c>
      <c r="H9" s="16">
        <v>1.3358747099999999</v>
      </c>
      <c r="I9" s="14" t="s">
        <v>139</v>
      </c>
      <c r="J9" s="16" t="s">
        <v>139</v>
      </c>
      <c r="K9" s="14">
        <v>0</v>
      </c>
      <c r="L9" s="16">
        <v>0</v>
      </c>
      <c r="M9" s="14">
        <v>0</v>
      </c>
      <c r="N9" s="16">
        <v>0</v>
      </c>
      <c r="O9" s="14">
        <v>0</v>
      </c>
      <c r="P9" s="16">
        <v>0</v>
      </c>
      <c r="Q9" s="14">
        <v>0</v>
      </c>
      <c r="R9" s="16">
        <v>0</v>
      </c>
    </row>
    <row r="10" spans="1:18" x14ac:dyDescent="0.25">
      <c r="A10" s="11" t="s">
        <v>142</v>
      </c>
      <c r="B10" s="13">
        <v>20058</v>
      </c>
      <c r="C10" s="14">
        <f>(16728/B10*100)</f>
        <v>83.398145378402631</v>
      </c>
      <c r="D10" s="15">
        <v>3330</v>
      </c>
      <c r="E10" s="14">
        <v>25.259874530000001</v>
      </c>
      <c r="F10" s="16">
        <v>1.05376073</v>
      </c>
      <c r="G10" s="14">
        <v>74.740125469999995</v>
      </c>
      <c r="H10" s="16">
        <v>1.05376073</v>
      </c>
      <c r="I10" s="14" t="s">
        <v>139</v>
      </c>
      <c r="J10" s="16" t="s">
        <v>139</v>
      </c>
      <c r="K10" s="14">
        <v>0</v>
      </c>
      <c r="L10" s="16">
        <v>0</v>
      </c>
      <c r="M10" s="14">
        <v>0</v>
      </c>
      <c r="N10" s="16">
        <v>0</v>
      </c>
      <c r="O10" s="14">
        <v>0</v>
      </c>
      <c r="P10" s="16">
        <v>0</v>
      </c>
      <c r="Q10" s="14">
        <v>0</v>
      </c>
      <c r="R10" s="16">
        <v>0</v>
      </c>
    </row>
    <row r="11" spans="1:18" x14ac:dyDescent="0.25">
      <c r="A11" s="11" t="s">
        <v>143</v>
      </c>
      <c r="B11" s="13">
        <v>7053</v>
      </c>
      <c r="C11" s="14">
        <f>(5945/B11*100)</f>
        <v>84.290372890968385</v>
      </c>
      <c r="D11" s="15">
        <v>1108</v>
      </c>
      <c r="E11" s="14">
        <v>39.942621580000001</v>
      </c>
      <c r="F11" s="16">
        <v>1.69798951</v>
      </c>
      <c r="G11" s="14">
        <v>60.057378419999999</v>
      </c>
      <c r="H11" s="16">
        <v>1.69798951</v>
      </c>
      <c r="I11" s="14" t="s">
        <v>139</v>
      </c>
      <c r="J11" s="16" t="s">
        <v>139</v>
      </c>
      <c r="K11" s="14">
        <v>0</v>
      </c>
      <c r="L11" s="16">
        <v>0</v>
      </c>
      <c r="M11" s="14">
        <v>0</v>
      </c>
      <c r="N11" s="16">
        <v>0</v>
      </c>
      <c r="O11" s="14">
        <v>0</v>
      </c>
      <c r="P11" s="16">
        <v>0</v>
      </c>
      <c r="Q11" s="14">
        <v>0</v>
      </c>
      <c r="R11" s="16">
        <v>0</v>
      </c>
    </row>
    <row r="12" spans="1:18" x14ac:dyDescent="0.25">
      <c r="A12" s="11" t="s">
        <v>144</v>
      </c>
      <c r="B12" s="13">
        <v>6894</v>
      </c>
      <c r="C12" s="14">
        <f>(5773/B12*100)</f>
        <v>83.739483608935302</v>
      </c>
      <c r="D12" s="15">
        <v>1121</v>
      </c>
      <c r="E12" s="14">
        <v>35.989071199999998</v>
      </c>
      <c r="F12" s="16">
        <v>1.6357482999999999</v>
      </c>
      <c r="G12" s="14">
        <v>64.010928800000002</v>
      </c>
      <c r="H12" s="16">
        <v>1.6357482999999999</v>
      </c>
      <c r="I12" s="14" t="s">
        <v>139</v>
      </c>
      <c r="J12" s="16" t="s">
        <v>139</v>
      </c>
      <c r="K12" s="14">
        <v>0</v>
      </c>
      <c r="L12" s="16">
        <v>0</v>
      </c>
      <c r="M12" s="14">
        <v>0</v>
      </c>
      <c r="N12" s="16">
        <v>0</v>
      </c>
      <c r="O12" s="14">
        <v>0</v>
      </c>
      <c r="P12" s="16">
        <v>0</v>
      </c>
      <c r="Q12" s="14">
        <v>0</v>
      </c>
      <c r="R12" s="16">
        <v>0</v>
      </c>
    </row>
    <row r="13" spans="1:18" x14ac:dyDescent="0.25">
      <c r="A13" s="11" t="s">
        <v>145</v>
      </c>
      <c r="B13" s="13">
        <v>7161</v>
      </c>
      <c r="C13" s="14">
        <f>(6056/B13*100)</f>
        <v>84.569194246613606</v>
      </c>
      <c r="D13" s="15">
        <v>1105</v>
      </c>
      <c r="E13" s="14">
        <v>30.985891039999998</v>
      </c>
      <c r="F13" s="16">
        <v>1.78390779</v>
      </c>
      <c r="G13" s="14">
        <v>69.014108960000002</v>
      </c>
      <c r="H13" s="16">
        <v>1.78390779</v>
      </c>
      <c r="I13" s="14" t="s">
        <v>139</v>
      </c>
      <c r="J13" s="16" t="s">
        <v>139</v>
      </c>
      <c r="K13" s="14">
        <v>0</v>
      </c>
      <c r="L13" s="16">
        <v>0</v>
      </c>
      <c r="M13" s="14">
        <v>0</v>
      </c>
      <c r="N13" s="16">
        <v>0</v>
      </c>
      <c r="O13" s="14">
        <v>0</v>
      </c>
      <c r="P13" s="16">
        <v>0</v>
      </c>
      <c r="Q13" s="14">
        <v>0</v>
      </c>
      <c r="R13" s="16">
        <v>0</v>
      </c>
    </row>
    <row r="14" spans="1:18" x14ac:dyDescent="0.25">
      <c r="A14" s="11" t="s">
        <v>146</v>
      </c>
      <c r="B14" s="13">
        <v>5587</v>
      </c>
      <c r="C14" s="14">
        <f>(4649/B14*100)</f>
        <v>83.211025595131559</v>
      </c>
      <c r="D14" s="15">
        <v>938</v>
      </c>
      <c r="E14" s="14">
        <v>22.724550369999999</v>
      </c>
      <c r="F14" s="16">
        <v>1.3448242399999999</v>
      </c>
      <c r="G14" s="14">
        <v>77.275449629999997</v>
      </c>
      <c r="H14" s="16">
        <v>1.3448242399999999</v>
      </c>
      <c r="I14" s="14" t="s">
        <v>139</v>
      </c>
      <c r="J14" s="16" t="s">
        <v>139</v>
      </c>
      <c r="K14" s="14">
        <v>0</v>
      </c>
      <c r="L14" s="16">
        <v>0</v>
      </c>
      <c r="M14" s="14">
        <v>0</v>
      </c>
      <c r="N14" s="16">
        <v>0</v>
      </c>
      <c r="O14" s="14">
        <v>0</v>
      </c>
      <c r="P14" s="16">
        <v>0</v>
      </c>
      <c r="Q14" s="14">
        <v>0</v>
      </c>
      <c r="R14" s="16">
        <v>0</v>
      </c>
    </row>
    <row r="15" spans="1:18" x14ac:dyDescent="0.25">
      <c r="A15" s="11" t="s">
        <v>147</v>
      </c>
      <c r="B15" s="13">
        <v>5882</v>
      </c>
      <c r="C15" s="14">
        <f>(4896/B15*100)</f>
        <v>83.236994219653184</v>
      </c>
      <c r="D15" s="15">
        <v>986</v>
      </c>
      <c r="E15" s="14">
        <v>20.541607299999999</v>
      </c>
      <c r="F15" s="16">
        <v>1.3435693</v>
      </c>
      <c r="G15" s="14">
        <v>79.458392700000005</v>
      </c>
      <c r="H15" s="16">
        <v>1.3435693</v>
      </c>
      <c r="I15" s="14" t="s">
        <v>139</v>
      </c>
      <c r="J15" s="16" t="s">
        <v>139</v>
      </c>
      <c r="K15" s="14">
        <v>0</v>
      </c>
      <c r="L15" s="16">
        <v>0</v>
      </c>
      <c r="M15" s="14">
        <v>0</v>
      </c>
      <c r="N15" s="16">
        <v>0</v>
      </c>
      <c r="O15" s="14">
        <v>0</v>
      </c>
      <c r="P15" s="16">
        <v>0</v>
      </c>
      <c r="Q15" s="14">
        <v>0</v>
      </c>
      <c r="R15" s="16">
        <v>0</v>
      </c>
    </row>
    <row r="16" spans="1:18" x14ac:dyDescent="0.25">
      <c r="A16" s="11" t="s">
        <v>148</v>
      </c>
      <c r="B16" s="13">
        <v>6108</v>
      </c>
      <c r="C16" s="14">
        <f>(5126/B16*100)</f>
        <v>83.922724296005242</v>
      </c>
      <c r="D16" s="15">
        <v>982</v>
      </c>
      <c r="E16" s="14">
        <v>33.258224550000001</v>
      </c>
      <c r="F16" s="16">
        <v>1.4334647899999999</v>
      </c>
      <c r="G16" s="14">
        <v>66.741775450000006</v>
      </c>
      <c r="H16" s="16">
        <v>1.4334647899999999</v>
      </c>
      <c r="I16" s="14" t="s">
        <v>139</v>
      </c>
      <c r="J16" s="16" t="s">
        <v>139</v>
      </c>
      <c r="K16" s="14">
        <v>0</v>
      </c>
      <c r="L16" s="16">
        <v>0</v>
      </c>
      <c r="M16" s="14">
        <v>0</v>
      </c>
      <c r="N16" s="16">
        <v>0</v>
      </c>
      <c r="O16" s="14">
        <v>0</v>
      </c>
      <c r="P16" s="16">
        <v>0</v>
      </c>
      <c r="Q16" s="14">
        <v>0</v>
      </c>
      <c r="R16" s="16">
        <v>0</v>
      </c>
    </row>
    <row r="17" spans="1:18" x14ac:dyDescent="0.25">
      <c r="A17" s="11" t="s">
        <v>149</v>
      </c>
      <c r="B17" s="13">
        <v>6504</v>
      </c>
      <c r="C17" s="14">
        <f>(5460/B17*100)</f>
        <v>83.948339483394832</v>
      </c>
      <c r="D17" s="15">
        <v>1044</v>
      </c>
      <c r="E17" s="14">
        <v>31.874271140000001</v>
      </c>
      <c r="F17" s="16">
        <v>1.6573307799999999</v>
      </c>
      <c r="G17" s="14">
        <v>68.125728859999995</v>
      </c>
      <c r="H17" s="16">
        <v>1.6573307799999999</v>
      </c>
      <c r="I17" s="14" t="s">
        <v>139</v>
      </c>
      <c r="J17" s="16" t="s">
        <v>139</v>
      </c>
      <c r="K17" s="14">
        <v>0</v>
      </c>
      <c r="L17" s="16">
        <v>0</v>
      </c>
      <c r="M17" s="14">
        <v>0</v>
      </c>
      <c r="N17" s="16">
        <v>0</v>
      </c>
      <c r="O17" s="14">
        <v>0</v>
      </c>
      <c r="P17" s="16">
        <v>0</v>
      </c>
      <c r="Q17" s="14">
        <v>0</v>
      </c>
      <c r="R17" s="16">
        <v>0</v>
      </c>
    </row>
    <row r="18" spans="1:18" x14ac:dyDescent="0.25">
      <c r="A18" s="11" t="s">
        <v>150</v>
      </c>
      <c r="B18" s="13">
        <v>5532</v>
      </c>
      <c r="C18" s="14">
        <f>(4600/B18*100)</f>
        <v>83.152566883586417</v>
      </c>
      <c r="D18" s="15">
        <v>932</v>
      </c>
      <c r="E18" s="14">
        <v>44.561964379999999</v>
      </c>
      <c r="F18" s="16">
        <v>1.9667782599999999</v>
      </c>
      <c r="G18" s="14">
        <v>55.438035620000001</v>
      </c>
      <c r="H18" s="16">
        <v>1.9667782599999999</v>
      </c>
      <c r="I18" s="14" t="s">
        <v>139</v>
      </c>
      <c r="J18" s="16" t="s">
        <v>139</v>
      </c>
      <c r="K18" s="14">
        <v>0</v>
      </c>
      <c r="L18" s="16">
        <v>0</v>
      </c>
      <c r="M18" s="14">
        <v>0</v>
      </c>
      <c r="N18" s="16">
        <v>0</v>
      </c>
      <c r="O18" s="14">
        <v>0</v>
      </c>
      <c r="P18" s="16">
        <v>0</v>
      </c>
      <c r="Q18" s="14">
        <v>0</v>
      </c>
      <c r="R18" s="16">
        <v>0</v>
      </c>
    </row>
    <row r="19" spans="1:18" x14ac:dyDescent="0.25">
      <c r="A19" s="11" t="s">
        <v>151</v>
      </c>
      <c r="B19" s="13">
        <v>5658</v>
      </c>
      <c r="C19" s="14">
        <f>(4757/B19*100)</f>
        <v>84.075645104277129</v>
      </c>
      <c r="D19" s="15">
        <v>901</v>
      </c>
      <c r="E19" s="14">
        <v>43.270270310000001</v>
      </c>
      <c r="F19" s="16">
        <v>1.80798952</v>
      </c>
      <c r="G19" s="14">
        <v>56.729729689999999</v>
      </c>
      <c r="H19" s="16">
        <v>1.80798952</v>
      </c>
      <c r="I19" s="14" t="s">
        <v>139</v>
      </c>
      <c r="J19" s="16" t="s">
        <v>139</v>
      </c>
      <c r="K19" s="14">
        <v>0</v>
      </c>
      <c r="L19" s="16">
        <v>0</v>
      </c>
      <c r="M19" s="14">
        <v>0</v>
      </c>
      <c r="N19" s="16">
        <v>0</v>
      </c>
      <c r="O19" s="14">
        <v>0</v>
      </c>
      <c r="P19" s="16">
        <v>0</v>
      </c>
      <c r="Q19" s="14">
        <v>0</v>
      </c>
      <c r="R19" s="16">
        <v>0</v>
      </c>
    </row>
    <row r="20" spans="1:18" x14ac:dyDescent="0.25">
      <c r="A20" s="11" t="s">
        <v>152</v>
      </c>
      <c r="B20" s="13">
        <v>3371</v>
      </c>
      <c r="C20" s="14">
        <f>(2826/B20*100)</f>
        <v>83.832690596262239</v>
      </c>
      <c r="D20" s="15">
        <v>545</v>
      </c>
      <c r="E20" s="14">
        <v>35.668807880000003</v>
      </c>
      <c r="F20" s="16">
        <v>2.07564942</v>
      </c>
      <c r="G20" s="14">
        <v>64.331192119999997</v>
      </c>
      <c r="H20" s="16">
        <v>2.07564942</v>
      </c>
      <c r="I20" s="14" t="s">
        <v>139</v>
      </c>
      <c r="J20" s="16" t="s">
        <v>139</v>
      </c>
      <c r="K20" s="14">
        <v>0</v>
      </c>
      <c r="L20" s="16">
        <v>0</v>
      </c>
      <c r="M20" s="14">
        <v>0</v>
      </c>
      <c r="N20" s="16">
        <v>0</v>
      </c>
      <c r="O20" s="14">
        <v>0</v>
      </c>
      <c r="P20" s="16">
        <v>0</v>
      </c>
      <c r="Q20" s="14">
        <v>0</v>
      </c>
      <c r="R20" s="16">
        <v>0</v>
      </c>
    </row>
    <row r="21" spans="1:18" x14ac:dyDescent="0.25">
      <c r="A21" s="11" t="s">
        <v>153</v>
      </c>
      <c r="B21" s="17" t="s">
        <v>154</v>
      </c>
      <c r="C21" s="17" t="s">
        <v>154</v>
      </c>
      <c r="D21" s="18" t="s">
        <v>154</v>
      </c>
      <c r="E21" s="17" t="s">
        <v>154</v>
      </c>
      <c r="F21" s="18" t="s">
        <v>154</v>
      </c>
      <c r="G21" s="17" t="s">
        <v>154</v>
      </c>
      <c r="H21" s="18" t="s">
        <v>154</v>
      </c>
      <c r="I21" s="17" t="s">
        <v>154</v>
      </c>
      <c r="J21" s="18" t="s">
        <v>154</v>
      </c>
      <c r="K21" s="17" t="s">
        <v>154</v>
      </c>
      <c r="L21" s="18" t="s">
        <v>154</v>
      </c>
      <c r="M21" s="17" t="s">
        <v>154</v>
      </c>
      <c r="N21" s="18" t="s">
        <v>154</v>
      </c>
      <c r="O21" s="17" t="s">
        <v>154</v>
      </c>
      <c r="P21" s="18" t="s">
        <v>154</v>
      </c>
      <c r="Q21" s="17" t="s">
        <v>154</v>
      </c>
      <c r="R21" s="18" t="s">
        <v>154</v>
      </c>
    </row>
    <row r="22" spans="1:18" x14ac:dyDescent="0.25">
      <c r="A22" s="11" t="s">
        <v>155</v>
      </c>
      <c r="B22" s="13">
        <v>6598</v>
      </c>
      <c r="C22" s="14">
        <f>(5614/B22*100)</f>
        <v>85.086389815095487</v>
      </c>
      <c r="D22" s="15">
        <v>984</v>
      </c>
      <c r="E22" s="14">
        <v>37.876806739999999</v>
      </c>
      <c r="F22" s="16">
        <v>1.7937457699999999</v>
      </c>
      <c r="G22" s="14">
        <v>62.123193260000001</v>
      </c>
      <c r="H22" s="16">
        <v>1.7937457699999999</v>
      </c>
      <c r="I22" s="14" t="s">
        <v>139</v>
      </c>
      <c r="J22" s="16" t="s">
        <v>139</v>
      </c>
      <c r="K22" s="14">
        <v>0</v>
      </c>
      <c r="L22" s="16">
        <v>0</v>
      </c>
      <c r="M22" s="14">
        <v>0</v>
      </c>
      <c r="N22" s="16">
        <v>0</v>
      </c>
      <c r="O22" s="14">
        <v>0</v>
      </c>
      <c r="P22" s="16">
        <v>0</v>
      </c>
      <c r="Q22" s="14">
        <v>0</v>
      </c>
      <c r="R22" s="16">
        <v>0</v>
      </c>
    </row>
    <row r="23" spans="1:18" x14ac:dyDescent="0.25">
      <c r="A23" s="11" t="s">
        <v>156</v>
      </c>
      <c r="B23" s="13">
        <v>11583</v>
      </c>
      <c r="C23" s="14">
        <f>(9647/B23*100)</f>
        <v>83.285849952516628</v>
      </c>
      <c r="D23" s="15">
        <v>1936</v>
      </c>
      <c r="E23" s="14">
        <v>37.650483800000003</v>
      </c>
      <c r="F23" s="16">
        <v>1.6158235299999999</v>
      </c>
      <c r="G23" s="14">
        <v>62.349516199999997</v>
      </c>
      <c r="H23" s="16">
        <v>1.6158235299999999</v>
      </c>
      <c r="I23" s="14" t="s">
        <v>139</v>
      </c>
      <c r="J23" s="16" t="s">
        <v>139</v>
      </c>
      <c r="K23" s="14">
        <v>0</v>
      </c>
      <c r="L23" s="16">
        <v>0</v>
      </c>
      <c r="M23" s="14">
        <v>0</v>
      </c>
      <c r="N23" s="16">
        <v>0</v>
      </c>
      <c r="O23" s="14">
        <v>0</v>
      </c>
      <c r="P23" s="16">
        <v>0</v>
      </c>
      <c r="Q23" s="14">
        <v>0</v>
      </c>
      <c r="R23" s="16">
        <v>0</v>
      </c>
    </row>
    <row r="24" spans="1:18" x14ac:dyDescent="0.25">
      <c r="A24" s="11" t="s">
        <v>157</v>
      </c>
      <c r="B24" s="13">
        <v>6647</v>
      </c>
      <c r="C24" s="14">
        <f>(5517/B24*100)</f>
        <v>82.999849556190767</v>
      </c>
      <c r="D24" s="15">
        <v>1130</v>
      </c>
      <c r="E24" s="14">
        <v>12.66363151</v>
      </c>
      <c r="F24" s="16">
        <v>0.98815383999999995</v>
      </c>
      <c r="G24" s="14">
        <v>87.336368489999998</v>
      </c>
      <c r="H24" s="16">
        <v>0.98815383999999995</v>
      </c>
      <c r="I24" s="14" t="s">
        <v>139</v>
      </c>
      <c r="J24" s="16" t="s">
        <v>139</v>
      </c>
      <c r="K24" s="14">
        <v>0</v>
      </c>
      <c r="L24" s="16">
        <v>0</v>
      </c>
      <c r="M24" s="14">
        <v>0</v>
      </c>
      <c r="N24" s="16">
        <v>0</v>
      </c>
      <c r="O24" s="14">
        <v>0</v>
      </c>
      <c r="P24" s="16">
        <v>0</v>
      </c>
      <c r="Q24" s="14">
        <v>0</v>
      </c>
      <c r="R24" s="16">
        <v>0</v>
      </c>
    </row>
    <row r="25" spans="1:18" x14ac:dyDescent="0.25">
      <c r="A25" s="11" t="s">
        <v>158</v>
      </c>
      <c r="B25" s="13">
        <v>5581</v>
      </c>
      <c r="C25" s="14">
        <f>(4615/B25*100)</f>
        <v>82.691273965239205</v>
      </c>
      <c r="D25" s="15">
        <v>966</v>
      </c>
      <c r="E25" s="14">
        <v>23.30664616</v>
      </c>
      <c r="F25" s="16">
        <v>1.3291410699999999</v>
      </c>
      <c r="G25" s="14">
        <v>76.69335384</v>
      </c>
      <c r="H25" s="16">
        <v>1.3291410699999999</v>
      </c>
      <c r="I25" s="14" t="s">
        <v>139</v>
      </c>
      <c r="J25" s="16" t="s">
        <v>139</v>
      </c>
      <c r="K25" s="14">
        <v>0</v>
      </c>
      <c r="L25" s="16">
        <v>0</v>
      </c>
      <c r="M25" s="14">
        <v>0</v>
      </c>
      <c r="N25" s="16">
        <v>0</v>
      </c>
      <c r="O25" s="14">
        <v>0</v>
      </c>
      <c r="P25" s="16">
        <v>0</v>
      </c>
      <c r="Q25" s="14">
        <v>0</v>
      </c>
      <c r="R25" s="16">
        <v>0</v>
      </c>
    </row>
    <row r="26" spans="1:18" x14ac:dyDescent="0.25">
      <c r="A26" s="11" t="s">
        <v>159</v>
      </c>
      <c r="B26" s="13">
        <v>4869</v>
      </c>
      <c r="C26" s="14">
        <f>(4049/B26*100)</f>
        <v>83.15875949887041</v>
      </c>
      <c r="D26" s="15">
        <v>820</v>
      </c>
      <c r="E26" s="14">
        <v>37.856867540000003</v>
      </c>
      <c r="F26" s="16">
        <v>1.7250623899999999</v>
      </c>
      <c r="G26" s="14">
        <v>62.143132459999997</v>
      </c>
      <c r="H26" s="16">
        <v>1.7250623899999999</v>
      </c>
      <c r="I26" s="14" t="s">
        <v>139</v>
      </c>
      <c r="J26" s="16" t="s">
        <v>139</v>
      </c>
      <c r="K26" s="14">
        <v>0</v>
      </c>
      <c r="L26" s="16">
        <v>0</v>
      </c>
      <c r="M26" s="14">
        <v>0</v>
      </c>
      <c r="N26" s="16">
        <v>0</v>
      </c>
      <c r="O26" s="14">
        <v>0</v>
      </c>
      <c r="P26" s="16">
        <v>0</v>
      </c>
      <c r="Q26" s="14">
        <v>0</v>
      </c>
      <c r="R26" s="16">
        <v>0</v>
      </c>
    </row>
    <row r="27" spans="1:18" x14ac:dyDescent="0.25">
      <c r="A27" s="11" t="s">
        <v>160</v>
      </c>
      <c r="B27" s="13">
        <v>5299</v>
      </c>
      <c r="C27" s="14">
        <f>(4454/B27*100)</f>
        <v>84.053595017927904</v>
      </c>
      <c r="D27" s="15">
        <v>845</v>
      </c>
      <c r="E27" s="14">
        <v>37.565595600000002</v>
      </c>
      <c r="F27" s="16">
        <v>1.62054729</v>
      </c>
      <c r="G27" s="14">
        <v>62.434404399999998</v>
      </c>
      <c r="H27" s="16">
        <v>1.62054729</v>
      </c>
      <c r="I27" s="14" t="s">
        <v>139</v>
      </c>
      <c r="J27" s="16" t="s">
        <v>139</v>
      </c>
      <c r="K27" s="14">
        <v>0</v>
      </c>
      <c r="L27" s="16">
        <v>0</v>
      </c>
      <c r="M27" s="14">
        <v>0</v>
      </c>
      <c r="N27" s="16">
        <v>0</v>
      </c>
      <c r="O27" s="14">
        <v>0</v>
      </c>
      <c r="P27" s="16">
        <v>0</v>
      </c>
      <c r="Q27" s="14">
        <v>0</v>
      </c>
      <c r="R27" s="16">
        <v>0</v>
      </c>
    </row>
    <row r="28" spans="1:18" x14ac:dyDescent="0.25">
      <c r="A28" s="11" t="s">
        <v>161</v>
      </c>
      <c r="B28" s="13">
        <v>7568</v>
      </c>
      <c r="C28" s="14">
        <f>(6449/B28*100)</f>
        <v>85.214059196617328</v>
      </c>
      <c r="D28" s="15">
        <v>1119</v>
      </c>
      <c r="E28" s="14">
        <v>42.898844629999999</v>
      </c>
      <c r="F28" s="16">
        <v>1.75459816</v>
      </c>
      <c r="G28" s="14">
        <v>57.101155370000001</v>
      </c>
      <c r="H28" s="16">
        <v>1.75459816</v>
      </c>
      <c r="I28" s="14" t="s">
        <v>139</v>
      </c>
      <c r="J28" s="16" t="s">
        <v>139</v>
      </c>
      <c r="K28" s="14">
        <v>0</v>
      </c>
      <c r="L28" s="16">
        <v>0</v>
      </c>
      <c r="M28" s="14">
        <v>0</v>
      </c>
      <c r="N28" s="16">
        <v>0</v>
      </c>
      <c r="O28" s="14">
        <v>0</v>
      </c>
      <c r="P28" s="16">
        <v>0</v>
      </c>
      <c r="Q28" s="14">
        <v>0</v>
      </c>
      <c r="R28" s="16">
        <v>0</v>
      </c>
    </row>
    <row r="29" spans="1:18" x14ac:dyDescent="0.25">
      <c r="A29" s="11" t="s">
        <v>162</v>
      </c>
      <c r="B29" s="13">
        <v>5385</v>
      </c>
      <c r="C29" s="14">
        <f>(4501/B29*100)</f>
        <v>83.584029712163428</v>
      </c>
      <c r="D29" s="15">
        <v>884</v>
      </c>
      <c r="E29" s="14">
        <v>28.615395840000001</v>
      </c>
      <c r="F29" s="16">
        <v>1.7265165499999999</v>
      </c>
      <c r="G29" s="14">
        <v>71.384604159999995</v>
      </c>
      <c r="H29" s="16">
        <v>1.7265165499999999</v>
      </c>
      <c r="I29" s="14" t="s">
        <v>139</v>
      </c>
      <c r="J29" s="16" t="s">
        <v>139</v>
      </c>
      <c r="K29" s="14">
        <v>0</v>
      </c>
      <c r="L29" s="16">
        <v>0</v>
      </c>
      <c r="M29" s="14">
        <v>0</v>
      </c>
      <c r="N29" s="16">
        <v>0</v>
      </c>
      <c r="O29" s="14">
        <v>0</v>
      </c>
      <c r="P29" s="16">
        <v>0</v>
      </c>
      <c r="Q29" s="14">
        <v>0</v>
      </c>
      <c r="R29" s="16">
        <v>0</v>
      </c>
    </row>
    <row r="30" spans="1:18" x14ac:dyDescent="0.25">
      <c r="A30" s="11" t="s">
        <v>163</v>
      </c>
      <c r="B30" s="13">
        <v>4520</v>
      </c>
      <c r="C30" s="14">
        <f>(3837/B30*100)</f>
        <v>84.88938053097344</v>
      </c>
      <c r="D30" s="15">
        <v>683</v>
      </c>
      <c r="E30" s="14">
        <v>25.702873010000001</v>
      </c>
      <c r="F30" s="16">
        <v>1.6347102899999999</v>
      </c>
      <c r="G30" s="14">
        <v>74.297126989999995</v>
      </c>
      <c r="H30" s="16">
        <v>1.6347102899999999</v>
      </c>
      <c r="I30" s="14" t="s">
        <v>139</v>
      </c>
      <c r="J30" s="16" t="s">
        <v>139</v>
      </c>
      <c r="K30" s="14">
        <v>0</v>
      </c>
      <c r="L30" s="16">
        <v>0</v>
      </c>
      <c r="M30" s="14">
        <v>0</v>
      </c>
      <c r="N30" s="16">
        <v>0</v>
      </c>
      <c r="O30" s="14">
        <v>0</v>
      </c>
      <c r="P30" s="16">
        <v>0</v>
      </c>
      <c r="Q30" s="14">
        <v>0</v>
      </c>
      <c r="R30" s="16">
        <v>0</v>
      </c>
    </row>
    <row r="31" spans="1:18" x14ac:dyDescent="0.25">
      <c r="A31" s="11" t="s">
        <v>164</v>
      </c>
      <c r="B31" s="13">
        <v>5456</v>
      </c>
      <c r="C31" s="14">
        <f>(4572/B31*100)</f>
        <v>83.797653958944281</v>
      </c>
      <c r="D31" s="15">
        <v>884</v>
      </c>
      <c r="E31" s="14">
        <v>35.658104629999997</v>
      </c>
      <c r="F31" s="16">
        <v>1.6476657800000001</v>
      </c>
      <c r="G31" s="14">
        <v>64.341895370000003</v>
      </c>
      <c r="H31" s="16">
        <v>1.6476657800000001</v>
      </c>
      <c r="I31" s="14" t="s">
        <v>139</v>
      </c>
      <c r="J31" s="16" t="s">
        <v>139</v>
      </c>
      <c r="K31" s="14">
        <v>0</v>
      </c>
      <c r="L31" s="16">
        <v>0</v>
      </c>
      <c r="M31" s="14">
        <v>0</v>
      </c>
      <c r="N31" s="16">
        <v>0</v>
      </c>
      <c r="O31" s="14">
        <v>0</v>
      </c>
      <c r="P31" s="16">
        <v>0</v>
      </c>
      <c r="Q31" s="14">
        <v>0</v>
      </c>
      <c r="R31" s="16">
        <v>0</v>
      </c>
    </row>
    <row r="32" spans="1:18" x14ac:dyDescent="0.25">
      <c r="A32" s="11" t="s">
        <v>165</v>
      </c>
      <c r="B32" s="17" t="s">
        <v>154</v>
      </c>
      <c r="C32" s="17" t="s">
        <v>154</v>
      </c>
      <c r="D32" s="18" t="s">
        <v>154</v>
      </c>
      <c r="E32" s="17" t="s">
        <v>154</v>
      </c>
      <c r="F32" s="18" t="s">
        <v>154</v>
      </c>
      <c r="G32" s="17" t="s">
        <v>154</v>
      </c>
      <c r="H32" s="18" t="s">
        <v>154</v>
      </c>
      <c r="I32" s="17" t="s">
        <v>154</v>
      </c>
      <c r="J32" s="18" t="s">
        <v>154</v>
      </c>
      <c r="K32" s="17" t="s">
        <v>154</v>
      </c>
      <c r="L32" s="18" t="s">
        <v>154</v>
      </c>
      <c r="M32" s="17" t="s">
        <v>154</v>
      </c>
      <c r="N32" s="18" t="s">
        <v>154</v>
      </c>
      <c r="O32" s="17" t="s">
        <v>154</v>
      </c>
      <c r="P32" s="18" t="s">
        <v>154</v>
      </c>
      <c r="Q32" s="17" t="s">
        <v>154</v>
      </c>
      <c r="R32" s="18" t="s">
        <v>154</v>
      </c>
    </row>
    <row r="33" spans="1:18" x14ac:dyDescent="0.25">
      <c r="A33" s="11" t="s">
        <v>166</v>
      </c>
      <c r="B33" s="13">
        <v>7325</v>
      </c>
      <c r="C33" s="14">
        <f>(6167/B33*100)</f>
        <v>84.191126279863482</v>
      </c>
      <c r="D33" s="15">
        <v>1158</v>
      </c>
      <c r="E33" s="14">
        <v>34.481585760000002</v>
      </c>
      <c r="F33" s="16">
        <v>1.6591680900000001</v>
      </c>
      <c r="G33" s="14">
        <v>65.518414239999998</v>
      </c>
      <c r="H33" s="16">
        <v>1.6591680900000001</v>
      </c>
      <c r="I33" s="14" t="s">
        <v>139</v>
      </c>
      <c r="J33" s="16" t="s">
        <v>139</v>
      </c>
      <c r="K33" s="14">
        <v>0</v>
      </c>
      <c r="L33" s="16">
        <v>0</v>
      </c>
      <c r="M33" s="14">
        <v>0</v>
      </c>
      <c r="N33" s="16">
        <v>0</v>
      </c>
      <c r="O33" s="14">
        <v>0</v>
      </c>
      <c r="P33" s="16">
        <v>0</v>
      </c>
      <c r="Q33" s="14">
        <v>0</v>
      </c>
      <c r="R33" s="16">
        <v>0</v>
      </c>
    </row>
    <row r="34" spans="1:18" x14ac:dyDescent="0.25">
      <c r="A34" s="11" t="s">
        <v>167</v>
      </c>
      <c r="B34" s="13">
        <v>6350</v>
      </c>
      <c r="C34" s="14">
        <f>(5369/B34*100)</f>
        <v>84.551181102362207</v>
      </c>
      <c r="D34" s="15">
        <v>981</v>
      </c>
      <c r="E34" s="14">
        <v>38.379962829999997</v>
      </c>
      <c r="F34" s="16">
        <v>1.76855023</v>
      </c>
      <c r="G34" s="14">
        <v>61.620037170000003</v>
      </c>
      <c r="H34" s="16">
        <v>1.76855023</v>
      </c>
      <c r="I34" s="14" t="s">
        <v>139</v>
      </c>
      <c r="J34" s="16" t="s">
        <v>139</v>
      </c>
      <c r="K34" s="14">
        <v>0</v>
      </c>
      <c r="L34" s="16">
        <v>0</v>
      </c>
      <c r="M34" s="14">
        <v>0</v>
      </c>
      <c r="N34" s="16">
        <v>0</v>
      </c>
      <c r="O34" s="14">
        <v>0</v>
      </c>
      <c r="P34" s="16">
        <v>0</v>
      </c>
      <c r="Q34" s="14">
        <v>0</v>
      </c>
      <c r="R34" s="16">
        <v>0</v>
      </c>
    </row>
    <row r="35" spans="1:18" x14ac:dyDescent="0.25">
      <c r="A35" s="11" t="s">
        <v>168</v>
      </c>
      <c r="B35" s="13">
        <v>6406</v>
      </c>
      <c r="C35" s="14">
        <f>(5366/B35*100)</f>
        <v>83.76522010615048</v>
      </c>
      <c r="D35" s="15">
        <v>1040</v>
      </c>
      <c r="E35" s="14">
        <v>36.823750369999999</v>
      </c>
      <c r="F35" s="16">
        <v>1.7607474000000001</v>
      </c>
      <c r="G35" s="14">
        <v>63.176249630000001</v>
      </c>
      <c r="H35" s="16">
        <v>1.7607474000000001</v>
      </c>
      <c r="I35" s="14" t="s">
        <v>139</v>
      </c>
      <c r="J35" s="16" t="s">
        <v>139</v>
      </c>
      <c r="K35" s="14">
        <v>0</v>
      </c>
      <c r="L35" s="16">
        <v>0</v>
      </c>
      <c r="M35" s="14">
        <v>0</v>
      </c>
      <c r="N35" s="16">
        <v>0</v>
      </c>
      <c r="O35" s="14">
        <v>0</v>
      </c>
      <c r="P35" s="16">
        <v>0</v>
      </c>
      <c r="Q35" s="14">
        <v>0</v>
      </c>
      <c r="R35" s="16">
        <v>0</v>
      </c>
    </row>
    <row r="36" spans="1:18" x14ac:dyDescent="0.25">
      <c r="A36" s="11" t="s">
        <v>169</v>
      </c>
      <c r="B36" s="13">
        <v>6736</v>
      </c>
      <c r="C36" s="14">
        <f>(5664/B36*100)</f>
        <v>84.085510688836109</v>
      </c>
      <c r="D36" s="15">
        <v>1072</v>
      </c>
      <c r="E36" s="14">
        <v>36.284254939999997</v>
      </c>
      <c r="F36" s="16">
        <v>1.64743876</v>
      </c>
      <c r="G36" s="14">
        <v>63.715745060000003</v>
      </c>
      <c r="H36" s="16">
        <v>1.64743876</v>
      </c>
      <c r="I36" s="14" t="s">
        <v>139</v>
      </c>
      <c r="J36" s="16" t="s">
        <v>139</v>
      </c>
      <c r="K36" s="14">
        <v>0</v>
      </c>
      <c r="L36" s="16">
        <v>0</v>
      </c>
      <c r="M36" s="14">
        <v>0</v>
      </c>
      <c r="N36" s="16">
        <v>0</v>
      </c>
      <c r="O36" s="14">
        <v>0</v>
      </c>
      <c r="P36" s="16">
        <v>0</v>
      </c>
      <c r="Q36" s="14">
        <v>0</v>
      </c>
      <c r="R36" s="16">
        <v>0</v>
      </c>
    </row>
    <row r="37" spans="1:18" x14ac:dyDescent="0.25">
      <c r="A37" s="11" t="s">
        <v>170</v>
      </c>
      <c r="B37" s="13">
        <v>5458</v>
      </c>
      <c r="C37" s="14">
        <f>(4613/B37*100)</f>
        <v>84.518138512275556</v>
      </c>
      <c r="D37" s="15">
        <v>845</v>
      </c>
      <c r="E37" s="14">
        <v>29.587726310000001</v>
      </c>
      <c r="F37" s="16">
        <v>1.70163726</v>
      </c>
      <c r="G37" s="14">
        <v>70.412273690000006</v>
      </c>
      <c r="H37" s="16">
        <v>1.70163726</v>
      </c>
      <c r="I37" s="14" t="s">
        <v>139</v>
      </c>
      <c r="J37" s="16" t="s">
        <v>139</v>
      </c>
      <c r="K37" s="14">
        <v>0</v>
      </c>
      <c r="L37" s="16">
        <v>0</v>
      </c>
      <c r="M37" s="14">
        <v>0</v>
      </c>
      <c r="N37" s="16">
        <v>0</v>
      </c>
      <c r="O37" s="14">
        <v>0</v>
      </c>
      <c r="P37" s="16">
        <v>0</v>
      </c>
      <c r="Q37" s="14">
        <v>0</v>
      </c>
      <c r="R37" s="16">
        <v>0</v>
      </c>
    </row>
    <row r="38" spans="1:18" x14ac:dyDescent="0.25">
      <c r="A38" s="11" t="s">
        <v>171</v>
      </c>
      <c r="B38" s="17" t="s">
        <v>154</v>
      </c>
      <c r="C38" s="17" t="s">
        <v>154</v>
      </c>
      <c r="D38" s="18" t="s">
        <v>154</v>
      </c>
      <c r="E38" s="17" t="s">
        <v>154</v>
      </c>
      <c r="F38" s="18" t="s">
        <v>154</v>
      </c>
      <c r="G38" s="17" t="s">
        <v>154</v>
      </c>
      <c r="H38" s="18" t="s">
        <v>154</v>
      </c>
      <c r="I38" s="17" t="s">
        <v>154</v>
      </c>
      <c r="J38" s="18" t="s">
        <v>154</v>
      </c>
      <c r="K38" s="17" t="s">
        <v>154</v>
      </c>
      <c r="L38" s="18" t="s">
        <v>154</v>
      </c>
      <c r="M38" s="17" t="s">
        <v>154</v>
      </c>
      <c r="N38" s="18" t="s">
        <v>154</v>
      </c>
      <c r="O38" s="17" t="s">
        <v>154</v>
      </c>
      <c r="P38" s="18" t="s">
        <v>154</v>
      </c>
      <c r="Q38" s="17" t="s">
        <v>154</v>
      </c>
      <c r="R38" s="18" t="s">
        <v>154</v>
      </c>
    </row>
    <row r="39" spans="1:18" x14ac:dyDescent="0.25">
      <c r="A39" s="11" t="s">
        <v>172</v>
      </c>
      <c r="B39" s="13">
        <v>5895</v>
      </c>
      <c r="C39" s="14">
        <f>(4868/B39*100)</f>
        <v>82.578456318914334</v>
      </c>
      <c r="D39" s="15">
        <v>1027</v>
      </c>
      <c r="E39" s="14">
        <v>42.575674880000001</v>
      </c>
      <c r="F39" s="16">
        <v>2.0728588100000001</v>
      </c>
      <c r="G39" s="14">
        <v>57.424325119999999</v>
      </c>
      <c r="H39" s="16">
        <v>2.0728588100000001</v>
      </c>
      <c r="I39" s="14" t="s">
        <v>139</v>
      </c>
      <c r="J39" s="16" t="s">
        <v>139</v>
      </c>
      <c r="K39" s="14">
        <v>0</v>
      </c>
      <c r="L39" s="16">
        <v>0</v>
      </c>
      <c r="M39" s="14">
        <v>0</v>
      </c>
      <c r="N39" s="16">
        <v>0</v>
      </c>
      <c r="O39" s="14">
        <v>0</v>
      </c>
      <c r="P39" s="16">
        <v>0</v>
      </c>
      <c r="Q39" s="14">
        <v>0</v>
      </c>
      <c r="R39" s="16">
        <v>0</v>
      </c>
    </row>
    <row r="40" spans="1:18" x14ac:dyDescent="0.25">
      <c r="A40" s="11" t="s">
        <v>173</v>
      </c>
      <c r="B40" s="13">
        <v>14157</v>
      </c>
      <c r="C40" s="14">
        <f>(11783/B40*100)</f>
        <v>83.230910503637773</v>
      </c>
      <c r="D40" s="15">
        <v>2374</v>
      </c>
      <c r="E40" s="14">
        <v>29.043069599999999</v>
      </c>
      <c r="F40" s="16">
        <v>1.49992857</v>
      </c>
      <c r="G40" s="14">
        <v>70.956930400000005</v>
      </c>
      <c r="H40" s="16">
        <v>1.49992857</v>
      </c>
      <c r="I40" s="14" t="s">
        <v>139</v>
      </c>
      <c r="J40" s="16" t="s">
        <v>139</v>
      </c>
      <c r="K40" s="14">
        <v>0</v>
      </c>
      <c r="L40" s="16">
        <v>0</v>
      </c>
      <c r="M40" s="14">
        <v>0</v>
      </c>
      <c r="N40" s="16">
        <v>0</v>
      </c>
      <c r="O40" s="14">
        <v>0</v>
      </c>
      <c r="P40" s="16">
        <v>0</v>
      </c>
      <c r="Q40" s="14">
        <v>0</v>
      </c>
      <c r="R40" s="16">
        <v>0</v>
      </c>
    </row>
    <row r="41" spans="1:18" x14ac:dyDescent="0.25">
      <c r="A41" s="11" t="s">
        <v>174</v>
      </c>
      <c r="B41" s="13">
        <v>5712</v>
      </c>
      <c r="C41" s="14">
        <f>(4777/B41*100)</f>
        <v>83.63095238095238</v>
      </c>
      <c r="D41" s="15">
        <v>935</v>
      </c>
      <c r="E41" s="14">
        <v>33.363024269999997</v>
      </c>
      <c r="F41" s="16">
        <v>1.9299492899999999</v>
      </c>
      <c r="G41" s="14">
        <v>66.636975730000003</v>
      </c>
      <c r="H41" s="16">
        <v>1.9299492899999999</v>
      </c>
      <c r="I41" s="14" t="s">
        <v>139</v>
      </c>
      <c r="J41" s="16" t="s">
        <v>139</v>
      </c>
      <c r="K41" s="14">
        <v>0</v>
      </c>
      <c r="L41" s="16">
        <v>0</v>
      </c>
      <c r="M41" s="14">
        <v>0</v>
      </c>
      <c r="N41" s="16">
        <v>0</v>
      </c>
      <c r="O41" s="14">
        <v>0</v>
      </c>
      <c r="P41" s="16">
        <v>0</v>
      </c>
      <c r="Q41" s="14">
        <v>0</v>
      </c>
      <c r="R41" s="16">
        <v>0</v>
      </c>
    </row>
    <row r="42" spans="1:18" x14ac:dyDescent="0.25">
      <c r="A42" s="11" t="s">
        <v>175</v>
      </c>
      <c r="B42" s="13">
        <f>IF(COUNT(B7:B41) &gt; 0, AVERAGE(B7:B41), "\u2014")</f>
        <v>7266.90625</v>
      </c>
      <c r="C42" s="14">
        <f>IF(COUNT(C7:C41) &gt; 0, AVERAGE(C7:C41), "—")</f>
        <v>83.81629354243708</v>
      </c>
      <c r="D42" s="15">
        <f>IF(COUNT(D7:D41) &gt; 0, AVERAGE(D7:D41), "—")</f>
        <v>1178.1875</v>
      </c>
      <c r="E42" s="14">
        <f>IF(COUNT(E7:E41) &gt; 0, AVERAGE(E7:E41), "—")</f>
        <v>33.113031150625005</v>
      </c>
      <c r="F42" s="16">
        <f>IF(COUNT(F7:F41) &gt; 0, SQRT(SUMSQ(F7:F41)/(COUNT(F7:F41)*COUNT(F7:F41)) ), "—")</f>
        <v>0.28898707933689294</v>
      </c>
      <c r="G42" s="14">
        <f>IF(COUNT(G7:G41) &gt; 0, AVERAGE(G7:G41), "—")</f>
        <v>66.886968849375009</v>
      </c>
      <c r="H42" s="16">
        <f>IF(COUNT(H7:H41) &gt; 0, SQRT(SUMSQ(H7:H41)/(COUNT(H7:H41)*COUNT(H7:H41)) ), "—")</f>
        <v>0.28898707933689294</v>
      </c>
      <c r="I42" s="14" t="str">
        <f>IF(COUNT(I7:I41) &gt; 0, AVERAGE(I7:I41), "—")</f>
        <v>—</v>
      </c>
      <c r="J42" s="16" t="str">
        <f>IF(COUNT(J7:J41) &gt; 0, SQRT(SUMSQ(J7:J41)/(COUNT(J7:J41)*COUNT(J7:J41)) ), "—")</f>
        <v>—</v>
      </c>
      <c r="K42" s="14">
        <f>IF(COUNT(K7:K41) &gt; 0, AVERAGE(K7:K41), "—")</f>
        <v>0</v>
      </c>
      <c r="L42" s="16">
        <f>IF(COUNT(L7:L41) &gt; 0, SQRT(SUMSQ(L7:L41)/(COUNT(L7:L41)*COUNT(L7:L41)) ), "—")</f>
        <v>0</v>
      </c>
      <c r="M42" s="14">
        <f>IF(COUNT(M7:M41) &gt; 0, AVERAGE(M7:M41), "—")</f>
        <v>0</v>
      </c>
      <c r="N42" s="16">
        <f>IF(COUNT(N7:N41) &gt; 0, SQRT(SUMSQ(N7:N41)/(COUNT(N7:N41)*COUNT(N7:N41)) ), "—")</f>
        <v>0</v>
      </c>
      <c r="O42" s="14">
        <f>IF(COUNT(O7:O41) &gt; 0, AVERAGE(O7:O41), "—")</f>
        <v>0</v>
      </c>
      <c r="P42" s="16">
        <f>IF(COUNT(P7:P41) &gt; 0, SQRT(SUMSQ(P7:P41)/(COUNT(P7:P41)*COUNT(P7:P41)) ), "—")</f>
        <v>0</v>
      </c>
      <c r="Q42" s="14">
        <f>IF(COUNT(Q7:Q41) &gt; 0, AVERAGE(Q7:Q41), "—")</f>
        <v>0</v>
      </c>
      <c r="R42" s="16">
        <f>IF(COUNT(R7:R41) &gt; 0, SQRT(SUMSQ(R7:R41)/(COUNT(R7:R41)*COUNT(R7:R41)) ), "—")</f>
        <v>0</v>
      </c>
    </row>
    <row r="43" spans="1:18" x14ac:dyDescent="0.25">
      <c r="A43" s="9" t="s">
        <v>176</v>
      </c>
      <c r="B43" s="10"/>
      <c r="C43" s="10"/>
      <c r="D43" s="11"/>
      <c r="E43" s="10"/>
      <c r="F43" s="11"/>
      <c r="G43" s="10"/>
      <c r="H43" s="11"/>
      <c r="I43" s="10"/>
      <c r="J43" s="11"/>
      <c r="K43" s="10"/>
      <c r="L43" s="11"/>
      <c r="M43" s="10"/>
      <c r="N43" s="11"/>
      <c r="O43" s="10"/>
      <c r="P43" s="11"/>
      <c r="Q43" s="10"/>
      <c r="R43" s="12"/>
    </row>
    <row r="44" spans="1:18" x14ac:dyDescent="0.25">
      <c r="A44" s="11" t="s">
        <v>177</v>
      </c>
      <c r="B44" s="17" t="s">
        <v>154</v>
      </c>
      <c r="C44" s="17" t="s">
        <v>154</v>
      </c>
      <c r="D44" s="18" t="s">
        <v>154</v>
      </c>
      <c r="E44" s="17" t="s">
        <v>154</v>
      </c>
      <c r="F44" s="18" t="s">
        <v>154</v>
      </c>
      <c r="G44" s="17" t="s">
        <v>154</v>
      </c>
      <c r="H44" s="18" t="s">
        <v>154</v>
      </c>
      <c r="I44" s="17" t="s">
        <v>154</v>
      </c>
      <c r="J44" s="18" t="s">
        <v>154</v>
      </c>
      <c r="K44" s="17" t="s">
        <v>154</v>
      </c>
      <c r="L44" s="18" t="s">
        <v>154</v>
      </c>
      <c r="M44" s="17" t="s">
        <v>154</v>
      </c>
      <c r="N44" s="18" t="s">
        <v>154</v>
      </c>
      <c r="O44" s="17" t="s">
        <v>154</v>
      </c>
      <c r="P44" s="18" t="s">
        <v>154</v>
      </c>
      <c r="Q44" s="17" t="s">
        <v>154</v>
      </c>
      <c r="R44" s="18" t="s">
        <v>154</v>
      </c>
    </row>
    <row r="45" spans="1:18" x14ac:dyDescent="0.25">
      <c r="A45" s="11" t="s">
        <v>178</v>
      </c>
      <c r="B45" s="17" t="s">
        <v>154</v>
      </c>
      <c r="C45" s="17" t="s">
        <v>154</v>
      </c>
      <c r="D45" s="18" t="s">
        <v>154</v>
      </c>
      <c r="E45" s="17" t="s">
        <v>154</v>
      </c>
      <c r="F45" s="18" t="s">
        <v>154</v>
      </c>
      <c r="G45" s="17" t="s">
        <v>154</v>
      </c>
      <c r="H45" s="18" t="s">
        <v>154</v>
      </c>
      <c r="I45" s="17" t="s">
        <v>154</v>
      </c>
      <c r="J45" s="18" t="s">
        <v>154</v>
      </c>
      <c r="K45" s="17" t="s">
        <v>154</v>
      </c>
      <c r="L45" s="18" t="s">
        <v>154</v>
      </c>
      <c r="M45" s="17" t="s">
        <v>154</v>
      </c>
      <c r="N45" s="18" t="s">
        <v>154</v>
      </c>
      <c r="O45" s="17" t="s">
        <v>154</v>
      </c>
      <c r="P45" s="18" t="s">
        <v>154</v>
      </c>
      <c r="Q45" s="17" t="s">
        <v>154</v>
      </c>
      <c r="R45" s="18" t="s">
        <v>154</v>
      </c>
    </row>
    <row r="46" spans="1:18" x14ac:dyDescent="0.25">
      <c r="A46" s="11" t="s">
        <v>179</v>
      </c>
      <c r="B46" s="13">
        <v>23141</v>
      </c>
      <c r="C46" s="14">
        <f>(20514/B46*100)</f>
        <v>88.647854457456461</v>
      </c>
      <c r="D46" s="15">
        <v>2627</v>
      </c>
      <c r="E46" s="14">
        <v>57.905280830000002</v>
      </c>
      <c r="F46" s="16">
        <v>1.2267754500000001</v>
      </c>
      <c r="G46" s="14">
        <v>42.094719169999998</v>
      </c>
      <c r="H46" s="16">
        <v>1.2267754500000001</v>
      </c>
      <c r="I46" s="14" t="s">
        <v>139</v>
      </c>
      <c r="J46" s="16" t="s">
        <v>139</v>
      </c>
      <c r="K46" s="14">
        <v>0</v>
      </c>
      <c r="L46" s="16">
        <v>0</v>
      </c>
      <c r="M46" s="14">
        <v>0</v>
      </c>
      <c r="N46" s="16">
        <v>0</v>
      </c>
      <c r="O46" s="14">
        <v>0</v>
      </c>
      <c r="P46" s="16">
        <v>0</v>
      </c>
      <c r="Q46" s="14">
        <v>0</v>
      </c>
      <c r="R46" s="16">
        <v>0</v>
      </c>
    </row>
    <row r="47" spans="1:18" x14ac:dyDescent="0.25">
      <c r="A47" s="11" t="s">
        <v>180</v>
      </c>
      <c r="B47" s="13">
        <v>5928</v>
      </c>
      <c r="C47" s="14">
        <f>(5004/B47*100)</f>
        <v>84.412955465587046</v>
      </c>
      <c r="D47" s="15">
        <v>924</v>
      </c>
      <c r="E47" s="14">
        <v>49.155551920000001</v>
      </c>
      <c r="F47" s="16">
        <v>1.6300853</v>
      </c>
      <c r="G47" s="14">
        <v>50.844448079999999</v>
      </c>
      <c r="H47" s="16">
        <v>1.6300853</v>
      </c>
      <c r="I47" s="14" t="s">
        <v>139</v>
      </c>
      <c r="J47" s="16" t="s">
        <v>139</v>
      </c>
      <c r="K47" s="14">
        <v>0</v>
      </c>
      <c r="L47" s="16">
        <v>0</v>
      </c>
      <c r="M47" s="14">
        <v>0</v>
      </c>
      <c r="N47" s="16">
        <v>0</v>
      </c>
      <c r="O47" s="14">
        <v>0</v>
      </c>
      <c r="P47" s="16">
        <v>0</v>
      </c>
      <c r="Q47" s="14">
        <v>0</v>
      </c>
      <c r="R47" s="16">
        <v>0</v>
      </c>
    </row>
    <row r="48" spans="1:18" x14ac:dyDescent="0.25">
      <c r="A48" s="11" t="s">
        <v>181</v>
      </c>
      <c r="B48" s="13">
        <v>9841</v>
      </c>
      <c r="C48" s="14">
        <f>(8203/B48*100)</f>
        <v>83.355350066050192</v>
      </c>
      <c r="D48" s="15">
        <v>1638</v>
      </c>
      <c r="E48" s="14">
        <v>45.455912599999998</v>
      </c>
      <c r="F48" s="16">
        <v>1.69028683</v>
      </c>
      <c r="G48" s="14">
        <v>54.544087400000002</v>
      </c>
      <c r="H48" s="16">
        <v>1.69028683</v>
      </c>
      <c r="I48" s="14" t="s">
        <v>139</v>
      </c>
      <c r="J48" s="16" t="s">
        <v>139</v>
      </c>
      <c r="K48" s="14">
        <v>0</v>
      </c>
      <c r="L48" s="16">
        <v>0</v>
      </c>
      <c r="M48" s="14">
        <v>0</v>
      </c>
      <c r="N48" s="16">
        <v>0</v>
      </c>
      <c r="O48" s="14">
        <v>0</v>
      </c>
      <c r="P48" s="16">
        <v>0</v>
      </c>
      <c r="Q48" s="14">
        <v>0</v>
      </c>
      <c r="R48" s="16">
        <v>0</v>
      </c>
    </row>
    <row r="49" spans="1:18" x14ac:dyDescent="0.25">
      <c r="A49" s="11" t="s">
        <v>182</v>
      </c>
      <c r="B49" s="17" t="s">
        <v>154</v>
      </c>
      <c r="C49" s="17" t="s">
        <v>154</v>
      </c>
      <c r="D49" s="18" t="s">
        <v>154</v>
      </c>
      <c r="E49" s="17" t="s">
        <v>154</v>
      </c>
      <c r="F49" s="18" t="s">
        <v>154</v>
      </c>
      <c r="G49" s="17" t="s">
        <v>154</v>
      </c>
      <c r="H49" s="18" t="s">
        <v>154</v>
      </c>
      <c r="I49" s="17" t="s">
        <v>154</v>
      </c>
      <c r="J49" s="18" t="s">
        <v>154</v>
      </c>
      <c r="K49" s="17" t="s">
        <v>154</v>
      </c>
      <c r="L49" s="18" t="s">
        <v>154</v>
      </c>
      <c r="M49" s="17" t="s">
        <v>154</v>
      </c>
      <c r="N49" s="18" t="s">
        <v>154</v>
      </c>
      <c r="O49" s="17" t="s">
        <v>154</v>
      </c>
      <c r="P49" s="18" t="s">
        <v>154</v>
      </c>
      <c r="Q49" s="17" t="s">
        <v>154</v>
      </c>
      <c r="R49" s="18" t="s">
        <v>154</v>
      </c>
    </row>
    <row r="50" spans="1:18" x14ac:dyDescent="0.25">
      <c r="A50" s="11" t="s">
        <v>183</v>
      </c>
      <c r="B50" s="13">
        <v>11795</v>
      </c>
      <c r="C50" s="14">
        <f>(9961/B50*100)</f>
        <v>84.451038575667653</v>
      </c>
      <c r="D50" s="15">
        <v>1834</v>
      </c>
      <c r="E50" s="14">
        <v>40.860072180000003</v>
      </c>
      <c r="F50" s="16">
        <v>1.7197711899999999</v>
      </c>
      <c r="G50" s="14">
        <v>59.139927819999997</v>
      </c>
      <c r="H50" s="16">
        <v>1.7197711899999999</v>
      </c>
      <c r="I50" s="14" t="s">
        <v>139</v>
      </c>
      <c r="J50" s="16" t="s">
        <v>139</v>
      </c>
      <c r="K50" s="14">
        <v>0</v>
      </c>
      <c r="L50" s="16">
        <v>0</v>
      </c>
      <c r="M50" s="14">
        <v>0</v>
      </c>
      <c r="N50" s="16">
        <v>0</v>
      </c>
      <c r="O50" s="14">
        <v>0</v>
      </c>
      <c r="P50" s="16">
        <v>0</v>
      </c>
      <c r="Q50" s="14">
        <v>0</v>
      </c>
      <c r="R50" s="16">
        <v>0</v>
      </c>
    </row>
    <row r="51" spans="1:18" x14ac:dyDescent="0.25">
      <c r="A51" s="11" t="s">
        <v>184</v>
      </c>
      <c r="B51" s="13">
        <v>6866</v>
      </c>
      <c r="C51" s="14">
        <f>(5926/B51*100)</f>
        <v>86.309350422371097</v>
      </c>
      <c r="D51" s="15">
        <v>940</v>
      </c>
      <c r="E51" s="14">
        <v>54.609726930000001</v>
      </c>
      <c r="F51" s="16">
        <v>1.8385150800000001</v>
      </c>
      <c r="G51" s="14">
        <v>45.390273069999999</v>
      </c>
      <c r="H51" s="16">
        <v>1.8385150800000001</v>
      </c>
      <c r="I51" s="14" t="s">
        <v>139</v>
      </c>
      <c r="J51" s="16" t="s">
        <v>139</v>
      </c>
      <c r="K51" s="14">
        <v>0</v>
      </c>
      <c r="L51" s="16">
        <v>0</v>
      </c>
      <c r="M51" s="14">
        <v>0</v>
      </c>
      <c r="N51" s="16">
        <v>0</v>
      </c>
      <c r="O51" s="14">
        <v>0</v>
      </c>
      <c r="P51" s="16">
        <v>0</v>
      </c>
      <c r="Q51" s="14">
        <v>0</v>
      </c>
      <c r="R51" s="16">
        <v>0</v>
      </c>
    </row>
    <row r="52" spans="1:18" x14ac:dyDescent="0.25">
      <c r="A52" s="11" t="s">
        <v>185</v>
      </c>
      <c r="B52" s="13">
        <v>5809</v>
      </c>
      <c r="C52" s="14">
        <f>(4863/B52*100)</f>
        <v>83.714925116198998</v>
      </c>
      <c r="D52" s="15">
        <v>946</v>
      </c>
      <c r="E52" s="14">
        <v>29.902397359999998</v>
      </c>
      <c r="F52" s="16">
        <v>1.53155555</v>
      </c>
      <c r="G52" s="14">
        <v>70.097602640000005</v>
      </c>
      <c r="H52" s="16">
        <v>1.53155555</v>
      </c>
      <c r="I52" s="14" t="s">
        <v>139</v>
      </c>
      <c r="J52" s="16" t="s">
        <v>139</v>
      </c>
      <c r="K52" s="14">
        <v>0</v>
      </c>
      <c r="L52" s="16">
        <v>0</v>
      </c>
      <c r="M52" s="14">
        <v>0</v>
      </c>
      <c r="N52" s="16">
        <v>0</v>
      </c>
      <c r="O52" s="14">
        <v>0</v>
      </c>
      <c r="P52" s="16">
        <v>0</v>
      </c>
      <c r="Q52" s="14">
        <v>0</v>
      </c>
      <c r="R52" s="16">
        <v>0</v>
      </c>
    </row>
    <row r="53" spans="1:18" x14ac:dyDescent="0.25">
      <c r="A53" s="11" t="s">
        <v>186</v>
      </c>
      <c r="B53" s="13">
        <v>5571</v>
      </c>
      <c r="C53" s="14">
        <f>(4698/B53*100)</f>
        <v>84.329563812600966</v>
      </c>
      <c r="D53" s="15">
        <v>873</v>
      </c>
      <c r="E53" s="14">
        <v>53.14349318</v>
      </c>
      <c r="F53" s="16">
        <v>1.43171279</v>
      </c>
      <c r="G53" s="14">
        <v>46.85650682</v>
      </c>
      <c r="H53" s="16">
        <v>1.43171279</v>
      </c>
      <c r="I53" s="14" t="s">
        <v>139</v>
      </c>
      <c r="J53" s="16" t="s">
        <v>139</v>
      </c>
      <c r="K53" s="14">
        <v>0</v>
      </c>
      <c r="L53" s="16">
        <v>0</v>
      </c>
      <c r="M53" s="14">
        <v>0</v>
      </c>
      <c r="N53" s="16">
        <v>0</v>
      </c>
      <c r="O53" s="14">
        <v>0</v>
      </c>
      <c r="P53" s="16">
        <v>0</v>
      </c>
      <c r="Q53" s="14">
        <v>0</v>
      </c>
      <c r="R53" s="16">
        <v>0</v>
      </c>
    </row>
    <row r="54" spans="1:18" x14ac:dyDescent="0.25">
      <c r="A54" s="11" t="s">
        <v>187</v>
      </c>
      <c r="B54" s="17" t="s">
        <v>154</v>
      </c>
      <c r="C54" s="17" t="s">
        <v>154</v>
      </c>
      <c r="D54" s="18" t="s">
        <v>154</v>
      </c>
      <c r="E54" s="17" t="s">
        <v>154</v>
      </c>
      <c r="F54" s="18" t="s">
        <v>154</v>
      </c>
      <c r="G54" s="17" t="s">
        <v>154</v>
      </c>
      <c r="H54" s="18" t="s">
        <v>154</v>
      </c>
      <c r="I54" s="17" t="s">
        <v>154</v>
      </c>
      <c r="J54" s="18" t="s">
        <v>154</v>
      </c>
      <c r="K54" s="17" t="s">
        <v>154</v>
      </c>
      <c r="L54" s="18" t="s">
        <v>154</v>
      </c>
      <c r="M54" s="17" t="s">
        <v>154</v>
      </c>
      <c r="N54" s="18" t="s">
        <v>154</v>
      </c>
      <c r="O54" s="17" t="s">
        <v>154</v>
      </c>
      <c r="P54" s="18" t="s">
        <v>154</v>
      </c>
      <c r="Q54" s="17" t="s">
        <v>154</v>
      </c>
      <c r="R54" s="18" t="s">
        <v>154</v>
      </c>
    </row>
    <row r="55" spans="1:18" x14ac:dyDescent="0.25">
      <c r="A55" s="11" t="s">
        <v>188</v>
      </c>
      <c r="B55" s="17" t="s">
        <v>154</v>
      </c>
      <c r="C55" s="17" t="s">
        <v>154</v>
      </c>
      <c r="D55" s="18" t="s">
        <v>154</v>
      </c>
      <c r="E55" s="17" t="s">
        <v>154</v>
      </c>
      <c r="F55" s="18" t="s">
        <v>154</v>
      </c>
      <c r="G55" s="17" t="s">
        <v>154</v>
      </c>
      <c r="H55" s="18" t="s">
        <v>154</v>
      </c>
      <c r="I55" s="17" t="s">
        <v>154</v>
      </c>
      <c r="J55" s="18" t="s">
        <v>154</v>
      </c>
      <c r="K55" s="17" t="s">
        <v>154</v>
      </c>
      <c r="L55" s="18" t="s">
        <v>154</v>
      </c>
      <c r="M55" s="17" t="s">
        <v>154</v>
      </c>
      <c r="N55" s="18" t="s">
        <v>154</v>
      </c>
      <c r="O55" s="17" t="s">
        <v>154</v>
      </c>
      <c r="P55" s="18" t="s">
        <v>154</v>
      </c>
      <c r="Q55" s="17" t="s">
        <v>154</v>
      </c>
      <c r="R55" s="18" t="s">
        <v>154</v>
      </c>
    </row>
    <row r="56" spans="1:18" x14ac:dyDescent="0.25">
      <c r="A56" s="11" t="s">
        <v>189</v>
      </c>
      <c r="B56" s="13">
        <v>5359</v>
      </c>
      <c r="C56" s="14">
        <f>(4458/B56*100)</f>
        <v>83.187161783914902</v>
      </c>
      <c r="D56" s="15">
        <v>901</v>
      </c>
      <c r="E56" s="14">
        <v>25.72333021</v>
      </c>
      <c r="F56" s="16">
        <v>1.5704462800000001</v>
      </c>
      <c r="G56" s="14">
        <v>74.27666979</v>
      </c>
      <c r="H56" s="16">
        <v>1.5704462800000001</v>
      </c>
      <c r="I56" s="14" t="s">
        <v>139</v>
      </c>
      <c r="J56" s="16" t="s">
        <v>139</v>
      </c>
      <c r="K56" s="14">
        <v>0</v>
      </c>
      <c r="L56" s="16">
        <v>0</v>
      </c>
      <c r="M56" s="14">
        <v>0</v>
      </c>
      <c r="N56" s="16">
        <v>0</v>
      </c>
      <c r="O56" s="14">
        <v>0</v>
      </c>
      <c r="P56" s="16">
        <v>0</v>
      </c>
      <c r="Q56" s="14">
        <v>0</v>
      </c>
      <c r="R56" s="16">
        <v>0</v>
      </c>
    </row>
    <row r="57" spans="1:18" x14ac:dyDescent="0.25">
      <c r="A57" s="11" t="s">
        <v>190</v>
      </c>
      <c r="B57" s="17" t="s">
        <v>154</v>
      </c>
      <c r="C57" s="17" t="s">
        <v>154</v>
      </c>
      <c r="D57" s="18" t="s">
        <v>154</v>
      </c>
      <c r="E57" s="17" t="s">
        <v>154</v>
      </c>
      <c r="F57" s="18" t="s">
        <v>154</v>
      </c>
      <c r="G57" s="17" t="s">
        <v>154</v>
      </c>
      <c r="H57" s="18" t="s">
        <v>154</v>
      </c>
      <c r="I57" s="17" t="s">
        <v>154</v>
      </c>
      <c r="J57" s="18" t="s">
        <v>154</v>
      </c>
      <c r="K57" s="17" t="s">
        <v>154</v>
      </c>
      <c r="L57" s="18" t="s">
        <v>154</v>
      </c>
      <c r="M57" s="17" t="s">
        <v>154</v>
      </c>
      <c r="N57" s="18" t="s">
        <v>154</v>
      </c>
      <c r="O57" s="17" t="s">
        <v>154</v>
      </c>
      <c r="P57" s="18" t="s">
        <v>154</v>
      </c>
      <c r="Q57" s="17" t="s">
        <v>154</v>
      </c>
      <c r="R57" s="18" t="s">
        <v>154</v>
      </c>
    </row>
    <row r="58" spans="1:18" x14ac:dyDescent="0.25">
      <c r="A58" s="11" t="s">
        <v>191</v>
      </c>
      <c r="B58" s="17" t="s">
        <v>154</v>
      </c>
      <c r="C58" s="17" t="s">
        <v>154</v>
      </c>
      <c r="D58" s="18" t="s">
        <v>154</v>
      </c>
      <c r="E58" s="17" t="s">
        <v>154</v>
      </c>
      <c r="F58" s="18" t="s">
        <v>154</v>
      </c>
      <c r="G58" s="17" t="s">
        <v>154</v>
      </c>
      <c r="H58" s="18" t="s">
        <v>154</v>
      </c>
      <c r="I58" s="17" t="s">
        <v>154</v>
      </c>
      <c r="J58" s="18" t="s">
        <v>154</v>
      </c>
      <c r="K58" s="17" t="s">
        <v>154</v>
      </c>
      <c r="L58" s="18" t="s">
        <v>154</v>
      </c>
      <c r="M58" s="17" t="s">
        <v>154</v>
      </c>
      <c r="N58" s="18" t="s">
        <v>154</v>
      </c>
      <c r="O58" s="17" t="s">
        <v>154</v>
      </c>
      <c r="P58" s="18" t="s">
        <v>154</v>
      </c>
      <c r="Q58" s="17" t="s">
        <v>154</v>
      </c>
      <c r="R58" s="18" t="s">
        <v>154</v>
      </c>
    </row>
    <row r="59" spans="1:18" x14ac:dyDescent="0.25">
      <c r="A59" s="11" t="s">
        <v>192</v>
      </c>
      <c r="B59" s="17" t="s">
        <v>154</v>
      </c>
      <c r="C59" s="17" t="s">
        <v>154</v>
      </c>
      <c r="D59" s="18" t="s">
        <v>154</v>
      </c>
      <c r="E59" s="17" t="s">
        <v>154</v>
      </c>
      <c r="F59" s="18" t="s">
        <v>154</v>
      </c>
      <c r="G59" s="17" t="s">
        <v>154</v>
      </c>
      <c r="H59" s="18" t="s">
        <v>154</v>
      </c>
      <c r="I59" s="17" t="s">
        <v>154</v>
      </c>
      <c r="J59" s="18" t="s">
        <v>154</v>
      </c>
      <c r="K59" s="17" t="s">
        <v>154</v>
      </c>
      <c r="L59" s="18" t="s">
        <v>154</v>
      </c>
      <c r="M59" s="17" t="s">
        <v>154</v>
      </c>
      <c r="N59" s="18" t="s">
        <v>154</v>
      </c>
      <c r="O59" s="17" t="s">
        <v>154</v>
      </c>
      <c r="P59" s="18" t="s">
        <v>154</v>
      </c>
      <c r="Q59" s="17" t="s">
        <v>154</v>
      </c>
      <c r="R59" s="18" t="s">
        <v>154</v>
      </c>
    </row>
    <row r="60" spans="1:18" x14ac:dyDescent="0.25">
      <c r="A60" s="11" t="s">
        <v>193</v>
      </c>
      <c r="B60" s="17" t="s">
        <v>154</v>
      </c>
      <c r="C60" s="17" t="s">
        <v>154</v>
      </c>
      <c r="D60" s="18" t="s">
        <v>154</v>
      </c>
      <c r="E60" s="17" t="s">
        <v>154</v>
      </c>
      <c r="F60" s="18" t="s">
        <v>154</v>
      </c>
      <c r="G60" s="17" t="s">
        <v>154</v>
      </c>
      <c r="H60" s="18" t="s">
        <v>154</v>
      </c>
      <c r="I60" s="17" t="s">
        <v>154</v>
      </c>
      <c r="J60" s="18" t="s">
        <v>154</v>
      </c>
      <c r="K60" s="17" t="s">
        <v>154</v>
      </c>
      <c r="L60" s="18" t="s">
        <v>154</v>
      </c>
      <c r="M60" s="17" t="s">
        <v>154</v>
      </c>
      <c r="N60" s="18" t="s">
        <v>154</v>
      </c>
      <c r="O60" s="17" t="s">
        <v>154</v>
      </c>
      <c r="P60" s="18" t="s">
        <v>154</v>
      </c>
      <c r="Q60" s="17" t="s">
        <v>154</v>
      </c>
      <c r="R60" s="18" t="s">
        <v>154</v>
      </c>
    </row>
    <row r="61" spans="1:18" x14ac:dyDescent="0.25">
      <c r="A61" s="11" t="s">
        <v>194</v>
      </c>
      <c r="B61" s="13">
        <v>6525</v>
      </c>
      <c r="C61" s="14">
        <f>(5466/B61*100)</f>
        <v>83.770114942528735</v>
      </c>
      <c r="D61" s="15">
        <v>1059</v>
      </c>
      <c r="E61" s="14">
        <v>33.125881679999999</v>
      </c>
      <c r="F61" s="16">
        <v>1.950825</v>
      </c>
      <c r="G61" s="14">
        <v>66.874118319999994</v>
      </c>
      <c r="H61" s="16">
        <v>1.950825</v>
      </c>
      <c r="I61" s="14" t="s">
        <v>139</v>
      </c>
      <c r="J61" s="16" t="s">
        <v>139</v>
      </c>
      <c r="K61" s="14">
        <v>0</v>
      </c>
      <c r="L61" s="16">
        <v>0</v>
      </c>
      <c r="M61" s="14">
        <v>0</v>
      </c>
      <c r="N61" s="16">
        <v>0</v>
      </c>
      <c r="O61" s="14">
        <v>0</v>
      </c>
      <c r="P61" s="16">
        <v>0</v>
      </c>
      <c r="Q61" s="14">
        <v>0</v>
      </c>
      <c r="R61" s="16">
        <v>0</v>
      </c>
    </row>
    <row r="62" spans="1:18" x14ac:dyDescent="0.25">
      <c r="A62" s="11" t="s">
        <v>195</v>
      </c>
      <c r="B62" s="13">
        <v>4476</v>
      </c>
      <c r="C62" s="14">
        <f>(3728/B62*100)</f>
        <v>83.288650580875782</v>
      </c>
      <c r="D62" s="15">
        <v>748</v>
      </c>
      <c r="E62" s="14">
        <v>27.46573253</v>
      </c>
      <c r="F62" s="16">
        <v>1.58474794</v>
      </c>
      <c r="G62" s="14">
        <v>72.534267470000003</v>
      </c>
      <c r="H62" s="16">
        <v>1.58474794</v>
      </c>
      <c r="I62" s="14" t="s">
        <v>139</v>
      </c>
      <c r="J62" s="16" t="s">
        <v>139</v>
      </c>
      <c r="K62" s="14">
        <v>0</v>
      </c>
      <c r="L62" s="16">
        <v>0</v>
      </c>
      <c r="M62" s="14">
        <v>0</v>
      </c>
      <c r="N62" s="16">
        <v>0</v>
      </c>
      <c r="O62" s="14">
        <v>0</v>
      </c>
      <c r="P62" s="16">
        <v>0</v>
      </c>
      <c r="Q62" s="14">
        <v>0</v>
      </c>
      <c r="R62" s="16">
        <v>0</v>
      </c>
    </row>
    <row r="63" spans="1:18" x14ac:dyDescent="0.25">
      <c r="A63" s="11" t="s">
        <v>196</v>
      </c>
      <c r="B63" s="17" t="s">
        <v>154</v>
      </c>
      <c r="C63" s="17" t="s">
        <v>154</v>
      </c>
      <c r="D63" s="18" t="s">
        <v>154</v>
      </c>
      <c r="E63" s="17" t="s">
        <v>154</v>
      </c>
      <c r="F63" s="18" t="s">
        <v>154</v>
      </c>
      <c r="G63" s="17" t="s">
        <v>154</v>
      </c>
      <c r="H63" s="18" t="s">
        <v>154</v>
      </c>
      <c r="I63" s="17" t="s">
        <v>154</v>
      </c>
      <c r="J63" s="18" t="s">
        <v>154</v>
      </c>
      <c r="K63" s="17" t="s">
        <v>154</v>
      </c>
      <c r="L63" s="18" t="s">
        <v>154</v>
      </c>
      <c r="M63" s="17" t="s">
        <v>154</v>
      </c>
      <c r="N63" s="18" t="s">
        <v>154</v>
      </c>
      <c r="O63" s="17" t="s">
        <v>154</v>
      </c>
      <c r="P63" s="18" t="s">
        <v>154</v>
      </c>
      <c r="Q63" s="17" t="s">
        <v>154</v>
      </c>
      <c r="R63" s="18" t="s">
        <v>154</v>
      </c>
    </row>
    <row r="64" spans="1:18" x14ac:dyDescent="0.25">
      <c r="A64" s="11" t="s">
        <v>197</v>
      </c>
      <c r="B64" s="17" t="s">
        <v>154</v>
      </c>
      <c r="C64" s="17" t="s">
        <v>154</v>
      </c>
      <c r="D64" s="18" t="s">
        <v>154</v>
      </c>
      <c r="E64" s="17" t="s">
        <v>154</v>
      </c>
      <c r="F64" s="18" t="s">
        <v>154</v>
      </c>
      <c r="G64" s="17" t="s">
        <v>154</v>
      </c>
      <c r="H64" s="18" t="s">
        <v>154</v>
      </c>
      <c r="I64" s="17" t="s">
        <v>154</v>
      </c>
      <c r="J64" s="18" t="s">
        <v>154</v>
      </c>
      <c r="K64" s="17" t="s">
        <v>154</v>
      </c>
      <c r="L64" s="18" t="s">
        <v>154</v>
      </c>
      <c r="M64" s="17" t="s">
        <v>154</v>
      </c>
      <c r="N64" s="18" t="s">
        <v>154</v>
      </c>
      <c r="O64" s="17" t="s">
        <v>154</v>
      </c>
      <c r="P64" s="18" t="s">
        <v>154</v>
      </c>
      <c r="Q64" s="17" t="s">
        <v>154</v>
      </c>
      <c r="R64" s="18" t="s">
        <v>154</v>
      </c>
    </row>
    <row r="65" spans="1:18" x14ac:dyDescent="0.25">
      <c r="A65" s="11" t="s">
        <v>198</v>
      </c>
      <c r="B65" s="17" t="s">
        <v>154</v>
      </c>
      <c r="C65" s="17" t="s">
        <v>154</v>
      </c>
      <c r="D65" s="18" t="s">
        <v>154</v>
      </c>
      <c r="E65" s="17" t="s">
        <v>154</v>
      </c>
      <c r="F65" s="18" t="s">
        <v>154</v>
      </c>
      <c r="G65" s="17" t="s">
        <v>154</v>
      </c>
      <c r="H65" s="18" t="s">
        <v>154</v>
      </c>
      <c r="I65" s="17" t="s">
        <v>154</v>
      </c>
      <c r="J65" s="18" t="s">
        <v>154</v>
      </c>
      <c r="K65" s="17" t="s">
        <v>154</v>
      </c>
      <c r="L65" s="18" t="s">
        <v>154</v>
      </c>
      <c r="M65" s="17" t="s">
        <v>154</v>
      </c>
      <c r="N65" s="18" t="s">
        <v>154</v>
      </c>
      <c r="O65" s="17" t="s">
        <v>154</v>
      </c>
      <c r="P65" s="18" t="s">
        <v>154</v>
      </c>
      <c r="Q65" s="17" t="s">
        <v>154</v>
      </c>
      <c r="R65" s="18" t="s">
        <v>154</v>
      </c>
    </row>
    <row r="66" spans="1:18" x14ac:dyDescent="0.25">
      <c r="A66" s="11" t="s">
        <v>199</v>
      </c>
      <c r="B66" s="13">
        <v>5665</v>
      </c>
      <c r="C66" s="14">
        <f>(4780/B66*100)</f>
        <v>84.377758164165925</v>
      </c>
      <c r="D66" s="15">
        <v>885</v>
      </c>
      <c r="E66" s="14">
        <v>57.674364799999999</v>
      </c>
      <c r="F66" s="16">
        <v>1.49436349</v>
      </c>
      <c r="G66" s="14">
        <v>42.325635200000001</v>
      </c>
      <c r="H66" s="16">
        <v>1.49436349</v>
      </c>
      <c r="I66" s="14" t="s">
        <v>139</v>
      </c>
      <c r="J66" s="16" t="s">
        <v>139</v>
      </c>
      <c r="K66" s="14">
        <v>0</v>
      </c>
      <c r="L66" s="16">
        <v>0</v>
      </c>
      <c r="M66" s="14">
        <v>0</v>
      </c>
      <c r="N66" s="16">
        <v>0</v>
      </c>
      <c r="O66" s="14">
        <v>0</v>
      </c>
      <c r="P66" s="16">
        <v>0</v>
      </c>
      <c r="Q66" s="14">
        <v>0</v>
      </c>
      <c r="R66" s="16">
        <v>0</v>
      </c>
    </row>
    <row r="67" spans="1:18" x14ac:dyDescent="0.25">
      <c r="A67" s="11" t="s">
        <v>200</v>
      </c>
      <c r="B67" s="13">
        <v>6971</v>
      </c>
      <c r="C67" s="14">
        <f>(6035/B67*100)</f>
        <v>86.572945058097844</v>
      </c>
      <c r="D67" s="15">
        <v>936</v>
      </c>
      <c r="E67" s="14">
        <v>45.878255830000001</v>
      </c>
      <c r="F67" s="16">
        <v>1.81083097</v>
      </c>
      <c r="G67" s="14">
        <v>54.121744169999999</v>
      </c>
      <c r="H67" s="16">
        <v>1.81083097</v>
      </c>
      <c r="I67" s="14" t="s">
        <v>139</v>
      </c>
      <c r="J67" s="16" t="s">
        <v>139</v>
      </c>
      <c r="K67" s="14">
        <v>0</v>
      </c>
      <c r="L67" s="16">
        <v>0</v>
      </c>
      <c r="M67" s="14">
        <v>0</v>
      </c>
      <c r="N67" s="16">
        <v>0</v>
      </c>
      <c r="O67" s="14">
        <v>0</v>
      </c>
      <c r="P67" s="16">
        <v>0</v>
      </c>
      <c r="Q67" s="14">
        <v>0</v>
      </c>
      <c r="R67" s="16">
        <v>0</v>
      </c>
    </row>
    <row r="68" spans="1:18" x14ac:dyDescent="0.25">
      <c r="A68" s="11" t="s">
        <v>201</v>
      </c>
      <c r="B68" s="17" t="s">
        <v>154</v>
      </c>
      <c r="C68" s="17" t="s">
        <v>154</v>
      </c>
      <c r="D68" s="18" t="s">
        <v>154</v>
      </c>
      <c r="E68" s="17" t="s">
        <v>154</v>
      </c>
      <c r="F68" s="18" t="s">
        <v>154</v>
      </c>
      <c r="G68" s="17" t="s">
        <v>154</v>
      </c>
      <c r="H68" s="18" t="s">
        <v>154</v>
      </c>
      <c r="I68" s="17" t="s">
        <v>154</v>
      </c>
      <c r="J68" s="18" t="s">
        <v>154</v>
      </c>
      <c r="K68" s="17" t="s">
        <v>154</v>
      </c>
      <c r="L68" s="18" t="s">
        <v>154</v>
      </c>
      <c r="M68" s="17" t="s">
        <v>154</v>
      </c>
      <c r="N68" s="18" t="s">
        <v>154</v>
      </c>
      <c r="O68" s="17" t="s">
        <v>154</v>
      </c>
      <c r="P68" s="18" t="s">
        <v>154</v>
      </c>
      <c r="Q68" s="17" t="s">
        <v>154</v>
      </c>
      <c r="R68" s="18" t="s">
        <v>154</v>
      </c>
    </row>
    <row r="69" spans="1:18" x14ac:dyDescent="0.25">
      <c r="A69" s="11" t="s">
        <v>202</v>
      </c>
      <c r="B69" s="17" t="s">
        <v>154</v>
      </c>
      <c r="C69" s="17" t="s">
        <v>154</v>
      </c>
      <c r="D69" s="18" t="s">
        <v>154</v>
      </c>
      <c r="E69" s="17" t="s">
        <v>154</v>
      </c>
      <c r="F69" s="18" t="s">
        <v>154</v>
      </c>
      <c r="G69" s="17" t="s">
        <v>154</v>
      </c>
      <c r="H69" s="18" t="s">
        <v>154</v>
      </c>
      <c r="I69" s="17" t="s">
        <v>154</v>
      </c>
      <c r="J69" s="18" t="s">
        <v>154</v>
      </c>
      <c r="K69" s="17" t="s">
        <v>154</v>
      </c>
      <c r="L69" s="18" t="s">
        <v>154</v>
      </c>
      <c r="M69" s="17" t="s">
        <v>154</v>
      </c>
      <c r="N69" s="18" t="s">
        <v>154</v>
      </c>
      <c r="O69" s="17" t="s">
        <v>154</v>
      </c>
      <c r="P69" s="18" t="s">
        <v>154</v>
      </c>
      <c r="Q69" s="17" t="s">
        <v>154</v>
      </c>
      <c r="R69" s="18" t="s">
        <v>154</v>
      </c>
    </row>
    <row r="70" spans="1:18" x14ac:dyDescent="0.25">
      <c r="A70" s="11" t="s">
        <v>203</v>
      </c>
      <c r="B70" s="13">
        <v>6036</v>
      </c>
      <c r="C70" s="14">
        <f>(5064/B70*100)</f>
        <v>83.896620278330019</v>
      </c>
      <c r="D70" s="15">
        <v>972</v>
      </c>
      <c r="E70" s="14">
        <v>38.54640946</v>
      </c>
      <c r="F70" s="16">
        <v>1.9205761299999999</v>
      </c>
      <c r="G70" s="14">
        <v>61.45359054</v>
      </c>
      <c r="H70" s="16">
        <v>1.9205761299999999</v>
      </c>
      <c r="I70" s="14" t="s">
        <v>139</v>
      </c>
      <c r="J70" s="16" t="s">
        <v>139</v>
      </c>
      <c r="K70" s="14">
        <v>0</v>
      </c>
      <c r="L70" s="16">
        <v>0</v>
      </c>
      <c r="M70" s="14">
        <v>0</v>
      </c>
      <c r="N70" s="16">
        <v>0</v>
      </c>
      <c r="O70" s="14">
        <v>0</v>
      </c>
      <c r="P70" s="16">
        <v>0</v>
      </c>
      <c r="Q70" s="14">
        <v>0</v>
      </c>
      <c r="R70" s="16">
        <v>0</v>
      </c>
    </row>
    <row r="71" spans="1:18" x14ac:dyDescent="0.25">
      <c r="A71" s="11" t="s">
        <v>204</v>
      </c>
      <c r="B71" s="17" t="s">
        <v>154</v>
      </c>
      <c r="C71" s="17" t="s">
        <v>154</v>
      </c>
      <c r="D71" s="18" t="s">
        <v>154</v>
      </c>
      <c r="E71" s="17" t="s">
        <v>154</v>
      </c>
      <c r="F71" s="18" t="s">
        <v>154</v>
      </c>
      <c r="G71" s="17" t="s">
        <v>154</v>
      </c>
      <c r="H71" s="18" t="s">
        <v>154</v>
      </c>
      <c r="I71" s="17" t="s">
        <v>154</v>
      </c>
      <c r="J71" s="18" t="s">
        <v>154</v>
      </c>
      <c r="K71" s="17" t="s">
        <v>154</v>
      </c>
      <c r="L71" s="18" t="s">
        <v>154</v>
      </c>
      <c r="M71" s="17" t="s">
        <v>154</v>
      </c>
      <c r="N71" s="18" t="s">
        <v>154</v>
      </c>
      <c r="O71" s="17" t="s">
        <v>154</v>
      </c>
      <c r="P71" s="18" t="s">
        <v>154</v>
      </c>
      <c r="Q71" s="17" t="s">
        <v>154</v>
      </c>
      <c r="R71" s="18" t="s">
        <v>154</v>
      </c>
    </row>
    <row r="72" spans="1:18" x14ac:dyDescent="0.25">
      <c r="A72" s="11" t="s">
        <v>205</v>
      </c>
      <c r="B72" s="13">
        <v>7708</v>
      </c>
      <c r="C72" s="14">
        <f>(6371/B72*100)</f>
        <v>82.654385054488841</v>
      </c>
      <c r="D72" s="15">
        <v>1337</v>
      </c>
      <c r="E72" s="14">
        <v>25.885923980000001</v>
      </c>
      <c r="F72" s="16">
        <v>1.1243189499999999</v>
      </c>
      <c r="G72" s="14">
        <v>74.114076019999999</v>
      </c>
      <c r="H72" s="16">
        <v>1.1243189499999999</v>
      </c>
      <c r="I72" s="14" t="s">
        <v>139</v>
      </c>
      <c r="J72" s="16" t="s">
        <v>139</v>
      </c>
      <c r="K72" s="14">
        <v>0</v>
      </c>
      <c r="L72" s="16">
        <v>0</v>
      </c>
      <c r="M72" s="14">
        <v>0</v>
      </c>
      <c r="N72" s="16">
        <v>0</v>
      </c>
      <c r="O72" s="14">
        <v>0</v>
      </c>
      <c r="P72" s="16">
        <v>0</v>
      </c>
      <c r="Q72" s="14">
        <v>0</v>
      </c>
      <c r="R72" s="16">
        <v>0</v>
      </c>
    </row>
    <row r="73" spans="1:18" x14ac:dyDescent="0.25">
      <c r="A73" s="11" t="s">
        <v>206</v>
      </c>
      <c r="B73" s="13">
        <v>8249</v>
      </c>
      <c r="C73" s="14">
        <f>(7002/B73*100)</f>
        <v>84.883016123166442</v>
      </c>
      <c r="D73" s="15">
        <v>1247</v>
      </c>
      <c r="E73" s="14">
        <v>52.362116559999997</v>
      </c>
      <c r="F73" s="16">
        <v>1.74208334</v>
      </c>
      <c r="G73" s="14">
        <v>47.637883440000003</v>
      </c>
      <c r="H73" s="16">
        <v>1.74208334</v>
      </c>
      <c r="I73" s="14" t="s">
        <v>139</v>
      </c>
      <c r="J73" s="16" t="s">
        <v>139</v>
      </c>
      <c r="K73" s="14">
        <v>0</v>
      </c>
      <c r="L73" s="16">
        <v>0</v>
      </c>
      <c r="M73" s="14">
        <v>0</v>
      </c>
      <c r="N73" s="16">
        <v>0</v>
      </c>
      <c r="O73" s="14">
        <v>0</v>
      </c>
      <c r="P73" s="16">
        <v>0</v>
      </c>
      <c r="Q73" s="14">
        <v>0</v>
      </c>
      <c r="R73" s="16">
        <v>0</v>
      </c>
    </row>
    <row r="74" spans="1:18" x14ac:dyDescent="0.25">
      <c r="A74" s="11" t="s">
        <v>207</v>
      </c>
      <c r="B74" s="17" t="s">
        <v>154</v>
      </c>
      <c r="C74" s="17" t="s">
        <v>154</v>
      </c>
      <c r="D74" s="18" t="s">
        <v>154</v>
      </c>
      <c r="E74" s="17" t="s">
        <v>154</v>
      </c>
      <c r="F74" s="18" t="s">
        <v>154</v>
      </c>
      <c r="G74" s="17" t="s">
        <v>154</v>
      </c>
      <c r="H74" s="18" t="s">
        <v>154</v>
      </c>
      <c r="I74" s="17" t="s">
        <v>154</v>
      </c>
      <c r="J74" s="18" t="s">
        <v>154</v>
      </c>
      <c r="K74" s="17" t="s">
        <v>154</v>
      </c>
      <c r="L74" s="18" t="s">
        <v>154</v>
      </c>
      <c r="M74" s="17" t="s">
        <v>154</v>
      </c>
      <c r="N74" s="18" t="s">
        <v>154</v>
      </c>
      <c r="O74" s="17" t="s">
        <v>154</v>
      </c>
      <c r="P74" s="18" t="s">
        <v>154</v>
      </c>
      <c r="Q74" s="17" t="s">
        <v>154</v>
      </c>
      <c r="R74" s="18" t="s">
        <v>154</v>
      </c>
    </row>
    <row r="75" spans="1:18" x14ac:dyDescent="0.25">
      <c r="A75" s="11" t="s">
        <v>208</v>
      </c>
      <c r="B75" s="13">
        <v>5375</v>
      </c>
      <c r="C75" s="14">
        <f>(4601/B75*100)</f>
        <v>85.6</v>
      </c>
      <c r="D75" s="15">
        <v>774</v>
      </c>
      <c r="E75" s="14">
        <v>68.059991969999999</v>
      </c>
      <c r="F75" s="16">
        <v>1.79962841</v>
      </c>
      <c r="G75" s="14">
        <v>31.940008030000001</v>
      </c>
      <c r="H75" s="16">
        <v>1.79962841</v>
      </c>
      <c r="I75" s="14" t="s">
        <v>139</v>
      </c>
      <c r="J75" s="16" t="s">
        <v>139</v>
      </c>
      <c r="K75" s="14">
        <v>0</v>
      </c>
      <c r="L75" s="16">
        <v>0</v>
      </c>
      <c r="M75" s="14">
        <v>0</v>
      </c>
      <c r="N75" s="16">
        <v>0</v>
      </c>
      <c r="O75" s="14">
        <v>0</v>
      </c>
      <c r="P75" s="16">
        <v>0</v>
      </c>
      <c r="Q75" s="14">
        <v>0</v>
      </c>
      <c r="R75" s="16">
        <v>0</v>
      </c>
    </row>
    <row r="76" spans="1:18" x14ac:dyDescent="0.25">
      <c r="A76" s="11" t="s">
        <v>209</v>
      </c>
      <c r="B76" s="13">
        <v>14167</v>
      </c>
      <c r="C76" s="14">
        <f>(11797/B76*100)</f>
        <v>83.270981859250369</v>
      </c>
      <c r="D76" s="15">
        <v>2370</v>
      </c>
      <c r="E76" s="14">
        <v>55.137863590000002</v>
      </c>
      <c r="F76" s="16">
        <v>1.3368930299999999</v>
      </c>
      <c r="G76" s="14">
        <v>44.862136409999998</v>
      </c>
      <c r="H76" s="16">
        <v>1.3368930299999999</v>
      </c>
      <c r="I76" s="14" t="s">
        <v>139</v>
      </c>
      <c r="J76" s="16" t="s">
        <v>139</v>
      </c>
      <c r="K76" s="14">
        <v>0</v>
      </c>
      <c r="L76" s="16">
        <v>0</v>
      </c>
      <c r="M76" s="14">
        <v>0</v>
      </c>
      <c r="N76" s="16">
        <v>0</v>
      </c>
      <c r="O76" s="14">
        <v>0</v>
      </c>
      <c r="P76" s="16">
        <v>0</v>
      </c>
      <c r="Q76" s="14">
        <v>0</v>
      </c>
      <c r="R76" s="16">
        <v>0</v>
      </c>
    </row>
    <row r="77" spans="1:18" x14ac:dyDescent="0.25">
      <c r="A77" s="11" t="s">
        <v>210</v>
      </c>
      <c r="B77" s="13">
        <v>6062</v>
      </c>
      <c r="C77" s="14">
        <f>(5164/B77*100)</f>
        <v>85.186407126360947</v>
      </c>
      <c r="D77" s="15">
        <v>898</v>
      </c>
      <c r="E77" s="14">
        <v>45.372990610000002</v>
      </c>
      <c r="F77" s="16">
        <v>1.72219232</v>
      </c>
      <c r="G77" s="14">
        <v>54.627009389999998</v>
      </c>
      <c r="H77" s="16">
        <v>1.72219232</v>
      </c>
      <c r="I77" s="14" t="s">
        <v>139</v>
      </c>
      <c r="J77" s="16" t="s">
        <v>139</v>
      </c>
      <c r="K77" s="14">
        <v>0</v>
      </c>
      <c r="L77" s="16">
        <v>0</v>
      </c>
      <c r="M77" s="14">
        <v>0</v>
      </c>
      <c r="N77" s="16">
        <v>0</v>
      </c>
      <c r="O77" s="14">
        <v>0</v>
      </c>
      <c r="P77" s="16">
        <v>0</v>
      </c>
      <c r="Q77" s="14">
        <v>0</v>
      </c>
      <c r="R77" s="16">
        <v>0</v>
      </c>
    </row>
    <row r="78" spans="1:18" x14ac:dyDescent="0.25">
      <c r="A78" s="11" t="s">
        <v>211</v>
      </c>
      <c r="B78" s="17" t="s">
        <v>154</v>
      </c>
      <c r="C78" s="17" t="s">
        <v>154</v>
      </c>
      <c r="D78" s="18" t="s">
        <v>154</v>
      </c>
      <c r="E78" s="17" t="s">
        <v>154</v>
      </c>
      <c r="F78" s="18" t="s">
        <v>154</v>
      </c>
      <c r="G78" s="17" t="s">
        <v>154</v>
      </c>
      <c r="H78" s="18" t="s">
        <v>154</v>
      </c>
      <c r="I78" s="17" t="s">
        <v>154</v>
      </c>
      <c r="J78" s="18" t="s">
        <v>154</v>
      </c>
      <c r="K78" s="17" t="s">
        <v>154</v>
      </c>
      <c r="L78" s="18" t="s">
        <v>154</v>
      </c>
      <c r="M78" s="17" t="s">
        <v>154</v>
      </c>
      <c r="N78" s="18" t="s">
        <v>154</v>
      </c>
      <c r="O78" s="17" t="s">
        <v>154</v>
      </c>
      <c r="P78" s="18" t="s">
        <v>154</v>
      </c>
      <c r="Q78" s="17" t="s">
        <v>154</v>
      </c>
      <c r="R78" s="18" t="s">
        <v>154</v>
      </c>
    </row>
    <row r="79" spans="1:18" ht="24.95" customHeight="1" x14ac:dyDescent="0.25">
      <c r="A79" s="11" t="s">
        <v>212</v>
      </c>
      <c r="B79" s="17" t="s">
        <v>154</v>
      </c>
      <c r="C79" s="17" t="s">
        <v>154</v>
      </c>
      <c r="D79" s="18" t="s">
        <v>154</v>
      </c>
      <c r="E79" s="17" t="s">
        <v>154</v>
      </c>
      <c r="F79" s="18" t="s">
        <v>154</v>
      </c>
      <c r="G79" s="17" t="s">
        <v>154</v>
      </c>
      <c r="H79" s="18" t="s">
        <v>154</v>
      </c>
      <c r="I79" s="17" t="s">
        <v>154</v>
      </c>
      <c r="J79" s="18" t="s">
        <v>154</v>
      </c>
      <c r="K79" s="17" t="s">
        <v>154</v>
      </c>
      <c r="L79" s="18" t="s">
        <v>154</v>
      </c>
      <c r="M79" s="17" t="s">
        <v>154</v>
      </c>
      <c r="N79" s="18" t="s">
        <v>154</v>
      </c>
      <c r="O79" s="17" t="s">
        <v>154</v>
      </c>
      <c r="P79" s="18" t="s">
        <v>154</v>
      </c>
      <c r="Q79" s="17" t="s">
        <v>154</v>
      </c>
      <c r="R79" s="18" t="s">
        <v>154</v>
      </c>
    </row>
    <row r="80" spans="1:18" x14ac:dyDescent="0.25">
      <c r="A80" s="11" t="s">
        <v>213</v>
      </c>
      <c r="B80" s="17" t="s">
        <v>154</v>
      </c>
      <c r="C80" s="17" t="s">
        <v>154</v>
      </c>
      <c r="D80" s="18" t="s">
        <v>154</v>
      </c>
      <c r="E80" s="17" t="s">
        <v>154</v>
      </c>
      <c r="F80" s="18" t="s">
        <v>154</v>
      </c>
      <c r="G80" s="17" t="s">
        <v>154</v>
      </c>
      <c r="H80" s="18" t="s">
        <v>154</v>
      </c>
      <c r="I80" s="17" t="s">
        <v>154</v>
      </c>
      <c r="J80" s="18" t="s">
        <v>154</v>
      </c>
      <c r="K80" s="17" t="s">
        <v>154</v>
      </c>
      <c r="L80" s="18" t="s">
        <v>154</v>
      </c>
      <c r="M80" s="17" t="s">
        <v>154</v>
      </c>
      <c r="N80" s="18" t="s">
        <v>154</v>
      </c>
      <c r="O80" s="17" t="s">
        <v>154</v>
      </c>
      <c r="P80" s="18" t="s">
        <v>154</v>
      </c>
      <c r="Q80" s="17" t="s">
        <v>154</v>
      </c>
      <c r="R80" s="18" t="s">
        <v>154</v>
      </c>
    </row>
    <row r="81" spans="1:18" x14ac:dyDescent="0.25">
      <c r="A81" s="19" t="s">
        <v>214</v>
      </c>
      <c r="B81" s="13">
        <v>8861</v>
      </c>
      <c r="C81" s="14">
        <f>(7377/B81*100)</f>
        <v>83.252454576232921</v>
      </c>
      <c r="D81" s="15">
        <v>1484</v>
      </c>
      <c r="E81" s="14">
        <v>51.055154729999998</v>
      </c>
      <c r="F81" s="16">
        <v>1.7836574300000001</v>
      </c>
      <c r="G81" s="14">
        <v>48.944845270000002</v>
      </c>
      <c r="H81" s="16">
        <v>1.7836574300000001</v>
      </c>
      <c r="I81" s="14" t="s">
        <v>139</v>
      </c>
      <c r="J81" s="16" t="s">
        <v>139</v>
      </c>
      <c r="K81" s="14">
        <v>0</v>
      </c>
      <c r="L81" s="16">
        <v>0</v>
      </c>
      <c r="M81" s="14">
        <v>0</v>
      </c>
      <c r="N81" s="16">
        <v>0</v>
      </c>
      <c r="O81" s="14">
        <v>0</v>
      </c>
      <c r="P81" s="16">
        <v>0</v>
      </c>
      <c r="Q81" s="14">
        <v>0</v>
      </c>
      <c r="R81" s="16">
        <v>0</v>
      </c>
    </row>
    <row r="82" spans="1:18" x14ac:dyDescent="0.25">
      <c r="A82" s="20"/>
      <c r="B82" s="20" t="s">
        <v>215</v>
      </c>
      <c r="C82" s="20" t="s">
        <v>215</v>
      </c>
      <c r="D82" s="20" t="s">
        <v>215</v>
      </c>
      <c r="E82" s="20" t="s">
        <v>215</v>
      </c>
      <c r="F82" s="20" t="s">
        <v>215</v>
      </c>
      <c r="G82" s="20" t="s">
        <v>215</v>
      </c>
      <c r="H82" s="20" t="s">
        <v>215</v>
      </c>
      <c r="I82" s="20" t="s">
        <v>215</v>
      </c>
      <c r="J82" s="20" t="s">
        <v>215</v>
      </c>
      <c r="K82" s="20" t="s">
        <v>215</v>
      </c>
      <c r="L82" s="20" t="s">
        <v>215</v>
      </c>
      <c r="M82" s="20" t="s">
        <v>215</v>
      </c>
      <c r="N82" s="20" t="s">
        <v>215</v>
      </c>
      <c r="O82" s="20" t="s">
        <v>215</v>
      </c>
      <c r="P82" s="20" t="s">
        <v>215</v>
      </c>
      <c r="Q82" s="20" t="s">
        <v>215</v>
      </c>
      <c r="R82" s="20" t="s">
        <v>215</v>
      </c>
    </row>
    <row r="83" spans="1:18" x14ac:dyDescent="0.25">
      <c r="A83" s="3" t="s">
        <v>216</v>
      </c>
    </row>
    <row r="84" spans="1:18" x14ac:dyDescent="0.25">
      <c r="A84" s="22" t="s">
        <v>217</v>
      </c>
      <c r="B84" s="23"/>
      <c r="C84" s="23"/>
      <c r="D84" s="23"/>
      <c r="E84" s="23"/>
      <c r="F84" s="23"/>
      <c r="G84" s="23"/>
      <c r="H84" s="23"/>
      <c r="I84" s="23"/>
      <c r="J84" s="23"/>
      <c r="K84" s="23"/>
      <c r="L84" s="23"/>
      <c r="M84" s="23"/>
      <c r="N84" s="23"/>
      <c r="O84" s="23"/>
      <c r="P84" s="23"/>
      <c r="Q84" s="23"/>
      <c r="R84" s="23"/>
    </row>
    <row r="85" spans="1:18" x14ac:dyDescent="0.25">
      <c r="A85" s="22" t="s">
        <v>218</v>
      </c>
      <c r="B85" s="23"/>
      <c r="C85" s="23"/>
      <c r="D85" s="23"/>
      <c r="E85" s="23"/>
      <c r="F85" s="23"/>
      <c r="G85" s="23"/>
      <c r="H85" s="23"/>
      <c r="I85" s="23"/>
      <c r="J85" s="23"/>
      <c r="K85" s="23"/>
      <c r="L85" s="23"/>
      <c r="M85" s="23"/>
      <c r="N85" s="23"/>
      <c r="O85" s="23"/>
      <c r="P85" s="23"/>
      <c r="Q85" s="23"/>
      <c r="R85" s="23"/>
    </row>
    <row r="86" spans="1:18" ht="30" customHeight="1" x14ac:dyDescent="0.25">
      <c r="A86" s="22" t="s">
        <v>219</v>
      </c>
      <c r="B86" s="23"/>
      <c r="C86" s="23"/>
      <c r="D86" s="23"/>
      <c r="E86" s="23"/>
      <c r="F86" s="23"/>
      <c r="G86" s="23"/>
      <c r="H86" s="23"/>
      <c r="I86" s="23"/>
      <c r="J86" s="23"/>
      <c r="K86" s="23"/>
      <c r="L86" s="23"/>
      <c r="M86" s="23"/>
      <c r="N86" s="23"/>
      <c r="O86" s="23"/>
      <c r="P86" s="23"/>
      <c r="Q86" s="23"/>
      <c r="R86" s="23"/>
    </row>
    <row r="87" spans="1:18" ht="30" customHeight="1" x14ac:dyDescent="0.25">
      <c r="A87" s="22" t="s">
        <v>215</v>
      </c>
      <c r="B87" s="23"/>
      <c r="C87" s="23"/>
      <c r="D87" s="23"/>
      <c r="E87" s="23"/>
      <c r="F87" s="23"/>
      <c r="G87" s="23"/>
      <c r="H87" s="23"/>
      <c r="I87" s="23"/>
      <c r="J87" s="23"/>
      <c r="K87" s="23"/>
      <c r="L87" s="23"/>
      <c r="M87" s="23"/>
      <c r="N87" s="23"/>
      <c r="O87" s="23"/>
      <c r="P87" s="23"/>
      <c r="Q87" s="23"/>
      <c r="R87" s="23"/>
    </row>
    <row r="88" spans="1:18" ht="30" customHeight="1" x14ac:dyDescent="0.25">
      <c r="A88" s="22" t="s">
        <v>220</v>
      </c>
      <c r="B88" s="23"/>
      <c r="C88" s="23"/>
      <c r="D88" s="23"/>
      <c r="E88" s="23"/>
      <c r="F88" s="23"/>
      <c r="G88" s="23"/>
      <c r="H88" s="23"/>
      <c r="I88" s="23"/>
      <c r="J88" s="23"/>
      <c r="K88" s="23"/>
      <c r="L88" s="23"/>
      <c r="M88" s="23"/>
      <c r="N88" s="23"/>
      <c r="O88" s="23"/>
      <c r="P88" s="23"/>
      <c r="Q88" s="23"/>
      <c r="R88" s="23"/>
    </row>
    <row r="89" spans="1:18" ht="30" customHeight="1" x14ac:dyDescent="0.25">
      <c r="A89" s="22" t="s">
        <v>221</v>
      </c>
      <c r="B89" s="23"/>
      <c r="C89" s="23"/>
      <c r="D89" s="23"/>
      <c r="E89" s="23"/>
      <c r="F89" s="23"/>
      <c r="G89" s="23"/>
      <c r="H89" s="23"/>
      <c r="I89" s="23"/>
      <c r="J89" s="23"/>
      <c r="K89" s="23"/>
      <c r="L89" s="23"/>
      <c r="M89" s="23"/>
      <c r="N89" s="23"/>
      <c r="O89" s="23"/>
      <c r="P89" s="23"/>
      <c r="Q89" s="23"/>
      <c r="R89" s="23"/>
    </row>
    <row r="90" spans="1:18" ht="30" customHeight="1" x14ac:dyDescent="0.25">
      <c r="A90" s="22" t="s">
        <v>222</v>
      </c>
      <c r="B90" s="23"/>
      <c r="C90" s="23"/>
      <c r="D90" s="23"/>
      <c r="E90" s="23"/>
      <c r="F90" s="23"/>
      <c r="G90" s="23"/>
      <c r="H90" s="23"/>
      <c r="I90" s="23"/>
      <c r="J90" s="23"/>
      <c r="K90" s="23"/>
      <c r="L90" s="23"/>
      <c r="M90" s="23"/>
      <c r="N90" s="23"/>
      <c r="O90" s="23"/>
      <c r="P90" s="23"/>
      <c r="Q90" s="23"/>
      <c r="R90" s="23"/>
    </row>
    <row r="91" spans="1:18" ht="30" customHeight="1" x14ac:dyDescent="0.25">
      <c r="A91" s="22" t="s">
        <v>223</v>
      </c>
      <c r="B91" s="23"/>
      <c r="C91" s="23"/>
      <c r="D91" s="23"/>
      <c r="E91" s="23"/>
      <c r="F91" s="23"/>
      <c r="G91" s="23"/>
      <c r="H91" s="23"/>
      <c r="I91" s="23"/>
      <c r="J91" s="23"/>
      <c r="K91" s="23"/>
      <c r="L91" s="23"/>
      <c r="M91" s="23"/>
      <c r="N91" s="23"/>
      <c r="O91" s="23"/>
      <c r="P91" s="23"/>
      <c r="Q91" s="23"/>
      <c r="R91" s="23"/>
    </row>
    <row r="92" spans="1:18" ht="30" customHeight="1" x14ac:dyDescent="0.25">
      <c r="A92" s="22" t="s">
        <v>224</v>
      </c>
      <c r="B92" s="23"/>
      <c r="C92" s="23"/>
      <c r="D92" s="23"/>
      <c r="E92" s="23"/>
      <c r="F92" s="23"/>
      <c r="G92" s="23"/>
      <c r="H92" s="23"/>
      <c r="I92" s="23"/>
      <c r="J92" s="23"/>
      <c r="K92" s="23"/>
      <c r="L92" s="23"/>
      <c r="M92" s="23"/>
      <c r="N92" s="23"/>
      <c r="O92" s="23"/>
      <c r="P92" s="23"/>
      <c r="Q92" s="23"/>
      <c r="R92" s="23"/>
    </row>
    <row r="93" spans="1:18" ht="30" customHeight="1" x14ac:dyDescent="0.25">
      <c r="A93" s="22" t="s">
        <v>225</v>
      </c>
      <c r="B93" s="23"/>
      <c r="C93" s="23"/>
      <c r="D93" s="23"/>
      <c r="E93" s="23"/>
      <c r="F93" s="23"/>
      <c r="G93" s="23"/>
      <c r="H93" s="23"/>
      <c r="I93" s="23"/>
      <c r="J93" s="23"/>
      <c r="K93" s="23"/>
      <c r="L93" s="23"/>
      <c r="M93" s="23"/>
      <c r="N93" s="23"/>
      <c r="O93" s="23"/>
      <c r="P93" s="23"/>
      <c r="Q93" s="23"/>
      <c r="R93" s="23"/>
    </row>
    <row r="94" spans="1:18" ht="30" customHeight="1" x14ac:dyDescent="0.25">
      <c r="A94" s="22" t="s">
        <v>226</v>
      </c>
      <c r="B94" s="23"/>
      <c r="C94" s="23"/>
      <c r="D94" s="23"/>
      <c r="E94" s="23"/>
      <c r="F94" s="23"/>
      <c r="G94" s="23"/>
      <c r="H94" s="23"/>
      <c r="I94" s="23"/>
      <c r="J94" s="23"/>
      <c r="K94" s="23"/>
      <c r="L94" s="23"/>
      <c r="M94" s="23"/>
      <c r="N94" s="23"/>
      <c r="O94" s="23"/>
      <c r="P94" s="23"/>
      <c r="Q94" s="23"/>
      <c r="R94" s="23"/>
    </row>
    <row r="95" spans="1:18" ht="30" customHeight="1" x14ac:dyDescent="0.25">
      <c r="A95" s="22" t="s">
        <v>227</v>
      </c>
      <c r="B95" s="23"/>
      <c r="C95" s="23"/>
      <c r="D95" s="23"/>
      <c r="E95" s="23"/>
      <c r="F95" s="23"/>
      <c r="G95" s="23"/>
      <c r="H95" s="23"/>
      <c r="I95" s="23"/>
      <c r="J95" s="23"/>
      <c r="K95" s="23"/>
      <c r="L95" s="23"/>
      <c r="M95" s="23"/>
      <c r="N95" s="23"/>
      <c r="O95" s="23"/>
      <c r="P95" s="23"/>
      <c r="Q95" s="23"/>
      <c r="R95" s="23"/>
    </row>
    <row r="96" spans="1:18" ht="30" customHeight="1" x14ac:dyDescent="0.25">
      <c r="A96" s="22" t="s">
        <v>228</v>
      </c>
      <c r="B96" s="23"/>
      <c r="C96" s="23"/>
      <c r="D96" s="23"/>
      <c r="E96" s="23"/>
      <c r="F96" s="23"/>
      <c r="G96" s="23"/>
      <c r="H96" s="23"/>
      <c r="I96" s="23"/>
      <c r="J96" s="23"/>
      <c r="K96" s="23"/>
      <c r="L96" s="23"/>
      <c r="M96" s="23"/>
      <c r="N96" s="23"/>
      <c r="O96" s="23"/>
      <c r="P96" s="23"/>
      <c r="Q96" s="23"/>
      <c r="R96" s="23"/>
    </row>
  </sheetData>
  <mergeCells count="22">
    <mergeCell ref="O4:P4"/>
    <mergeCell ref="Q4:R4"/>
    <mergeCell ref="A1:R1"/>
    <mergeCell ref="A2:R2"/>
    <mergeCell ref="A84:R84"/>
    <mergeCell ref="E4:F4"/>
    <mergeCell ref="G4:H4"/>
    <mergeCell ref="I4:J4"/>
    <mergeCell ref="K4:L4"/>
    <mergeCell ref="M4:N4"/>
    <mergeCell ref="A85:R85"/>
    <mergeCell ref="A86:R86"/>
    <mergeCell ref="A87:R87"/>
    <mergeCell ref="A88:R88"/>
    <mergeCell ref="A89:R89"/>
    <mergeCell ref="A95:R95"/>
    <mergeCell ref="A96:R96"/>
    <mergeCell ref="A90:R90"/>
    <mergeCell ref="A91:R91"/>
    <mergeCell ref="A92:R92"/>
    <mergeCell ref="A93:R93"/>
    <mergeCell ref="A94:R94"/>
  </mergeCells>
  <pageMargins left="0.75" right="0.75" top="1" bottom="1" header="0.5" footer="0.5"/>
</worksheet>
</file>

<file path=xl/worksheets/sheet1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3"/>
  <dimension ref="A1:T96"/>
  <sheetViews>
    <sheetView zoomScale="80" workbookViewId="0">
      <pane xSplit="4" topLeftCell="E1" activePane="topRight" state="frozen"/>
      <selection sqref="A1:R1"/>
      <selection pane="topRight" sqref="A1:T1"/>
    </sheetView>
  </sheetViews>
  <sheetFormatPr defaultColWidth="11.42578125" defaultRowHeight="15" x14ac:dyDescent="0.25"/>
  <cols>
    <col min="1" max="1" width="50" customWidth="1"/>
  </cols>
  <sheetData>
    <row r="1" spans="1:20" x14ac:dyDescent="0.25">
      <c r="A1" s="26" t="s">
        <v>122</v>
      </c>
      <c r="B1" s="23"/>
      <c r="C1" s="23"/>
      <c r="D1" s="23"/>
      <c r="E1" s="23"/>
      <c r="F1" s="23"/>
      <c r="G1" s="23"/>
      <c r="H1" s="23"/>
      <c r="I1" s="23"/>
      <c r="J1" s="23"/>
      <c r="K1" s="23"/>
      <c r="L1" s="23"/>
      <c r="M1" s="23"/>
      <c r="N1" s="23"/>
      <c r="O1" s="23"/>
      <c r="P1" s="23"/>
      <c r="Q1" s="23"/>
      <c r="R1" s="23"/>
      <c r="S1" s="23"/>
      <c r="T1" s="23"/>
    </row>
    <row r="2" spans="1:20" x14ac:dyDescent="0.25">
      <c r="A2" s="27" t="s">
        <v>349</v>
      </c>
      <c r="B2" s="23"/>
      <c r="C2" s="23"/>
      <c r="D2" s="23"/>
      <c r="E2" s="23"/>
      <c r="F2" s="23"/>
      <c r="G2" s="23"/>
      <c r="H2" s="23"/>
      <c r="I2" s="23"/>
      <c r="J2" s="23"/>
      <c r="K2" s="23"/>
      <c r="L2" s="23"/>
      <c r="M2" s="23"/>
      <c r="N2" s="23"/>
      <c r="O2" s="23"/>
      <c r="P2" s="23"/>
      <c r="Q2" s="23"/>
      <c r="R2" s="23"/>
      <c r="S2" s="23"/>
      <c r="T2" s="23"/>
    </row>
    <row r="4" spans="1:20" ht="30" customHeight="1" x14ac:dyDescent="0.25">
      <c r="A4" s="4"/>
      <c r="B4" s="5" t="s">
        <v>123</v>
      </c>
      <c r="C4" s="5" t="s">
        <v>124</v>
      </c>
      <c r="D4" s="6" t="s">
        <v>123</v>
      </c>
      <c r="E4" s="24" t="s">
        <v>125</v>
      </c>
      <c r="F4" s="25"/>
      <c r="G4" s="24" t="s">
        <v>233</v>
      </c>
      <c r="H4" s="25"/>
      <c r="I4" s="24" t="s">
        <v>234</v>
      </c>
      <c r="J4" s="25"/>
      <c r="K4" s="24" t="s">
        <v>127</v>
      </c>
      <c r="L4" s="25"/>
      <c r="M4" s="24" t="s">
        <v>128</v>
      </c>
      <c r="N4" s="25"/>
      <c r="O4" s="24" t="s">
        <v>129</v>
      </c>
      <c r="P4" s="25"/>
      <c r="Q4" s="24" t="s">
        <v>130</v>
      </c>
      <c r="R4" s="25"/>
      <c r="S4" s="24" t="s">
        <v>131</v>
      </c>
      <c r="T4" s="25"/>
    </row>
    <row r="5" spans="1:20" x14ac:dyDescent="0.25">
      <c r="A5" s="7"/>
      <c r="B5" s="8" t="s">
        <v>132</v>
      </c>
      <c r="C5" s="8" t="s">
        <v>133</v>
      </c>
      <c r="D5" s="7" t="s">
        <v>134</v>
      </c>
      <c r="E5" s="8" t="s">
        <v>135</v>
      </c>
      <c r="F5" s="7" t="s">
        <v>136</v>
      </c>
      <c r="G5" s="8" t="s">
        <v>135</v>
      </c>
      <c r="H5" s="7" t="s">
        <v>136</v>
      </c>
      <c r="I5" s="8" t="s">
        <v>135</v>
      </c>
      <c r="J5" s="7" t="s">
        <v>136</v>
      </c>
      <c r="K5" s="8" t="s">
        <v>135</v>
      </c>
      <c r="L5" s="7" t="s">
        <v>136</v>
      </c>
      <c r="M5" s="8" t="s">
        <v>135</v>
      </c>
      <c r="N5" s="7" t="s">
        <v>136</v>
      </c>
      <c r="O5" s="8" t="s">
        <v>135</v>
      </c>
      <c r="P5" s="7" t="s">
        <v>136</v>
      </c>
      <c r="Q5" s="8" t="s">
        <v>135</v>
      </c>
      <c r="R5" s="7" t="s">
        <v>136</v>
      </c>
      <c r="S5" s="8" t="s">
        <v>135</v>
      </c>
      <c r="T5" s="7" t="s">
        <v>136</v>
      </c>
    </row>
    <row r="6" spans="1:20" x14ac:dyDescent="0.25">
      <c r="A6" s="9" t="s">
        <v>137</v>
      </c>
      <c r="B6" s="10"/>
      <c r="C6" s="10"/>
      <c r="D6" s="11"/>
      <c r="E6" s="10"/>
      <c r="F6" s="11"/>
      <c r="G6" s="10"/>
      <c r="H6" s="11"/>
      <c r="I6" s="10"/>
      <c r="J6" s="11"/>
      <c r="K6" s="10"/>
      <c r="L6" s="11"/>
      <c r="M6" s="10"/>
      <c r="N6" s="11"/>
      <c r="O6" s="10"/>
      <c r="P6" s="11"/>
      <c r="Q6" s="10"/>
      <c r="R6" s="11"/>
      <c r="S6" s="10"/>
      <c r="T6" s="12"/>
    </row>
    <row r="7" spans="1:20" x14ac:dyDescent="0.25">
      <c r="A7" s="11" t="s">
        <v>138</v>
      </c>
      <c r="B7" s="13">
        <v>14530</v>
      </c>
      <c r="C7" s="14">
        <f>(12189/B7*100)</f>
        <v>83.888506538196836</v>
      </c>
      <c r="D7" s="15">
        <v>2341</v>
      </c>
      <c r="E7" s="14">
        <v>50.81091103</v>
      </c>
      <c r="F7" s="16">
        <v>1.2258099600000001</v>
      </c>
      <c r="G7" s="14">
        <v>11.829894639999999</v>
      </c>
      <c r="H7" s="16">
        <v>0.82641657999999996</v>
      </c>
      <c r="I7" s="14">
        <v>37.359194330000001</v>
      </c>
      <c r="J7" s="16">
        <v>1.0788138899999999</v>
      </c>
      <c r="K7" s="14" t="s">
        <v>139</v>
      </c>
      <c r="L7" s="16" t="s">
        <v>139</v>
      </c>
      <c r="M7" s="14">
        <v>0</v>
      </c>
      <c r="N7" s="16">
        <v>0</v>
      </c>
      <c r="O7" s="14">
        <v>0</v>
      </c>
      <c r="P7" s="16">
        <v>0</v>
      </c>
      <c r="Q7" s="14">
        <v>0</v>
      </c>
      <c r="R7" s="16">
        <v>0</v>
      </c>
      <c r="S7" s="14">
        <v>0</v>
      </c>
      <c r="T7" s="16">
        <v>0</v>
      </c>
    </row>
    <row r="8" spans="1:20" x14ac:dyDescent="0.25">
      <c r="A8" s="11" t="s">
        <v>140</v>
      </c>
      <c r="B8" s="13">
        <v>7007</v>
      </c>
      <c r="C8" s="14">
        <f>(5824/B8*100)</f>
        <v>83.116883116883116</v>
      </c>
      <c r="D8" s="15">
        <v>1183</v>
      </c>
      <c r="E8" s="14">
        <v>58.367067210000002</v>
      </c>
      <c r="F8" s="16">
        <v>1.37539615</v>
      </c>
      <c r="G8" s="14">
        <v>14.280939099999999</v>
      </c>
      <c r="H8" s="16">
        <v>1.0853899499999999</v>
      </c>
      <c r="I8" s="14">
        <v>27.35199369</v>
      </c>
      <c r="J8" s="16">
        <v>1.4825241499999999</v>
      </c>
      <c r="K8" s="14" t="s">
        <v>139</v>
      </c>
      <c r="L8" s="16" t="s">
        <v>139</v>
      </c>
      <c r="M8" s="14">
        <v>0</v>
      </c>
      <c r="N8" s="16">
        <v>0</v>
      </c>
      <c r="O8" s="14">
        <v>0</v>
      </c>
      <c r="P8" s="16">
        <v>0</v>
      </c>
      <c r="Q8" s="14">
        <v>0</v>
      </c>
      <c r="R8" s="16">
        <v>0</v>
      </c>
      <c r="S8" s="14">
        <v>0</v>
      </c>
      <c r="T8" s="16">
        <v>0</v>
      </c>
    </row>
    <row r="9" spans="1:20" x14ac:dyDescent="0.25">
      <c r="A9" s="11" t="s">
        <v>141</v>
      </c>
      <c r="B9" s="13">
        <v>9651</v>
      </c>
      <c r="C9" s="14">
        <f>(8148/B9*100)</f>
        <v>84.426484302144857</v>
      </c>
      <c r="D9" s="15">
        <v>1503</v>
      </c>
      <c r="E9" s="14">
        <v>59.940629860000001</v>
      </c>
      <c r="F9" s="16">
        <v>1.28949889</v>
      </c>
      <c r="G9" s="14">
        <v>12.03108361</v>
      </c>
      <c r="H9" s="16">
        <v>0.91750065999999997</v>
      </c>
      <c r="I9" s="14">
        <v>28.028286529999999</v>
      </c>
      <c r="J9" s="16">
        <v>1.2400805699999999</v>
      </c>
      <c r="K9" s="14" t="s">
        <v>139</v>
      </c>
      <c r="L9" s="16" t="s">
        <v>139</v>
      </c>
      <c r="M9" s="14">
        <v>0</v>
      </c>
      <c r="N9" s="16">
        <v>0</v>
      </c>
      <c r="O9" s="14">
        <v>0</v>
      </c>
      <c r="P9" s="16">
        <v>0</v>
      </c>
      <c r="Q9" s="14">
        <v>0</v>
      </c>
      <c r="R9" s="16">
        <v>0</v>
      </c>
      <c r="S9" s="14">
        <v>0</v>
      </c>
      <c r="T9" s="16">
        <v>0</v>
      </c>
    </row>
    <row r="10" spans="1:20" x14ac:dyDescent="0.25">
      <c r="A10" s="11" t="s">
        <v>142</v>
      </c>
      <c r="B10" s="13">
        <v>20058</v>
      </c>
      <c r="C10" s="14">
        <f>(16728/B10*100)</f>
        <v>83.398145378402631</v>
      </c>
      <c r="D10" s="15">
        <v>3330</v>
      </c>
      <c r="E10" s="14">
        <v>49.807384659999997</v>
      </c>
      <c r="F10" s="16">
        <v>1.24244062</v>
      </c>
      <c r="G10" s="14">
        <v>13.00725972</v>
      </c>
      <c r="H10" s="16">
        <v>0.98383825999999996</v>
      </c>
      <c r="I10" s="14">
        <v>37.185355620000003</v>
      </c>
      <c r="J10" s="16">
        <v>1.3118432799999999</v>
      </c>
      <c r="K10" s="14" t="s">
        <v>139</v>
      </c>
      <c r="L10" s="16" t="s">
        <v>139</v>
      </c>
      <c r="M10" s="14">
        <v>0</v>
      </c>
      <c r="N10" s="16">
        <v>0</v>
      </c>
      <c r="O10" s="14">
        <v>0</v>
      </c>
      <c r="P10" s="16">
        <v>0</v>
      </c>
      <c r="Q10" s="14">
        <v>0</v>
      </c>
      <c r="R10" s="16">
        <v>0</v>
      </c>
      <c r="S10" s="14">
        <v>0</v>
      </c>
      <c r="T10" s="16">
        <v>0</v>
      </c>
    </row>
    <row r="11" spans="1:20" x14ac:dyDescent="0.25">
      <c r="A11" s="11" t="s">
        <v>143</v>
      </c>
      <c r="B11" s="13">
        <v>7053</v>
      </c>
      <c r="C11" s="14">
        <f>(5945/B11*100)</f>
        <v>84.290372890968385</v>
      </c>
      <c r="D11" s="15">
        <v>1108</v>
      </c>
      <c r="E11" s="14">
        <v>68.147053619999994</v>
      </c>
      <c r="F11" s="16">
        <v>1.37688323</v>
      </c>
      <c r="G11" s="14">
        <v>17.334922890000001</v>
      </c>
      <c r="H11" s="16">
        <v>1.19482087</v>
      </c>
      <c r="I11" s="14">
        <v>14.5180235</v>
      </c>
      <c r="J11" s="16">
        <v>1.03580589</v>
      </c>
      <c r="K11" s="14" t="s">
        <v>139</v>
      </c>
      <c r="L11" s="16" t="s">
        <v>139</v>
      </c>
      <c r="M11" s="14">
        <v>0</v>
      </c>
      <c r="N11" s="16">
        <v>0</v>
      </c>
      <c r="O11" s="14">
        <v>0</v>
      </c>
      <c r="P11" s="16">
        <v>0</v>
      </c>
      <c r="Q11" s="14">
        <v>0</v>
      </c>
      <c r="R11" s="16">
        <v>0</v>
      </c>
      <c r="S11" s="14">
        <v>0</v>
      </c>
      <c r="T11" s="16">
        <v>0</v>
      </c>
    </row>
    <row r="12" spans="1:20" x14ac:dyDescent="0.25">
      <c r="A12" s="11" t="s">
        <v>144</v>
      </c>
      <c r="B12" s="13">
        <v>6894</v>
      </c>
      <c r="C12" s="14">
        <f>(5773/B12*100)</f>
        <v>83.739483608935302</v>
      </c>
      <c r="D12" s="15">
        <v>1121</v>
      </c>
      <c r="E12" s="14">
        <v>61.338911940000003</v>
      </c>
      <c r="F12" s="16">
        <v>1.69145393</v>
      </c>
      <c r="G12" s="14">
        <v>11.129461600000001</v>
      </c>
      <c r="H12" s="16">
        <v>1.2163514799999999</v>
      </c>
      <c r="I12" s="14">
        <v>27.531626459999998</v>
      </c>
      <c r="J12" s="16">
        <v>1.4731822299999999</v>
      </c>
      <c r="K12" s="14" t="s">
        <v>139</v>
      </c>
      <c r="L12" s="16" t="s">
        <v>139</v>
      </c>
      <c r="M12" s="14">
        <v>0</v>
      </c>
      <c r="N12" s="16">
        <v>0</v>
      </c>
      <c r="O12" s="14">
        <v>0</v>
      </c>
      <c r="P12" s="16">
        <v>0</v>
      </c>
      <c r="Q12" s="14">
        <v>0</v>
      </c>
      <c r="R12" s="16">
        <v>0</v>
      </c>
      <c r="S12" s="14">
        <v>0</v>
      </c>
      <c r="T12" s="16">
        <v>0</v>
      </c>
    </row>
    <row r="13" spans="1:20" x14ac:dyDescent="0.25">
      <c r="A13" s="11" t="s">
        <v>145</v>
      </c>
      <c r="B13" s="13">
        <v>7161</v>
      </c>
      <c r="C13" s="14">
        <f>(6056/B13*100)</f>
        <v>84.569194246613606</v>
      </c>
      <c r="D13" s="15">
        <v>1105</v>
      </c>
      <c r="E13" s="14">
        <v>53.397816980000002</v>
      </c>
      <c r="F13" s="16">
        <v>1.88604219</v>
      </c>
      <c r="G13" s="14">
        <v>11.75093959</v>
      </c>
      <c r="H13" s="16">
        <v>1.18294071</v>
      </c>
      <c r="I13" s="14">
        <v>34.851243429999997</v>
      </c>
      <c r="J13" s="16">
        <v>1.7623919400000001</v>
      </c>
      <c r="K13" s="14" t="s">
        <v>139</v>
      </c>
      <c r="L13" s="16" t="s">
        <v>139</v>
      </c>
      <c r="M13" s="14">
        <v>0</v>
      </c>
      <c r="N13" s="16">
        <v>0</v>
      </c>
      <c r="O13" s="14">
        <v>0</v>
      </c>
      <c r="P13" s="16">
        <v>0</v>
      </c>
      <c r="Q13" s="14">
        <v>0</v>
      </c>
      <c r="R13" s="16">
        <v>0</v>
      </c>
      <c r="S13" s="14">
        <v>0</v>
      </c>
      <c r="T13" s="16">
        <v>0</v>
      </c>
    </row>
    <row r="14" spans="1:20" x14ac:dyDescent="0.25">
      <c r="A14" s="11" t="s">
        <v>146</v>
      </c>
      <c r="B14" s="13">
        <v>5587</v>
      </c>
      <c r="C14" s="14">
        <f>(4649/B14*100)</f>
        <v>83.211025595131559</v>
      </c>
      <c r="D14" s="15">
        <v>938</v>
      </c>
      <c r="E14" s="14">
        <v>51.652657300000001</v>
      </c>
      <c r="F14" s="16">
        <v>1.7415451900000001</v>
      </c>
      <c r="G14" s="14">
        <v>13.492791070000001</v>
      </c>
      <c r="H14" s="16">
        <v>1.2238667700000001</v>
      </c>
      <c r="I14" s="14">
        <v>34.854551630000003</v>
      </c>
      <c r="J14" s="16">
        <v>1.6703794300000001</v>
      </c>
      <c r="K14" s="14" t="s">
        <v>139</v>
      </c>
      <c r="L14" s="16" t="s">
        <v>139</v>
      </c>
      <c r="M14" s="14">
        <v>0</v>
      </c>
      <c r="N14" s="16">
        <v>0</v>
      </c>
      <c r="O14" s="14">
        <v>0</v>
      </c>
      <c r="P14" s="16">
        <v>0</v>
      </c>
      <c r="Q14" s="14">
        <v>0</v>
      </c>
      <c r="R14" s="16">
        <v>0</v>
      </c>
      <c r="S14" s="14">
        <v>0</v>
      </c>
      <c r="T14" s="16">
        <v>0</v>
      </c>
    </row>
    <row r="15" spans="1:20" x14ac:dyDescent="0.25">
      <c r="A15" s="11" t="s">
        <v>147</v>
      </c>
      <c r="B15" s="13">
        <v>5882</v>
      </c>
      <c r="C15" s="14">
        <f>(4896/B15*100)</f>
        <v>83.236994219653184</v>
      </c>
      <c r="D15" s="15">
        <v>986</v>
      </c>
      <c r="E15" s="14">
        <v>57.681872869999999</v>
      </c>
      <c r="F15" s="16">
        <v>1.50433851</v>
      </c>
      <c r="G15" s="14">
        <v>9.6805266400000001</v>
      </c>
      <c r="H15" s="16">
        <v>0.87796741</v>
      </c>
      <c r="I15" s="14">
        <v>32.637600489999997</v>
      </c>
      <c r="J15" s="16">
        <v>1.46353965</v>
      </c>
      <c r="K15" s="14" t="s">
        <v>139</v>
      </c>
      <c r="L15" s="16" t="s">
        <v>139</v>
      </c>
      <c r="M15" s="14">
        <v>0</v>
      </c>
      <c r="N15" s="16">
        <v>0</v>
      </c>
      <c r="O15" s="14">
        <v>0</v>
      </c>
      <c r="P15" s="16">
        <v>0</v>
      </c>
      <c r="Q15" s="14">
        <v>0</v>
      </c>
      <c r="R15" s="16">
        <v>0</v>
      </c>
      <c r="S15" s="14">
        <v>0</v>
      </c>
      <c r="T15" s="16">
        <v>0</v>
      </c>
    </row>
    <row r="16" spans="1:20" x14ac:dyDescent="0.25">
      <c r="A16" s="11" t="s">
        <v>148</v>
      </c>
      <c r="B16" s="13">
        <v>6108</v>
      </c>
      <c r="C16" s="14">
        <f>(5126/B16*100)</f>
        <v>83.922724296005242</v>
      </c>
      <c r="D16" s="15">
        <v>982</v>
      </c>
      <c r="E16" s="14">
        <v>61.830859629999999</v>
      </c>
      <c r="F16" s="16">
        <v>1.6597080200000001</v>
      </c>
      <c r="G16" s="14">
        <v>13.964290180000001</v>
      </c>
      <c r="H16" s="16">
        <v>1.15395015</v>
      </c>
      <c r="I16" s="14">
        <v>24.204850189999998</v>
      </c>
      <c r="J16" s="16">
        <v>1.4361608299999999</v>
      </c>
      <c r="K16" s="14" t="s">
        <v>139</v>
      </c>
      <c r="L16" s="16" t="s">
        <v>139</v>
      </c>
      <c r="M16" s="14">
        <v>0</v>
      </c>
      <c r="N16" s="16">
        <v>0</v>
      </c>
      <c r="O16" s="14">
        <v>0</v>
      </c>
      <c r="P16" s="16">
        <v>0</v>
      </c>
      <c r="Q16" s="14">
        <v>0</v>
      </c>
      <c r="R16" s="16">
        <v>0</v>
      </c>
      <c r="S16" s="14">
        <v>0</v>
      </c>
      <c r="T16" s="16">
        <v>0</v>
      </c>
    </row>
    <row r="17" spans="1:20" x14ac:dyDescent="0.25">
      <c r="A17" s="11" t="s">
        <v>149</v>
      </c>
      <c r="B17" s="13">
        <v>6504</v>
      </c>
      <c r="C17" s="14">
        <f>(5460/B17*100)</f>
        <v>83.948339483394832</v>
      </c>
      <c r="D17" s="15">
        <v>1044</v>
      </c>
      <c r="E17" s="14">
        <v>55.628891189999997</v>
      </c>
      <c r="F17" s="16">
        <v>1.4310650700000001</v>
      </c>
      <c r="G17" s="14">
        <v>13.58200046</v>
      </c>
      <c r="H17" s="16">
        <v>1.1334103200000001</v>
      </c>
      <c r="I17" s="14">
        <v>30.789108349999999</v>
      </c>
      <c r="J17" s="16">
        <v>1.3519337199999999</v>
      </c>
      <c r="K17" s="14" t="s">
        <v>139</v>
      </c>
      <c r="L17" s="16" t="s">
        <v>139</v>
      </c>
      <c r="M17" s="14">
        <v>0</v>
      </c>
      <c r="N17" s="16">
        <v>0</v>
      </c>
      <c r="O17" s="14">
        <v>0</v>
      </c>
      <c r="P17" s="16">
        <v>0</v>
      </c>
      <c r="Q17" s="14">
        <v>0</v>
      </c>
      <c r="R17" s="16">
        <v>0</v>
      </c>
      <c r="S17" s="14">
        <v>0</v>
      </c>
      <c r="T17" s="16">
        <v>0</v>
      </c>
    </row>
    <row r="18" spans="1:20" x14ac:dyDescent="0.25">
      <c r="A18" s="11" t="s">
        <v>150</v>
      </c>
      <c r="B18" s="13">
        <v>5532</v>
      </c>
      <c r="C18" s="14">
        <f>(4600/B18*100)</f>
        <v>83.152566883586417</v>
      </c>
      <c r="D18" s="15">
        <v>932</v>
      </c>
      <c r="E18" s="14">
        <v>63.086850949999999</v>
      </c>
      <c r="F18" s="16">
        <v>1.7099579300000001</v>
      </c>
      <c r="G18" s="14">
        <v>17.216937430000002</v>
      </c>
      <c r="H18" s="16">
        <v>1.4510095700000001</v>
      </c>
      <c r="I18" s="14">
        <v>19.69621162</v>
      </c>
      <c r="J18" s="16">
        <v>1.4226478899999999</v>
      </c>
      <c r="K18" s="14" t="s">
        <v>139</v>
      </c>
      <c r="L18" s="16" t="s">
        <v>139</v>
      </c>
      <c r="M18" s="14">
        <v>0</v>
      </c>
      <c r="N18" s="16">
        <v>0</v>
      </c>
      <c r="O18" s="14">
        <v>0</v>
      </c>
      <c r="P18" s="16">
        <v>0</v>
      </c>
      <c r="Q18" s="14">
        <v>0</v>
      </c>
      <c r="R18" s="16">
        <v>0</v>
      </c>
      <c r="S18" s="14">
        <v>0</v>
      </c>
      <c r="T18" s="16">
        <v>0</v>
      </c>
    </row>
    <row r="19" spans="1:20" x14ac:dyDescent="0.25">
      <c r="A19" s="11" t="s">
        <v>151</v>
      </c>
      <c r="B19" s="13">
        <v>5658</v>
      </c>
      <c r="C19" s="14">
        <f>(4757/B19*100)</f>
        <v>84.075645104277129</v>
      </c>
      <c r="D19" s="15">
        <v>901</v>
      </c>
      <c r="E19" s="14">
        <v>64.862312259999996</v>
      </c>
      <c r="F19" s="16">
        <v>1.7378248000000001</v>
      </c>
      <c r="G19" s="14">
        <v>15.75066573</v>
      </c>
      <c r="H19" s="16">
        <v>1.32800732</v>
      </c>
      <c r="I19" s="14">
        <v>19.387022009999999</v>
      </c>
      <c r="J19" s="16">
        <v>1.3553094999999999</v>
      </c>
      <c r="K19" s="14" t="s">
        <v>139</v>
      </c>
      <c r="L19" s="16" t="s">
        <v>139</v>
      </c>
      <c r="M19" s="14">
        <v>0</v>
      </c>
      <c r="N19" s="16">
        <v>0</v>
      </c>
      <c r="O19" s="14">
        <v>0</v>
      </c>
      <c r="P19" s="16">
        <v>0</v>
      </c>
      <c r="Q19" s="14">
        <v>0</v>
      </c>
      <c r="R19" s="16">
        <v>0</v>
      </c>
      <c r="S19" s="14">
        <v>0</v>
      </c>
      <c r="T19" s="16">
        <v>0</v>
      </c>
    </row>
    <row r="20" spans="1:20" x14ac:dyDescent="0.25">
      <c r="A20" s="11" t="s">
        <v>152</v>
      </c>
      <c r="B20" s="13">
        <v>3371</v>
      </c>
      <c r="C20" s="14">
        <f>(2826/B20*100)</f>
        <v>83.832690596262239</v>
      </c>
      <c r="D20" s="15">
        <v>545</v>
      </c>
      <c r="E20" s="14">
        <v>54.910627730000002</v>
      </c>
      <c r="F20" s="16">
        <v>2.1408504700000002</v>
      </c>
      <c r="G20" s="14">
        <v>15.9987081</v>
      </c>
      <c r="H20" s="16">
        <v>1.6586455</v>
      </c>
      <c r="I20" s="14">
        <v>29.09066417</v>
      </c>
      <c r="J20" s="16">
        <v>2.2153745599999999</v>
      </c>
      <c r="K20" s="14" t="s">
        <v>139</v>
      </c>
      <c r="L20" s="16" t="s">
        <v>139</v>
      </c>
      <c r="M20" s="14">
        <v>0</v>
      </c>
      <c r="N20" s="16">
        <v>0</v>
      </c>
      <c r="O20" s="14">
        <v>0</v>
      </c>
      <c r="P20" s="16">
        <v>0</v>
      </c>
      <c r="Q20" s="14">
        <v>0</v>
      </c>
      <c r="R20" s="16">
        <v>0</v>
      </c>
      <c r="S20" s="14">
        <v>0</v>
      </c>
      <c r="T20" s="16">
        <v>0</v>
      </c>
    </row>
    <row r="21" spans="1:20" x14ac:dyDescent="0.25">
      <c r="A21" s="11" t="s">
        <v>153</v>
      </c>
      <c r="B21" s="17" t="s">
        <v>154</v>
      </c>
      <c r="C21" s="17" t="s">
        <v>154</v>
      </c>
      <c r="D21" s="18" t="s">
        <v>154</v>
      </c>
      <c r="E21" s="17" t="s">
        <v>154</v>
      </c>
      <c r="F21" s="18" t="s">
        <v>154</v>
      </c>
      <c r="G21" s="17" t="s">
        <v>154</v>
      </c>
      <c r="H21" s="18" t="s">
        <v>154</v>
      </c>
      <c r="I21" s="17" t="s">
        <v>154</v>
      </c>
      <c r="J21" s="18" t="s">
        <v>154</v>
      </c>
      <c r="K21" s="17" t="s">
        <v>154</v>
      </c>
      <c r="L21" s="18" t="s">
        <v>154</v>
      </c>
      <c r="M21" s="17" t="s">
        <v>154</v>
      </c>
      <c r="N21" s="18" t="s">
        <v>154</v>
      </c>
      <c r="O21" s="17" t="s">
        <v>154</v>
      </c>
      <c r="P21" s="18" t="s">
        <v>154</v>
      </c>
      <c r="Q21" s="17" t="s">
        <v>154</v>
      </c>
      <c r="R21" s="18" t="s">
        <v>154</v>
      </c>
      <c r="S21" s="17" t="s">
        <v>154</v>
      </c>
      <c r="T21" s="18" t="s">
        <v>154</v>
      </c>
    </row>
    <row r="22" spans="1:20" x14ac:dyDescent="0.25">
      <c r="A22" s="11" t="s">
        <v>155</v>
      </c>
      <c r="B22" s="13">
        <v>6598</v>
      </c>
      <c r="C22" s="14">
        <f>(5614/B22*100)</f>
        <v>85.086389815095487</v>
      </c>
      <c r="D22" s="15">
        <v>984</v>
      </c>
      <c r="E22" s="14">
        <v>61.846374869999998</v>
      </c>
      <c r="F22" s="16">
        <v>1.6329633699999999</v>
      </c>
      <c r="G22" s="14">
        <v>13.87690914</v>
      </c>
      <c r="H22" s="16">
        <v>1.1371692900000001</v>
      </c>
      <c r="I22" s="14">
        <v>24.27671599</v>
      </c>
      <c r="J22" s="16">
        <v>1.29091979</v>
      </c>
      <c r="K22" s="14" t="s">
        <v>139</v>
      </c>
      <c r="L22" s="16" t="s">
        <v>139</v>
      </c>
      <c r="M22" s="14">
        <v>0</v>
      </c>
      <c r="N22" s="16">
        <v>0</v>
      </c>
      <c r="O22" s="14">
        <v>0</v>
      </c>
      <c r="P22" s="16">
        <v>0</v>
      </c>
      <c r="Q22" s="14">
        <v>0</v>
      </c>
      <c r="R22" s="16">
        <v>0</v>
      </c>
      <c r="S22" s="14">
        <v>0</v>
      </c>
      <c r="T22" s="16">
        <v>0</v>
      </c>
    </row>
    <row r="23" spans="1:20" x14ac:dyDescent="0.25">
      <c r="A23" s="11" t="s">
        <v>156</v>
      </c>
      <c r="B23" s="13">
        <v>11583</v>
      </c>
      <c r="C23" s="14">
        <f>(9647/B23*100)</f>
        <v>83.285849952516628</v>
      </c>
      <c r="D23" s="15">
        <v>1936</v>
      </c>
      <c r="E23" s="14">
        <v>57.522439200000001</v>
      </c>
      <c r="F23" s="16">
        <v>1.6035147300000001</v>
      </c>
      <c r="G23" s="14">
        <v>15.624257910000001</v>
      </c>
      <c r="H23" s="16">
        <v>1.20428753</v>
      </c>
      <c r="I23" s="14">
        <v>26.853302889999998</v>
      </c>
      <c r="J23" s="16">
        <v>1.3723107800000001</v>
      </c>
      <c r="K23" s="14" t="s">
        <v>139</v>
      </c>
      <c r="L23" s="16" t="s">
        <v>139</v>
      </c>
      <c r="M23" s="14">
        <v>0</v>
      </c>
      <c r="N23" s="16">
        <v>0</v>
      </c>
      <c r="O23" s="14">
        <v>0</v>
      </c>
      <c r="P23" s="16">
        <v>0</v>
      </c>
      <c r="Q23" s="14">
        <v>0</v>
      </c>
      <c r="R23" s="16">
        <v>0</v>
      </c>
      <c r="S23" s="14">
        <v>0</v>
      </c>
      <c r="T23" s="16">
        <v>0</v>
      </c>
    </row>
    <row r="24" spans="1:20" x14ac:dyDescent="0.25">
      <c r="A24" s="11" t="s">
        <v>157</v>
      </c>
      <c r="B24" s="13">
        <v>6647</v>
      </c>
      <c r="C24" s="14">
        <f>(5517/B24*100)</f>
        <v>82.999849556190767</v>
      </c>
      <c r="D24" s="15">
        <v>1130</v>
      </c>
      <c r="E24" s="14">
        <v>41.049812789999997</v>
      </c>
      <c r="F24" s="16">
        <v>1.72574462</v>
      </c>
      <c r="G24" s="14">
        <v>7.31030801</v>
      </c>
      <c r="H24" s="16">
        <v>0.72572289999999995</v>
      </c>
      <c r="I24" s="14">
        <v>51.639879200000003</v>
      </c>
      <c r="J24" s="16">
        <v>1.92038869</v>
      </c>
      <c r="K24" s="14" t="s">
        <v>139</v>
      </c>
      <c r="L24" s="16" t="s">
        <v>139</v>
      </c>
      <c r="M24" s="14">
        <v>0</v>
      </c>
      <c r="N24" s="16">
        <v>0</v>
      </c>
      <c r="O24" s="14">
        <v>0</v>
      </c>
      <c r="P24" s="16">
        <v>0</v>
      </c>
      <c r="Q24" s="14">
        <v>0</v>
      </c>
      <c r="R24" s="16">
        <v>0</v>
      </c>
      <c r="S24" s="14">
        <v>0</v>
      </c>
      <c r="T24" s="16">
        <v>0</v>
      </c>
    </row>
    <row r="25" spans="1:20" x14ac:dyDescent="0.25">
      <c r="A25" s="11" t="s">
        <v>158</v>
      </c>
      <c r="B25" s="13">
        <v>5581</v>
      </c>
      <c r="C25" s="14">
        <f>(4615/B25*100)</f>
        <v>82.691273965239205</v>
      </c>
      <c r="D25" s="15">
        <v>966</v>
      </c>
      <c r="E25" s="14">
        <v>47.697391639999999</v>
      </c>
      <c r="F25" s="16">
        <v>1.6230553400000001</v>
      </c>
      <c r="G25" s="14">
        <v>12.97423837</v>
      </c>
      <c r="H25" s="16">
        <v>1.09097296</v>
      </c>
      <c r="I25" s="14">
        <v>39.328369989999999</v>
      </c>
      <c r="J25" s="16">
        <v>1.49321576</v>
      </c>
      <c r="K25" s="14" t="s">
        <v>139</v>
      </c>
      <c r="L25" s="16" t="s">
        <v>139</v>
      </c>
      <c r="M25" s="14">
        <v>0</v>
      </c>
      <c r="N25" s="16">
        <v>0</v>
      </c>
      <c r="O25" s="14">
        <v>0</v>
      </c>
      <c r="P25" s="16">
        <v>0</v>
      </c>
      <c r="Q25" s="14">
        <v>0</v>
      </c>
      <c r="R25" s="16">
        <v>0</v>
      </c>
      <c r="S25" s="14">
        <v>0</v>
      </c>
      <c r="T25" s="16">
        <v>0</v>
      </c>
    </row>
    <row r="26" spans="1:20" x14ac:dyDescent="0.25">
      <c r="A26" s="11" t="s">
        <v>159</v>
      </c>
      <c r="B26" s="13">
        <v>4869</v>
      </c>
      <c r="C26" s="14">
        <f>(4049/B26*100)</f>
        <v>83.15875949887041</v>
      </c>
      <c r="D26" s="15">
        <v>820</v>
      </c>
      <c r="E26" s="14">
        <v>60.623502100000003</v>
      </c>
      <c r="F26" s="16">
        <v>1.7687628</v>
      </c>
      <c r="G26" s="14">
        <v>13.0454299</v>
      </c>
      <c r="H26" s="16">
        <v>1.15385983</v>
      </c>
      <c r="I26" s="14">
        <v>26.331067999999998</v>
      </c>
      <c r="J26" s="16">
        <v>1.5712177199999999</v>
      </c>
      <c r="K26" s="14" t="s">
        <v>139</v>
      </c>
      <c r="L26" s="16" t="s">
        <v>139</v>
      </c>
      <c r="M26" s="14">
        <v>0</v>
      </c>
      <c r="N26" s="16">
        <v>0</v>
      </c>
      <c r="O26" s="14">
        <v>0</v>
      </c>
      <c r="P26" s="16">
        <v>0</v>
      </c>
      <c r="Q26" s="14">
        <v>0</v>
      </c>
      <c r="R26" s="16">
        <v>0</v>
      </c>
      <c r="S26" s="14">
        <v>0</v>
      </c>
      <c r="T26" s="16">
        <v>0</v>
      </c>
    </row>
    <row r="27" spans="1:20" x14ac:dyDescent="0.25">
      <c r="A27" s="11" t="s">
        <v>160</v>
      </c>
      <c r="B27" s="13">
        <v>5299</v>
      </c>
      <c r="C27" s="14">
        <f>(4454/B27*100)</f>
        <v>84.053595017927904</v>
      </c>
      <c r="D27" s="15">
        <v>845</v>
      </c>
      <c r="E27" s="14">
        <v>63.668597890000001</v>
      </c>
      <c r="F27" s="16">
        <v>1.7977315199999999</v>
      </c>
      <c r="G27" s="14">
        <v>14.12751113</v>
      </c>
      <c r="H27" s="16">
        <v>1.1722921900000001</v>
      </c>
      <c r="I27" s="14">
        <v>22.203890980000001</v>
      </c>
      <c r="J27" s="16">
        <v>1.5726277</v>
      </c>
      <c r="K27" s="14" t="s">
        <v>139</v>
      </c>
      <c r="L27" s="16" t="s">
        <v>139</v>
      </c>
      <c r="M27" s="14">
        <v>0</v>
      </c>
      <c r="N27" s="16">
        <v>0</v>
      </c>
      <c r="O27" s="14">
        <v>0</v>
      </c>
      <c r="P27" s="16">
        <v>0</v>
      </c>
      <c r="Q27" s="14">
        <v>0</v>
      </c>
      <c r="R27" s="16">
        <v>0</v>
      </c>
      <c r="S27" s="14">
        <v>0</v>
      </c>
      <c r="T27" s="16">
        <v>0</v>
      </c>
    </row>
    <row r="28" spans="1:20" x14ac:dyDescent="0.25">
      <c r="A28" s="11" t="s">
        <v>161</v>
      </c>
      <c r="B28" s="13">
        <v>7568</v>
      </c>
      <c r="C28" s="14">
        <f>(6449/B28*100)</f>
        <v>85.214059196617328</v>
      </c>
      <c r="D28" s="15">
        <v>1119</v>
      </c>
      <c r="E28" s="14">
        <v>75.645599829999995</v>
      </c>
      <c r="F28" s="16">
        <v>1.2405542700000001</v>
      </c>
      <c r="G28" s="14">
        <v>16.551437549999999</v>
      </c>
      <c r="H28" s="16">
        <v>1.09055349</v>
      </c>
      <c r="I28" s="14">
        <v>7.8029626099999998</v>
      </c>
      <c r="J28" s="16">
        <v>0.98285544000000002</v>
      </c>
      <c r="K28" s="14" t="s">
        <v>139</v>
      </c>
      <c r="L28" s="16" t="s">
        <v>139</v>
      </c>
      <c r="M28" s="14">
        <v>0</v>
      </c>
      <c r="N28" s="16">
        <v>0</v>
      </c>
      <c r="O28" s="14">
        <v>0</v>
      </c>
      <c r="P28" s="16">
        <v>0</v>
      </c>
      <c r="Q28" s="14">
        <v>0</v>
      </c>
      <c r="R28" s="16">
        <v>0</v>
      </c>
      <c r="S28" s="14">
        <v>0</v>
      </c>
      <c r="T28" s="16">
        <v>0</v>
      </c>
    </row>
    <row r="29" spans="1:20" x14ac:dyDescent="0.25">
      <c r="A29" s="11" t="s">
        <v>162</v>
      </c>
      <c r="B29" s="13">
        <v>5385</v>
      </c>
      <c r="C29" s="14">
        <f>(4501/B29*100)</f>
        <v>83.584029712163428</v>
      </c>
      <c r="D29" s="15">
        <v>884</v>
      </c>
      <c r="E29" s="14">
        <v>56.907850490000001</v>
      </c>
      <c r="F29" s="16">
        <v>1.5874292999999999</v>
      </c>
      <c r="G29" s="14">
        <v>13.85789907</v>
      </c>
      <c r="H29" s="16">
        <v>1.2661370999999999</v>
      </c>
      <c r="I29" s="14">
        <v>29.23425044</v>
      </c>
      <c r="J29" s="16">
        <v>1.44094499</v>
      </c>
      <c r="K29" s="14" t="s">
        <v>139</v>
      </c>
      <c r="L29" s="16" t="s">
        <v>139</v>
      </c>
      <c r="M29" s="14">
        <v>0</v>
      </c>
      <c r="N29" s="16">
        <v>0</v>
      </c>
      <c r="O29" s="14">
        <v>0</v>
      </c>
      <c r="P29" s="16">
        <v>0</v>
      </c>
      <c r="Q29" s="14">
        <v>0</v>
      </c>
      <c r="R29" s="16">
        <v>0</v>
      </c>
      <c r="S29" s="14">
        <v>0</v>
      </c>
      <c r="T29" s="16">
        <v>0</v>
      </c>
    </row>
    <row r="30" spans="1:20" x14ac:dyDescent="0.25">
      <c r="A30" s="11" t="s">
        <v>163</v>
      </c>
      <c r="B30" s="13">
        <v>4520</v>
      </c>
      <c r="C30" s="14">
        <f>(3837/B30*100)</f>
        <v>84.88938053097344</v>
      </c>
      <c r="D30" s="15">
        <v>683</v>
      </c>
      <c r="E30" s="14">
        <v>51.895874599999999</v>
      </c>
      <c r="F30" s="16">
        <v>2.1103918099999999</v>
      </c>
      <c r="G30" s="14">
        <v>12.25008951</v>
      </c>
      <c r="H30" s="16">
        <v>1.2399834000000001</v>
      </c>
      <c r="I30" s="14">
        <v>35.854035889999999</v>
      </c>
      <c r="J30" s="16">
        <v>2.0213200599999999</v>
      </c>
      <c r="K30" s="14" t="s">
        <v>139</v>
      </c>
      <c r="L30" s="16" t="s">
        <v>139</v>
      </c>
      <c r="M30" s="14">
        <v>0</v>
      </c>
      <c r="N30" s="16">
        <v>0</v>
      </c>
      <c r="O30" s="14">
        <v>0</v>
      </c>
      <c r="P30" s="16">
        <v>0</v>
      </c>
      <c r="Q30" s="14">
        <v>0</v>
      </c>
      <c r="R30" s="16">
        <v>0</v>
      </c>
      <c r="S30" s="14">
        <v>0</v>
      </c>
      <c r="T30" s="16">
        <v>0</v>
      </c>
    </row>
    <row r="31" spans="1:20" x14ac:dyDescent="0.25">
      <c r="A31" s="11" t="s">
        <v>164</v>
      </c>
      <c r="B31" s="13">
        <v>5456</v>
      </c>
      <c r="C31" s="14">
        <f>(4572/B31*100)</f>
        <v>83.797653958944281</v>
      </c>
      <c r="D31" s="15">
        <v>884</v>
      </c>
      <c r="E31" s="14">
        <v>59.972096440000001</v>
      </c>
      <c r="F31" s="16">
        <v>1.6515105699999999</v>
      </c>
      <c r="G31" s="14">
        <v>11.90607602</v>
      </c>
      <c r="H31" s="16">
        <v>1.04747374</v>
      </c>
      <c r="I31" s="14">
        <v>28.121827540000002</v>
      </c>
      <c r="J31" s="16">
        <v>1.3409770400000001</v>
      </c>
      <c r="K31" s="14" t="s">
        <v>139</v>
      </c>
      <c r="L31" s="16" t="s">
        <v>139</v>
      </c>
      <c r="M31" s="14">
        <v>0</v>
      </c>
      <c r="N31" s="16">
        <v>0</v>
      </c>
      <c r="O31" s="14">
        <v>0</v>
      </c>
      <c r="P31" s="16">
        <v>0</v>
      </c>
      <c r="Q31" s="14">
        <v>0</v>
      </c>
      <c r="R31" s="16">
        <v>0</v>
      </c>
      <c r="S31" s="14">
        <v>0</v>
      </c>
      <c r="T31" s="16">
        <v>0</v>
      </c>
    </row>
    <row r="32" spans="1:20" x14ac:dyDescent="0.25">
      <c r="A32" s="11" t="s">
        <v>165</v>
      </c>
      <c r="B32" s="17" t="s">
        <v>154</v>
      </c>
      <c r="C32" s="17" t="s">
        <v>154</v>
      </c>
      <c r="D32" s="18" t="s">
        <v>154</v>
      </c>
      <c r="E32" s="17" t="s">
        <v>154</v>
      </c>
      <c r="F32" s="18" t="s">
        <v>154</v>
      </c>
      <c r="G32" s="17" t="s">
        <v>154</v>
      </c>
      <c r="H32" s="18" t="s">
        <v>154</v>
      </c>
      <c r="I32" s="17" t="s">
        <v>154</v>
      </c>
      <c r="J32" s="18" t="s">
        <v>154</v>
      </c>
      <c r="K32" s="17" t="s">
        <v>154</v>
      </c>
      <c r="L32" s="18" t="s">
        <v>154</v>
      </c>
      <c r="M32" s="17" t="s">
        <v>154</v>
      </c>
      <c r="N32" s="18" t="s">
        <v>154</v>
      </c>
      <c r="O32" s="17" t="s">
        <v>154</v>
      </c>
      <c r="P32" s="18" t="s">
        <v>154</v>
      </c>
      <c r="Q32" s="17" t="s">
        <v>154</v>
      </c>
      <c r="R32" s="18" t="s">
        <v>154</v>
      </c>
      <c r="S32" s="17" t="s">
        <v>154</v>
      </c>
      <c r="T32" s="18" t="s">
        <v>154</v>
      </c>
    </row>
    <row r="33" spans="1:20" x14ac:dyDescent="0.25">
      <c r="A33" s="11" t="s">
        <v>166</v>
      </c>
      <c r="B33" s="13">
        <v>7325</v>
      </c>
      <c r="C33" s="14">
        <f>(6167/B33*100)</f>
        <v>84.191126279863482</v>
      </c>
      <c r="D33" s="15">
        <v>1158</v>
      </c>
      <c r="E33" s="14">
        <v>50.133136909999997</v>
      </c>
      <c r="F33" s="16">
        <v>1.65250249</v>
      </c>
      <c r="G33" s="14">
        <v>17.29996178</v>
      </c>
      <c r="H33" s="16">
        <v>1.12238043</v>
      </c>
      <c r="I33" s="14">
        <v>32.566901309999999</v>
      </c>
      <c r="J33" s="16">
        <v>1.5161711</v>
      </c>
      <c r="K33" s="14" t="s">
        <v>139</v>
      </c>
      <c r="L33" s="16" t="s">
        <v>139</v>
      </c>
      <c r="M33" s="14">
        <v>0</v>
      </c>
      <c r="N33" s="16">
        <v>0</v>
      </c>
      <c r="O33" s="14">
        <v>0</v>
      </c>
      <c r="P33" s="16">
        <v>0</v>
      </c>
      <c r="Q33" s="14">
        <v>0</v>
      </c>
      <c r="R33" s="16">
        <v>0</v>
      </c>
      <c r="S33" s="14">
        <v>0</v>
      </c>
      <c r="T33" s="16">
        <v>0</v>
      </c>
    </row>
    <row r="34" spans="1:20" x14ac:dyDescent="0.25">
      <c r="A34" s="11" t="s">
        <v>167</v>
      </c>
      <c r="B34" s="13">
        <v>6350</v>
      </c>
      <c r="C34" s="14">
        <f>(5369/B34*100)</f>
        <v>84.551181102362207</v>
      </c>
      <c r="D34" s="15">
        <v>981</v>
      </c>
      <c r="E34" s="14">
        <v>68.154030910000003</v>
      </c>
      <c r="F34" s="16">
        <v>1.6204057199999999</v>
      </c>
      <c r="G34" s="14">
        <v>12.18746331</v>
      </c>
      <c r="H34" s="16">
        <v>1.1445109899999999</v>
      </c>
      <c r="I34" s="14">
        <v>19.65850579</v>
      </c>
      <c r="J34" s="16">
        <v>1.42549697</v>
      </c>
      <c r="K34" s="14" t="s">
        <v>139</v>
      </c>
      <c r="L34" s="16" t="s">
        <v>139</v>
      </c>
      <c r="M34" s="14">
        <v>0</v>
      </c>
      <c r="N34" s="16">
        <v>0</v>
      </c>
      <c r="O34" s="14">
        <v>0</v>
      </c>
      <c r="P34" s="16">
        <v>0</v>
      </c>
      <c r="Q34" s="14">
        <v>0</v>
      </c>
      <c r="R34" s="16">
        <v>0</v>
      </c>
      <c r="S34" s="14">
        <v>0</v>
      </c>
      <c r="T34" s="16">
        <v>0</v>
      </c>
    </row>
    <row r="35" spans="1:20" x14ac:dyDescent="0.25">
      <c r="A35" s="11" t="s">
        <v>168</v>
      </c>
      <c r="B35" s="13">
        <v>6406</v>
      </c>
      <c r="C35" s="14">
        <f>(5366/B35*100)</f>
        <v>83.76522010615048</v>
      </c>
      <c r="D35" s="15">
        <v>1040</v>
      </c>
      <c r="E35" s="14">
        <v>54.513573790000002</v>
      </c>
      <c r="F35" s="16">
        <v>1.8796246700000001</v>
      </c>
      <c r="G35" s="14">
        <v>13.63673955</v>
      </c>
      <c r="H35" s="16">
        <v>1.63619428</v>
      </c>
      <c r="I35" s="14">
        <v>31.849686670000001</v>
      </c>
      <c r="J35" s="16">
        <v>1.5464452399999999</v>
      </c>
      <c r="K35" s="14" t="s">
        <v>139</v>
      </c>
      <c r="L35" s="16" t="s">
        <v>139</v>
      </c>
      <c r="M35" s="14">
        <v>0</v>
      </c>
      <c r="N35" s="16">
        <v>0</v>
      </c>
      <c r="O35" s="14">
        <v>0</v>
      </c>
      <c r="P35" s="16">
        <v>0</v>
      </c>
      <c r="Q35" s="14">
        <v>0</v>
      </c>
      <c r="R35" s="16">
        <v>0</v>
      </c>
      <c r="S35" s="14">
        <v>0</v>
      </c>
      <c r="T35" s="16">
        <v>0</v>
      </c>
    </row>
    <row r="36" spans="1:20" x14ac:dyDescent="0.25">
      <c r="A36" s="11" t="s">
        <v>169</v>
      </c>
      <c r="B36" s="13">
        <v>6736</v>
      </c>
      <c r="C36" s="14">
        <f>(5664/B36*100)</f>
        <v>84.085510688836109</v>
      </c>
      <c r="D36" s="15">
        <v>1072</v>
      </c>
      <c r="E36" s="14">
        <v>60.29998904</v>
      </c>
      <c r="F36" s="16">
        <v>1.5330848399999999</v>
      </c>
      <c r="G36" s="14">
        <v>14.7341687</v>
      </c>
      <c r="H36" s="16">
        <v>1.2915750699999999</v>
      </c>
      <c r="I36" s="14">
        <v>24.965842250000001</v>
      </c>
      <c r="J36" s="16">
        <v>1.5144538000000001</v>
      </c>
      <c r="K36" s="14" t="s">
        <v>139</v>
      </c>
      <c r="L36" s="16" t="s">
        <v>139</v>
      </c>
      <c r="M36" s="14">
        <v>0</v>
      </c>
      <c r="N36" s="16">
        <v>0</v>
      </c>
      <c r="O36" s="14">
        <v>0</v>
      </c>
      <c r="P36" s="16">
        <v>0</v>
      </c>
      <c r="Q36" s="14">
        <v>0</v>
      </c>
      <c r="R36" s="16">
        <v>0</v>
      </c>
      <c r="S36" s="14">
        <v>0</v>
      </c>
      <c r="T36" s="16">
        <v>0</v>
      </c>
    </row>
    <row r="37" spans="1:20" x14ac:dyDescent="0.25">
      <c r="A37" s="11" t="s">
        <v>170</v>
      </c>
      <c r="B37" s="13">
        <v>5458</v>
      </c>
      <c r="C37" s="14">
        <f>(4613/B37*100)</f>
        <v>84.518138512275556</v>
      </c>
      <c r="D37" s="15">
        <v>845</v>
      </c>
      <c r="E37" s="14">
        <v>61.132922919999999</v>
      </c>
      <c r="F37" s="16">
        <v>1.7222501400000001</v>
      </c>
      <c r="G37" s="14">
        <v>13.25081945</v>
      </c>
      <c r="H37" s="16">
        <v>1.3133831899999999</v>
      </c>
      <c r="I37" s="14">
        <v>25.61625763</v>
      </c>
      <c r="J37" s="16">
        <v>1.3737727399999999</v>
      </c>
      <c r="K37" s="14" t="s">
        <v>139</v>
      </c>
      <c r="L37" s="16" t="s">
        <v>139</v>
      </c>
      <c r="M37" s="14">
        <v>0</v>
      </c>
      <c r="N37" s="16">
        <v>0</v>
      </c>
      <c r="O37" s="14">
        <v>0</v>
      </c>
      <c r="P37" s="16">
        <v>0</v>
      </c>
      <c r="Q37" s="14">
        <v>0</v>
      </c>
      <c r="R37" s="16">
        <v>0</v>
      </c>
      <c r="S37" s="14">
        <v>0</v>
      </c>
      <c r="T37" s="16">
        <v>0</v>
      </c>
    </row>
    <row r="38" spans="1:20" x14ac:dyDescent="0.25">
      <c r="A38" s="11" t="s">
        <v>171</v>
      </c>
      <c r="B38" s="17" t="s">
        <v>154</v>
      </c>
      <c r="C38" s="17" t="s">
        <v>154</v>
      </c>
      <c r="D38" s="18" t="s">
        <v>154</v>
      </c>
      <c r="E38" s="17" t="s">
        <v>154</v>
      </c>
      <c r="F38" s="18" t="s">
        <v>154</v>
      </c>
      <c r="G38" s="17" t="s">
        <v>154</v>
      </c>
      <c r="H38" s="18" t="s">
        <v>154</v>
      </c>
      <c r="I38" s="17" t="s">
        <v>154</v>
      </c>
      <c r="J38" s="18" t="s">
        <v>154</v>
      </c>
      <c r="K38" s="17" t="s">
        <v>154</v>
      </c>
      <c r="L38" s="18" t="s">
        <v>154</v>
      </c>
      <c r="M38" s="17" t="s">
        <v>154</v>
      </c>
      <c r="N38" s="18" t="s">
        <v>154</v>
      </c>
      <c r="O38" s="17" t="s">
        <v>154</v>
      </c>
      <c r="P38" s="18" t="s">
        <v>154</v>
      </c>
      <c r="Q38" s="17" t="s">
        <v>154</v>
      </c>
      <c r="R38" s="18" t="s">
        <v>154</v>
      </c>
      <c r="S38" s="17" t="s">
        <v>154</v>
      </c>
      <c r="T38" s="18" t="s">
        <v>154</v>
      </c>
    </row>
    <row r="39" spans="1:20" x14ac:dyDescent="0.25">
      <c r="A39" s="11" t="s">
        <v>172</v>
      </c>
      <c r="B39" s="13">
        <v>5895</v>
      </c>
      <c r="C39" s="14">
        <f>(4868/B39*100)</f>
        <v>82.578456318914334</v>
      </c>
      <c r="D39" s="15">
        <v>1027</v>
      </c>
      <c r="E39" s="14">
        <v>72.943988559999994</v>
      </c>
      <c r="F39" s="16">
        <v>1.51622503</v>
      </c>
      <c r="G39" s="14">
        <v>16.178346579999999</v>
      </c>
      <c r="H39" s="16">
        <v>1.23316973</v>
      </c>
      <c r="I39" s="14">
        <v>10.877664859999999</v>
      </c>
      <c r="J39" s="16">
        <v>1.04400626</v>
      </c>
      <c r="K39" s="14" t="s">
        <v>139</v>
      </c>
      <c r="L39" s="16" t="s">
        <v>139</v>
      </c>
      <c r="M39" s="14">
        <v>0</v>
      </c>
      <c r="N39" s="16">
        <v>0</v>
      </c>
      <c r="O39" s="14">
        <v>0</v>
      </c>
      <c r="P39" s="16">
        <v>0</v>
      </c>
      <c r="Q39" s="14">
        <v>0</v>
      </c>
      <c r="R39" s="16">
        <v>0</v>
      </c>
      <c r="S39" s="14">
        <v>0</v>
      </c>
      <c r="T39" s="16">
        <v>0</v>
      </c>
    </row>
    <row r="40" spans="1:20" x14ac:dyDescent="0.25">
      <c r="A40" s="11" t="s">
        <v>173</v>
      </c>
      <c r="B40" s="13">
        <v>14157</v>
      </c>
      <c r="C40" s="14">
        <f>(11783/B40*100)</f>
        <v>83.230910503637773</v>
      </c>
      <c r="D40" s="15">
        <v>2374</v>
      </c>
      <c r="E40" s="14">
        <v>48.78933722</v>
      </c>
      <c r="F40" s="16">
        <v>1.4855022499999999</v>
      </c>
      <c r="G40" s="14">
        <v>13.26364995</v>
      </c>
      <c r="H40" s="16">
        <v>1.1790536599999999</v>
      </c>
      <c r="I40" s="14">
        <v>37.947012829999998</v>
      </c>
      <c r="J40" s="16">
        <v>1.7220442600000001</v>
      </c>
      <c r="K40" s="14" t="s">
        <v>139</v>
      </c>
      <c r="L40" s="16" t="s">
        <v>139</v>
      </c>
      <c r="M40" s="14">
        <v>0</v>
      </c>
      <c r="N40" s="16">
        <v>0</v>
      </c>
      <c r="O40" s="14">
        <v>0</v>
      </c>
      <c r="P40" s="16">
        <v>0</v>
      </c>
      <c r="Q40" s="14">
        <v>0</v>
      </c>
      <c r="R40" s="16">
        <v>0</v>
      </c>
      <c r="S40" s="14">
        <v>0</v>
      </c>
      <c r="T40" s="16">
        <v>0</v>
      </c>
    </row>
    <row r="41" spans="1:20" x14ac:dyDescent="0.25">
      <c r="A41" s="11" t="s">
        <v>174</v>
      </c>
      <c r="B41" s="13">
        <v>5712</v>
      </c>
      <c r="C41" s="14">
        <f>(4777/B41*100)</f>
        <v>83.63095238095238</v>
      </c>
      <c r="D41" s="15">
        <v>935</v>
      </c>
      <c r="E41" s="14">
        <v>57.27111635</v>
      </c>
      <c r="F41" s="16">
        <v>2.07611473</v>
      </c>
      <c r="G41" s="14">
        <v>14.81795269</v>
      </c>
      <c r="H41" s="16">
        <v>1.2939109499999999</v>
      </c>
      <c r="I41" s="14">
        <v>27.910930960000002</v>
      </c>
      <c r="J41" s="16">
        <v>1.93864908</v>
      </c>
      <c r="K41" s="14" t="s">
        <v>139</v>
      </c>
      <c r="L41" s="16" t="s">
        <v>139</v>
      </c>
      <c r="M41" s="14">
        <v>0</v>
      </c>
      <c r="N41" s="16">
        <v>0</v>
      </c>
      <c r="O41" s="14">
        <v>0</v>
      </c>
      <c r="P41" s="16">
        <v>0</v>
      </c>
      <c r="Q41" s="14">
        <v>0</v>
      </c>
      <c r="R41" s="16">
        <v>0</v>
      </c>
      <c r="S41" s="14">
        <v>0</v>
      </c>
      <c r="T41" s="16">
        <v>0</v>
      </c>
    </row>
    <row r="42" spans="1:20" x14ac:dyDescent="0.25">
      <c r="A42" s="11" t="s">
        <v>175</v>
      </c>
      <c r="B42" s="13">
        <f>IF(COUNT(B7:B41) &gt; 0, AVERAGE(B7:B41), "\u2014")</f>
        <v>7266.90625</v>
      </c>
      <c r="C42" s="14">
        <f>IF(COUNT(C7:C41) &gt; 0, AVERAGE(C7:C41), "—")</f>
        <v>83.81629354243708</v>
      </c>
      <c r="D42" s="15">
        <f>IF(COUNT(D7:D41) &gt; 0, AVERAGE(D7:D41), "—")</f>
        <v>1178.1875</v>
      </c>
      <c r="E42" s="14">
        <f>IF(COUNT(E7:E41) &gt; 0, AVERAGE(E7:E41), "—")</f>
        <v>58.172858836875015</v>
      </c>
      <c r="F42" s="16">
        <f>IF(COUNT(F7:F41) &gt; 0, SQRT(SUMSQ(F7:F41)/(COUNT(F7:F41)*COUNT(F7:F41)) ), "—")</f>
        <v>0.29150288075611852</v>
      </c>
      <c r="G42" s="14">
        <f>IF(COUNT(G7:G41) &gt; 0, AVERAGE(G7:G41), "—")</f>
        <v>13.685739980625</v>
      </c>
      <c r="H42" s="16">
        <f>IF(COUNT(H7:H41) &gt; 0, SQRT(SUMSQ(H7:H41)/(COUNT(H7:H41)*COUNT(H7:H41)) ), "—")</f>
        <v>0.21033004683771189</v>
      </c>
      <c r="I42" s="14">
        <f>IF(COUNT(I7:I41) &gt; 0, AVERAGE(I7:I41), "—")</f>
        <v>28.141401182812498</v>
      </c>
      <c r="J42" s="16">
        <f>IF(COUNT(J7:J41) &gt; 0, SQRT(SUMSQ(J7:J41)/(COUNT(J7:J41)*COUNT(J7:J41)) ), "—")</f>
        <v>0.26629152940900747</v>
      </c>
      <c r="K42" s="14" t="str">
        <f>IF(COUNT(K7:K41) &gt; 0, AVERAGE(K7:K41), "—")</f>
        <v>—</v>
      </c>
      <c r="L42" s="16" t="str">
        <f>IF(COUNT(L7:L41) &gt; 0, SQRT(SUMSQ(L7:L41)/(COUNT(L7:L41)*COUNT(L7:L41)) ), "—")</f>
        <v>—</v>
      </c>
      <c r="M42" s="14">
        <f>IF(COUNT(M7:M41) &gt; 0, AVERAGE(M7:M41), "—")</f>
        <v>0</v>
      </c>
      <c r="N42" s="16">
        <f>IF(COUNT(N7:N41) &gt; 0, SQRT(SUMSQ(N7:N41)/(COUNT(N7:N41)*COUNT(N7:N41)) ), "—")</f>
        <v>0</v>
      </c>
      <c r="O42" s="14">
        <f>IF(COUNT(O7:O41) &gt; 0, AVERAGE(O7:O41), "—")</f>
        <v>0</v>
      </c>
      <c r="P42" s="16">
        <f>IF(COUNT(P7:P41) &gt; 0, SQRT(SUMSQ(P7:P41)/(COUNT(P7:P41)*COUNT(P7:P41)) ), "—")</f>
        <v>0</v>
      </c>
      <c r="Q42" s="14">
        <f>IF(COUNT(Q7:Q41) &gt; 0, AVERAGE(Q7:Q41), "—")</f>
        <v>0</v>
      </c>
      <c r="R42" s="16">
        <f>IF(COUNT(R7:R41) &gt; 0, SQRT(SUMSQ(R7:R41)/(COUNT(R7:R41)*COUNT(R7:R41)) ), "—")</f>
        <v>0</v>
      </c>
      <c r="S42" s="14">
        <f>IF(COUNT(S7:S41) &gt; 0, AVERAGE(S7:S41), "—")</f>
        <v>0</v>
      </c>
      <c r="T42" s="16">
        <f>IF(COUNT(T7:T41) &gt; 0, SQRT(SUMSQ(T7:T41)/(COUNT(T7:T41)*COUNT(T7:T41)) ), "—")</f>
        <v>0</v>
      </c>
    </row>
    <row r="43" spans="1:20" x14ac:dyDescent="0.25">
      <c r="A43" s="9" t="s">
        <v>176</v>
      </c>
      <c r="B43" s="10"/>
      <c r="C43" s="10"/>
      <c r="D43" s="11"/>
      <c r="E43" s="10"/>
      <c r="F43" s="11"/>
      <c r="G43" s="10"/>
      <c r="H43" s="11"/>
      <c r="I43" s="10"/>
      <c r="J43" s="11"/>
      <c r="K43" s="10"/>
      <c r="L43" s="11"/>
      <c r="M43" s="10"/>
      <c r="N43" s="11"/>
      <c r="O43" s="10"/>
      <c r="P43" s="11"/>
      <c r="Q43" s="10"/>
      <c r="R43" s="11"/>
      <c r="S43" s="10"/>
      <c r="T43" s="12"/>
    </row>
    <row r="44" spans="1:20" x14ac:dyDescent="0.25">
      <c r="A44" s="11" t="s">
        <v>177</v>
      </c>
      <c r="B44" s="17" t="s">
        <v>154</v>
      </c>
      <c r="C44" s="17" t="s">
        <v>154</v>
      </c>
      <c r="D44" s="18" t="s">
        <v>154</v>
      </c>
      <c r="E44" s="17" t="s">
        <v>154</v>
      </c>
      <c r="F44" s="18" t="s">
        <v>154</v>
      </c>
      <c r="G44" s="17" t="s">
        <v>154</v>
      </c>
      <c r="H44" s="18" t="s">
        <v>154</v>
      </c>
      <c r="I44" s="17" t="s">
        <v>154</v>
      </c>
      <c r="J44" s="18" t="s">
        <v>154</v>
      </c>
      <c r="K44" s="17" t="s">
        <v>154</v>
      </c>
      <c r="L44" s="18" t="s">
        <v>154</v>
      </c>
      <c r="M44" s="17" t="s">
        <v>154</v>
      </c>
      <c r="N44" s="18" t="s">
        <v>154</v>
      </c>
      <c r="O44" s="17" t="s">
        <v>154</v>
      </c>
      <c r="P44" s="18" t="s">
        <v>154</v>
      </c>
      <c r="Q44" s="17" t="s">
        <v>154</v>
      </c>
      <c r="R44" s="18" t="s">
        <v>154</v>
      </c>
      <c r="S44" s="17" t="s">
        <v>154</v>
      </c>
      <c r="T44" s="18" t="s">
        <v>154</v>
      </c>
    </row>
    <row r="45" spans="1:20" x14ac:dyDescent="0.25">
      <c r="A45" s="11" t="s">
        <v>178</v>
      </c>
      <c r="B45" s="17" t="s">
        <v>154</v>
      </c>
      <c r="C45" s="17" t="s">
        <v>154</v>
      </c>
      <c r="D45" s="18" t="s">
        <v>154</v>
      </c>
      <c r="E45" s="17" t="s">
        <v>154</v>
      </c>
      <c r="F45" s="18" t="s">
        <v>154</v>
      </c>
      <c r="G45" s="17" t="s">
        <v>154</v>
      </c>
      <c r="H45" s="18" t="s">
        <v>154</v>
      </c>
      <c r="I45" s="17" t="s">
        <v>154</v>
      </c>
      <c r="J45" s="18" t="s">
        <v>154</v>
      </c>
      <c r="K45" s="17" t="s">
        <v>154</v>
      </c>
      <c r="L45" s="18" t="s">
        <v>154</v>
      </c>
      <c r="M45" s="17" t="s">
        <v>154</v>
      </c>
      <c r="N45" s="18" t="s">
        <v>154</v>
      </c>
      <c r="O45" s="17" t="s">
        <v>154</v>
      </c>
      <c r="P45" s="18" t="s">
        <v>154</v>
      </c>
      <c r="Q45" s="17" t="s">
        <v>154</v>
      </c>
      <c r="R45" s="18" t="s">
        <v>154</v>
      </c>
      <c r="S45" s="17" t="s">
        <v>154</v>
      </c>
      <c r="T45" s="18" t="s">
        <v>154</v>
      </c>
    </row>
    <row r="46" spans="1:20" x14ac:dyDescent="0.25">
      <c r="A46" s="11" t="s">
        <v>179</v>
      </c>
      <c r="B46" s="13">
        <v>23141</v>
      </c>
      <c r="C46" s="14">
        <f>(20514/B46*100)</f>
        <v>88.647854457456461</v>
      </c>
      <c r="D46" s="15">
        <v>2627</v>
      </c>
      <c r="E46" s="14">
        <v>80.796930509999996</v>
      </c>
      <c r="F46" s="16">
        <v>1.1109262900000001</v>
      </c>
      <c r="G46" s="14">
        <v>12.956620920000001</v>
      </c>
      <c r="H46" s="16">
        <v>0.94606707000000001</v>
      </c>
      <c r="I46" s="14">
        <v>6.2464485700000001</v>
      </c>
      <c r="J46" s="16">
        <v>0.69321496000000005</v>
      </c>
      <c r="K46" s="14" t="s">
        <v>139</v>
      </c>
      <c r="L46" s="16" t="s">
        <v>139</v>
      </c>
      <c r="M46" s="14">
        <v>0</v>
      </c>
      <c r="N46" s="16">
        <v>0</v>
      </c>
      <c r="O46" s="14">
        <v>0</v>
      </c>
      <c r="P46" s="16">
        <v>0</v>
      </c>
      <c r="Q46" s="14">
        <v>0</v>
      </c>
      <c r="R46" s="16">
        <v>0</v>
      </c>
      <c r="S46" s="14">
        <v>0</v>
      </c>
      <c r="T46" s="16">
        <v>0</v>
      </c>
    </row>
    <row r="47" spans="1:20" x14ac:dyDescent="0.25">
      <c r="A47" s="11" t="s">
        <v>180</v>
      </c>
      <c r="B47" s="13">
        <v>5928</v>
      </c>
      <c r="C47" s="14">
        <f>(5004/B47*100)</f>
        <v>84.412955465587046</v>
      </c>
      <c r="D47" s="15">
        <v>924</v>
      </c>
      <c r="E47" s="14">
        <v>61.501693039999999</v>
      </c>
      <c r="F47" s="16">
        <v>1.81087968</v>
      </c>
      <c r="G47" s="14">
        <v>19.269303099999998</v>
      </c>
      <c r="H47" s="16">
        <v>1.3028058199999999</v>
      </c>
      <c r="I47" s="14">
        <v>19.229003859999999</v>
      </c>
      <c r="J47" s="16">
        <v>1.7452056899999999</v>
      </c>
      <c r="K47" s="14" t="s">
        <v>139</v>
      </c>
      <c r="L47" s="16" t="s">
        <v>139</v>
      </c>
      <c r="M47" s="14">
        <v>0</v>
      </c>
      <c r="N47" s="16">
        <v>0</v>
      </c>
      <c r="O47" s="14">
        <v>0</v>
      </c>
      <c r="P47" s="16">
        <v>0</v>
      </c>
      <c r="Q47" s="14">
        <v>0</v>
      </c>
      <c r="R47" s="16">
        <v>0</v>
      </c>
      <c r="S47" s="14">
        <v>0</v>
      </c>
      <c r="T47" s="16">
        <v>0</v>
      </c>
    </row>
    <row r="48" spans="1:20" x14ac:dyDescent="0.25">
      <c r="A48" s="11" t="s">
        <v>181</v>
      </c>
      <c r="B48" s="13">
        <v>9841</v>
      </c>
      <c r="C48" s="14">
        <f>(8203/B48*100)</f>
        <v>83.355350066050192</v>
      </c>
      <c r="D48" s="15">
        <v>1638</v>
      </c>
      <c r="E48" s="14">
        <v>59.099820809999997</v>
      </c>
      <c r="F48" s="16">
        <v>1.7932464100000001</v>
      </c>
      <c r="G48" s="14">
        <v>10.3187152</v>
      </c>
      <c r="H48" s="16">
        <v>0.92114598999999997</v>
      </c>
      <c r="I48" s="14">
        <v>30.581464</v>
      </c>
      <c r="J48" s="16">
        <v>1.5519172999999999</v>
      </c>
      <c r="K48" s="14" t="s">
        <v>139</v>
      </c>
      <c r="L48" s="16" t="s">
        <v>139</v>
      </c>
      <c r="M48" s="14">
        <v>0</v>
      </c>
      <c r="N48" s="16">
        <v>0</v>
      </c>
      <c r="O48" s="14">
        <v>0</v>
      </c>
      <c r="P48" s="16">
        <v>0</v>
      </c>
      <c r="Q48" s="14">
        <v>0</v>
      </c>
      <c r="R48" s="16">
        <v>0</v>
      </c>
      <c r="S48" s="14">
        <v>0</v>
      </c>
      <c r="T48" s="16">
        <v>0</v>
      </c>
    </row>
    <row r="49" spans="1:20" x14ac:dyDescent="0.25">
      <c r="A49" s="11" t="s">
        <v>182</v>
      </c>
      <c r="B49" s="17" t="s">
        <v>154</v>
      </c>
      <c r="C49" s="17" t="s">
        <v>154</v>
      </c>
      <c r="D49" s="18" t="s">
        <v>154</v>
      </c>
      <c r="E49" s="17" t="s">
        <v>154</v>
      </c>
      <c r="F49" s="18" t="s">
        <v>154</v>
      </c>
      <c r="G49" s="17" t="s">
        <v>154</v>
      </c>
      <c r="H49" s="18" t="s">
        <v>154</v>
      </c>
      <c r="I49" s="17" t="s">
        <v>154</v>
      </c>
      <c r="J49" s="18" t="s">
        <v>154</v>
      </c>
      <c r="K49" s="17" t="s">
        <v>154</v>
      </c>
      <c r="L49" s="18" t="s">
        <v>154</v>
      </c>
      <c r="M49" s="17" t="s">
        <v>154</v>
      </c>
      <c r="N49" s="18" t="s">
        <v>154</v>
      </c>
      <c r="O49" s="17" t="s">
        <v>154</v>
      </c>
      <c r="P49" s="18" t="s">
        <v>154</v>
      </c>
      <c r="Q49" s="17" t="s">
        <v>154</v>
      </c>
      <c r="R49" s="18" t="s">
        <v>154</v>
      </c>
      <c r="S49" s="17" t="s">
        <v>154</v>
      </c>
      <c r="T49" s="18" t="s">
        <v>154</v>
      </c>
    </row>
    <row r="50" spans="1:20" x14ac:dyDescent="0.25">
      <c r="A50" s="11" t="s">
        <v>183</v>
      </c>
      <c r="B50" s="13">
        <v>11795</v>
      </c>
      <c r="C50" s="14">
        <f>(9961/B50*100)</f>
        <v>84.451038575667653</v>
      </c>
      <c r="D50" s="15">
        <v>1834</v>
      </c>
      <c r="E50" s="14">
        <v>80.608743340000004</v>
      </c>
      <c r="F50" s="16">
        <v>1.1122280200000001</v>
      </c>
      <c r="G50" s="14">
        <v>12.788658939999999</v>
      </c>
      <c r="H50" s="16">
        <v>0.92910420000000005</v>
      </c>
      <c r="I50" s="14">
        <v>6.6025977200000003</v>
      </c>
      <c r="J50" s="16">
        <v>0.73842761000000001</v>
      </c>
      <c r="K50" s="14" t="s">
        <v>139</v>
      </c>
      <c r="L50" s="16" t="s">
        <v>139</v>
      </c>
      <c r="M50" s="14">
        <v>0</v>
      </c>
      <c r="N50" s="16">
        <v>0</v>
      </c>
      <c r="O50" s="14">
        <v>0</v>
      </c>
      <c r="P50" s="16">
        <v>0</v>
      </c>
      <c r="Q50" s="14">
        <v>0</v>
      </c>
      <c r="R50" s="16">
        <v>0</v>
      </c>
      <c r="S50" s="14">
        <v>0</v>
      </c>
      <c r="T50" s="16">
        <v>0</v>
      </c>
    </row>
    <row r="51" spans="1:20" x14ac:dyDescent="0.25">
      <c r="A51" s="11" t="s">
        <v>184</v>
      </c>
      <c r="B51" s="13">
        <v>6866</v>
      </c>
      <c r="C51" s="14">
        <f>(5926/B51*100)</f>
        <v>86.309350422371097</v>
      </c>
      <c r="D51" s="15">
        <v>940</v>
      </c>
      <c r="E51" s="14">
        <v>77.808540969999996</v>
      </c>
      <c r="F51" s="16">
        <v>1.5345097599999999</v>
      </c>
      <c r="G51" s="14">
        <v>14.857781770000001</v>
      </c>
      <c r="H51" s="16">
        <v>1.14752495</v>
      </c>
      <c r="I51" s="14">
        <v>7.33367725</v>
      </c>
      <c r="J51" s="16">
        <v>1.04594231</v>
      </c>
      <c r="K51" s="14" t="s">
        <v>139</v>
      </c>
      <c r="L51" s="16" t="s">
        <v>139</v>
      </c>
      <c r="M51" s="14">
        <v>0</v>
      </c>
      <c r="N51" s="16">
        <v>0</v>
      </c>
      <c r="O51" s="14">
        <v>0</v>
      </c>
      <c r="P51" s="16">
        <v>0</v>
      </c>
      <c r="Q51" s="14">
        <v>0</v>
      </c>
      <c r="R51" s="16">
        <v>0</v>
      </c>
      <c r="S51" s="14">
        <v>0</v>
      </c>
      <c r="T51" s="16">
        <v>0</v>
      </c>
    </row>
    <row r="52" spans="1:20" x14ac:dyDescent="0.25">
      <c r="A52" s="11" t="s">
        <v>185</v>
      </c>
      <c r="B52" s="13">
        <v>5809</v>
      </c>
      <c r="C52" s="14">
        <f>(4863/B52*100)</f>
        <v>83.714925116198998</v>
      </c>
      <c r="D52" s="15">
        <v>946</v>
      </c>
      <c r="E52" s="14">
        <v>67.396041339999996</v>
      </c>
      <c r="F52" s="16">
        <v>1.3325515100000001</v>
      </c>
      <c r="G52" s="14">
        <v>16.826582989999999</v>
      </c>
      <c r="H52" s="16">
        <v>1.02855629</v>
      </c>
      <c r="I52" s="14">
        <v>15.77737567</v>
      </c>
      <c r="J52" s="16">
        <v>1.0637101499999999</v>
      </c>
      <c r="K52" s="14" t="s">
        <v>139</v>
      </c>
      <c r="L52" s="16" t="s">
        <v>139</v>
      </c>
      <c r="M52" s="14">
        <v>0</v>
      </c>
      <c r="N52" s="16">
        <v>0</v>
      </c>
      <c r="O52" s="14">
        <v>0</v>
      </c>
      <c r="P52" s="16">
        <v>0</v>
      </c>
      <c r="Q52" s="14">
        <v>0</v>
      </c>
      <c r="R52" s="16">
        <v>0</v>
      </c>
      <c r="S52" s="14">
        <v>0</v>
      </c>
      <c r="T52" s="16">
        <v>0</v>
      </c>
    </row>
    <row r="53" spans="1:20" x14ac:dyDescent="0.25">
      <c r="A53" s="11" t="s">
        <v>186</v>
      </c>
      <c r="B53" s="13">
        <v>5571</v>
      </c>
      <c r="C53" s="14">
        <f>(4698/B53*100)</f>
        <v>84.329563812600966</v>
      </c>
      <c r="D53" s="15">
        <v>873</v>
      </c>
      <c r="E53" s="14">
        <v>70.840121740000001</v>
      </c>
      <c r="F53" s="16">
        <v>1.6204201</v>
      </c>
      <c r="G53" s="14">
        <v>12.792923269999999</v>
      </c>
      <c r="H53" s="16">
        <v>1.2689192199999999</v>
      </c>
      <c r="I53" s="14">
        <v>16.366955000000001</v>
      </c>
      <c r="J53" s="16">
        <v>1.4291510700000001</v>
      </c>
      <c r="K53" s="14" t="s">
        <v>139</v>
      </c>
      <c r="L53" s="16" t="s">
        <v>139</v>
      </c>
      <c r="M53" s="14">
        <v>0</v>
      </c>
      <c r="N53" s="16">
        <v>0</v>
      </c>
      <c r="O53" s="14">
        <v>0</v>
      </c>
      <c r="P53" s="16">
        <v>0</v>
      </c>
      <c r="Q53" s="14">
        <v>0</v>
      </c>
      <c r="R53" s="16">
        <v>0</v>
      </c>
      <c r="S53" s="14">
        <v>0</v>
      </c>
      <c r="T53" s="16">
        <v>0</v>
      </c>
    </row>
    <row r="54" spans="1:20" x14ac:dyDescent="0.25">
      <c r="A54" s="11" t="s">
        <v>187</v>
      </c>
      <c r="B54" s="17" t="s">
        <v>154</v>
      </c>
      <c r="C54" s="17" t="s">
        <v>154</v>
      </c>
      <c r="D54" s="18" t="s">
        <v>154</v>
      </c>
      <c r="E54" s="17" t="s">
        <v>154</v>
      </c>
      <c r="F54" s="18" t="s">
        <v>154</v>
      </c>
      <c r="G54" s="17" t="s">
        <v>154</v>
      </c>
      <c r="H54" s="18" t="s">
        <v>154</v>
      </c>
      <c r="I54" s="17" t="s">
        <v>154</v>
      </c>
      <c r="J54" s="18" t="s">
        <v>154</v>
      </c>
      <c r="K54" s="17" t="s">
        <v>154</v>
      </c>
      <c r="L54" s="18" t="s">
        <v>154</v>
      </c>
      <c r="M54" s="17" t="s">
        <v>154</v>
      </c>
      <c r="N54" s="18" t="s">
        <v>154</v>
      </c>
      <c r="O54" s="17" t="s">
        <v>154</v>
      </c>
      <c r="P54" s="18" t="s">
        <v>154</v>
      </c>
      <c r="Q54" s="17" t="s">
        <v>154</v>
      </c>
      <c r="R54" s="18" t="s">
        <v>154</v>
      </c>
      <c r="S54" s="17" t="s">
        <v>154</v>
      </c>
      <c r="T54" s="18" t="s">
        <v>154</v>
      </c>
    </row>
    <row r="55" spans="1:20" x14ac:dyDescent="0.25">
      <c r="A55" s="11" t="s">
        <v>188</v>
      </c>
      <c r="B55" s="17" t="s">
        <v>154</v>
      </c>
      <c r="C55" s="17" t="s">
        <v>154</v>
      </c>
      <c r="D55" s="18" t="s">
        <v>154</v>
      </c>
      <c r="E55" s="17" t="s">
        <v>154</v>
      </c>
      <c r="F55" s="18" t="s">
        <v>154</v>
      </c>
      <c r="G55" s="17" t="s">
        <v>154</v>
      </c>
      <c r="H55" s="18" t="s">
        <v>154</v>
      </c>
      <c r="I55" s="17" t="s">
        <v>154</v>
      </c>
      <c r="J55" s="18" t="s">
        <v>154</v>
      </c>
      <c r="K55" s="17" t="s">
        <v>154</v>
      </c>
      <c r="L55" s="18" t="s">
        <v>154</v>
      </c>
      <c r="M55" s="17" t="s">
        <v>154</v>
      </c>
      <c r="N55" s="18" t="s">
        <v>154</v>
      </c>
      <c r="O55" s="17" t="s">
        <v>154</v>
      </c>
      <c r="P55" s="18" t="s">
        <v>154</v>
      </c>
      <c r="Q55" s="17" t="s">
        <v>154</v>
      </c>
      <c r="R55" s="18" t="s">
        <v>154</v>
      </c>
      <c r="S55" s="17" t="s">
        <v>154</v>
      </c>
      <c r="T55" s="18" t="s">
        <v>154</v>
      </c>
    </row>
    <row r="56" spans="1:20" x14ac:dyDescent="0.25">
      <c r="A56" s="11" t="s">
        <v>189</v>
      </c>
      <c r="B56" s="13">
        <v>5359</v>
      </c>
      <c r="C56" s="14">
        <f>(4458/B56*100)</f>
        <v>83.187161783914902</v>
      </c>
      <c r="D56" s="15">
        <v>901</v>
      </c>
      <c r="E56" s="14">
        <v>37.301360580000001</v>
      </c>
      <c r="F56" s="16">
        <v>1.9349137300000001</v>
      </c>
      <c r="G56" s="14">
        <v>7.0427574899999996</v>
      </c>
      <c r="H56" s="16">
        <v>0.79441198999999996</v>
      </c>
      <c r="I56" s="14">
        <v>55.65588193</v>
      </c>
      <c r="J56" s="16">
        <v>1.97427946</v>
      </c>
      <c r="K56" s="14" t="s">
        <v>139</v>
      </c>
      <c r="L56" s="16" t="s">
        <v>139</v>
      </c>
      <c r="M56" s="14">
        <v>0</v>
      </c>
      <c r="N56" s="16">
        <v>0</v>
      </c>
      <c r="O56" s="14">
        <v>0</v>
      </c>
      <c r="P56" s="16">
        <v>0</v>
      </c>
      <c r="Q56" s="14">
        <v>0</v>
      </c>
      <c r="R56" s="16">
        <v>0</v>
      </c>
      <c r="S56" s="14">
        <v>0</v>
      </c>
      <c r="T56" s="16">
        <v>0</v>
      </c>
    </row>
    <row r="57" spans="1:20" x14ac:dyDescent="0.25">
      <c r="A57" s="11" t="s">
        <v>190</v>
      </c>
      <c r="B57" s="17" t="s">
        <v>154</v>
      </c>
      <c r="C57" s="17" t="s">
        <v>154</v>
      </c>
      <c r="D57" s="18" t="s">
        <v>154</v>
      </c>
      <c r="E57" s="17" t="s">
        <v>154</v>
      </c>
      <c r="F57" s="18" t="s">
        <v>154</v>
      </c>
      <c r="G57" s="17" t="s">
        <v>154</v>
      </c>
      <c r="H57" s="18" t="s">
        <v>154</v>
      </c>
      <c r="I57" s="17" t="s">
        <v>154</v>
      </c>
      <c r="J57" s="18" t="s">
        <v>154</v>
      </c>
      <c r="K57" s="17" t="s">
        <v>154</v>
      </c>
      <c r="L57" s="18" t="s">
        <v>154</v>
      </c>
      <c r="M57" s="17" t="s">
        <v>154</v>
      </c>
      <c r="N57" s="18" t="s">
        <v>154</v>
      </c>
      <c r="O57" s="17" t="s">
        <v>154</v>
      </c>
      <c r="P57" s="18" t="s">
        <v>154</v>
      </c>
      <c r="Q57" s="17" t="s">
        <v>154</v>
      </c>
      <c r="R57" s="18" t="s">
        <v>154</v>
      </c>
      <c r="S57" s="17" t="s">
        <v>154</v>
      </c>
      <c r="T57" s="18" t="s">
        <v>154</v>
      </c>
    </row>
    <row r="58" spans="1:20" x14ac:dyDescent="0.25">
      <c r="A58" s="11" t="s">
        <v>191</v>
      </c>
      <c r="B58" s="17" t="s">
        <v>154</v>
      </c>
      <c r="C58" s="17" t="s">
        <v>154</v>
      </c>
      <c r="D58" s="18" t="s">
        <v>154</v>
      </c>
      <c r="E58" s="17" t="s">
        <v>154</v>
      </c>
      <c r="F58" s="18" t="s">
        <v>154</v>
      </c>
      <c r="G58" s="17" t="s">
        <v>154</v>
      </c>
      <c r="H58" s="18" t="s">
        <v>154</v>
      </c>
      <c r="I58" s="17" t="s">
        <v>154</v>
      </c>
      <c r="J58" s="18" t="s">
        <v>154</v>
      </c>
      <c r="K58" s="17" t="s">
        <v>154</v>
      </c>
      <c r="L58" s="18" t="s">
        <v>154</v>
      </c>
      <c r="M58" s="17" t="s">
        <v>154</v>
      </c>
      <c r="N58" s="18" t="s">
        <v>154</v>
      </c>
      <c r="O58" s="17" t="s">
        <v>154</v>
      </c>
      <c r="P58" s="18" t="s">
        <v>154</v>
      </c>
      <c r="Q58" s="17" t="s">
        <v>154</v>
      </c>
      <c r="R58" s="18" t="s">
        <v>154</v>
      </c>
      <c r="S58" s="17" t="s">
        <v>154</v>
      </c>
      <c r="T58" s="18" t="s">
        <v>154</v>
      </c>
    </row>
    <row r="59" spans="1:20" x14ac:dyDescent="0.25">
      <c r="A59" s="11" t="s">
        <v>192</v>
      </c>
      <c r="B59" s="17" t="s">
        <v>154</v>
      </c>
      <c r="C59" s="17" t="s">
        <v>154</v>
      </c>
      <c r="D59" s="18" t="s">
        <v>154</v>
      </c>
      <c r="E59" s="17" t="s">
        <v>154</v>
      </c>
      <c r="F59" s="18" t="s">
        <v>154</v>
      </c>
      <c r="G59" s="17" t="s">
        <v>154</v>
      </c>
      <c r="H59" s="18" t="s">
        <v>154</v>
      </c>
      <c r="I59" s="17" t="s">
        <v>154</v>
      </c>
      <c r="J59" s="18" t="s">
        <v>154</v>
      </c>
      <c r="K59" s="17" t="s">
        <v>154</v>
      </c>
      <c r="L59" s="18" t="s">
        <v>154</v>
      </c>
      <c r="M59" s="17" t="s">
        <v>154</v>
      </c>
      <c r="N59" s="18" t="s">
        <v>154</v>
      </c>
      <c r="O59" s="17" t="s">
        <v>154</v>
      </c>
      <c r="P59" s="18" t="s">
        <v>154</v>
      </c>
      <c r="Q59" s="17" t="s">
        <v>154</v>
      </c>
      <c r="R59" s="18" t="s">
        <v>154</v>
      </c>
      <c r="S59" s="17" t="s">
        <v>154</v>
      </c>
      <c r="T59" s="18" t="s">
        <v>154</v>
      </c>
    </row>
    <row r="60" spans="1:20" x14ac:dyDescent="0.25">
      <c r="A60" s="11" t="s">
        <v>193</v>
      </c>
      <c r="B60" s="17" t="s">
        <v>154</v>
      </c>
      <c r="C60" s="17" t="s">
        <v>154</v>
      </c>
      <c r="D60" s="18" t="s">
        <v>154</v>
      </c>
      <c r="E60" s="17" t="s">
        <v>154</v>
      </c>
      <c r="F60" s="18" t="s">
        <v>154</v>
      </c>
      <c r="G60" s="17" t="s">
        <v>154</v>
      </c>
      <c r="H60" s="18" t="s">
        <v>154</v>
      </c>
      <c r="I60" s="17" t="s">
        <v>154</v>
      </c>
      <c r="J60" s="18" t="s">
        <v>154</v>
      </c>
      <c r="K60" s="17" t="s">
        <v>154</v>
      </c>
      <c r="L60" s="18" t="s">
        <v>154</v>
      </c>
      <c r="M60" s="17" t="s">
        <v>154</v>
      </c>
      <c r="N60" s="18" t="s">
        <v>154</v>
      </c>
      <c r="O60" s="17" t="s">
        <v>154</v>
      </c>
      <c r="P60" s="18" t="s">
        <v>154</v>
      </c>
      <c r="Q60" s="17" t="s">
        <v>154</v>
      </c>
      <c r="R60" s="18" t="s">
        <v>154</v>
      </c>
      <c r="S60" s="17" t="s">
        <v>154</v>
      </c>
      <c r="T60" s="18" t="s">
        <v>154</v>
      </c>
    </row>
    <row r="61" spans="1:20" x14ac:dyDescent="0.25">
      <c r="A61" s="11" t="s">
        <v>194</v>
      </c>
      <c r="B61" s="13">
        <v>6525</v>
      </c>
      <c r="C61" s="14">
        <f>(5466/B61*100)</f>
        <v>83.770114942528735</v>
      </c>
      <c r="D61" s="15">
        <v>1059</v>
      </c>
      <c r="E61" s="14">
        <v>63.939951460000003</v>
      </c>
      <c r="F61" s="16">
        <v>1.7167209999999999</v>
      </c>
      <c r="G61" s="14">
        <v>14.378696809999999</v>
      </c>
      <c r="H61" s="16">
        <v>1.1690754699999999</v>
      </c>
      <c r="I61" s="14">
        <v>21.68135174</v>
      </c>
      <c r="J61" s="16">
        <v>1.3378509999999999</v>
      </c>
      <c r="K61" s="14" t="s">
        <v>139</v>
      </c>
      <c r="L61" s="16" t="s">
        <v>139</v>
      </c>
      <c r="M61" s="14">
        <v>0</v>
      </c>
      <c r="N61" s="16">
        <v>0</v>
      </c>
      <c r="O61" s="14">
        <v>0</v>
      </c>
      <c r="P61" s="16">
        <v>0</v>
      </c>
      <c r="Q61" s="14">
        <v>0</v>
      </c>
      <c r="R61" s="16">
        <v>0</v>
      </c>
      <c r="S61" s="14">
        <v>0</v>
      </c>
      <c r="T61" s="16">
        <v>0</v>
      </c>
    </row>
    <row r="62" spans="1:20" x14ac:dyDescent="0.25">
      <c r="A62" s="11" t="s">
        <v>195</v>
      </c>
      <c r="B62" s="13">
        <v>4476</v>
      </c>
      <c r="C62" s="14">
        <f>(3728/B62*100)</f>
        <v>83.288650580875782</v>
      </c>
      <c r="D62" s="15">
        <v>748</v>
      </c>
      <c r="E62" s="14">
        <v>45.381036790000003</v>
      </c>
      <c r="F62" s="16">
        <v>1.85230826</v>
      </c>
      <c r="G62" s="14">
        <v>8.2922177900000005</v>
      </c>
      <c r="H62" s="16">
        <v>0.96917105000000003</v>
      </c>
      <c r="I62" s="14">
        <v>46.326745420000002</v>
      </c>
      <c r="J62" s="16">
        <v>1.85311808</v>
      </c>
      <c r="K62" s="14" t="s">
        <v>139</v>
      </c>
      <c r="L62" s="16" t="s">
        <v>139</v>
      </c>
      <c r="M62" s="14">
        <v>0</v>
      </c>
      <c r="N62" s="16">
        <v>0</v>
      </c>
      <c r="O62" s="14">
        <v>0</v>
      </c>
      <c r="P62" s="16">
        <v>0</v>
      </c>
      <c r="Q62" s="14">
        <v>0</v>
      </c>
      <c r="R62" s="16">
        <v>0</v>
      </c>
      <c r="S62" s="14">
        <v>0</v>
      </c>
      <c r="T62" s="16">
        <v>0</v>
      </c>
    </row>
    <row r="63" spans="1:20" x14ac:dyDescent="0.25">
      <c r="A63" s="11" t="s">
        <v>196</v>
      </c>
      <c r="B63" s="17" t="s">
        <v>154</v>
      </c>
      <c r="C63" s="17" t="s">
        <v>154</v>
      </c>
      <c r="D63" s="18" t="s">
        <v>154</v>
      </c>
      <c r="E63" s="17" t="s">
        <v>154</v>
      </c>
      <c r="F63" s="18" t="s">
        <v>154</v>
      </c>
      <c r="G63" s="17" t="s">
        <v>154</v>
      </c>
      <c r="H63" s="18" t="s">
        <v>154</v>
      </c>
      <c r="I63" s="17" t="s">
        <v>154</v>
      </c>
      <c r="J63" s="18" t="s">
        <v>154</v>
      </c>
      <c r="K63" s="17" t="s">
        <v>154</v>
      </c>
      <c r="L63" s="18" t="s">
        <v>154</v>
      </c>
      <c r="M63" s="17" t="s">
        <v>154</v>
      </c>
      <c r="N63" s="18" t="s">
        <v>154</v>
      </c>
      <c r="O63" s="17" t="s">
        <v>154</v>
      </c>
      <c r="P63" s="18" t="s">
        <v>154</v>
      </c>
      <c r="Q63" s="17" t="s">
        <v>154</v>
      </c>
      <c r="R63" s="18" t="s">
        <v>154</v>
      </c>
      <c r="S63" s="17" t="s">
        <v>154</v>
      </c>
      <c r="T63" s="18" t="s">
        <v>154</v>
      </c>
    </row>
    <row r="64" spans="1:20" x14ac:dyDescent="0.25">
      <c r="A64" s="11" t="s">
        <v>197</v>
      </c>
      <c r="B64" s="17" t="s">
        <v>154</v>
      </c>
      <c r="C64" s="17" t="s">
        <v>154</v>
      </c>
      <c r="D64" s="18" t="s">
        <v>154</v>
      </c>
      <c r="E64" s="17" t="s">
        <v>154</v>
      </c>
      <c r="F64" s="18" t="s">
        <v>154</v>
      </c>
      <c r="G64" s="17" t="s">
        <v>154</v>
      </c>
      <c r="H64" s="18" t="s">
        <v>154</v>
      </c>
      <c r="I64" s="17" t="s">
        <v>154</v>
      </c>
      <c r="J64" s="18" t="s">
        <v>154</v>
      </c>
      <c r="K64" s="17" t="s">
        <v>154</v>
      </c>
      <c r="L64" s="18" t="s">
        <v>154</v>
      </c>
      <c r="M64" s="17" t="s">
        <v>154</v>
      </c>
      <c r="N64" s="18" t="s">
        <v>154</v>
      </c>
      <c r="O64" s="17" t="s">
        <v>154</v>
      </c>
      <c r="P64" s="18" t="s">
        <v>154</v>
      </c>
      <c r="Q64" s="17" t="s">
        <v>154</v>
      </c>
      <c r="R64" s="18" t="s">
        <v>154</v>
      </c>
      <c r="S64" s="17" t="s">
        <v>154</v>
      </c>
      <c r="T64" s="18" t="s">
        <v>154</v>
      </c>
    </row>
    <row r="65" spans="1:20" x14ac:dyDescent="0.25">
      <c r="A65" s="11" t="s">
        <v>198</v>
      </c>
      <c r="B65" s="17" t="s">
        <v>154</v>
      </c>
      <c r="C65" s="17" t="s">
        <v>154</v>
      </c>
      <c r="D65" s="18" t="s">
        <v>154</v>
      </c>
      <c r="E65" s="17" t="s">
        <v>154</v>
      </c>
      <c r="F65" s="18" t="s">
        <v>154</v>
      </c>
      <c r="G65" s="17" t="s">
        <v>154</v>
      </c>
      <c r="H65" s="18" t="s">
        <v>154</v>
      </c>
      <c r="I65" s="17" t="s">
        <v>154</v>
      </c>
      <c r="J65" s="18" t="s">
        <v>154</v>
      </c>
      <c r="K65" s="17" t="s">
        <v>154</v>
      </c>
      <c r="L65" s="18" t="s">
        <v>154</v>
      </c>
      <c r="M65" s="17" t="s">
        <v>154</v>
      </c>
      <c r="N65" s="18" t="s">
        <v>154</v>
      </c>
      <c r="O65" s="17" t="s">
        <v>154</v>
      </c>
      <c r="P65" s="18" t="s">
        <v>154</v>
      </c>
      <c r="Q65" s="17" t="s">
        <v>154</v>
      </c>
      <c r="R65" s="18" t="s">
        <v>154</v>
      </c>
      <c r="S65" s="17" t="s">
        <v>154</v>
      </c>
      <c r="T65" s="18" t="s">
        <v>154</v>
      </c>
    </row>
    <row r="66" spans="1:20" x14ac:dyDescent="0.25">
      <c r="A66" s="11" t="s">
        <v>199</v>
      </c>
      <c r="B66" s="13">
        <v>5665</v>
      </c>
      <c r="C66" s="14">
        <f>(4780/B66*100)</f>
        <v>84.377758164165925</v>
      </c>
      <c r="D66" s="15">
        <v>885</v>
      </c>
      <c r="E66" s="14">
        <v>80.042379949999997</v>
      </c>
      <c r="F66" s="16">
        <v>1.4479626800000001</v>
      </c>
      <c r="G66" s="14">
        <v>10.54591877</v>
      </c>
      <c r="H66" s="16">
        <v>1.10904409</v>
      </c>
      <c r="I66" s="14">
        <v>9.4117012800000008</v>
      </c>
      <c r="J66" s="16">
        <v>0.94562457</v>
      </c>
      <c r="K66" s="14" t="s">
        <v>139</v>
      </c>
      <c r="L66" s="16" t="s">
        <v>139</v>
      </c>
      <c r="M66" s="14">
        <v>0</v>
      </c>
      <c r="N66" s="16">
        <v>0</v>
      </c>
      <c r="O66" s="14">
        <v>0</v>
      </c>
      <c r="P66" s="16">
        <v>0</v>
      </c>
      <c r="Q66" s="14">
        <v>0</v>
      </c>
      <c r="R66" s="16">
        <v>0</v>
      </c>
      <c r="S66" s="14">
        <v>0</v>
      </c>
      <c r="T66" s="16">
        <v>0</v>
      </c>
    </row>
    <row r="67" spans="1:20" x14ac:dyDescent="0.25">
      <c r="A67" s="11" t="s">
        <v>200</v>
      </c>
      <c r="B67" s="13">
        <v>6971</v>
      </c>
      <c r="C67" s="14">
        <f>(6035/B67*100)</f>
        <v>86.572945058097844</v>
      </c>
      <c r="D67" s="15">
        <v>936</v>
      </c>
      <c r="E67" s="14">
        <v>82.359188459999999</v>
      </c>
      <c r="F67" s="16">
        <v>1.59640227</v>
      </c>
      <c r="G67" s="14">
        <v>11.77753281</v>
      </c>
      <c r="H67" s="16">
        <v>1.31420775</v>
      </c>
      <c r="I67" s="14">
        <v>5.8632787200000003</v>
      </c>
      <c r="J67" s="16">
        <v>0.95970096000000005</v>
      </c>
      <c r="K67" s="14" t="s">
        <v>139</v>
      </c>
      <c r="L67" s="16" t="s">
        <v>139</v>
      </c>
      <c r="M67" s="14">
        <v>0</v>
      </c>
      <c r="N67" s="16">
        <v>0</v>
      </c>
      <c r="O67" s="14">
        <v>0</v>
      </c>
      <c r="P67" s="16">
        <v>0</v>
      </c>
      <c r="Q67" s="14">
        <v>0</v>
      </c>
      <c r="R67" s="16">
        <v>0</v>
      </c>
      <c r="S67" s="14">
        <v>0</v>
      </c>
      <c r="T67" s="16">
        <v>0</v>
      </c>
    </row>
    <row r="68" spans="1:20" x14ac:dyDescent="0.25">
      <c r="A68" s="11" t="s">
        <v>201</v>
      </c>
      <c r="B68" s="17" t="s">
        <v>154</v>
      </c>
      <c r="C68" s="17" t="s">
        <v>154</v>
      </c>
      <c r="D68" s="18" t="s">
        <v>154</v>
      </c>
      <c r="E68" s="17" t="s">
        <v>154</v>
      </c>
      <c r="F68" s="18" t="s">
        <v>154</v>
      </c>
      <c r="G68" s="17" t="s">
        <v>154</v>
      </c>
      <c r="H68" s="18" t="s">
        <v>154</v>
      </c>
      <c r="I68" s="17" t="s">
        <v>154</v>
      </c>
      <c r="J68" s="18" t="s">
        <v>154</v>
      </c>
      <c r="K68" s="17" t="s">
        <v>154</v>
      </c>
      <c r="L68" s="18" t="s">
        <v>154</v>
      </c>
      <c r="M68" s="17" t="s">
        <v>154</v>
      </c>
      <c r="N68" s="18" t="s">
        <v>154</v>
      </c>
      <c r="O68" s="17" t="s">
        <v>154</v>
      </c>
      <c r="P68" s="18" t="s">
        <v>154</v>
      </c>
      <c r="Q68" s="17" t="s">
        <v>154</v>
      </c>
      <c r="R68" s="18" t="s">
        <v>154</v>
      </c>
      <c r="S68" s="17" t="s">
        <v>154</v>
      </c>
      <c r="T68" s="18" t="s">
        <v>154</v>
      </c>
    </row>
    <row r="69" spans="1:20" x14ac:dyDescent="0.25">
      <c r="A69" s="11" t="s">
        <v>202</v>
      </c>
      <c r="B69" s="17" t="s">
        <v>154</v>
      </c>
      <c r="C69" s="17" t="s">
        <v>154</v>
      </c>
      <c r="D69" s="18" t="s">
        <v>154</v>
      </c>
      <c r="E69" s="17" t="s">
        <v>154</v>
      </c>
      <c r="F69" s="18" t="s">
        <v>154</v>
      </c>
      <c r="G69" s="17" t="s">
        <v>154</v>
      </c>
      <c r="H69" s="18" t="s">
        <v>154</v>
      </c>
      <c r="I69" s="17" t="s">
        <v>154</v>
      </c>
      <c r="J69" s="18" t="s">
        <v>154</v>
      </c>
      <c r="K69" s="17" t="s">
        <v>154</v>
      </c>
      <c r="L69" s="18" t="s">
        <v>154</v>
      </c>
      <c r="M69" s="17" t="s">
        <v>154</v>
      </c>
      <c r="N69" s="18" t="s">
        <v>154</v>
      </c>
      <c r="O69" s="17" t="s">
        <v>154</v>
      </c>
      <c r="P69" s="18" t="s">
        <v>154</v>
      </c>
      <c r="Q69" s="17" t="s">
        <v>154</v>
      </c>
      <c r="R69" s="18" t="s">
        <v>154</v>
      </c>
      <c r="S69" s="17" t="s">
        <v>154</v>
      </c>
      <c r="T69" s="18" t="s">
        <v>154</v>
      </c>
    </row>
    <row r="70" spans="1:20" x14ac:dyDescent="0.25">
      <c r="A70" s="11" t="s">
        <v>203</v>
      </c>
      <c r="B70" s="13">
        <v>6036</v>
      </c>
      <c r="C70" s="14">
        <f>(5064/B70*100)</f>
        <v>83.896620278330019</v>
      </c>
      <c r="D70" s="15">
        <v>972</v>
      </c>
      <c r="E70" s="14">
        <v>60.627079369999997</v>
      </c>
      <c r="F70" s="16">
        <v>1.89017619</v>
      </c>
      <c r="G70" s="14">
        <v>14.868561489999999</v>
      </c>
      <c r="H70" s="16">
        <v>1.08983527</v>
      </c>
      <c r="I70" s="14">
        <v>24.504359139999998</v>
      </c>
      <c r="J70" s="16">
        <v>1.4936489500000001</v>
      </c>
      <c r="K70" s="14" t="s">
        <v>139</v>
      </c>
      <c r="L70" s="16" t="s">
        <v>139</v>
      </c>
      <c r="M70" s="14">
        <v>0</v>
      </c>
      <c r="N70" s="16">
        <v>0</v>
      </c>
      <c r="O70" s="14">
        <v>0</v>
      </c>
      <c r="P70" s="16">
        <v>0</v>
      </c>
      <c r="Q70" s="14">
        <v>0</v>
      </c>
      <c r="R70" s="16">
        <v>0</v>
      </c>
      <c r="S70" s="14">
        <v>0</v>
      </c>
      <c r="T70" s="16">
        <v>0</v>
      </c>
    </row>
    <row r="71" spans="1:20" x14ac:dyDescent="0.25">
      <c r="A71" s="11" t="s">
        <v>204</v>
      </c>
      <c r="B71" s="17" t="s">
        <v>154</v>
      </c>
      <c r="C71" s="17" t="s">
        <v>154</v>
      </c>
      <c r="D71" s="18" t="s">
        <v>154</v>
      </c>
      <c r="E71" s="17" t="s">
        <v>154</v>
      </c>
      <c r="F71" s="18" t="s">
        <v>154</v>
      </c>
      <c r="G71" s="17" t="s">
        <v>154</v>
      </c>
      <c r="H71" s="18" t="s">
        <v>154</v>
      </c>
      <c r="I71" s="17" t="s">
        <v>154</v>
      </c>
      <c r="J71" s="18" t="s">
        <v>154</v>
      </c>
      <c r="K71" s="17" t="s">
        <v>154</v>
      </c>
      <c r="L71" s="18" t="s">
        <v>154</v>
      </c>
      <c r="M71" s="17" t="s">
        <v>154</v>
      </c>
      <c r="N71" s="18" t="s">
        <v>154</v>
      </c>
      <c r="O71" s="17" t="s">
        <v>154</v>
      </c>
      <c r="P71" s="18" t="s">
        <v>154</v>
      </c>
      <c r="Q71" s="17" t="s">
        <v>154</v>
      </c>
      <c r="R71" s="18" t="s">
        <v>154</v>
      </c>
      <c r="S71" s="17" t="s">
        <v>154</v>
      </c>
      <c r="T71" s="18" t="s">
        <v>154</v>
      </c>
    </row>
    <row r="72" spans="1:20" x14ac:dyDescent="0.25">
      <c r="A72" s="11" t="s">
        <v>205</v>
      </c>
      <c r="B72" s="13">
        <v>7708</v>
      </c>
      <c r="C72" s="14">
        <f>(6371/B72*100)</f>
        <v>82.654385054488841</v>
      </c>
      <c r="D72" s="15">
        <v>1337</v>
      </c>
      <c r="E72" s="14">
        <v>48.685327149999999</v>
      </c>
      <c r="F72" s="16">
        <v>1.5593899</v>
      </c>
      <c r="G72" s="14">
        <v>8.4897324600000008</v>
      </c>
      <c r="H72" s="16">
        <v>0.89136304</v>
      </c>
      <c r="I72" s="14">
        <v>42.824940390000002</v>
      </c>
      <c r="J72" s="16">
        <v>1.6516572599999999</v>
      </c>
      <c r="K72" s="14" t="s">
        <v>139</v>
      </c>
      <c r="L72" s="16" t="s">
        <v>139</v>
      </c>
      <c r="M72" s="14">
        <v>0</v>
      </c>
      <c r="N72" s="16">
        <v>0</v>
      </c>
      <c r="O72" s="14">
        <v>0</v>
      </c>
      <c r="P72" s="16">
        <v>0</v>
      </c>
      <c r="Q72" s="14">
        <v>0</v>
      </c>
      <c r="R72" s="16">
        <v>0</v>
      </c>
      <c r="S72" s="14">
        <v>0</v>
      </c>
      <c r="T72" s="16">
        <v>0</v>
      </c>
    </row>
    <row r="73" spans="1:20" x14ac:dyDescent="0.25">
      <c r="A73" s="11" t="s">
        <v>206</v>
      </c>
      <c r="B73" s="13">
        <v>8249</v>
      </c>
      <c r="C73" s="14">
        <f>(7002/B73*100)</f>
        <v>84.883016123166442</v>
      </c>
      <c r="D73" s="15">
        <v>1247</v>
      </c>
      <c r="E73" s="14">
        <v>84.295970560000001</v>
      </c>
      <c r="F73" s="16">
        <v>1.5068722999999999</v>
      </c>
      <c r="G73" s="14">
        <v>7.8283888299999997</v>
      </c>
      <c r="H73" s="16">
        <v>0.97856425999999996</v>
      </c>
      <c r="I73" s="14">
        <v>7.8756406099999996</v>
      </c>
      <c r="J73" s="16">
        <v>1.17703153</v>
      </c>
      <c r="K73" s="14" t="s">
        <v>139</v>
      </c>
      <c r="L73" s="16" t="s">
        <v>139</v>
      </c>
      <c r="M73" s="14">
        <v>0</v>
      </c>
      <c r="N73" s="16">
        <v>0</v>
      </c>
      <c r="O73" s="14">
        <v>0</v>
      </c>
      <c r="P73" s="16">
        <v>0</v>
      </c>
      <c r="Q73" s="14">
        <v>0</v>
      </c>
      <c r="R73" s="16">
        <v>0</v>
      </c>
      <c r="S73" s="14">
        <v>0</v>
      </c>
      <c r="T73" s="16">
        <v>0</v>
      </c>
    </row>
    <row r="74" spans="1:20" x14ac:dyDescent="0.25">
      <c r="A74" s="11" t="s">
        <v>207</v>
      </c>
      <c r="B74" s="17" t="s">
        <v>154</v>
      </c>
      <c r="C74" s="17" t="s">
        <v>154</v>
      </c>
      <c r="D74" s="18" t="s">
        <v>154</v>
      </c>
      <c r="E74" s="17" t="s">
        <v>154</v>
      </c>
      <c r="F74" s="18" t="s">
        <v>154</v>
      </c>
      <c r="G74" s="17" t="s">
        <v>154</v>
      </c>
      <c r="H74" s="18" t="s">
        <v>154</v>
      </c>
      <c r="I74" s="17" t="s">
        <v>154</v>
      </c>
      <c r="J74" s="18" t="s">
        <v>154</v>
      </c>
      <c r="K74" s="17" t="s">
        <v>154</v>
      </c>
      <c r="L74" s="18" t="s">
        <v>154</v>
      </c>
      <c r="M74" s="17" t="s">
        <v>154</v>
      </c>
      <c r="N74" s="18" t="s">
        <v>154</v>
      </c>
      <c r="O74" s="17" t="s">
        <v>154</v>
      </c>
      <c r="P74" s="18" t="s">
        <v>154</v>
      </c>
      <c r="Q74" s="17" t="s">
        <v>154</v>
      </c>
      <c r="R74" s="18" t="s">
        <v>154</v>
      </c>
      <c r="S74" s="17" t="s">
        <v>154</v>
      </c>
      <c r="T74" s="18" t="s">
        <v>154</v>
      </c>
    </row>
    <row r="75" spans="1:20" x14ac:dyDescent="0.25">
      <c r="A75" s="11" t="s">
        <v>208</v>
      </c>
      <c r="B75" s="13">
        <v>5375</v>
      </c>
      <c r="C75" s="14">
        <f>(4601/B75*100)</f>
        <v>85.6</v>
      </c>
      <c r="D75" s="15">
        <v>774</v>
      </c>
      <c r="E75" s="14">
        <v>90.350915889999996</v>
      </c>
      <c r="F75" s="16">
        <v>1.1664474600000001</v>
      </c>
      <c r="G75" s="14">
        <v>6.96398501</v>
      </c>
      <c r="H75" s="16">
        <v>1.06732216</v>
      </c>
      <c r="I75" s="14">
        <v>2.6850991</v>
      </c>
      <c r="J75" s="16">
        <v>0.74580378999999997</v>
      </c>
      <c r="K75" s="14" t="s">
        <v>139</v>
      </c>
      <c r="L75" s="16" t="s">
        <v>139</v>
      </c>
      <c r="M75" s="14">
        <v>0</v>
      </c>
      <c r="N75" s="16">
        <v>0</v>
      </c>
      <c r="O75" s="14">
        <v>0</v>
      </c>
      <c r="P75" s="16">
        <v>0</v>
      </c>
      <c r="Q75" s="14">
        <v>0</v>
      </c>
      <c r="R75" s="16">
        <v>0</v>
      </c>
      <c r="S75" s="14">
        <v>0</v>
      </c>
      <c r="T75" s="16">
        <v>0</v>
      </c>
    </row>
    <row r="76" spans="1:20" x14ac:dyDescent="0.25">
      <c r="A76" s="11" t="s">
        <v>209</v>
      </c>
      <c r="B76" s="13">
        <v>14167</v>
      </c>
      <c r="C76" s="14">
        <f>(11797/B76*100)</f>
        <v>83.270981859250369</v>
      </c>
      <c r="D76" s="15">
        <v>2370</v>
      </c>
      <c r="E76" s="14">
        <v>74.221323740000003</v>
      </c>
      <c r="F76" s="16">
        <v>1.14000211</v>
      </c>
      <c r="G76" s="14">
        <v>14.28943306</v>
      </c>
      <c r="H76" s="16">
        <v>0.86007317999999999</v>
      </c>
      <c r="I76" s="14">
        <v>11.48924319</v>
      </c>
      <c r="J76" s="16">
        <v>0.77976882999999997</v>
      </c>
      <c r="K76" s="14" t="s">
        <v>139</v>
      </c>
      <c r="L76" s="16" t="s">
        <v>139</v>
      </c>
      <c r="M76" s="14">
        <v>0</v>
      </c>
      <c r="N76" s="16">
        <v>0</v>
      </c>
      <c r="O76" s="14">
        <v>0</v>
      </c>
      <c r="P76" s="16">
        <v>0</v>
      </c>
      <c r="Q76" s="14">
        <v>0</v>
      </c>
      <c r="R76" s="16">
        <v>0</v>
      </c>
      <c r="S76" s="14">
        <v>0</v>
      </c>
      <c r="T76" s="16">
        <v>0</v>
      </c>
    </row>
    <row r="77" spans="1:20" x14ac:dyDescent="0.25">
      <c r="A77" s="11" t="s">
        <v>210</v>
      </c>
      <c r="B77" s="13">
        <v>6062</v>
      </c>
      <c r="C77" s="14">
        <f>(5164/B77*100)</f>
        <v>85.186407126360947</v>
      </c>
      <c r="D77" s="15">
        <v>898</v>
      </c>
      <c r="E77" s="14">
        <v>70.207187009999998</v>
      </c>
      <c r="F77" s="16">
        <v>1.3960521299999999</v>
      </c>
      <c r="G77" s="14">
        <v>16.894808520000002</v>
      </c>
      <c r="H77" s="16">
        <v>1.3262242099999999</v>
      </c>
      <c r="I77" s="14">
        <v>12.89800447</v>
      </c>
      <c r="J77" s="16">
        <v>1.1136734699999999</v>
      </c>
      <c r="K77" s="14" t="s">
        <v>139</v>
      </c>
      <c r="L77" s="16" t="s">
        <v>139</v>
      </c>
      <c r="M77" s="14">
        <v>0</v>
      </c>
      <c r="N77" s="16">
        <v>0</v>
      </c>
      <c r="O77" s="14">
        <v>0</v>
      </c>
      <c r="P77" s="16">
        <v>0</v>
      </c>
      <c r="Q77" s="14">
        <v>0</v>
      </c>
      <c r="R77" s="16">
        <v>0</v>
      </c>
      <c r="S77" s="14">
        <v>0</v>
      </c>
      <c r="T77" s="16">
        <v>0</v>
      </c>
    </row>
    <row r="78" spans="1:20" x14ac:dyDescent="0.25">
      <c r="A78" s="11" t="s">
        <v>211</v>
      </c>
      <c r="B78" s="17" t="s">
        <v>154</v>
      </c>
      <c r="C78" s="17" t="s">
        <v>154</v>
      </c>
      <c r="D78" s="18" t="s">
        <v>154</v>
      </c>
      <c r="E78" s="17" t="s">
        <v>154</v>
      </c>
      <c r="F78" s="18" t="s">
        <v>154</v>
      </c>
      <c r="G78" s="17" t="s">
        <v>154</v>
      </c>
      <c r="H78" s="18" t="s">
        <v>154</v>
      </c>
      <c r="I78" s="17" t="s">
        <v>154</v>
      </c>
      <c r="J78" s="18" t="s">
        <v>154</v>
      </c>
      <c r="K78" s="17" t="s">
        <v>154</v>
      </c>
      <c r="L78" s="18" t="s">
        <v>154</v>
      </c>
      <c r="M78" s="17" t="s">
        <v>154</v>
      </c>
      <c r="N78" s="18" t="s">
        <v>154</v>
      </c>
      <c r="O78" s="17" t="s">
        <v>154</v>
      </c>
      <c r="P78" s="18" t="s">
        <v>154</v>
      </c>
      <c r="Q78" s="17" t="s">
        <v>154</v>
      </c>
      <c r="R78" s="18" t="s">
        <v>154</v>
      </c>
      <c r="S78" s="17" t="s">
        <v>154</v>
      </c>
      <c r="T78" s="18" t="s">
        <v>154</v>
      </c>
    </row>
    <row r="79" spans="1:20" ht="24.95" customHeight="1" x14ac:dyDescent="0.25">
      <c r="A79" s="11" t="s">
        <v>212</v>
      </c>
      <c r="B79" s="17" t="s">
        <v>154</v>
      </c>
      <c r="C79" s="17" t="s">
        <v>154</v>
      </c>
      <c r="D79" s="18" t="s">
        <v>154</v>
      </c>
      <c r="E79" s="17" t="s">
        <v>154</v>
      </c>
      <c r="F79" s="18" t="s">
        <v>154</v>
      </c>
      <c r="G79" s="17" t="s">
        <v>154</v>
      </c>
      <c r="H79" s="18" t="s">
        <v>154</v>
      </c>
      <c r="I79" s="17" t="s">
        <v>154</v>
      </c>
      <c r="J79" s="18" t="s">
        <v>154</v>
      </c>
      <c r="K79" s="17" t="s">
        <v>154</v>
      </c>
      <c r="L79" s="18" t="s">
        <v>154</v>
      </c>
      <c r="M79" s="17" t="s">
        <v>154</v>
      </c>
      <c r="N79" s="18" t="s">
        <v>154</v>
      </c>
      <c r="O79" s="17" t="s">
        <v>154</v>
      </c>
      <c r="P79" s="18" t="s">
        <v>154</v>
      </c>
      <c r="Q79" s="17" t="s">
        <v>154</v>
      </c>
      <c r="R79" s="18" t="s">
        <v>154</v>
      </c>
      <c r="S79" s="17" t="s">
        <v>154</v>
      </c>
      <c r="T79" s="18" t="s">
        <v>154</v>
      </c>
    </row>
    <row r="80" spans="1:20" x14ac:dyDescent="0.25">
      <c r="A80" s="11" t="s">
        <v>213</v>
      </c>
      <c r="B80" s="17" t="s">
        <v>154</v>
      </c>
      <c r="C80" s="17" t="s">
        <v>154</v>
      </c>
      <c r="D80" s="18" t="s">
        <v>154</v>
      </c>
      <c r="E80" s="17" t="s">
        <v>154</v>
      </c>
      <c r="F80" s="18" t="s">
        <v>154</v>
      </c>
      <c r="G80" s="17" t="s">
        <v>154</v>
      </c>
      <c r="H80" s="18" t="s">
        <v>154</v>
      </c>
      <c r="I80" s="17" t="s">
        <v>154</v>
      </c>
      <c r="J80" s="18" t="s">
        <v>154</v>
      </c>
      <c r="K80" s="17" t="s">
        <v>154</v>
      </c>
      <c r="L80" s="18" t="s">
        <v>154</v>
      </c>
      <c r="M80" s="17" t="s">
        <v>154</v>
      </c>
      <c r="N80" s="18" t="s">
        <v>154</v>
      </c>
      <c r="O80" s="17" t="s">
        <v>154</v>
      </c>
      <c r="P80" s="18" t="s">
        <v>154</v>
      </c>
      <c r="Q80" s="17" t="s">
        <v>154</v>
      </c>
      <c r="R80" s="18" t="s">
        <v>154</v>
      </c>
      <c r="S80" s="17" t="s">
        <v>154</v>
      </c>
      <c r="T80" s="18" t="s">
        <v>154</v>
      </c>
    </row>
    <row r="81" spans="1:20" x14ac:dyDescent="0.25">
      <c r="A81" s="19" t="s">
        <v>214</v>
      </c>
      <c r="B81" s="13">
        <v>8861</v>
      </c>
      <c r="C81" s="14">
        <f>(7377/B81*100)</f>
        <v>83.252454576232921</v>
      </c>
      <c r="D81" s="15">
        <v>1484</v>
      </c>
      <c r="E81" s="14">
        <v>73.062888090000001</v>
      </c>
      <c r="F81" s="16">
        <v>1.46409988</v>
      </c>
      <c r="G81" s="14">
        <v>11.62512909</v>
      </c>
      <c r="H81" s="16">
        <v>0.92230182999999999</v>
      </c>
      <c r="I81" s="14">
        <v>15.311982820000001</v>
      </c>
      <c r="J81" s="16">
        <v>1.2264723799999999</v>
      </c>
      <c r="K81" s="14" t="s">
        <v>139</v>
      </c>
      <c r="L81" s="16" t="s">
        <v>139</v>
      </c>
      <c r="M81" s="14">
        <v>0</v>
      </c>
      <c r="N81" s="16">
        <v>0</v>
      </c>
      <c r="O81" s="14">
        <v>0</v>
      </c>
      <c r="P81" s="16">
        <v>0</v>
      </c>
      <c r="Q81" s="14">
        <v>0</v>
      </c>
      <c r="R81" s="16">
        <v>0</v>
      </c>
      <c r="S81" s="14">
        <v>0</v>
      </c>
      <c r="T81" s="16">
        <v>0</v>
      </c>
    </row>
    <row r="82" spans="1:20" x14ac:dyDescent="0.25">
      <c r="A82" s="20"/>
      <c r="B82" s="20" t="s">
        <v>215</v>
      </c>
      <c r="C82" s="20" t="s">
        <v>215</v>
      </c>
      <c r="D82" s="20" t="s">
        <v>215</v>
      </c>
      <c r="E82" s="20" t="s">
        <v>215</v>
      </c>
      <c r="F82" s="20" t="s">
        <v>215</v>
      </c>
      <c r="G82" s="20" t="s">
        <v>215</v>
      </c>
      <c r="H82" s="20" t="s">
        <v>215</v>
      </c>
      <c r="I82" s="20" t="s">
        <v>215</v>
      </c>
      <c r="J82" s="20" t="s">
        <v>215</v>
      </c>
      <c r="K82" s="20" t="s">
        <v>215</v>
      </c>
      <c r="L82" s="20" t="s">
        <v>215</v>
      </c>
      <c r="M82" s="20" t="s">
        <v>215</v>
      </c>
      <c r="N82" s="20" t="s">
        <v>215</v>
      </c>
      <c r="O82" s="20" t="s">
        <v>215</v>
      </c>
      <c r="P82" s="20" t="s">
        <v>215</v>
      </c>
      <c r="Q82" s="20" t="s">
        <v>215</v>
      </c>
      <c r="R82" s="20" t="s">
        <v>215</v>
      </c>
      <c r="S82" s="20" t="s">
        <v>215</v>
      </c>
      <c r="T82" s="20" t="s">
        <v>215</v>
      </c>
    </row>
    <row r="83" spans="1:20" x14ac:dyDescent="0.25">
      <c r="A83" s="3" t="s">
        <v>216</v>
      </c>
    </row>
    <row r="84" spans="1:20" x14ac:dyDescent="0.25">
      <c r="A84" s="22" t="s">
        <v>217</v>
      </c>
      <c r="B84" s="23"/>
      <c r="C84" s="23"/>
      <c r="D84" s="23"/>
      <c r="E84" s="23"/>
      <c r="F84" s="23"/>
      <c r="G84" s="23"/>
      <c r="H84" s="23"/>
      <c r="I84" s="23"/>
      <c r="J84" s="23"/>
      <c r="K84" s="23"/>
      <c r="L84" s="23"/>
      <c r="M84" s="23"/>
      <c r="N84" s="23"/>
      <c r="O84" s="23"/>
      <c r="P84" s="23"/>
      <c r="Q84" s="23"/>
      <c r="R84" s="23"/>
      <c r="S84" s="23"/>
      <c r="T84" s="23"/>
    </row>
    <row r="85" spans="1:20" x14ac:dyDescent="0.25">
      <c r="A85" s="22" t="s">
        <v>218</v>
      </c>
      <c r="B85" s="23"/>
      <c r="C85" s="23"/>
      <c r="D85" s="23"/>
      <c r="E85" s="23"/>
      <c r="F85" s="23"/>
      <c r="G85" s="23"/>
      <c r="H85" s="23"/>
      <c r="I85" s="23"/>
      <c r="J85" s="23"/>
      <c r="K85" s="23"/>
      <c r="L85" s="23"/>
      <c r="M85" s="23"/>
      <c r="N85" s="23"/>
      <c r="O85" s="23"/>
      <c r="P85" s="23"/>
      <c r="Q85" s="23"/>
      <c r="R85" s="23"/>
      <c r="S85" s="23"/>
      <c r="T85" s="23"/>
    </row>
    <row r="86" spans="1:20" ht="30" customHeight="1" x14ac:dyDescent="0.25">
      <c r="A86" s="22" t="s">
        <v>219</v>
      </c>
      <c r="B86" s="23"/>
      <c r="C86" s="23"/>
      <c r="D86" s="23"/>
      <c r="E86" s="23"/>
      <c r="F86" s="23"/>
      <c r="G86" s="23"/>
      <c r="H86" s="23"/>
      <c r="I86" s="23"/>
      <c r="J86" s="23"/>
      <c r="K86" s="23"/>
      <c r="L86" s="23"/>
      <c r="M86" s="23"/>
      <c r="N86" s="23"/>
      <c r="O86" s="23"/>
      <c r="P86" s="23"/>
      <c r="Q86" s="23"/>
      <c r="R86" s="23"/>
      <c r="S86" s="23"/>
      <c r="T86" s="23"/>
    </row>
    <row r="87" spans="1:20" ht="30" customHeight="1" x14ac:dyDescent="0.25">
      <c r="A87" s="22" t="s">
        <v>215</v>
      </c>
      <c r="B87" s="23"/>
      <c r="C87" s="23"/>
      <c r="D87" s="23"/>
      <c r="E87" s="23"/>
      <c r="F87" s="23"/>
      <c r="G87" s="23"/>
      <c r="H87" s="23"/>
      <c r="I87" s="23"/>
      <c r="J87" s="23"/>
      <c r="K87" s="23"/>
      <c r="L87" s="23"/>
      <c r="M87" s="23"/>
      <c r="N87" s="23"/>
      <c r="O87" s="23"/>
      <c r="P87" s="23"/>
      <c r="Q87" s="23"/>
      <c r="R87" s="23"/>
      <c r="S87" s="23"/>
      <c r="T87" s="23"/>
    </row>
    <row r="88" spans="1:20" ht="30" customHeight="1" x14ac:dyDescent="0.25">
      <c r="A88" s="22" t="s">
        <v>220</v>
      </c>
      <c r="B88" s="23"/>
      <c r="C88" s="23"/>
      <c r="D88" s="23"/>
      <c r="E88" s="23"/>
      <c r="F88" s="23"/>
      <c r="G88" s="23"/>
      <c r="H88" s="23"/>
      <c r="I88" s="23"/>
      <c r="J88" s="23"/>
      <c r="K88" s="23"/>
      <c r="L88" s="23"/>
      <c r="M88" s="23"/>
      <c r="N88" s="23"/>
      <c r="O88" s="23"/>
      <c r="P88" s="23"/>
      <c r="Q88" s="23"/>
      <c r="R88" s="23"/>
      <c r="S88" s="23"/>
      <c r="T88" s="23"/>
    </row>
    <row r="89" spans="1:20" ht="30" customHeight="1" x14ac:dyDescent="0.25">
      <c r="A89" s="22" t="s">
        <v>221</v>
      </c>
      <c r="B89" s="23"/>
      <c r="C89" s="23"/>
      <c r="D89" s="23"/>
      <c r="E89" s="23"/>
      <c r="F89" s="23"/>
      <c r="G89" s="23"/>
      <c r="H89" s="23"/>
      <c r="I89" s="23"/>
      <c r="J89" s="23"/>
      <c r="K89" s="23"/>
      <c r="L89" s="23"/>
      <c r="M89" s="23"/>
      <c r="N89" s="23"/>
      <c r="O89" s="23"/>
      <c r="P89" s="23"/>
      <c r="Q89" s="23"/>
      <c r="R89" s="23"/>
      <c r="S89" s="23"/>
      <c r="T89" s="23"/>
    </row>
    <row r="90" spans="1:20" ht="30" customHeight="1" x14ac:dyDescent="0.25">
      <c r="A90" s="22" t="s">
        <v>222</v>
      </c>
      <c r="B90" s="23"/>
      <c r="C90" s="23"/>
      <c r="D90" s="23"/>
      <c r="E90" s="23"/>
      <c r="F90" s="23"/>
      <c r="G90" s="23"/>
      <c r="H90" s="23"/>
      <c r="I90" s="23"/>
      <c r="J90" s="23"/>
      <c r="K90" s="23"/>
      <c r="L90" s="23"/>
      <c r="M90" s="23"/>
      <c r="N90" s="23"/>
      <c r="O90" s="23"/>
      <c r="P90" s="23"/>
      <c r="Q90" s="23"/>
      <c r="R90" s="23"/>
      <c r="S90" s="23"/>
      <c r="T90" s="23"/>
    </row>
    <row r="91" spans="1:20" ht="30" customHeight="1" x14ac:dyDescent="0.25">
      <c r="A91" s="22" t="s">
        <v>223</v>
      </c>
      <c r="B91" s="23"/>
      <c r="C91" s="23"/>
      <c r="D91" s="23"/>
      <c r="E91" s="23"/>
      <c r="F91" s="23"/>
      <c r="G91" s="23"/>
      <c r="H91" s="23"/>
      <c r="I91" s="23"/>
      <c r="J91" s="23"/>
      <c r="K91" s="23"/>
      <c r="L91" s="23"/>
      <c r="M91" s="23"/>
      <c r="N91" s="23"/>
      <c r="O91" s="23"/>
      <c r="P91" s="23"/>
      <c r="Q91" s="23"/>
      <c r="R91" s="23"/>
      <c r="S91" s="23"/>
      <c r="T91" s="23"/>
    </row>
    <row r="92" spans="1:20" ht="30" customHeight="1" x14ac:dyDescent="0.25">
      <c r="A92" s="22" t="s">
        <v>224</v>
      </c>
      <c r="B92" s="23"/>
      <c r="C92" s="23"/>
      <c r="D92" s="23"/>
      <c r="E92" s="23"/>
      <c r="F92" s="23"/>
      <c r="G92" s="23"/>
      <c r="H92" s="23"/>
      <c r="I92" s="23"/>
      <c r="J92" s="23"/>
      <c r="K92" s="23"/>
      <c r="L92" s="23"/>
      <c r="M92" s="23"/>
      <c r="N92" s="23"/>
      <c r="O92" s="23"/>
      <c r="P92" s="23"/>
      <c r="Q92" s="23"/>
      <c r="R92" s="23"/>
      <c r="S92" s="23"/>
      <c r="T92" s="23"/>
    </row>
    <row r="93" spans="1:20" ht="30" customHeight="1" x14ac:dyDescent="0.25">
      <c r="A93" s="22" t="s">
        <v>225</v>
      </c>
      <c r="B93" s="23"/>
      <c r="C93" s="23"/>
      <c r="D93" s="23"/>
      <c r="E93" s="23"/>
      <c r="F93" s="23"/>
      <c r="G93" s="23"/>
      <c r="H93" s="23"/>
      <c r="I93" s="23"/>
      <c r="J93" s="23"/>
      <c r="K93" s="23"/>
      <c r="L93" s="23"/>
      <c r="M93" s="23"/>
      <c r="N93" s="23"/>
      <c r="O93" s="23"/>
      <c r="P93" s="23"/>
      <c r="Q93" s="23"/>
      <c r="R93" s="23"/>
      <c r="S93" s="23"/>
      <c r="T93" s="23"/>
    </row>
    <row r="94" spans="1:20" ht="30" customHeight="1" x14ac:dyDescent="0.25">
      <c r="A94" s="22" t="s">
        <v>226</v>
      </c>
      <c r="B94" s="23"/>
      <c r="C94" s="23"/>
      <c r="D94" s="23"/>
      <c r="E94" s="23"/>
      <c r="F94" s="23"/>
      <c r="G94" s="23"/>
      <c r="H94" s="23"/>
      <c r="I94" s="23"/>
      <c r="J94" s="23"/>
      <c r="K94" s="23"/>
      <c r="L94" s="23"/>
      <c r="M94" s="23"/>
      <c r="N94" s="23"/>
      <c r="O94" s="23"/>
      <c r="P94" s="23"/>
      <c r="Q94" s="23"/>
      <c r="R94" s="23"/>
      <c r="S94" s="23"/>
      <c r="T94" s="23"/>
    </row>
    <row r="95" spans="1:20" ht="30" customHeight="1" x14ac:dyDescent="0.25">
      <c r="A95" s="22" t="s">
        <v>227</v>
      </c>
      <c r="B95" s="23"/>
      <c r="C95" s="23"/>
      <c r="D95" s="23"/>
      <c r="E95" s="23"/>
      <c r="F95" s="23"/>
      <c r="G95" s="23"/>
      <c r="H95" s="23"/>
      <c r="I95" s="23"/>
      <c r="J95" s="23"/>
      <c r="K95" s="23"/>
      <c r="L95" s="23"/>
      <c r="M95" s="23"/>
      <c r="N95" s="23"/>
      <c r="O95" s="23"/>
      <c r="P95" s="23"/>
      <c r="Q95" s="23"/>
      <c r="R95" s="23"/>
      <c r="S95" s="23"/>
      <c r="T95" s="23"/>
    </row>
    <row r="96" spans="1:20" ht="30" customHeight="1" x14ac:dyDescent="0.25">
      <c r="A96" s="22" t="s">
        <v>228</v>
      </c>
      <c r="B96" s="23"/>
      <c r="C96" s="23"/>
      <c r="D96" s="23"/>
      <c r="E96" s="23"/>
      <c r="F96" s="23"/>
      <c r="G96" s="23"/>
      <c r="H96" s="23"/>
      <c r="I96" s="23"/>
      <c r="J96" s="23"/>
      <c r="K96" s="23"/>
      <c r="L96" s="23"/>
      <c r="M96" s="23"/>
      <c r="N96" s="23"/>
      <c r="O96" s="23"/>
      <c r="P96" s="23"/>
      <c r="Q96" s="23"/>
      <c r="R96" s="23"/>
      <c r="S96" s="23"/>
      <c r="T96" s="23"/>
    </row>
  </sheetData>
  <mergeCells count="23">
    <mergeCell ref="O4:P4"/>
    <mergeCell ref="Q4:R4"/>
    <mergeCell ref="S4:T4"/>
    <mergeCell ref="A1:T1"/>
    <mergeCell ref="A2:T2"/>
    <mergeCell ref="E4:F4"/>
    <mergeCell ref="G4:H4"/>
    <mergeCell ref="I4:J4"/>
    <mergeCell ref="K4:L4"/>
    <mergeCell ref="M4:N4"/>
    <mergeCell ref="A84:T84"/>
    <mergeCell ref="A85:T85"/>
    <mergeCell ref="A86:T86"/>
    <mergeCell ref="A87:T87"/>
    <mergeCell ref="A88:T88"/>
    <mergeCell ref="A94:T94"/>
    <mergeCell ref="A95:T95"/>
    <mergeCell ref="A96:T96"/>
    <mergeCell ref="A89:T89"/>
    <mergeCell ref="A90:T90"/>
    <mergeCell ref="A91:T91"/>
    <mergeCell ref="A92:T92"/>
    <mergeCell ref="A93:T93"/>
  </mergeCells>
  <pageMargins left="0.75" right="0.75" top="1" bottom="1" header="0.5" footer="0.5"/>
</worksheet>
</file>

<file path=xl/worksheets/sheet1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4"/>
  <dimension ref="A1:V96"/>
  <sheetViews>
    <sheetView zoomScale="80" workbookViewId="0">
      <pane xSplit="4" topLeftCell="E1" activePane="topRight" state="frozen"/>
      <selection sqref="A1:R1"/>
      <selection pane="topRight" sqref="A1:V1"/>
    </sheetView>
  </sheetViews>
  <sheetFormatPr defaultColWidth="11.42578125" defaultRowHeight="15" x14ac:dyDescent="0.25"/>
  <cols>
    <col min="1" max="1" width="50" customWidth="1"/>
  </cols>
  <sheetData>
    <row r="1" spans="1:22" x14ac:dyDescent="0.25">
      <c r="A1" s="26" t="s">
        <v>122</v>
      </c>
      <c r="B1" s="23"/>
      <c r="C1" s="23"/>
      <c r="D1" s="23"/>
      <c r="E1" s="23"/>
      <c r="F1" s="23"/>
      <c r="G1" s="23"/>
      <c r="H1" s="23"/>
      <c r="I1" s="23"/>
      <c r="J1" s="23"/>
      <c r="K1" s="23"/>
      <c r="L1" s="23"/>
      <c r="M1" s="23"/>
      <c r="N1" s="23"/>
      <c r="O1" s="23"/>
      <c r="P1" s="23"/>
      <c r="Q1" s="23"/>
      <c r="R1" s="23"/>
      <c r="S1" s="23"/>
      <c r="T1" s="23"/>
      <c r="U1" s="23"/>
      <c r="V1" s="23"/>
    </row>
    <row r="2" spans="1:22" x14ac:dyDescent="0.25">
      <c r="A2" s="27" t="s">
        <v>350</v>
      </c>
      <c r="B2" s="23"/>
      <c r="C2" s="23"/>
      <c r="D2" s="23"/>
      <c r="E2" s="23"/>
      <c r="F2" s="23"/>
      <c r="G2" s="23"/>
      <c r="H2" s="23"/>
      <c r="I2" s="23"/>
      <c r="J2" s="23"/>
      <c r="K2" s="23"/>
      <c r="L2" s="23"/>
      <c r="M2" s="23"/>
      <c r="N2" s="23"/>
      <c r="O2" s="23"/>
      <c r="P2" s="23"/>
      <c r="Q2" s="23"/>
      <c r="R2" s="23"/>
      <c r="S2" s="23"/>
      <c r="T2" s="23"/>
      <c r="U2" s="23"/>
      <c r="V2" s="23"/>
    </row>
    <row r="4" spans="1:22" ht="30" customHeight="1" x14ac:dyDescent="0.25">
      <c r="A4" s="4"/>
      <c r="B4" s="5" t="s">
        <v>123</v>
      </c>
      <c r="C4" s="5" t="s">
        <v>124</v>
      </c>
      <c r="D4" s="6" t="s">
        <v>123</v>
      </c>
      <c r="E4" s="24" t="s">
        <v>229</v>
      </c>
      <c r="F4" s="25"/>
      <c r="G4" s="24" t="s">
        <v>230</v>
      </c>
      <c r="H4" s="25"/>
      <c r="I4" s="24" t="s">
        <v>231</v>
      </c>
      <c r="J4" s="25"/>
      <c r="K4" s="24" t="s">
        <v>232</v>
      </c>
      <c r="L4" s="25"/>
      <c r="M4" s="24" t="s">
        <v>127</v>
      </c>
      <c r="N4" s="25"/>
      <c r="O4" s="24" t="s">
        <v>128</v>
      </c>
      <c r="P4" s="25"/>
      <c r="Q4" s="24" t="s">
        <v>129</v>
      </c>
      <c r="R4" s="25"/>
      <c r="S4" s="24" t="s">
        <v>130</v>
      </c>
      <c r="T4" s="25"/>
      <c r="U4" s="24" t="s">
        <v>131</v>
      </c>
      <c r="V4" s="25"/>
    </row>
    <row r="5" spans="1:22" x14ac:dyDescent="0.25">
      <c r="A5" s="7"/>
      <c r="B5" s="8" t="s">
        <v>132</v>
      </c>
      <c r="C5" s="8" t="s">
        <v>133</v>
      </c>
      <c r="D5" s="7" t="s">
        <v>134</v>
      </c>
      <c r="E5" s="8" t="s">
        <v>135</v>
      </c>
      <c r="F5" s="7" t="s">
        <v>136</v>
      </c>
      <c r="G5" s="8" t="s">
        <v>135</v>
      </c>
      <c r="H5" s="7" t="s">
        <v>136</v>
      </c>
      <c r="I5" s="8" t="s">
        <v>135</v>
      </c>
      <c r="J5" s="7" t="s">
        <v>136</v>
      </c>
      <c r="K5" s="8" t="s">
        <v>135</v>
      </c>
      <c r="L5" s="7" t="s">
        <v>136</v>
      </c>
      <c r="M5" s="8" t="s">
        <v>135</v>
      </c>
      <c r="N5" s="7" t="s">
        <v>136</v>
      </c>
      <c r="O5" s="8" t="s">
        <v>135</v>
      </c>
      <c r="P5" s="7" t="s">
        <v>136</v>
      </c>
      <c r="Q5" s="8" t="s">
        <v>135</v>
      </c>
      <c r="R5" s="7" t="s">
        <v>136</v>
      </c>
      <c r="S5" s="8" t="s">
        <v>135</v>
      </c>
      <c r="T5" s="7" t="s">
        <v>136</v>
      </c>
      <c r="U5" s="8" t="s">
        <v>135</v>
      </c>
      <c r="V5" s="7" t="s">
        <v>136</v>
      </c>
    </row>
    <row r="6" spans="1:22" x14ac:dyDescent="0.25">
      <c r="A6" s="9" t="s">
        <v>137</v>
      </c>
      <c r="B6" s="10"/>
      <c r="C6" s="10"/>
      <c r="D6" s="11"/>
      <c r="E6" s="10"/>
      <c r="F6" s="11"/>
      <c r="G6" s="10"/>
      <c r="H6" s="11"/>
      <c r="I6" s="10"/>
      <c r="J6" s="11"/>
      <c r="K6" s="10"/>
      <c r="L6" s="11"/>
      <c r="M6" s="10"/>
      <c r="N6" s="11"/>
      <c r="O6" s="10"/>
      <c r="P6" s="11"/>
      <c r="Q6" s="10"/>
      <c r="R6" s="11"/>
      <c r="S6" s="10"/>
      <c r="T6" s="11"/>
      <c r="U6" s="10"/>
      <c r="V6" s="12"/>
    </row>
    <row r="7" spans="1:22" x14ac:dyDescent="0.25">
      <c r="A7" s="11" t="s">
        <v>138</v>
      </c>
      <c r="B7" s="13">
        <v>14530</v>
      </c>
      <c r="C7" s="14">
        <f>(12189/B7*100)</f>
        <v>83.888506538196836</v>
      </c>
      <c r="D7" s="15">
        <v>2341</v>
      </c>
      <c r="E7" s="14">
        <v>44.393710300000002</v>
      </c>
      <c r="F7" s="16">
        <v>1.15881806</v>
      </c>
      <c r="G7" s="14">
        <v>2.2812362199999998</v>
      </c>
      <c r="H7" s="16">
        <v>0.35923270000000002</v>
      </c>
      <c r="I7" s="14">
        <v>29.20127025</v>
      </c>
      <c r="J7" s="16">
        <v>1.10003757</v>
      </c>
      <c r="K7" s="14">
        <v>24.123783230000001</v>
      </c>
      <c r="L7" s="16">
        <v>1.242553</v>
      </c>
      <c r="M7" s="14" t="s">
        <v>139</v>
      </c>
      <c r="N7" s="16" t="s">
        <v>139</v>
      </c>
      <c r="O7" s="14">
        <v>0</v>
      </c>
      <c r="P7" s="16">
        <v>0</v>
      </c>
      <c r="Q7" s="14">
        <v>0</v>
      </c>
      <c r="R7" s="16">
        <v>0</v>
      </c>
      <c r="S7" s="14">
        <v>0</v>
      </c>
      <c r="T7" s="16">
        <v>0</v>
      </c>
      <c r="U7" s="14">
        <v>0</v>
      </c>
      <c r="V7" s="16">
        <v>0</v>
      </c>
    </row>
    <row r="8" spans="1:22" x14ac:dyDescent="0.25">
      <c r="A8" s="11" t="s">
        <v>140</v>
      </c>
      <c r="B8" s="13">
        <v>7007</v>
      </c>
      <c r="C8" s="14">
        <f>(5824/B8*100)</f>
        <v>83.116883116883116</v>
      </c>
      <c r="D8" s="15">
        <v>1183</v>
      </c>
      <c r="E8" s="14">
        <v>50.122535589999998</v>
      </c>
      <c r="F8" s="16">
        <v>1.9670112099999999</v>
      </c>
      <c r="G8" s="14">
        <v>1.9937287800000001</v>
      </c>
      <c r="H8" s="16">
        <v>0.43816133000000002</v>
      </c>
      <c r="I8" s="14">
        <v>31.358371080000001</v>
      </c>
      <c r="J8" s="16">
        <v>1.53037197</v>
      </c>
      <c r="K8" s="14">
        <v>16.525364549999999</v>
      </c>
      <c r="L8" s="16">
        <v>1.26680203</v>
      </c>
      <c r="M8" s="14" t="s">
        <v>139</v>
      </c>
      <c r="N8" s="16" t="s">
        <v>139</v>
      </c>
      <c r="O8" s="14">
        <v>0</v>
      </c>
      <c r="P8" s="16">
        <v>0</v>
      </c>
      <c r="Q8" s="14">
        <v>0</v>
      </c>
      <c r="R8" s="16">
        <v>0</v>
      </c>
      <c r="S8" s="14">
        <v>0</v>
      </c>
      <c r="T8" s="16">
        <v>0</v>
      </c>
      <c r="U8" s="14">
        <v>0</v>
      </c>
      <c r="V8" s="16">
        <v>0</v>
      </c>
    </row>
    <row r="9" spans="1:22" x14ac:dyDescent="0.25">
      <c r="A9" s="11" t="s">
        <v>141</v>
      </c>
      <c r="B9" s="13">
        <v>9651</v>
      </c>
      <c r="C9" s="14">
        <f>(8148/B9*100)</f>
        <v>84.426484302144857</v>
      </c>
      <c r="D9" s="15">
        <v>1503</v>
      </c>
      <c r="E9" s="14">
        <v>56.738363300000003</v>
      </c>
      <c r="F9" s="16">
        <v>1.1226231900000001</v>
      </c>
      <c r="G9" s="14">
        <v>3.1056057799999999</v>
      </c>
      <c r="H9" s="16">
        <v>0.40993954999999999</v>
      </c>
      <c r="I9" s="14">
        <v>26.209954549999999</v>
      </c>
      <c r="J9" s="16">
        <v>1.1218400799999999</v>
      </c>
      <c r="K9" s="14">
        <v>13.94607637</v>
      </c>
      <c r="L9" s="16">
        <v>0.7841458</v>
      </c>
      <c r="M9" s="14" t="s">
        <v>139</v>
      </c>
      <c r="N9" s="16" t="s">
        <v>139</v>
      </c>
      <c r="O9" s="14">
        <v>0</v>
      </c>
      <c r="P9" s="16">
        <v>0</v>
      </c>
      <c r="Q9" s="14">
        <v>0</v>
      </c>
      <c r="R9" s="16">
        <v>0</v>
      </c>
      <c r="S9" s="14">
        <v>0</v>
      </c>
      <c r="T9" s="16">
        <v>0</v>
      </c>
      <c r="U9" s="14">
        <v>0</v>
      </c>
      <c r="V9" s="16">
        <v>0</v>
      </c>
    </row>
    <row r="10" spans="1:22" x14ac:dyDescent="0.25">
      <c r="A10" s="11" t="s">
        <v>142</v>
      </c>
      <c r="B10" s="13">
        <v>20058</v>
      </c>
      <c r="C10" s="14">
        <f>(16728/B10*100)</f>
        <v>83.398145378402631</v>
      </c>
      <c r="D10" s="15">
        <v>3330</v>
      </c>
      <c r="E10" s="14">
        <v>42.616780439999999</v>
      </c>
      <c r="F10" s="16">
        <v>1.3038320699999999</v>
      </c>
      <c r="G10" s="14">
        <v>2.0452959800000001</v>
      </c>
      <c r="H10" s="16">
        <v>0.37890622000000002</v>
      </c>
      <c r="I10" s="14">
        <v>29.106782469999999</v>
      </c>
      <c r="J10" s="16">
        <v>1.0477772599999999</v>
      </c>
      <c r="K10" s="14">
        <v>26.231141109999999</v>
      </c>
      <c r="L10" s="16">
        <v>0.98291432999999995</v>
      </c>
      <c r="M10" s="14" t="s">
        <v>139</v>
      </c>
      <c r="N10" s="16" t="s">
        <v>139</v>
      </c>
      <c r="O10" s="14">
        <v>0</v>
      </c>
      <c r="P10" s="16">
        <v>0</v>
      </c>
      <c r="Q10" s="14">
        <v>0</v>
      </c>
      <c r="R10" s="16">
        <v>0</v>
      </c>
      <c r="S10" s="14">
        <v>0</v>
      </c>
      <c r="T10" s="16">
        <v>0</v>
      </c>
      <c r="U10" s="14">
        <v>0</v>
      </c>
      <c r="V10" s="16">
        <v>0</v>
      </c>
    </row>
    <row r="11" spans="1:22" x14ac:dyDescent="0.25">
      <c r="A11" s="11" t="s">
        <v>143</v>
      </c>
      <c r="B11" s="13">
        <v>7053</v>
      </c>
      <c r="C11" s="14">
        <f>(5945/B11*100)</f>
        <v>84.290372890968385</v>
      </c>
      <c r="D11" s="15">
        <v>1108</v>
      </c>
      <c r="E11" s="14">
        <v>61.591510530000001</v>
      </c>
      <c r="F11" s="16">
        <v>2.1334762299999999</v>
      </c>
      <c r="G11" s="14">
        <v>3.2068542</v>
      </c>
      <c r="H11" s="16">
        <v>0.71303852000000001</v>
      </c>
      <c r="I11" s="14">
        <v>20.521771579999999</v>
      </c>
      <c r="J11" s="16">
        <v>1.5361236700000001</v>
      </c>
      <c r="K11" s="14">
        <v>14.679863689999999</v>
      </c>
      <c r="L11" s="16">
        <v>1.2153139399999999</v>
      </c>
      <c r="M11" s="14" t="s">
        <v>139</v>
      </c>
      <c r="N11" s="16" t="s">
        <v>139</v>
      </c>
      <c r="O11" s="14">
        <v>0</v>
      </c>
      <c r="P11" s="16">
        <v>0</v>
      </c>
      <c r="Q11" s="14">
        <v>0</v>
      </c>
      <c r="R11" s="16">
        <v>0</v>
      </c>
      <c r="S11" s="14">
        <v>0</v>
      </c>
      <c r="T11" s="16">
        <v>0</v>
      </c>
      <c r="U11" s="14">
        <v>0</v>
      </c>
      <c r="V11" s="16">
        <v>0</v>
      </c>
    </row>
    <row r="12" spans="1:22" x14ac:dyDescent="0.25">
      <c r="A12" s="11" t="s">
        <v>144</v>
      </c>
      <c r="B12" s="13">
        <v>6894</v>
      </c>
      <c r="C12" s="14">
        <f>(5773/B12*100)</f>
        <v>83.739483608935302</v>
      </c>
      <c r="D12" s="15">
        <v>1121</v>
      </c>
      <c r="E12" s="14">
        <v>62.105272300000003</v>
      </c>
      <c r="F12" s="16">
        <v>1.6975924499999999</v>
      </c>
      <c r="G12" s="14">
        <v>2.77520977</v>
      </c>
      <c r="H12" s="16">
        <v>0.48890779000000001</v>
      </c>
      <c r="I12" s="14">
        <v>20.66708465</v>
      </c>
      <c r="J12" s="16">
        <v>1.4598138899999999</v>
      </c>
      <c r="K12" s="14">
        <v>14.452433279999999</v>
      </c>
      <c r="L12" s="16">
        <v>1.1664531199999999</v>
      </c>
      <c r="M12" s="14" t="s">
        <v>139</v>
      </c>
      <c r="N12" s="16" t="s">
        <v>139</v>
      </c>
      <c r="O12" s="14">
        <v>0</v>
      </c>
      <c r="P12" s="16">
        <v>0</v>
      </c>
      <c r="Q12" s="14">
        <v>0</v>
      </c>
      <c r="R12" s="16">
        <v>0</v>
      </c>
      <c r="S12" s="14">
        <v>0</v>
      </c>
      <c r="T12" s="16">
        <v>0</v>
      </c>
      <c r="U12" s="14">
        <v>0</v>
      </c>
      <c r="V12" s="16">
        <v>0</v>
      </c>
    </row>
    <row r="13" spans="1:22" x14ac:dyDescent="0.25">
      <c r="A13" s="11" t="s">
        <v>145</v>
      </c>
      <c r="B13" s="13">
        <v>7161</v>
      </c>
      <c r="C13" s="14">
        <f>(6056/B13*100)</f>
        <v>84.569194246613606</v>
      </c>
      <c r="D13" s="15">
        <v>1105</v>
      </c>
      <c r="E13" s="14">
        <v>52.510476740000001</v>
      </c>
      <c r="F13" s="16">
        <v>1.75900805</v>
      </c>
      <c r="G13" s="14">
        <v>1.54712838</v>
      </c>
      <c r="H13" s="16">
        <v>0.36126506000000003</v>
      </c>
      <c r="I13" s="14">
        <v>24.089592039999999</v>
      </c>
      <c r="J13" s="16">
        <v>1.5628985399999999</v>
      </c>
      <c r="K13" s="14">
        <v>21.852802839999999</v>
      </c>
      <c r="L13" s="16">
        <v>1.5055524600000001</v>
      </c>
      <c r="M13" s="14" t="s">
        <v>139</v>
      </c>
      <c r="N13" s="16" t="s">
        <v>139</v>
      </c>
      <c r="O13" s="14">
        <v>0</v>
      </c>
      <c r="P13" s="16">
        <v>0</v>
      </c>
      <c r="Q13" s="14">
        <v>0</v>
      </c>
      <c r="R13" s="16">
        <v>0</v>
      </c>
      <c r="S13" s="14">
        <v>0</v>
      </c>
      <c r="T13" s="16">
        <v>0</v>
      </c>
      <c r="U13" s="14">
        <v>0</v>
      </c>
      <c r="V13" s="16">
        <v>0</v>
      </c>
    </row>
    <row r="14" spans="1:22" x14ac:dyDescent="0.25">
      <c r="A14" s="11" t="s">
        <v>146</v>
      </c>
      <c r="B14" s="13">
        <v>5587</v>
      </c>
      <c r="C14" s="14">
        <f>(4649/B14*100)</f>
        <v>83.211025595131559</v>
      </c>
      <c r="D14" s="15">
        <v>938</v>
      </c>
      <c r="E14" s="14">
        <v>47.238761670000002</v>
      </c>
      <c r="F14" s="16">
        <v>1.7580123599999999</v>
      </c>
      <c r="G14" s="14">
        <v>0.66600239000000006</v>
      </c>
      <c r="H14" s="16">
        <v>0.26731807000000002</v>
      </c>
      <c r="I14" s="14">
        <v>26.788426640000001</v>
      </c>
      <c r="J14" s="16">
        <v>1.43545506</v>
      </c>
      <c r="K14" s="14">
        <v>25.306809309999998</v>
      </c>
      <c r="L14" s="16">
        <v>1.54804265</v>
      </c>
      <c r="M14" s="14" t="s">
        <v>139</v>
      </c>
      <c r="N14" s="16" t="s">
        <v>139</v>
      </c>
      <c r="O14" s="14">
        <v>0</v>
      </c>
      <c r="P14" s="16">
        <v>0</v>
      </c>
      <c r="Q14" s="14">
        <v>0</v>
      </c>
      <c r="R14" s="16">
        <v>0</v>
      </c>
      <c r="S14" s="14">
        <v>0</v>
      </c>
      <c r="T14" s="16">
        <v>0</v>
      </c>
      <c r="U14" s="14">
        <v>0</v>
      </c>
      <c r="V14" s="16">
        <v>0</v>
      </c>
    </row>
    <row r="15" spans="1:22" x14ac:dyDescent="0.25">
      <c r="A15" s="11" t="s">
        <v>147</v>
      </c>
      <c r="B15" s="13">
        <v>5882</v>
      </c>
      <c r="C15" s="14">
        <f>(4896/B15*100)</f>
        <v>83.236994219653184</v>
      </c>
      <c r="D15" s="15">
        <v>986</v>
      </c>
      <c r="E15" s="14">
        <v>42.96716326</v>
      </c>
      <c r="F15" s="16">
        <v>1.80549811</v>
      </c>
      <c r="G15" s="14">
        <v>1.44183452</v>
      </c>
      <c r="H15" s="16">
        <v>0.35481660999999998</v>
      </c>
      <c r="I15" s="14">
        <v>25.828402260000001</v>
      </c>
      <c r="J15" s="16">
        <v>1.45934572</v>
      </c>
      <c r="K15" s="14">
        <v>29.76259997</v>
      </c>
      <c r="L15" s="16">
        <v>1.42436086</v>
      </c>
      <c r="M15" s="14" t="s">
        <v>139</v>
      </c>
      <c r="N15" s="16" t="s">
        <v>139</v>
      </c>
      <c r="O15" s="14">
        <v>0</v>
      </c>
      <c r="P15" s="16">
        <v>0</v>
      </c>
      <c r="Q15" s="14">
        <v>0</v>
      </c>
      <c r="R15" s="16">
        <v>0</v>
      </c>
      <c r="S15" s="14">
        <v>0</v>
      </c>
      <c r="T15" s="16">
        <v>0</v>
      </c>
      <c r="U15" s="14">
        <v>0</v>
      </c>
      <c r="V15" s="16">
        <v>0</v>
      </c>
    </row>
    <row r="16" spans="1:22" x14ac:dyDescent="0.25">
      <c r="A16" s="11" t="s">
        <v>148</v>
      </c>
      <c r="B16" s="13">
        <v>6108</v>
      </c>
      <c r="C16" s="14">
        <f>(5126/B16*100)</f>
        <v>83.922724296005242</v>
      </c>
      <c r="D16" s="15">
        <v>982</v>
      </c>
      <c r="E16" s="14">
        <v>62.92442939</v>
      </c>
      <c r="F16" s="16">
        <v>1.70517235</v>
      </c>
      <c r="G16" s="14">
        <v>1.9182612400000001</v>
      </c>
      <c r="H16" s="16">
        <v>0.45322569000000001</v>
      </c>
      <c r="I16" s="14">
        <v>23.102321790000001</v>
      </c>
      <c r="J16" s="16">
        <v>1.4186615600000001</v>
      </c>
      <c r="K16" s="14">
        <v>12.054987580000001</v>
      </c>
      <c r="L16" s="16">
        <v>1.23692716</v>
      </c>
      <c r="M16" s="14" t="s">
        <v>139</v>
      </c>
      <c r="N16" s="16" t="s">
        <v>139</v>
      </c>
      <c r="O16" s="14">
        <v>0</v>
      </c>
      <c r="P16" s="16">
        <v>0</v>
      </c>
      <c r="Q16" s="14">
        <v>0</v>
      </c>
      <c r="R16" s="16">
        <v>0</v>
      </c>
      <c r="S16" s="14">
        <v>0</v>
      </c>
      <c r="T16" s="16">
        <v>0</v>
      </c>
      <c r="U16" s="14">
        <v>0</v>
      </c>
      <c r="V16" s="16">
        <v>0</v>
      </c>
    </row>
    <row r="17" spans="1:22" x14ac:dyDescent="0.25">
      <c r="A17" s="11" t="s">
        <v>149</v>
      </c>
      <c r="B17" s="13">
        <v>6504</v>
      </c>
      <c r="C17" s="14">
        <f>(5460/B17*100)</f>
        <v>83.948339483394832</v>
      </c>
      <c r="D17" s="15">
        <v>1044</v>
      </c>
      <c r="E17" s="14">
        <v>52.589208790000001</v>
      </c>
      <c r="F17" s="16">
        <v>1.6771333399999999</v>
      </c>
      <c r="G17" s="14">
        <v>1.8255036899999999</v>
      </c>
      <c r="H17" s="16">
        <v>0.32974112999999999</v>
      </c>
      <c r="I17" s="14">
        <v>28.555419350000001</v>
      </c>
      <c r="J17" s="16">
        <v>1.60290062</v>
      </c>
      <c r="K17" s="14">
        <v>17.029868180000001</v>
      </c>
      <c r="L17" s="16">
        <v>1.2617285499999999</v>
      </c>
      <c r="M17" s="14" t="s">
        <v>139</v>
      </c>
      <c r="N17" s="16" t="s">
        <v>139</v>
      </c>
      <c r="O17" s="14">
        <v>0</v>
      </c>
      <c r="P17" s="16">
        <v>0</v>
      </c>
      <c r="Q17" s="14">
        <v>0</v>
      </c>
      <c r="R17" s="16">
        <v>0</v>
      </c>
      <c r="S17" s="14">
        <v>0</v>
      </c>
      <c r="T17" s="16">
        <v>0</v>
      </c>
      <c r="U17" s="14">
        <v>0</v>
      </c>
      <c r="V17" s="16">
        <v>0</v>
      </c>
    </row>
    <row r="18" spans="1:22" x14ac:dyDescent="0.25">
      <c r="A18" s="11" t="s">
        <v>150</v>
      </c>
      <c r="B18" s="13">
        <v>5532</v>
      </c>
      <c r="C18" s="14">
        <f>(4600/B18*100)</f>
        <v>83.152566883586417</v>
      </c>
      <c r="D18" s="15">
        <v>932</v>
      </c>
      <c r="E18" s="14">
        <v>65.212793210000001</v>
      </c>
      <c r="F18" s="16">
        <v>1.6575552600000001</v>
      </c>
      <c r="G18" s="14">
        <v>2.3451967800000002</v>
      </c>
      <c r="H18" s="16">
        <v>0.47951884</v>
      </c>
      <c r="I18" s="14">
        <v>18.86853679</v>
      </c>
      <c r="J18" s="16">
        <v>1.3496288299999999</v>
      </c>
      <c r="K18" s="14">
        <v>13.57347321</v>
      </c>
      <c r="L18" s="16">
        <v>1.2585738200000001</v>
      </c>
      <c r="M18" s="14" t="s">
        <v>139</v>
      </c>
      <c r="N18" s="16" t="s">
        <v>139</v>
      </c>
      <c r="O18" s="14">
        <v>0</v>
      </c>
      <c r="P18" s="16">
        <v>0</v>
      </c>
      <c r="Q18" s="14">
        <v>0</v>
      </c>
      <c r="R18" s="16">
        <v>0</v>
      </c>
      <c r="S18" s="14">
        <v>0</v>
      </c>
      <c r="T18" s="16">
        <v>0</v>
      </c>
      <c r="U18" s="14">
        <v>0</v>
      </c>
      <c r="V18" s="16">
        <v>0</v>
      </c>
    </row>
    <row r="19" spans="1:22" x14ac:dyDescent="0.25">
      <c r="A19" s="11" t="s">
        <v>151</v>
      </c>
      <c r="B19" s="13">
        <v>5658</v>
      </c>
      <c r="C19" s="14">
        <f>(4757/B19*100)</f>
        <v>84.075645104277129</v>
      </c>
      <c r="D19" s="15">
        <v>901</v>
      </c>
      <c r="E19" s="14">
        <v>63.70432374</v>
      </c>
      <c r="F19" s="16">
        <v>1.6124540700000001</v>
      </c>
      <c r="G19" s="14">
        <v>3.72845608</v>
      </c>
      <c r="H19" s="16">
        <v>0.77339517999999996</v>
      </c>
      <c r="I19" s="14">
        <v>14.916854470000001</v>
      </c>
      <c r="J19" s="16">
        <v>1.12060961</v>
      </c>
      <c r="K19" s="14">
        <v>17.650365709999999</v>
      </c>
      <c r="L19" s="16">
        <v>1.3742670699999999</v>
      </c>
      <c r="M19" s="14" t="s">
        <v>139</v>
      </c>
      <c r="N19" s="16" t="s">
        <v>139</v>
      </c>
      <c r="O19" s="14">
        <v>0</v>
      </c>
      <c r="P19" s="16">
        <v>0</v>
      </c>
      <c r="Q19" s="14">
        <v>0</v>
      </c>
      <c r="R19" s="16">
        <v>0</v>
      </c>
      <c r="S19" s="14">
        <v>0</v>
      </c>
      <c r="T19" s="16">
        <v>0</v>
      </c>
      <c r="U19" s="14">
        <v>0</v>
      </c>
      <c r="V19" s="16">
        <v>0</v>
      </c>
    </row>
    <row r="20" spans="1:22" x14ac:dyDescent="0.25">
      <c r="A20" s="11" t="s">
        <v>152</v>
      </c>
      <c r="B20" s="13">
        <v>3371</v>
      </c>
      <c r="C20" s="14">
        <f>(2826/B20*100)</f>
        <v>83.832690596262239</v>
      </c>
      <c r="D20" s="15">
        <v>545</v>
      </c>
      <c r="E20" s="14">
        <v>50.743603710000002</v>
      </c>
      <c r="F20" s="16">
        <v>2.0579458800000001</v>
      </c>
      <c r="G20" s="14">
        <v>1.5316795999999999</v>
      </c>
      <c r="H20" s="16">
        <v>0.54683481</v>
      </c>
      <c r="I20" s="14">
        <v>30.273093450000001</v>
      </c>
      <c r="J20" s="16">
        <v>1.83726469</v>
      </c>
      <c r="K20" s="14">
        <v>17.45162324</v>
      </c>
      <c r="L20" s="16">
        <v>1.77307561</v>
      </c>
      <c r="M20" s="14" t="s">
        <v>139</v>
      </c>
      <c r="N20" s="16" t="s">
        <v>139</v>
      </c>
      <c r="O20" s="14">
        <v>0</v>
      </c>
      <c r="P20" s="16">
        <v>0</v>
      </c>
      <c r="Q20" s="14">
        <v>0</v>
      </c>
      <c r="R20" s="16">
        <v>0</v>
      </c>
      <c r="S20" s="14">
        <v>0</v>
      </c>
      <c r="T20" s="16">
        <v>0</v>
      </c>
      <c r="U20" s="14">
        <v>0</v>
      </c>
      <c r="V20" s="16">
        <v>0</v>
      </c>
    </row>
    <row r="21" spans="1:22" x14ac:dyDescent="0.25">
      <c r="A21" s="11" t="s">
        <v>153</v>
      </c>
      <c r="B21" s="17" t="s">
        <v>154</v>
      </c>
      <c r="C21" s="17" t="s">
        <v>154</v>
      </c>
      <c r="D21" s="18" t="s">
        <v>154</v>
      </c>
      <c r="E21" s="17" t="s">
        <v>154</v>
      </c>
      <c r="F21" s="18" t="s">
        <v>154</v>
      </c>
      <c r="G21" s="17" t="s">
        <v>154</v>
      </c>
      <c r="H21" s="18" t="s">
        <v>154</v>
      </c>
      <c r="I21" s="17" t="s">
        <v>154</v>
      </c>
      <c r="J21" s="18" t="s">
        <v>154</v>
      </c>
      <c r="K21" s="17" t="s">
        <v>154</v>
      </c>
      <c r="L21" s="18" t="s">
        <v>154</v>
      </c>
      <c r="M21" s="17" t="s">
        <v>154</v>
      </c>
      <c r="N21" s="18" t="s">
        <v>154</v>
      </c>
      <c r="O21" s="17" t="s">
        <v>154</v>
      </c>
      <c r="P21" s="18" t="s">
        <v>154</v>
      </c>
      <c r="Q21" s="17" t="s">
        <v>154</v>
      </c>
      <c r="R21" s="18" t="s">
        <v>154</v>
      </c>
      <c r="S21" s="17" t="s">
        <v>154</v>
      </c>
      <c r="T21" s="18" t="s">
        <v>154</v>
      </c>
      <c r="U21" s="17" t="s">
        <v>154</v>
      </c>
      <c r="V21" s="18" t="s">
        <v>154</v>
      </c>
    </row>
    <row r="22" spans="1:22" x14ac:dyDescent="0.25">
      <c r="A22" s="11" t="s">
        <v>155</v>
      </c>
      <c r="B22" s="13">
        <v>6598</v>
      </c>
      <c r="C22" s="14">
        <f>(5614/B22*100)</f>
        <v>85.086389815095487</v>
      </c>
      <c r="D22" s="15">
        <v>984</v>
      </c>
      <c r="E22" s="14">
        <v>59.531991069999997</v>
      </c>
      <c r="F22" s="16">
        <v>1.4643610499999999</v>
      </c>
      <c r="G22" s="14">
        <v>4.9071062300000001</v>
      </c>
      <c r="H22" s="16">
        <v>0.73923373999999997</v>
      </c>
      <c r="I22" s="14">
        <v>21.217519110000001</v>
      </c>
      <c r="J22" s="16">
        <v>1.3077650999999999</v>
      </c>
      <c r="K22" s="14">
        <v>14.34338359</v>
      </c>
      <c r="L22" s="16">
        <v>1.2364813299999999</v>
      </c>
      <c r="M22" s="14" t="s">
        <v>139</v>
      </c>
      <c r="N22" s="16" t="s">
        <v>139</v>
      </c>
      <c r="O22" s="14">
        <v>0</v>
      </c>
      <c r="P22" s="16">
        <v>0</v>
      </c>
      <c r="Q22" s="14">
        <v>0</v>
      </c>
      <c r="R22" s="16">
        <v>0</v>
      </c>
      <c r="S22" s="14">
        <v>0</v>
      </c>
      <c r="T22" s="16">
        <v>0</v>
      </c>
      <c r="U22" s="14">
        <v>0</v>
      </c>
      <c r="V22" s="16">
        <v>0</v>
      </c>
    </row>
    <row r="23" spans="1:22" x14ac:dyDescent="0.25">
      <c r="A23" s="11" t="s">
        <v>156</v>
      </c>
      <c r="B23" s="13">
        <v>11583</v>
      </c>
      <c r="C23" s="14">
        <f>(9647/B23*100)</f>
        <v>83.285849952516628</v>
      </c>
      <c r="D23" s="15">
        <v>1936</v>
      </c>
      <c r="E23" s="14">
        <v>61.463351400000001</v>
      </c>
      <c r="F23" s="16">
        <v>1.65626421</v>
      </c>
      <c r="G23" s="14">
        <v>2.4179046999999998</v>
      </c>
      <c r="H23" s="16">
        <v>0.45081775000000002</v>
      </c>
      <c r="I23" s="14">
        <v>21.821380210000001</v>
      </c>
      <c r="J23" s="16">
        <v>1.2028694499999999</v>
      </c>
      <c r="K23" s="14">
        <v>14.297363689999999</v>
      </c>
      <c r="L23" s="16">
        <v>1.5834726100000001</v>
      </c>
      <c r="M23" s="14" t="s">
        <v>139</v>
      </c>
      <c r="N23" s="16" t="s">
        <v>139</v>
      </c>
      <c r="O23" s="14">
        <v>0</v>
      </c>
      <c r="P23" s="16">
        <v>0</v>
      </c>
      <c r="Q23" s="14">
        <v>0</v>
      </c>
      <c r="R23" s="16">
        <v>0</v>
      </c>
      <c r="S23" s="14">
        <v>0</v>
      </c>
      <c r="T23" s="16">
        <v>0</v>
      </c>
      <c r="U23" s="14">
        <v>0</v>
      </c>
      <c r="V23" s="16">
        <v>0</v>
      </c>
    </row>
    <row r="24" spans="1:22" x14ac:dyDescent="0.25">
      <c r="A24" s="11" t="s">
        <v>157</v>
      </c>
      <c r="B24" s="13">
        <v>6647</v>
      </c>
      <c r="C24" s="14">
        <f>(5517/B24*100)</f>
        <v>82.999849556190767</v>
      </c>
      <c r="D24" s="15">
        <v>1130</v>
      </c>
      <c r="E24" s="14">
        <v>31.72756201</v>
      </c>
      <c r="F24" s="16">
        <v>1.50366841</v>
      </c>
      <c r="G24" s="14">
        <v>10.36457452</v>
      </c>
      <c r="H24" s="16">
        <v>0.95382785999999997</v>
      </c>
      <c r="I24" s="14">
        <v>13.15896058</v>
      </c>
      <c r="J24" s="16">
        <v>0.97526307000000001</v>
      </c>
      <c r="K24" s="14">
        <v>44.748902880000003</v>
      </c>
      <c r="L24" s="16">
        <v>1.5226063999999999</v>
      </c>
      <c r="M24" s="14" t="s">
        <v>139</v>
      </c>
      <c r="N24" s="16" t="s">
        <v>139</v>
      </c>
      <c r="O24" s="14">
        <v>0</v>
      </c>
      <c r="P24" s="16">
        <v>0</v>
      </c>
      <c r="Q24" s="14">
        <v>0</v>
      </c>
      <c r="R24" s="16">
        <v>0</v>
      </c>
      <c r="S24" s="14">
        <v>0</v>
      </c>
      <c r="T24" s="16">
        <v>0</v>
      </c>
      <c r="U24" s="14">
        <v>0</v>
      </c>
      <c r="V24" s="16">
        <v>0</v>
      </c>
    </row>
    <row r="25" spans="1:22" x14ac:dyDescent="0.25">
      <c r="A25" s="11" t="s">
        <v>158</v>
      </c>
      <c r="B25" s="13">
        <v>5581</v>
      </c>
      <c r="C25" s="14">
        <f>(4615/B25*100)</f>
        <v>82.691273965239205</v>
      </c>
      <c r="D25" s="15">
        <v>966</v>
      </c>
      <c r="E25" s="14">
        <v>39.49657517</v>
      </c>
      <c r="F25" s="16">
        <v>1.55037454</v>
      </c>
      <c r="G25" s="14">
        <v>0.95974879000000002</v>
      </c>
      <c r="H25" s="16">
        <v>0.30184672000000001</v>
      </c>
      <c r="I25" s="14">
        <v>31.753361890000001</v>
      </c>
      <c r="J25" s="16">
        <v>1.3680818699999999</v>
      </c>
      <c r="K25" s="14">
        <v>27.79031415</v>
      </c>
      <c r="L25" s="16">
        <v>1.35253194</v>
      </c>
      <c r="M25" s="14" t="s">
        <v>139</v>
      </c>
      <c r="N25" s="16" t="s">
        <v>139</v>
      </c>
      <c r="O25" s="14">
        <v>0</v>
      </c>
      <c r="P25" s="16">
        <v>0</v>
      </c>
      <c r="Q25" s="14">
        <v>0</v>
      </c>
      <c r="R25" s="16">
        <v>0</v>
      </c>
      <c r="S25" s="14">
        <v>0</v>
      </c>
      <c r="T25" s="16">
        <v>0</v>
      </c>
      <c r="U25" s="14">
        <v>0</v>
      </c>
      <c r="V25" s="16">
        <v>0</v>
      </c>
    </row>
    <row r="26" spans="1:22" x14ac:dyDescent="0.25">
      <c r="A26" s="11" t="s">
        <v>159</v>
      </c>
      <c r="B26" s="13">
        <v>4869</v>
      </c>
      <c r="C26" s="14">
        <f>(4049/B26*100)</f>
        <v>83.15875949887041</v>
      </c>
      <c r="D26" s="15">
        <v>820</v>
      </c>
      <c r="E26" s="14">
        <v>61.880024249999998</v>
      </c>
      <c r="F26" s="16">
        <v>1.9075081700000001</v>
      </c>
      <c r="G26" s="14">
        <v>3.4151052599999998</v>
      </c>
      <c r="H26" s="16">
        <v>0.66780432000000001</v>
      </c>
      <c r="I26" s="14">
        <v>20.057057260000001</v>
      </c>
      <c r="J26" s="16">
        <v>1.60079244</v>
      </c>
      <c r="K26" s="14">
        <v>14.64781322</v>
      </c>
      <c r="L26" s="16">
        <v>1.3715512999999999</v>
      </c>
      <c r="M26" s="14" t="s">
        <v>139</v>
      </c>
      <c r="N26" s="16" t="s">
        <v>139</v>
      </c>
      <c r="O26" s="14">
        <v>0</v>
      </c>
      <c r="P26" s="16">
        <v>0</v>
      </c>
      <c r="Q26" s="14">
        <v>0</v>
      </c>
      <c r="R26" s="16">
        <v>0</v>
      </c>
      <c r="S26" s="14">
        <v>0</v>
      </c>
      <c r="T26" s="16">
        <v>0</v>
      </c>
      <c r="U26" s="14">
        <v>0</v>
      </c>
      <c r="V26" s="16">
        <v>0</v>
      </c>
    </row>
    <row r="27" spans="1:22" x14ac:dyDescent="0.25">
      <c r="A27" s="11" t="s">
        <v>160</v>
      </c>
      <c r="B27" s="13">
        <v>5299</v>
      </c>
      <c r="C27" s="14">
        <f>(4454/B27*100)</f>
        <v>84.053595017927904</v>
      </c>
      <c r="D27" s="15">
        <v>845</v>
      </c>
      <c r="E27" s="14">
        <v>61.37680546</v>
      </c>
      <c r="F27" s="16">
        <v>1.57520477</v>
      </c>
      <c r="G27" s="14">
        <v>1.7846605</v>
      </c>
      <c r="H27" s="16">
        <v>0.49097080999999998</v>
      </c>
      <c r="I27" s="14">
        <v>24.426864559999999</v>
      </c>
      <c r="J27" s="16">
        <v>1.4701033299999999</v>
      </c>
      <c r="K27" s="14">
        <v>12.41166947</v>
      </c>
      <c r="L27" s="16">
        <v>1.1035282900000001</v>
      </c>
      <c r="M27" s="14" t="s">
        <v>139</v>
      </c>
      <c r="N27" s="16" t="s">
        <v>139</v>
      </c>
      <c r="O27" s="14">
        <v>0</v>
      </c>
      <c r="P27" s="16">
        <v>0</v>
      </c>
      <c r="Q27" s="14">
        <v>0</v>
      </c>
      <c r="R27" s="16">
        <v>0</v>
      </c>
      <c r="S27" s="14">
        <v>0</v>
      </c>
      <c r="T27" s="16">
        <v>0</v>
      </c>
      <c r="U27" s="14">
        <v>0</v>
      </c>
      <c r="V27" s="16">
        <v>0</v>
      </c>
    </row>
    <row r="28" spans="1:22" x14ac:dyDescent="0.25">
      <c r="A28" s="11" t="s">
        <v>161</v>
      </c>
      <c r="B28" s="13">
        <v>7568</v>
      </c>
      <c r="C28" s="14">
        <f>(6449/B28*100)</f>
        <v>85.214059196617328</v>
      </c>
      <c r="D28" s="15">
        <v>1119</v>
      </c>
      <c r="E28" s="14">
        <v>63.359039979999999</v>
      </c>
      <c r="F28" s="16">
        <v>1.71731827</v>
      </c>
      <c r="G28" s="14">
        <v>6.03658611</v>
      </c>
      <c r="H28" s="16">
        <v>0.77318432000000004</v>
      </c>
      <c r="I28" s="14">
        <v>17.905843350000001</v>
      </c>
      <c r="J28" s="16">
        <v>1.3217702600000001</v>
      </c>
      <c r="K28" s="14">
        <v>12.698530549999999</v>
      </c>
      <c r="L28" s="16">
        <v>1.0584830599999999</v>
      </c>
      <c r="M28" s="14" t="s">
        <v>139</v>
      </c>
      <c r="N28" s="16" t="s">
        <v>139</v>
      </c>
      <c r="O28" s="14">
        <v>0</v>
      </c>
      <c r="P28" s="16">
        <v>0</v>
      </c>
      <c r="Q28" s="14">
        <v>0</v>
      </c>
      <c r="R28" s="16">
        <v>0</v>
      </c>
      <c r="S28" s="14">
        <v>0</v>
      </c>
      <c r="T28" s="16">
        <v>0</v>
      </c>
      <c r="U28" s="14">
        <v>0</v>
      </c>
      <c r="V28" s="16">
        <v>0</v>
      </c>
    </row>
    <row r="29" spans="1:22" x14ac:dyDescent="0.25">
      <c r="A29" s="11" t="s">
        <v>162</v>
      </c>
      <c r="B29" s="13">
        <v>5385</v>
      </c>
      <c r="C29" s="14">
        <f>(4501/B29*100)</f>
        <v>83.584029712163428</v>
      </c>
      <c r="D29" s="15">
        <v>884</v>
      </c>
      <c r="E29" s="14">
        <v>49.507606799999998</v>
      </c>
      <c r="F29" s="16">
        <v>1.5266715500000001</v>
      </c>
      <c r="G29" s="14">
        <v>1.62814718</v>
      </c>
      <c r="H29" s="16">
        <v>0.40896183000000003</v>
      </c>
      <c r="I29" s="14">
        <v>36.341957899999997</v>
      </c>
      <c r="J29" s="16">
        <v>1.4826530600000001</v>
      </c>
      <c r="K29" s="14">
        <v>12.522288120000001</v>
      </c>
      <c r="L29" s="16">
        <v>1.19920315</v>
      </c>
      <c r="M29" s="14" t="s">
        <v>139</v>
      </c>
      <c r="N29" s="16" t="s">
        <v>139</v>
      </c>
      <c r="O29" s="14">
        <v>0</v>
      </c>
      <c r="P29" s="16">
        <v>0</v>
      </c>
      <c r="Q29" s="14">
        <v>0</v>
      </c>
      <c r="R29" s="16">
        <v>0</v>
      </c>
      <c r="S29" s="14">
        <v>0</v>
      </c>
      <c r="T29" s="16">
        <v>0</v>
      </c>
      <c r="U29" s="14">
        <v>0</v>
      </c>
      <c r="V29" s="16">
        <v>0</v>
      </c>
    </row>
    <row r="30" spans="1:22" x14ac:dyDescent="0.25">
      <c r="A30" s="11" t="s">
        <v>163</v>
      </c>
      <c r="B30" s="13">
        <v>4520</v>
      </c>
      <c r="C30" s="14">
        <f>(3837/B30*100)</f>
        <v>84.88938053097344</v>
      </c>
      <c r="D30" s="15">
        <v>683</v>
      </c>
      <c r="E30" s="14">
        <v>43.530927409999997</v>
      </c>
      <c r="F30" s="16">
        <v>1.9544013</v>
      </c>
      <c r="G30" s="14">
        <v>1.5340668200000001</v>
      </c>
      <c r="H30" s="16">
        <v>0.47185928999999999</v>
      </c>
      <c r="I30" s="14">
        <v>28.59078113</v>
      </c>
      <c r="J30" s="16">
        <v>1.7634084800000001</v>
      </c>
      <c r="K30" s="14">
        <v>26.34422464</v>
      </c>
      <c r="L30" s="16">
        <v>1.7641590199999999</v>
      </c>
      <c r="M30" s="14" t="s">
        <v>139</v>
      </c>
      <c r="N30" s="16" t="s">
        <v>139</v>
      </c>
      <c r="O30" s="14">
        <v>0</v>
      </c>
      <c r="P30" s="16">
        <v>0</v>
      </c>
      <c r="Q30" s="14">
        <v>0</v>
      </c>
      <c r="R30" s="16">
        <v>0</v>
      </c>
      <c r="S30" s="14">
        <v>0</v>
      </c>
      <c r="T30" s="16">
        <v>0</v>
      </c>
      <c r="U30" s="14">
        <v>0</v>
      </c>
      <c r="V30" s="16">
        <v>0</v>
      </c>
    </row>
    <row r="31" spans="1:22" x14ac:dyDescent="0.25">
      <c r="A31" s="11" t="s">
        <v>164</v>
      </c>
      <c r="B31" s="13">
        <v>5456</v>
      </c>
      <c r="C31" s="14">
        <f>(4572/B31*100)</f>
        <v>83.797653958944281</v>
      </c>
      <c r="D31" s="15">
        <v>884</v>
      </c>
      <c r="E31" s="14">
        <v>49.783940119999997</v>
      </c>
      <c r="F31" s="16">
        <v>1.6341940699999999</v>
      </c>
      <c r="G31" s="14">
        <v>3.0342345100000001</v>
      </c>
      <c r="H31" s="16">
        <v>0.53761835000000002</v>
      </c>
      <c r="I31" s="14">
        <v>29.93315948</v>
      </c>
      <c r="J31" s="16">
        <v>1.58353744</v>
      </c>
      <c r="K31" s="14">
        <v>17.248665890000002</v>
      </c>
      <c r="L31" s="16">
        <v>1.3538641899999999</v>
      </c>
      <c r="M31" s="14" t="s">
        <v>139</v>
      </c>
      <c r="N31" s="16" t="s">
        <v>139</v>
      </c>
      <c r="O31" s="14">
        <v>0</v>
      </c>
      <c r="P31" s="16">
        <v>0</v>
      </c>
      <c r="Q31" s="14">
        <v>0</v>
      </c>
      <c r="R31" s="16">
        <v>0</v>
      </c>
      <c r="S31" s="14">
        <v>0</v>
      </c>
      <c r="T31" s="16">
        <v>0</v>
      </c>
      <c r="U31" s="14">
        <v>0</v>
      </c>
      <c r="V31" s="16">
        <v>0</v>
      </c>
    </row>
    <row r="32" spans="1:22" x14ac:dyDescent="0.25">
      <c r="A32" s="11" t="s">
        <v>165</v>
      </c>
      <c r="B32" s="17" t="s">
        <v>154</v>
      </c>
      <c r="C32" s="17" t="s">
        <v>154</v>
      </c>
      <c r="D32" s="18" t="s">
        <v>154</v>
      </c>
      <c r="E32" s="17" t="s">
        <v>154</v>
      </c>
      <c r="F32" s="18" t="s">
        <v>154</v>
      </c>
      <c r="G32" s="17" t="s">
        <v>154</v>
      </c>
      <c r="H32" s="18" t="s">
        <v>154</v>
      </c>
      <c r="I32" s="17" t="s">
        <v>154</v>
      </c>
      <c r="J32" s="18" t="s">
        <v>154</v>
      </c>
      <c r="K32" s="17" t="s">
        <v>154</v>
      </c>
      <c r="L32" s="18" t="s">
        <v>154</v>
      </c>
      <c r="M32" s="17" t="s">
        <v>154</v>
      </c>
      <c r="N32" s="18" t="s">
        <v>154</v>
      </c>
      <c r="O32" s="17" t="s">
        <v>154</v>
      </c>
      <c r="P32" s="18" t="s">
        <v>154</v>
      </c>
      <c r="Q32" s="17" t="s">
        <v>154</v>
      </c>
      <c r="R32" s="18" t="s">
        <v>154</v>
      </c>
      <c r="S32" s="17" t="s">
        <v>154</v>
      </c>
      <c r="T32" s="18" t="s">
        <v>154</v>
      </c>
      <c r="U32" s="17" t="s">
        <v>154</v>
      </c>
      <c r="V32" s="18" t="s">
        <v>154</v>
      </c>
    </row>
    <row r="33" spans="1:22" x14ac:dyDescent="0.25">
      <c r="A33" s="11" t="s">
        <v>166</v>
      </c>
      <c r="B33" s="13">
        <v>7325</v>
      </c>
      <c r="C33" s="14">
        <f>(6167/B33*100)</f>
        <v>84.191126279863482</v>
      </c>
      <c r="D33" s="15">
        <v>1158</v>
      </c>
      <c r="E33" s="14">
        <v>52.023389000000002</v>
      </c>
      <c r="F33" s="16">
        <v>1.7091117600000001</v>
      </c>
      <c r="G33" s="14">
        <v>0.59160290999999998</v>
      </c>
      <c r="H33" s="16">
        <v>0.24762836999999999</v>
      </c>
      <c r="I33" s="14">
        <v>24.482453620000001</v>
      </c>
      <c r="J33" s="16">
        <v>1.2993226899999999</v>
      </c>
      <c r="K33" s="14">
        <v>22.902554460000001</v>
      </c>
      <c r="L33" s="16">
        <v>1.58501615</v>
      </c>
      <c r="M33" s="14" t="s">
        <v>139</v>
      </c>
      <c r="N33" s="16" t="s">
        <v>139</v>
      </c>
      <c r="O33" s="14">
        <v>0</v>
      </c>
      <c r="P33" s="16">
        <v>0</v>
      </c>
      <c r="Q33" s="14">
        <v>0</v>
      </c>
      <c r="R33" s="16">
        <v>0</v>
      </c>
      <c r="S33" s="14">
        <v>0</v>
      </c>
      <c r="T33" s="16">
        <v>0</v>
      </c>
      <c r="U33" s="14">
        <v>0</v>
      </c>
      <c r="V33" s="16">
        <v>0</v>
      </c>
    </row>
    <row r="34" spans="1:22" x14ac:dyDescent="0.25">
      <c r="A34" s="11" t="s">
        <v>167</v>
      </c>
      <c r="B34" s="13">
        <v>6350</v>
      </c>
      <c r="C34" s="14">
        <f>(5369/B34*100)</f>
        <v>84.551181102362207</v>
      </c>
      <c r="D34" s="15">
        <v>981</v>
      </c>
      <c r="E34" s="14">
        <v>64.990466920000003</v>
      </c>
      <c r="F34" s="16">
        <v>1.39693544</v>
      </c>
      <c r="G34" s="14">
        <v>6.1322216200000002</v>
      </c>
      <c r="H34" s="16">
        <v>0.82534056</v>
      </c>
      <c r="I34" s="14">
        <v>16.270332369999998</v>
      </c>
      <c r="J34" s="16">
        <v>1.27100722</v>
      </c>
      <c r="K34" s="14">
        <v>12.606979089999999</v>
      </c>
      <c r="L34" s="16">
        <v>1.1510760099999999</v>
      </c>
      <c r="M34" s="14" t="s">
        <v>139</v>
      </c>
      <c r="N34" s="16" t="s">
        <v>139</v>
      </c>
      <c r="O34" s="14">
        <v>0</v>
      </c>
      <c r="P34" s="16">
        <v>0</v>
      </c>
      <c r="Q34" s="14">
        <v>0</v>
      </c>
      <c r="R34" s="16">
        <v>0</v>
      </c>
      <c r="S34" s="14">
        <v>0</v>
      </c>
      <c r="T34" s="16">
        <v>0</v>
      </c>
      <c r="U34" s="14">
        <v>0</v>
      </c>
      <c r="V34" s="16">
        <v>0</v>
      </c>
    </row>
    <row r="35" spans="1:22" x14ac:dyDescent="0.25">
      <c r="A35" s="11" t="s">
        <v>168</v>
      </c>
      <c r="B35" s="13">
        <v>6406</v>
      </c>
      <c r="C35" s="14">
        <f>(5366/B35*100)</f>
        <v>83.76522010615048</v>
      </c>
      <c r="D35" s="15">
        <v>1040</v>
      </c>
      <c r="E35" s="14">
        <v>60.090224839999998</v>
      </c>
      <c r="F35" s="16">
        <v>1.950083</v>
      </c>
      <c r="G35" s="14">
        <v>2.2269453399999999</v>
      </c>
      <c r="H35" s="16">
        <v>0.57296893000000004</v>
      </c>
      <c r="I35" s="14">
        <v>19.530546170000001</v>
      </c>
      <c r="J35" s="16">
        <v>1.37090424</v>
      </c>
      <c r="K35" s="14">
        <v>18.152283659999998</v>
      </c>
      <c r="L35" s="16">
        <v>1.43465895</v>
      </c>
      <c r="M35" s="14" t="s">
        <v>139</v>
      </c>
      <c r="N35" s="16" t="s">
        <v>139</v>
      </c>
      <c r="O35" s="14">
        <v>0</v>
      </c>
      <c r="P35" s="16">
        <v>0</v>
      </c>
      <c r="Q35" s="14">
        <v>0</v>
      </c>
      <c r="R35" s="16">
        <v>0</v>
      </c>
      <c r="S35" s="14">
        <v>0</v>
      </c>
      <c r="T35" s="16">
        <v>0</v>
      </c>
      <c r="U35" s="14">
        <v>0</v>
      </c>
      <c r="V35" s="16">
        <v>0</v>
      </c>
    </row>
    <row r="36" spans="1:22" x14ac:dyDescent="0.25">
      <c r="A36" s="11" t="s">
        <v>169</v>
      </c>
      <c r="B36" s="13">
        <v>6736</v>
      </c>
      <c r="C36" s="14">
        <f>(5664/B36*100)</f>
        <v>84.085510688836109</v>
      </c>
      <c r="D36" s="15">
        <v>1072</v>
      </c>
      <c r="E36" s="14">
        <v>57.228591270000003</v>
      </c>
      <c r="F36" s="16">
        <v>1.4098809699999999</v>
      </c>
      <c r="G36" s="14">
        <v>2.4692935199999999</v>
      </c>
      <c r="H36" s="16">
        <v>0.51694717999999995</v>
      </c>
      <c r="I36" s="14">
        <v>25.050321690000001</v>
      </c>
      <c r="J36" s="16">
        <v>1.2589764999999999</v>
      </c>
      <c r="K36" s="14">
        <v>15.251793510000001</v>
      </c>
      <c r="L36" s="16">
        <v>1.11468536</v>
      </c>
      <c r="M36" s="14" t="s">
        <v>139</v>
      </c>
      <c r="N36" s="16" t="s">
        <v>139</v>
      </c>
      <c r="O36" s="14">
        <v>0</v>
      </c>
      <c r="P36" s="16">
        <v>0</v>
      </c>
      <c r="Q36" s="14">
        <v>0</v>
      </c>
      <c r="R36" s="16">
        <v>0</v>
      </c>
      <c r="S36" s="14">
        <v>0</v>
      </c>
      <c r="T36" s="16">
        <v>0</v>
      </c>
      <c r="U36" s="14">
        <v>0</v>
      </c>
      <c r="V36" s="16">
        <v>0</v>
      </c>
    </row>
    <row r="37" spans="1:22" x14ac:dyDescent="0.25">
      <c r="A37" s="11" t="s">
        <v>170</v>
      </c>
      <c r="B37" s="13">
        <v>5458</v>
      </c>
      <c r="C37" s="14">
        <f>(4613/B37*100)</f>
        <v>84.518138512275556</v>
      </c>
      <c r="D37" s="15">
        <v>845</v>
      </c>
      <c r="E37" s="14">
        <v>52.002200019999997</v>
      </c>
      <c r="F37" s="16">
        <v>1.66786273</v>
      </c>
      <c r="G37" s="14">
        <v>1.67458894</v>
      </c>
      <c r="H37" s="16">
        <v>0.45907902</v>
      </c>
      <c r="I37" s="14">
        <v>27.277035080000001</v>
      </c>
      <c r="J37" s="16">
        <v>1.7588271600000001</v>
      </c>
      <c r="K37" s="14">
        <v>19.046175959999999</v>
      </c>
      <c r="L37" s="16">
        <v>1.6477989399999999</v>
      </c>
      <c r="M37" s="14" t="s">
        <v>139</v>
      </c>
      <c r="N37" s="16" t="s">
        <v>139</v>
      </c>
      <c r="O37" s="14">
        <v>0</v>
      </c>
      <c r="P37" s="16">
        <v>0</v>
      </c>
      <c r="Q37" s="14">
        <v>0</v>
      </c>
      <c r="R37" s="16">
        <v>0</v>
      </c>
      <c r="S37" s="14">
        <v>0</v>
      </c>
      <c r="T37" s="16">
        <v>0</v>
      </c>
      <c r="U37" s="14">
        <v>0</v>
      </c>
      <c r="V37" s="16">
        <v>0</v>
      </c>
    </row>
    <row r="38" spans="1:22" x14ac:dyDescent="0.25">
      <c r="A38" s="11" t="s">
        <v>171</v>
      </c>
      <c r="B38" s="17" t="s">
        <v>154</v>
      </c>
      <c r="C38" s="17" t="s">
        <v>154</v>
      </c>
      <c r="D38" s="18" t="s">
        <v>154</v>
      </c>
      <c r="E38" s="17" t="s">
        <v>154</v>
      </c>
      <c r="F38" s="18" t="s">
        <v>154</v>
      </c>
      <c r="G38" s="17" t="s">
        <v>154</v>
      </c>
      <c r="H38" s="18" t="s">
        <v>154</v>
      </c>
      <c r="I38" s="17" t="s">
        <v>154</v>
      </c>
      <c r="J38" s="18" t="s">
        <v>154</v>
      </c>
      <c r="K38" s="17" t="s">
        <v>154</v>
      </c>
      <c r="L38" s="18" t="s">
        <v>154</v>
      </c>
      <c r="M38" s="17" t="s">
        <v>154</v>
      </c>
      <c r="N38" s="18" t="s">
        <v>154</v>
      </c>
      <c r="O38" s="17" t="s">
        <v>154</v>
      </c>
      <c r="P38" s="18" t="s">
        <v>154</v>
      </c>
      <c r="Q38" s="17" t="s">
        <v>154</v>
      </c>
      <c r="R38" s="18" t="s">
        <v>154</v>
      </c>
      <c r="S38" s="17" t="s">
        <v>154</v>
      </c>
      <c r="T38" s="18" t="s">
        <v>154</v>
      </c>
      <c r="U38" s="17" t="s">
        <v>154</v>
      </c>
      <c r="V38" s="18" t="s">
        <v>154</v>
      </c>
    </row>
    <row r="39" spans="1:22" x14ac:dyDescent="0.25">
      <c r="A39" s="11" t="s">
        <v>172</v>
      </c>
      <c r="B39" s="13">
        <v>5895</v>
      </c>
      <c r="C39" s="14">
        <f>(4868/B39*100)</f>
        <v>82.578456318914334</v>
      </c>
      <c r="D39" s="15">
        <v>1027</v>
      </c>
      <c r="E39" s="14">
        <v>78.062129369999994</v>
      </c>
      <c r="F39" s="16">
        <v>1.6831930799999999</v>
      </c>
      <c r="G39" s="14">
        <v>3.1227210599999999</v>
      </c>
      <c r="H39" s="16">
        <v>0.62206223999999999</v>
      </c>
      <c r="I39" s="14">
        <v>11.67385211</v>
      </c>
      <c r="J39" s="16">
        <v>1.2552331400000001</v>
      </c>
      <c r="K39" s="14">
        <v>7.1412974599999997</v>
      </c>
      <c r="L39" s="16">
        <v>0.98500489000000002</v>
      </c>
      <c r="M39" s="14" t="s">
        <v>139</v>
      </c>
      <c r="N39" s="16" t="s">
        <v>139</v>
      </c>
      <c r="O39" s="14">
        <v>0</v>
      </c>
      <c r="P39" s="16">
        <v>0</v>
      </c>
      <c r="Q39" s="14">
        <v>0</v>
      </c>
      <c r="R39" s="16">
        <v>0</v>
      </c>
      <c r="S39" s="14">
        <v>0</v>
      </c>
      <c r="T39" s="16">
        <v>0</v>
      </c>
      <c r="U39" s="14">
        <v>0</v>
      </c>
      <c r="V39" s="16">
        <v>0</v>
      </c>
    </row>
    <row r="40" spans="1:22" x14ac:dyDescent="0.25">
      <c r="A40" s="11" t="s">
        <v>173</v>
      </c>
      <c r="B40" s="13">
        <v>14157</v>
      </c>
      <c r="C40" s="14">
        <f>(11783/B40*100)</f>
        <v>83.230910503637773</v>
      </c>
      <c r="D40" s="15">
        <v>2374</v>
      </c>
      <c r="E40" s="14">
        <v>48.273109699999999</v>
      </c>
      <c r="F40" s="16">
        <v>1.47781443</v>
      </c>
      <c r="G40" s="14">
        <v>2.4527321500000001</v>
      </c>
      <c r="H40" s="16">
        <v>0.50554157</v>
      </c>
      <c r="I40" s="14">
        <v>28.40494473</v>
      </c>
      <c r="J40" s="16">
        <v>1.5038748500000001</v>
      </c>
      <c r="K40" s="14">
        <v>20.869213420000001</v>
      </c>
      <c r="L40" s="16">
        <v>1.03030282</v>
      </c>
      <c r="M40" s="14" t="s">
        <v>139</v>
      </c>
      <c r="N40" s="16" t="s">
        <v>139</v>
      </c>
      <c r="O40" s="14">
        <v>0</v>
      </c>
      <c r="P40" s="16">
        <v>0</v>
      </c>
      <c r="Q40" s="14">
        <v>0</v>
      </c>
      <c r="R40" s="16">
        <v>0</v>
      </c>
      <c r="S40" s="14">
        <v>0</v>
      </c>
      <c r="T40" s="16">
        <v>0</v>
      </c>
      <c r="U40" s="14">
        <v>0</v>
      </c>
      <c r="V40" s="16">
        <v>0</v>
      </c>
    </row>
    <row r="41" spans="1:22" x14ac:dyDescent="0.25">
      <c r="A41" s="11" t="s">
        <v>174</v>
      </c>
      <c r="B41" s="13">
        <v>5712</v>
      </c>
      <c r="C41" s="14">
        <f>(4777/B41*100)</f>
        <v>83.63095238095238</v>
      </c>
      <c r="D41" s="15">
        <v>935</v>
      </c>
      <c r="E41" s="14">
        <v>42.526436160000003</v>
      </c>
      <c r="F41" s="16">
        <v>1.8263891800000001</v>
      </c>
      <c r="G41" s="14">
        <v>2.91112605</v>
      </c>
      <c r="H41" s="16">
        <v>0.52854864999999995</v>
      </c>
      <c r="I41" s="14">
        <v>30.421800319999999</v>
      </c>
      <c r="J41" s="16">
        <v>1.4019613099999999</v>
      </c>
      <c r="K41" s="14">
        <v>24.140637470000001</v>
      </c>
      <c r="L41" s="16">
        <v>1.6666245399999999</v>
      </c>
      <c r="M41" s="14" t="s">
        <v>139</v>
      </c>
      <c r="N41" s="16" t="s">
        <v>139</v>
      </c>
      <c r="O41" s="14">
        <v>0</v>
      </c>
      <c r="P41" s="16">
        <v>0</v>
      </c>
      <c r="Q41" s="14">
        <v>0</v>
      </c>
      <c r="R41" s="16">
        <v>0</v>
      </c>
      <c r="S41" s="14">
        <v>0</v>
      </c>
      <c r="T41" s="16">
        <v>0</v>
      </c>
      <c r="U41" s="14">
        <v>0</v>
      </c>
      <c r="V41" s="16">
        <v>0</v>
      </c>
    </row>
    <row r="42" spans="1:22" x14ac:dyDescent="0.25">
      <c r="A42" s="11" t="s">
        <v>175</v>
      </c>
      <c r="B42" s="13">
        <f>IF(COUNT(B7:B41) &gt; 0, AVERAGE(B7:B41), "\u2014")</f>
        <v>7266.90625</v>
      </c>
      <c r="C42" s="14">
        <f>IF(COUNT(C7:C41) &gt; 0, AVERAGE(C7:C41), "—")</f>
        <v>83.81629354243708</v>
      </c>
      <c r="D42" s="15">
        <f>IF(COUNT(D7:D41) &gt; 0, AVERAGE(D7:D41), "—")</f>
        <v>1178.1875</v>
      </c>
      <c r="E42" s="14">
        <f>IF(COUNT(E7:E41) &gt; 0, AVERAGE(E7:E41), "—")</f>
        <v>54.134790747499999</v>
      </c>
      <c r="F42" s="16">
        <f>IF(COUNT(F7:F41) &gt; 0, SQRT(SUMSQ(F7:F41)/(COUNT(F7:F41)*COUNT(F7:F41)) ), "—")</f>
        <v>0.29579287063180615</v>
      </c>
      <c r="G42" s="14">
        <f>IF(COUNT(G7:G41) &gt; 0, AVERAGE(G7:G41), "—")</f>
        <v>2.752354988125</v>
      </c>
      <c r="H42" s="16">
        <f>IF(COUNT(H7:H41) &gt; 0, SQRT(SUMSQ(H7:H41)/(COUNT(H7:H41)*COUNT(H7:H41)) ), "—")</f>
        <v>9.5475145276758058E-2</v>
      </c>
      <c r="I42" s="14">
        <f>IF(COUNT(I7:I41) &gt; 0, AVERAGE(I7:I41), "—")</f>
        <v>24.306439154062499</v>
      </c>
      <c r="J42" s="16">
        <f>IF(COUNT(J7:J41) &gt; 0, SQRT(SUMSQ(J7:J41)/(COUNT(J7:J41)*COUNT(J7:J41)) ), "—")</f>
        <v>0.24999474696911295</v>
      </c>
      <c r="K42" s="14">
        <f>IF(COUNT(K7:K41) &gt; 0, AVERAGE(K7:K41), "—")</f>
        <v>18.806415109374999</v>
      </c>
      <c r="L42" s="16">
        <f>IF(COUNT(L7:L41) &gt; 0, SQRT(SUMSQ(L7:L41)/(COUNT(L7:L41)*COUNT(L7:L41)) ), "—")</f>
        <v>0.23685527952844565</v>
      </c>
      <c r="M42" s="14" t="str">
        <f>IF(COUNT(M7:M41) &gt; 0, AVERAGE(M7:M41), "—")</f>
        <v>—</v>
      </c>
      <c r="N42" s="16" t="str">
        <f>IF(COUNT(N7:N41) &gt; 0, SQRT(SUMSQ(N7:N41)/(COUNT(N7:N41)*COUNT(N7:N41)) ), "—")</f>
        <v>—</v>
      </c>
      <c r="O42" s="14">
        <f>IF(COUNT(O7:O41) &gt; 0, AVERAGE(O7:O41), "—")</f>
        <v>0</v>
      </c>
      <c r="P42" s="16">
        <f>IF(COUNT(P7:P41) &gt; 0, SQRT(SUMSQ(P7:P41)/(COUNT(P7:P41)*COUNT(P7:P41)) ), "—")</f>
        <v>0</v>
      </c>
      <c r="Q42" s="14">
        <f>IF(COUNT(Q7:Q41) &gt; 0, AVERAGE(Q7:Q41), "—")</f>
        <v>0</v>
      </c>
      <c r="R42" s="16">
        <f>IF(COUNT(R7:R41) &gt; 0, SQRT(SUMSQ(R7:R41)/(COUNT(R7:R41)*COUNT(R7:R41)) ), "—")</f>
        <v>0</v>
      </c>
      <c r="S42" s="14">
        <f>IF(COUNT(S7:S41) &gt; 0, AVERAGE(S7:S41), "—")</f>
        <v>0</v>
      </c>
      <c r="T42" s="16">
        <f>IF(COUNT(T7:T41) &gt; 0, SQRT(SUMSQ(T7:T41)/(COUNT(T7:T41)*COUNT(T7:T41)) ), "—")</f>
        <v>0</v>
      </c>
      <c r="U42" s="14">
        <f>IF(COUNT(U7:U41) &gt; 0, AVERAGE(U7:U41), "—")</f>
        <v>0</v>
      </c>
      <c r="V42" s="16">
        <f>IF(COUNT(V7:V41) &gt; 0, SQRT(SUMSQ(V7:V41)/(COUNT(V7:V41)*COUNT(V7:V41)) ), "—")</f>
        <v>0</v>
      </c>
    </row>
    <row r="43" spans="1:22" x14ac:dyDescent="0.25">
      <c r="A43" s="9" t="s">
        <v>176</v>
      </c>
      <c r="B43" s="10"/>
      <c r="C43" s="10"/>
      <c r="D43" s="11"/>
      <c r="E43" s="10"/>
      <c r="F43" s="11"/>
      <c r="G43" s="10"/>
      <c r="H43" s="11"/>
      <c r="I43" s="10"/>
      <c r="J43" s="11"/>
      <c r="K43" s="10"/>
      <c r="L43" s="11"/>
      <c r="M43" s="10"/>
      <c r="N43" s="11"/>
      <c r="O43" s="10"/>
      <c r="P43" s="11"/>
      <c r="Q43" s="10"/>
      <c r="R43" s="11"/>
      <c r="S43" s="10"/>
      <c r="T43" s="11"/>
      <c r="U43" s="10"/>
      <c r="V43" s="12"/>
    </row>
    <row r="44" spans="1:22" x14ac:dyDescent="0.25">
      <c r="A44" s="11" t="s">
        <v>177</v>
      </c>
      <c r="B44" s="17" t="s">
        <v>154</v>
      </c>
      <c r="C44" s="17" t="s">
        <v>154</v>
      </c>
      <c r="D44" s="18" t="s">
        <v>154</v>
      </c>
      <c r="E44" s="17" t="s">
        <v>154</v>
      </c>
      <c r="F44" s="18" t="s">
        <v>154</v>
      </c>
      <c r="G44" s="17" t="s">
        <v>154</v>
      </c>
      <c r="H44" s="18" t="s">
        <v>154</v>
      </c>
      <c r="I44" s="17" t="s">
        <v>154</v>
      </c>
      <c r="J44" s="18" t="s">
        <v>154</v>
      </c>
      <c r="K44" s="17" t="s">
        <v>154</v>
      </c>
      <c r="L44" s="18" t="s">
        <v>154</v>
      </c>
      <c r="M44" s="17" t="s">
        <v>154</v>
      </c>
      <c r="N44" s="18" t="s">
        <v>154</v>
      </c>
      <c r="O44" s="17" t="s">
        <v>154</v>
      </c>
      <c r="P44" s="18" t="s">
        <v>154</v>
      </c>
      <c r="Q44" s="17" t="s">
        <v>154</v>
      </c>
      <c r="R44" s="18" t="s">
        <v>154</v>
      </c>
      <c r="S44" s="17" t="s">
        <v>154</v>
      </c>
      <c r="T44" s="18" t="s">
        <v>154</v>
      </c>
      <c r="U44" s="17" t="s">
        <v>154</v>
      </c>
      <c r="V44" s="18" t="s">
        <v>154</v>
      </c>
    </row>
    <row r="45" spans="1:22" x14ac:dyDescent="0.25">
      <c r="A45" s="11" t="s">
        <v>178</v>
      </c>
      <c r="B45" s="17" t="s">
        <v>154</v>
      </c>
      <c r="C45" s="17" t="s">
        <v>154</v>
      </c>
      <c r="D45" s="18" t="s">
        <v>154</v>
      </c>
      <c r="E45" s="17" t="s">
        <v>154</v>
      </c>
      <c r="F45" s="18" t="s">
        <v>154</v>
      </c>
      <c r="G45" s="17" t="s">
        <v>154</v>
      </c>
      <c r="H45" s="18" t="s">
        <v>154</v>
      </c>
      <c r="I45" s="17" t="s">
        <v>154</v>
      </c>
      <c r="J45" s="18" t="s">
        <v>154</v>
      </c>
      <c r="K45" s="17" t="s">
        <v>154</v>
      </c>
      <c r="L45" s="18" t="s">
        <v>154</v>
      </c>
      <c r="M45" s="17" t="s">
        <v>154</v>
      </c>
      <c r="N45" s="18" t="s">
        <v>154</v>
      </c>
      <c r="O45" s="17" t="s">
        <v>154</v>
      </c>
      <c r="P45" s="18" t="s">
        <v>154</v>
      </c>
      <c r="Q45" s="17" t="s">
        <v>154</v>
      </c>
      <c r="R45" s="18" t="s">
        <v>154</v>
      </c>
      <c r="S45" s="17" t="s">
        <v>154</v>
      </c>
      <c r="T45" s="18" t="s">
        <v>154</v>
      </c>
      <c r="U45" s="17" t="s">
        <v>154</v>
      </c>
      <c r="V45" s="18" t="s">
        <v>154</v>
      </c>
    </row>
    <row r="46" spans="1:22" x14ac:dyDescent="0.25">
      <c r="A46" s="11" t="s">
        <v>179</v>
      </c>
      <c r="B46" s="13">
        <v>23141</v>
      </c>
      <c r="C46" s="14">
        <f>(20514/B46*100)</f>
        <v>88.647854457456461</v>
      </c>
      <c r="D46" s="15">
        <v>2627</v>
      </c>
      <c r="E46" s="14">
        <v>74.987846790000006</v>
      </c>
      <c r="F46" s="16">
        <v>1.19621222</v>
      </c>
      <c r="G46" s="14">
        <v>3.0529928800000001</v>
      </c>
      <c r="H46" s="16">
        <v>0.48432683999999998</v>
      </c>
      <c r="I46" s="14">
        <v>15.569945260000001</v>
      </c>
      <c r="J46" s="16">
        <v>1.0107828800000001</v>
      </c>
      <c r="K46" s="14">
        <v>6.3892150799999996</v>
      </c>
      <c r="L46" s="16">
        <v>0.74934303999999996</v>
      </c>
      <c r="M46" s="14" t="s">
        <v>139</v>
      </c>
      <c r="N46" s="16" t="s">
        <v>139</v>
      </c>
      <c r="O46" s="14">
        <v>0</v>
      </c>
      <c r="P46" s="16">
        <v>0</v>
      </c>
      <c r="Q46" s="14">
        <v>0</v>
      </c>
      <c r="R46" s="16">
        <v>0</v>
      </c>
      <c r="S46" s="14">
        <v>0</v>
      </c>
      <c r="T46" s="16">
        <v>0</v>
      </c>
      <c r="U46" s="14">
        <v>0</v>
      </c>
      <c r="V46" s="16">
        <v>0</v>
      </c>
    </row>
    <row r="47" spans="1:22" x14ac:dyDescent="0.25">
      <c r="A47" s="11" t="s">
        <v>180</v>
      </c>
      <c r="B47" s="13">
        <v>5928</v>
      </c>
      <c r="C47" s="14">
        <f>(5004/B47*100)</f>
        <v>84.412955465587046</v>
      </c>
      <c r="D47" s="15">
        <v>924</v>
      </c>
      <c r="E47" s="14">
        <v>70.695778829999995</v>
      </c>
      <c r="F47" s="16">
        <v>1.6686319000000001</v>
      </c>
      <c r="G47" s="14">
        <v>2.6143743800000001</v>
      </c>
      <c r="H47" s="16">
        <v>0.56297352000000001</v>
      </c>
      <c r="I47" s="14">
        <v>16.825109340000001</v>
      </c>
      <c r="J47" s="16">
        <v>1.16712672</v>
      </c>
      <c r="K47" s="14">
        <v>9.8647374400000007</v>
      </c>
      <c r="L47" s="16">
        <v>1.0912449799999999</v>
      </c>
      <c r="M47" s="14" t="s">
        <v>139</v>
      </c>
      <c r="N47" s="16" t="s">
        <v>139</v>
      </c>
      <c r="O47" s="14">
        <v>0</v>
      </c>
      <c r="P47" s="16">
        <v>0</v>
      </c>
      <c r="Q47" s="14">
        <v>0</v>
      </c>
      <c r="R47" s="16">
        <v>0</v>
      </c>
      <c r="S47" s="14">
        <v>0</v>
      </c>
      <c r="T47" s="16">
        <v>0</v>
      </c>
      <c r="U47" s="14">
        <v>0</v>
      </c>
      <c r="V47" s="16">
        <v>0</v>
      </c>
    </row>
    <row r="48" spans="1:22" x14ac:dyDescent="0.25">
      <c r="A48" s="11" t="s">
        <v>181</v>
      </c>
      <c r="B48" s="13">
        <v>9841</v>
      </c>
      <c r="C48" s="14">
        <f>(8203/B48*100)</f>
        <v>83.355350066050192</v>
      </c>
      <c r="D48" s="15">
        <v>1638</v>
      </c>
      <c r="E48" s="14">
        <v>52.818769459999999</v>
      </c>
      <c r="F48" s="16">
        <v>1.32574093</v>
      </c>
      <c r="G48" s="14">
        <v>3.1522834899999999</v>
      </c>
      <c r="H48" s="16">
        <v>0.62347733000000005</v>
      </c>
      <c r="I48" s="14">
        <v>15.753712930000001</v>
      </c>
      <c r="J48" s="16">
        <v>1.1782729300000001</v>
      </c>
      <c r="K48" s="14">
        <v>28.27523412</v>
      </c>
      <c r="L48" s="16">
        <v>1.57145585</v>
      </c>
      <c r="M48" s="14" t="s">
        <v>139</v>
      </c>
      <c r="N48" s="16" t="s">
        <v>139</v>
      </c>
      <c r="O48" s="14">
        <v>0</v>
      </c>
      <c r="P48" s="16">
        <v>0</v>
      </c>
      <c r="Q48" s="14">
        <v>0</v>
      </c>
      <c r="R48" s="16">
        <v>0</v>
      </c>
      <c r="S48" s="14">
        <v>0</v>
      </c>
      <c r="T48" s="16">
        <v>0</v>
      </c>
      <c r="U48" s="14">
        <v>0</v>
      </c>
      <c r="V48" s="16">
        <v>0</v>
      </c>
    </row>
    <row r="49" spans="1:22" x14ac:dyDescent="0.25">
      <c r="A49" s="11" t="s">
        <v>182</v>
      </c>
      <c r="B49" s="17" t="s">
        <v>154</v>
      </c>
      <c r="C49" s="17" t="s">
        <v>154</v>
      </c>
      <c r="D49" s="18" t="s">
        <v>154</v>
      </c>
      <c r="E49" s="17" t="s">
        <v>154</v>
      </c>
      <c r="F49" s="18" t="s">
        <v>154</v>
      </c>
      <c r="G49" s="17" t="s">
        <v>154</v>
      </c>
      <c r="H49" s="18" t="s">
        <v>154</v>
      </c>
      <c r="I49" s="17" t="s">
        <v>154</v>
      </c>
      <c r="J49" s="18" t="s">
        <v>154</v>
      </c>
      <c r="K49" s="17" t="s">
        <v>154</v>
      </c>
      <c r="L49" s="18" t="s">
        <v>154</v>
      </c>
      <c r="M49" s="17" t="s">
        <v>154</v>
      </c>
      <c r="N49" s="18" t="s">
        <v>154</v>
      </c>
      <c r="O49" s="17" t="s">
        <v>154</v>
      </c>
      <c r="P49" s="18" t="s">
        <v>154</v>
      </c>
      <c r="Q49" s="17" t="s">
        <v>154</v>
      </c>
      <c r="R49" s="18" t="s">
        <v>154</v>
      </c>
      <c r="S49" s="17" t="s">
        <v>154</v>
      </c>
      <c r="T49" s="18" t="s">
        <v>154</v>
      </c>
      <c r="U49" s="17" t="s">
        <v>154</v>
      </c>
      <c r="V49" s="18" t="s">
        <v>154</v>
      </c>
    </row>
    <row r="50" spans="1:22" x14ac:dyDescent="0.25">
      <c r="A50" s="11" t="s">
        <v>183</v>
      </c>
      <c r="B50" s="13">
        <v>11795</v>
      </c>
      <c r="C50" s="14">
        <f>(9961/B50*100)</f>
        <v>84.451038575667653</v>
      </c>
      <c r="D50" s="15">
        <v>1834</v>
      </c>
      <c r="E50" s="14">
        <v>68.558921229999996</v>
      </c>
      <c r="F50" s="16">
        <v>1.28569059</v>
      </c>
      <c r="G50" s="14">
        <v>3.6948444899999999</v>
      </c>
      <c r="H50" s="16">
        <v>0.58731314999999995</v>
      </c>
      <c r="I50" s="14">
        <v>16.863336060000002</v>
      </c>
      <c r="J50" s="16">
        <v>1.1603201999999999</v>
      </c>
      <c r="K50" s="14">
        <v>10.88289822</v>
      </c>
      <c r="L50" s="16">
        <v>0.99328039000000001</v>
      </c>
      <c r="M50" s="14" t="s">
        <v>139</v>
      </c>
      <c r="N50" s="16" t="s">
        <v>139</v>
      </c>
      <c r="O50" s="14">
        <v>0</v>
      </c>
      <c r="P50" s="16">
        <v>0</v>
      </c>
      <c r="Q50" s="14">
        <v>0</v>
      </c>
      <c r="R50" s="16">
        <v>0</v>
      </c>
      <c r="S50" s="14">
        <v>0</v>
      </c>
      <c r="T50" s="16">
        <v>0</v>
      </c>
      <c r="U50" s="14">
        <v>0</v>
      </c>
      <c r="V50" s="16">
        <v>0</v>
      </c>
    </row>
    <row r="51" spans="1:22" x14ac:dyDescent="0.25">
      <c r="A51" s="11" t="s">
        <v>184</v>
      </c>
      <c r="B51" s="13">
        <v>6866</v>
      </c>
      <c r="C51" s="14">
        <f>(5926/B51*100)</f>
        <v>86.309350422371097</v>
      </c>
      <c r="D51" s="15">
        <v>940</v>
      </c>
      <c r="E51" s="14">
        <v>74.82713966</v>
      </c>
      <c r="F51" s="16">
        <v>1.4202028499999999</v>
      </c>
      <c r="G51" s="14">
        <v>1.95983748</v>
      </c>
      <c r="H51" s="16">
        <v>0.49145667999999998</v>
      </c>
      <c r="I51" s="14">
        <v>14.163900529999999</v>
      </c>
      <c r="J51" s="16">
        <v>1.2788901100000001</v>
      </c>
      <c r="K51" s="14">
        <v>9.0491223299999994</v>
      </c>
      <c r="L51" s="16">
        <v>0.80887617999999994</v>
      </c>
      <c r="M51" s="14" t="s">
        <v>139</v>
      </c>
      <c r="N51" s="16" t="s">
        <v>139</v>
      </c>
      <c r="O51" s="14">
        <v>0</v>
      </c>
      <c r="P51" s="16">
        <v>0</v>
      </c>
      <c r="Q51" s="14">
        <v>0</v>
      </c>
      <c r="R51" s="16">
        <v>0</v>
      </c>
      <c r="S51" s="14">
        <v>0</v>
      </c>
      <c r="T51" s="16">
        <v>0</v>
      </c>
      <c r="U51" s="14">
        <v>0</v>
      </c>
      <c r="V51" s="16">
        <v>0</v>
      </c>
    </row>
    <row r="52" spans="1:22" x14ac:dyDescent="0.25">
      <c r="A52" s="11" t="s">
        <v>185</v>
      </c>
      <c r="B52" s="13">
        <v>5809</v>
      </c>
      <c r="C52" s="14">
        <f>(4863/B52*100)</f>
        <v>83.714925116198998</v>
      </c>
      <c r="D52" s="15">
        <v>946</v>
      </c>
      <c r="E52" s="14">
        <v>68.598069499999994</v>
      </c>
      <c r="F52" s="16">
        <v>1.548672</v>
      </c>
      <c r="G52" s="14">
        <v>1.84385197</v>
      </c>
      <c r="H52" s="16">
        <v>0.48112896999999999</v>
      </c>
      <c r="I52" s="14">
        <v>21.501194030000001</v>
      </c>
      <c r="J52" s="16">
        <v>1.28337744</v>
      </c>
      <c r="K52" s="14">
        <v>8.0568845000000007</v>
      </c>
      <c r="L52" s="16">
        <v>0.89459387999999995</v>
      </c>
      <c r="M52" s="14" t="s">
        <v>139</v>
      </c>
      <c r="N52" s="16" t="s">
        <v>139</v>
      </c>
      <c r="O52" s="14">
        <v>0</v>
      </c>
      <c r="P52" s="16">
        <v>0</v>
      </c>
      <c r="Q52" s="14">
        <v>0</v>
      </c>
      <c r="R52" s="16">
        <v>0</v>
      </c>
      <c r="S52" s="14">
        <v>0</v>
      </c>
      <c r="T52" s="16">
        <v>0</v>
      </c>
      <c r="U52" s="14">
        <v>0</v>
      </c>
      <c r="V52" s="16">
        <v>0</v>
      </c>
    </row>
    <row r="53" spans="1:22" x14ac:dyDescent="0.25">
      <c r="A53" s="11" t="s">
        <v>186</v>
      </c>
      <c r="B53" s="13">
        <v>5571</v>
      </c>
      <c r="C53" s="14">
        <f>(4698/B53*100)</f>
        <v>84.329563812600966</v>
      </c>
      <c r="D53" s="15">
        <v>873</v>
      </c>
      <c r="E53" s="14">
        <v>64.362930629999994</v>
      </c>
      <c r="F53" s="16">
        <v>1.65001077</v>
      </c>
      <c r="G53" s="14">
        <v>4.4989664400000002</v>
      </c>
      <c r="H53" s="16">
        <v>0.66217968999999999</v>
      </c>
      <c r="I53" s="14">
        <v>18.807063360000001</v>
      </c>
      <c r="J53" s="16">
        <v>1.2814880200000001</v>
      </c>
      <c r="K53" s="14">
        <v>12.33103957</v>
      </c>
      <c r="L53" s="16">
        <v>1.10803443</v>
      </c>
      <c r="M53" s="14" t="s">
        <v>139</v>
      </c>
      <c r="N53" s="16" t="s">
        <v>139</v>
      </c>
      <c r="O53" s="14">
        <v>0</v>
      </c>
      <c r="P53" s="16">
        <v>0</v>
      </c>
      <c r="Q53" s="14">
        <v>0</v>
      </c>
      <c r="R53" s="16">
        <v>0</v>
      </c>
      <c r="S53" s="14">
        <v>0</v>
      </c>
      <c r="T53" s="16">
        <v>0</v>
      </c>
      <c r="U53" s="14">
        <v>0</v>
      </c>
      <c r="V53" s="16">
        <v>0</v>
      </c>
    </row>
    <row r="54" spans="1:22" x14ac:dyDescent="0.25">
      <c r="A54" s="11" t="s">
        <v>187</v>
      </c>
      <c r="B54" s="17" t="s">
        <v>154</v>
      </c>
      <c r="C54" s="17" t="s">
        <v>154</v>
      </c>
      <c r="D54" s="18" t="s">
        <v>154</v>
      </c>
      <c r="E54" s="17" t="s">
        <v>154</v>
      </c>
      <c r="F54" s="18" t="s">
        <v>154</v>
      </c>
      <c r="G54" s="17" t="s">
        <v>154</v>
      </c>
      <c r="H54" s="18" t="s">
        <v>154</v>
      </c>
      <c r="I54" s="17" t="s">
        <v>154</v>
      </c>
      <c r="J54" s="18" t="s">
        <v>154</v>
      </c>
      <c r="K54" s="17" t="s">
        <v>154</v>
      </c>
      <c r="L54" s="18" t="s">
        <v>154</v>
      </c>
      <c r="M54" s="17" t="s">
        <v>154</v>
      </c>
      <c r="N54" s="18" t="s">
        <v>154</v>
      </c>
      <c r="O54" s="17" t="s">
        <v>154</v>
      </c>
      <c r="P54" s="18" t="s">
        <v>154</v>
      </c>
      <c r="Q54" s="17" t="s">
        <v>154</v>
      </c>
      <c r="R54" s="18" t="s">
        <v>154</v>
      </c>
      <c r="S54" s="17" t="s">
        <v>154</v>
      </c>
      <c r="T54" s="18" t="s">
        <v>154</v>
      </c>
      <c r="U54" s="17" t="s">
        <v>154</v>
      </c>
      <c r="V54" s="18" t="s">
        <v>154</v>
      </c>
    </row>
    <row r="55" spans="1:22" x14ac:dyDescent="0.25">
      <c r="A55" s="11" t="s">
        <v>188</v>
      </c>
      <c r="B55" s="17" t="s">
        <v>154</v>
      </c>
      <c r="C55" s="17" t="s">
        <v>154</v>
      </c>
      <c r="D55" s="18" t="s">
        <v>154</v>
      </c>
      <c r="E55" s="17" t="s">
        <v>154</v>
      </c>
      <c r="F55" s="18" t="s">
        <v>154</v>
      </c>
      <c r="G55" s="17" t="s">
        <v>154</v>
      </c>
      <c r="H55" s="18" t="s">
        <v>154</v>
      </c>
      <c r="I55" s="17" t="s">
        <v>154</v>
      </c>
      <c r="J55" s="18" t="s">
        <v>154</v>
      </c>
      <c r="K55" s="17" t="s">
        <v>154</v>
      </c>
      <c r="L55" s="18" t="s">
        <v>154</v>
      </c>
      <c r="M55" s="17" t="s">
        <v>154</v>
      </c>
      <c r="N55" s="18" t="s">
        <v>154</v>
      </c>
      <c r="O55" s="17" t="s">
        <v>154</v>
      </c>
      <c r="P55" s="18" t="s">
        <v>154</v>
      </c>
      <c r="Q55" s="17" t="s">
        <v>154</v>
      </c>
      <c r="R55" s="18" t="s">
        <v>154</v>
      </c>
      <c r="S55" s="17" t="s">
        <v>154</v>
      </c>
      <c r="T55" s="18" t="s">
        <v>154</v>
      </c>
      <c r="U55" s="17" t="s">
        <v>154</v>
      </c>
      <c r="V55" s="18" t="s">
        <v>154</v>
      </c>
    </row>
    <row r="56" spans="1:22" x14ac:dyDescent="0.25">
      <c r="A56" s="11" t="s">
        <v>189</v>
      </c>
      <c r="B56" s="13">
        <v>5359</v>
      </c>
      <c r="C56" s="14">
        <f>(4458/B56*100)</f>
        <v>83.187161783914902</v>
      </c>
      <c r="D56" s="15">
        <v>901</v>
      </c>
      <c r="E56" s="14">
        <v>29.367294139999998</v>
      </c>
      <c r="F56" s="16">
        <v>1.7676603799999999</v>
      </c>
      <c r="G56" s="14">
        <v>0.69136094999999997</v>
      </c>
      <c r="H56" s="16">
        <v>0.28215515000000002</v>
      </c>
      <c r="I56" s="14">
        <v>23.10658463</v>
      </c>
      <c r="J56" s="16">
        <v>1.8760536699999999</v>
      </c>
      <c r="K56" s="14">
        <v>46.834760289999998</v>
      </c>
      <c r="L56" s="16">
        <v>1.8517863699999999</v>
      </c>
      <c r="M56" s="14" t="s">
        <v>139</v>
      </c>
      <c r="N56" s="16" t="s">
        <v>139</v>
      </c>
      <c r="O56" s="14">
        <v>0</v>
      </c>
      <c r="P56" s="16">
        <v>0</v>
      </c>
      <c r="Q56" s="14">
        <v>0</v>
      </c>
      <c r="R56" s="16">
        <v>0</v>
      </c>
      <c r="S56" s="14">
        <v>0</v>
      </c>
      <c r="T56" s="16">
        <v>0</v>
      </c>
      <c r="U56" s="14">
        <v>0</v>
      </c>
      <c r="V56" s="16">
        <v>0</v>
      </c>
    </row>
    <row r="57" spans="1:22" x14ac:dyDescent="0.25">
      <c r="A57" s="11" t="s">
        <v>190</v>
      </c>
      <c r="B57" s="17" t="s">
        <v>154</v>
      </c>
      <c r="C57" s="17" t="s">
        <v>154</v>
      </c>
      <c r="D57" s="18" t="s">
        <v>154</v>
      </c>
      <c r="E57" s="17" t="s">
        <v>154</v>
      </c>
      <c r="F57" s="18" t="s">
        <v>154</v>
      </c>
      <c r="G57" s="17" t="s">
        <v>154</v>
      </c>
      <c r="H57" s="18" t="s">
        <v>154</v>
      </c>
      <c r="I57" s="17" t="s">
        <v>154</v>
      </c>
      <c r="J57" s="18" t="s">
        <v>154</v>
      </c>
      <c r="K57" s="17" t="s">
        <v>154</v>
      </c>
      <c r="L57" s="18" t="s">
        <v>154</v>
      </c>
      <c r="M57" s="17" t="s">
        <v>154</v>
      </c>
      <c r="N57" s="18" t="s">
        <v>154</v>
      </c>
      <c r="O57" s="17" t="s">
        <v>154</v>
      </c>
      <c r="P57" s="18" t="s">
        <v>154</v>
      </c>
      <c r="Q57" s="17" t="s">
        <v>154</v>
      </c>
      <c r="R57" s="18" t="s">
        <v>154</v>
      </c>
      <c r="S57" s="17" t="s">
        <v>154</v>
      </c>
      <c r="T57" s="18" t="s">
        <v>154</v>
      </c>
      <c r="U57" s="17" t="s">
        <v>154</v>
      </c>
      <c r="V57" s="18" t="s">
        <v>154</v>
      </c>
    </row>
    <row r="58" spans="1:22" x14ac:dyDescent="0.25">
      <c r="A58" s="11" t="s">
        <v>191</v>
      </c>
      <c r="B58" s="17" t="s">
        <v>154</v>
      </c>
      <c r="C58" s="17" t="s">
        <v>154</v>
      </c>
      <c r="D58" s="18" t="s">
        <v>154</v>
      </c>
      <c r="E58" s="17" t="s">
        <v>154</v>
      </c>
      <c r="F58" s="18" t="s">
        <v>154</v>
      </c>
      <c r="G58" s="17" t="s">
        <v>154</v>
      </c>
      <c r="H58" s="18" t="s">
        <v>154</v>
      </c>
      <c r="I58" s="17" t="s">
        <v>154</v>
      </c>
      <c r="J58" s="18" t="s">
        <v>154</v>
      </c>
      <c r="K58" s="17" t="s">
        <v>154</v>
      </c>
      <c r="L58" s="18" t="s">
        <v>154</v>
      </c>
      <c r="M58" s="17" t="s">
        <v>154</v>
      </c>
      <c r="N58" s="18" t="s">
        <v>154</v>
      </c>
      <c r="O58" s="17" t="s">
        <v>154</v>
      </c>
      <c r="P58" s="18" t="s">
        <v>154</v>
      </c>
      <c r="Q58" s="17" t="s">
        <v>154</v>
      </c>
      <c r="R58" s="18" t="s">
        <v>154</v>
      </c>
      <c r="S58" s="17" t="s">
        <v>154</v>
      </c>
      <c r="T58" s="18" t="s">
        <v>154</v>
      </c>
      <c r="U58" s="17" t="s">
        <v>154</v>
      </c>
      <c r="V58" s="18" t="s">
        <v>154</v>
      </c>
    </row>
    <row r="59" spans="1:22" x14ac:dyDescent="0.25">
      <c r="A59" s="11" t="s">
        <v>192</v>
      </c>
      <c r="B59" s="17" t="s">
        <v>154</v>
      </c>
      <c r="C59" s="17" t="s">
        <v>154</v>
      </c>
      <c r="D59" s="18" t="s">
        <v>154</v>
      </c>
      <c r="E59" s="17" t="s">
        <v>154</v>
      </c>
      <c r="F59" s="18" t="s">
        <v>154</v>
      </c>
      <c r="G59" s="17" t="s">
        <v>154</v>
      </c>
      <c r="H59" s="18" t="s">
        <v>154</v>
      </c>
      <c r="I59" s="17" t="s">
        <v>154</v>
      </c>
      <c r="J59" s="18" t="s">
        <v>154</v>
      </c>
      <c r="K59" s="17" t="s">
        <v>154</v>
      </c>
      <c r="L59" s="18" t="s">
        <v>154</v>
      </c>
      <c r="M59" s="17" t="s">
        <v>154</v>
      </c>
      <c r="N59" s="18" t="s">
        <v>154</v>
      </c>
      <c r="O59" s="17" t="s">
        <v>154</v>
      </c>
      <c r="P59" s="18" t="s">
        <v>154</v>
      </c>
      <c r="Q59" s="17" t="s">
        <v>154</v>
      </c>
      <c r="R59" s="18" t="s">
        <v>154</v>
      </c>
      <c r="S59" s="17" t="s">
        <v>154</v>
      </c>
      <c r="T59" s="18" t="s">
        <v>154</v>
      </c>
      <c r="U59" s="17" t="s">
        <v>154</v>
      </c>
      <c r="V59" s="18" t="s">
        <v>154</v>
      </c>
    </row>
    <row r="60" spans="1:22" x14ac:dyDescent="0.25">
      <c r="A60" s="11" t="s">
        <v>193</v>
      </c>
      <c r="B60" s="17" t="s">
        <v>154</v>
      </c>
      <c r="C60" s="17" t="s">
        <v>154</v>
      </c>
      <c r="D60" s="18" t="s">
        <v>154</v>
      </c>
      <c r="E60" s="17" t="s">
        <v>154</v>
      </c>
      <c r="F60" s="18" t="s">
        <v>154</v>
      </c>
      <c r="G60" s="17" t="s">
        <v>154</v>
      </c>
      <c r="H60" s="18" t="s">
        <v>154</v>
      </c>
      <c r="I60" s="17" t="s">
        <v>154</v>
      </c>
      <c r="J60" s="18" t="s">
        <v>154</v>
      </c>
      <c r="K60" s="17" t="s">
        <v>154</v>
      </c>
      <c r="L60" s="18" t="s">
        <v>154</v>
      </c>
      <c r="M60" s="17" t="s">
        <v>154</v>
      </c>
      <c r="N60" s="18" t="s">
        <v>154</v>
      </c>
      <c r="O60" s="17" t="s">
        <v>154</v>
      </c>
      <c r="P60" s="18" t="s">
        <v>154</v>
      </c>
      <c r="Q60" s="17" t="s">
        <v>154</v>
      </c>
      <c r="R60" s="18" t="s">
        <v>154</v>
      </c>
      <c r="S60" s="17" t="s">
        <v>154</v>
      </c>
      <c r="T60" s="18" t="s">
        <v>154</v>
      </c>
      <c r="U60" s="17" t="s">
        <v>154</v>
      </c>
      <c r="V60" s="18" t="s">
        <v>154</v>
      </c>
    </row>
    <row r="61" spans="1:22" x14ac:dyDescent="0.25">
      <c r="A61" s="11" t="s">
        <v>194</v>
      </c>
      <c r="B61" s="13">
        <v>6525</v>
      </c>
      <c r="C61" s="14">
        <f>(5466/B61*100)</f>
        <v>83.770114942528735</v>
      </c>
      <c r="D61" s="15">
        <v>1059</v>
      </c>
      <c r="E61" s="14">
        <v>66.751275230000005</v>
      </c>
      <c r="F61" s="16">
        <v>1.5388462000000001</v>
      </c>
      <c r="G61" s="14">
        <v>1.83085864</v>
      </c>
      <c r="H61" s="16">
        <v>0.46283933999999999</v>
      </c>
      <c r="I61" s="14">
        <v>19.37335191</v>
      </c>
      <c r="J61" s="16">
        <v>1.21517889</v>
      </c>
      <c r="K61" s="14">
        <v>12.04451422</v>
      </c>
      <c r="L61" s="16">
        <v>0.99599287000000003</v>
      </c>
      <c r="M61" s="14" t="s">
        <v>139</v>
      </c>
      <c r="N61" s="16" t="s">
        <v>139</v>
      </c>
      <c r="O61" s="14">
        <v>0</v>
      </c>
      <c r="P61" s="16">
        <v>0</v>
      </c>
      <c r="Q61" s="14">
        <v>0</v>
      </c>
      <c r="R61" s="16">
        <v>0</v>
      </c>
      <c r="S61" s="14">
        <v>0</v>
      </c>
      <c r="T61" s="16">
        <v>0</v>
      </c>
      <c r="U61" s="14">
        <v>0</v>
      </c>
      <c r="V61" s="16">
        <v>0</v>
      </c>
    </row>
    <row r="62" spans="1:22" x14ac:dyDescent="0.25">
      <c r="A62" s="11" t="s">
        <v>195</v>
      </c>
      <c r="B62" s="13">
        <v>4476</v>
      </c>
      <c r="C62" s="14">
        <f>(3728/B62*100)</f>
        <v>83.288650580875782</v>
      </c>
      <c r="D62" s="15">
        <v>748</v>
      </c>
      <c r="E62" s="14">
        <v>29.597550259999998</v>
      </c>
      <c r="F62" s="16">
        <v>1.6083078900000001</v>
      </c>
      <c r="G62" s="14">
        <v>1.8695628</v>
      </c>
      <c r="H62" s="16">
        <v>0.45475651</v>
      </c>
      <c r="I62" s="14">
        <v>17.37568392</v>
      </c>
      <c r="J62" s="16">
        <v>1.3801739099999999</v>
      </c>
      <c r="K62" s="14">
        <v>51.157203019999997</v>
      </c>
      <c r="L62" s="16">
        <v>1.89876249</v>
      </c>
      <c r="M62" s="14" t="s">
        <v>139</v>
      </c>
      <c r="N62" s="16" t="s">
        <v>139</v>
      </c>
      <c r="O62" s="14">
        <v>0</v>
      </c>
      <c r="P62" s="16">
        <v>0</v>
      </c>
      <c r="Q62" s="14">
        <v>0</v>
      </c>
      <c r="R62" s="16">
        <v>0</v>
      </c>
      <c r="S62" s="14">
        <v>0</v>
      </c>
      <c r="T62" s="16">
        <v>0</v>
      </c>
      <c r="U62" s="14">
        <v>0</v>
      </c>
      <c r="V62" s="16">
        <v>0</v>
      </c>
    </row>
    <row r="63" spans="1:22" x14ac:dyDescent="0.25">
      <c r="A63" s="11" t="s">
        <v>196</v>
      </c>
      <c r="B63" s="17" t="s">
        <v>154</v>
      </c>
      <c r="C63" s="17" t="s">
        <v>154</v>
      </c>
      <c r="D63" s="18" t="s">
        <v>154</v>
      </c>
      <c r="E63" s="17" t="s">
        <v>154</v>
      </c>
      <c r="F63" s="18" t="s">
        <v>154</v>
      </c>
      <c r="G63" s="17" t="s">
        <v>154</v>
      </c>
      <c r="H63" s="18" t="s">
        <v>154</v>
      </c>
      <c r="I63" s="17" t="s">
        <v>154</v>
      </c>
      <c r="J63" s="18" t="s">
        <v>154</v>
      </c>
      <c r="K63" s="17" t="s">
        <v>154</v>
      </c>
      <c r="L63" s="18" t="s">
        <v>154</v>
      </c>
      <c r="M63" s="17" t="s">
        <v>154</v>
      </c>
      <c r="N63" s="18" t="s">
        <v>154</v>
      </c>
      <c r="O63" s="17" t="s">
        <v>154</v>
      </c>
      <c r="P63" s="18" t="s">
        <v>154</v>
      </c>
      <c r="Q63" s="17" t="s">
        <v>154</v>
      </c>
      <c r="R63" s="18" t="s">
        <v>154</v>
      </c>
      <c r="S63" s="17" t="s">
        <v>154</v>
      </c>
      <c r="T63" s="18" t="s">
        <v>154</v>
      </c>
      <c r="U63" s="17" t="s">
        <v>154</v>
      </c>
      <c r="V63" s="18" t="s">
        <v>154</v>
      </c>
    </row>
    <row r="64" spans="1:22" x14ac:dyDescent="0.25">
      <c r="A64" s="11" t="s">
        <v>197</v>
      </c>
      <c r="B64" s="17" t="s">
        <v>154</v>
      </c>
      <c r="C64" s="17" t="s">
        <v>154</v>
      </c>
      <c r="D64" s="18" t="s">
        <v>154</v>
      </c>
      <c r="E64" s="17" t="s">
        <v>154</v>
      </c>
      <c r="F64" s="18" t="s">
        <v>154</v>
      </c>
      <c r="G64" s="17" t="s">
        <v>154</v>
      </c>
      <c r="H64" s="18" t="s">
        <v>154</v>
      </c>
      <c r="I64" s="17" t="s">
        <v>154</v>
      </c>
      <c r="J64" s="18" t="s">
        <v>154</v>
      </c>
      <c r="K64" s="17" t="s">
        <v>154</v>
      </c>
      <c r="L64" s="18" t="s">
        <v>154</v>
      </c>
      <c r="M64" s="17" t="s">
        <v>154</v>
      </c>
      <c r="N64" s="18" t="s">
        <v>154</v>
      </c>
      <c r="O64" s="17" t="s">
        <v>154</v>
      </c>
      <c r="P64" s="18" t="s">
        <v>154</v>
      </c>
      <c r="Q64" s="17" t="s">
        <v>154</v>
      </c>
      <c r="R64" s="18" t="s">
        <v>154</v>
      </c>
      <c r="S64" s="17" t="s">
        <v>154</v>
      </c>
      <c r="T64" s="18" t="s">
        <v>154</v>
      </c>
      <c r="U64" s="17" t="s">
        <v>154</v>
      </c>
      <c r="V64" s="18" t="s">
        <v>154</v>
      </c>
    </row>
    <row r="65" spans="1:22" x14ac:dyDescent="0.25">
      <c r="A65" s="11" t="s">
        <v>198</v>
      </c>
      <c r="B65" s="17" t="s">
        <v>154</v>
      </c>
      <c r="C65" s="17" t="s">
        <v>154</v>
      </c>
      <c r="D65" s="18" t="s">
        <v>154</v>
      </c>
      <c r="E65" s="17" t="s">
        <v>154</v>
      </c>
      <c r="F65" s="18" t="s">
        <v>154</v>
      </c>
      <c r="G65" s="17" t="s">
        <v>154</v>
      </c>
      <c r="H65" s="18" t="s">
        <v>154</v>
      </c>
      <c r="I65" s="17" t="s">
        <v>154</v>
      </c>
      <c r="J65" s="18" t="s">
        <v>154</v>
      </c>
      <c r="K65" s="17" t="s">
        <v>154</v>
      </c>
      <c r="L65" s="18" t="s">
        <v>154</v>
      </c>
      <c r="M65" s="17" t="s">
        <v>154</v>
      </c>
      <c r="N65" s="18" t="s">
        <v>154</v>
      </c>
      <c r="O65" s="17" t="s">
        <v>154</v>
      </c>
      <c r="P65" s="18" t="s">
        <v>154</v>
      </c>
      <c r="Q65" s="17" t="s">
        <v>154</v>
      </c>
      <c r="R65" s="18" t="s">
        <v>154</v>
      </c>
      <c r="S65" s="17" t="s">
        <v>154</v>
      </c>
      <c r="T65" s="18" t="s">
        <v>154</v>
      </c>
      <c r="U65" s="17" t="s">
        <v>154</v>
      </c>
      <c r="V65" s="18" t="s">
        <v>154</v>
      </c>
    </row>
    <row r="66" spans="1:22" x14ac:dyDescent="0.25">
      <c r="A66" s="11" t="s">
        <v>199</v>
      </c>
      <c r="B66" s="13">
        <v>5665</v>
      </c>
      <c r="C66" s="14">
        <f>(4780/B66*100)</f>
        <v>84.377758164165925</v>
      </c>
      <c r="D66" s="15">
        <v>885</v>
      </c>
      <c r="E66" s="14">
        <v>77.210920520000002</v>
      </c>
      <c r="F66" s="16">
        <v>1.29035644</v>
      </c>
      <c r="G66" s="14">
        <v>3.62415405</v>
      </c>
      <c r="H66" s="16">
        <v>0.67014205999999998</v>
      </c>
      <c r="I66" s="14">
        <v>14.10681649</v>
      </c>
      <c r="J66" s="16">
        <v>1.2018121799999999</v>
      </c>
      <c r="K66" s="14">
        <v>5.0581089400000003</v>
      </c>
      <c r="L66" s="16">
        <v>0.75542487000000003</v>
      </c>
      <c r="M66" s="14" t="s">
        <v>139</v>
      </c>
      <c r="N66" s="16" t="s">
        <v>139</v>
      </c>
      <c r="O66" s="14">
        <v>0</v>
      </c>
      <c r="P66" s="16">
        <v>0</v>
      </c>
      <c r="Q66" s="14">
        <v>0</v>
      </c>
      <c r="R66" s="16">
        <v>0</v>
      </c>
      <c r="S66" s="14">
        <v>0</v>
      </c>
      <c r="T66" s="16">
        <v>0</v>
      </c>
      <c r="U66" s="14">
        <v>0</v>
      </c>
      <c r="V66" s="16">
        <v>0</v>
      </c>
    </row>
    <row r="67" spans="1:22" x14ac:dyDescent="0.25">
      <c r="A67" s="11" t="s">
        <v>200</v>
      </c>
      <c r="B67" s="13">
        <v>6971</v>
      </c>
      <c r="C67" s="14">
        <f>(6035/B67*100)</f>
        <v>86.572945058097844</v>
      </c>
      <c r="D67" s="15">
        <v>936</v>
      </c>
      <c r="E67" s="14">
        <v>69.648297799999995</v>
      </c>
      <c r="F67" s="16">
        <v>1.9561098800000001</v>
      </c>
      <c r="G67" s="14">
        <v>2.5155331300000001</v>
      </c>
      <c r="H67" s="16">
        <v>0.44416792999999999</v>
      </c>
      <c r="I67" s="14">
        <v>16.27829573</v>
      </c>
      <c r="J67" s="16">
        <v>1.4040092200000001</v>
      </c>
      <c r="K67" s="14">
        <v>11.55787334</v>
      </c>
      <c r="L67" s="16">
        <v>1.1273236200000001</v>
      </c>
      <c r="M67" s="14" t="s">
        <v>139</v>
      </c>
      <c r="N67" s="16" t="s">
        <v>139</v>
      </c>
      <c r="O67" s="14">
        <v>0</v>
      </c>
      <c r="P67" s="16">
        <v>0</v>
      </c>
      <c r="Q67" s="14">
        <v>0</v>
      </c>
      <c r="R67" s="16">
        <v>0</v>
      </c>
      <c r="S67" s="14">
        <v>0</v>
      </c>
      <c r="T67" s="16">
        <v>0</v>
      </c>
      <c r="U67" s="14">
        <v>0</v>
      </c>
      <c r="V67" s="16">
        <v>0</v>
      </c>
    </row>
    <row r="68" spans="1:22" x14ac:dyDescent="0.25">
      <c r="A68" s="11" t="s">
        <v>201</v>
      </c>
      <c r="B68" s="17" t="s">
        <v>154</v>
      </c>
      <c r="C68" s="17" t="s">
        <v>154</v>
      </c>
      <c r="D68" s="18" t="s">
        <v>154</v>
      </c>
      <c r="E68" s="17" t="s">
        <v>154</v>
      </c>
      <c r="F68" s="18" t="s">
        <v>154</v>
      </c>
      <c r="G68" s="17" t="s">
        <v>154</v>
      </c>
      <c r="H68" s="18" t="s">
        <v>154</v>
      </c>
      <c r="I68" s="17" t="s">
        <v>154</v>
      </c>
      <c r="J68" s="18" t="s">
        <v>154</v>
      </c>
      <c r="K68" s="17" t="s">
        <v>154</v>
      </c>
      <c r="L68" s="18" t="s">
        <v>154</v>
      </c>
      <c r="M68" s="17" t="s">
        <v>154</v>
      </c>
      <c r="N68" s="18" t="s">
        <v>154</v>
      </c>
      <c r="O68" s="17" t="s">
        <v>154</v>
      </c>
      <c r="P68" s="18" t="s">
        <v>154</v>
      </c>
      <c r="Q68" s="17" t="s">
        <v>154</v>
      </c>
      <c r="R68" s="18" t="s">
        <v>154</v>
      </c>
      <c r="S68" s="17" t="s">
        <v>154</v>
      </c>
      <c r="T68" s="18" t="s">
        <v>154</v>
      </c>
      <c r="U68" s="17" t="s">
        <v>154</v>
      </c>
      <c r="V68" s="18" t="s">
        <v>154</v>
      </c>
    </row>
    <row r="69" spans="1:22" x14ac:dyDescent="0.25">
      <c r="A69" s="11" t="s">
        <v>202</v>
      </c>
      <c r="B69" s="17" t="s">
        <v>154</v>
      </c>
      <c r="C69" s="17" t="s">
        <v>154</v>
      </c>
      <c r="D69" s="18" t="s">
        <v>154</v>
      </c>
      <c r="E69" s="17" t="s">
        <v>154</v>
      </c>
      <c r="F69" s="18" t="s">
        <v>154</v>
      </c>
      <c r="G69" s="17" t="s">
        <v>154</v>
      </c>
      <c r="H69" s="18" t="s">
        <v>154</v>
      </c>
      <c r="I69" s="17" t="s">
        <v>154</v>
      </c>
      <c r="J69" s="18" t="s">
        <v>154</v>
      </c>
      <c r="K69" s="17" t="s">
        <v>154</v>
      </c>
      <c r="L69" s="18" t="s">
        <v>154</v>
      </c>
      <c r="M69" s="17" t="s">
        <v>154</v>
      </c>
      <c r="N69" s="18" t="s">
        <v>154</v>
      </c>
      <c r="O69" s="17" t="s">
        <v>154</v>
      </c>
      <c r="P69" s="18" t="s">
        <v>154</v>
      </c>
      <c r="Q69" s="17" t="s">
        <v>154</v>
      </c>
      <c r="R69" s="18" t="s">
        <v>154</v>
      </c>
      <c r="S69" s="17" t="s">
        <v>154</v>
      </c>
      <c r="T69" s="18" t="s">
        <v>154</v>
      </c>
      <c r="U69" s="17" t="s">
        <v>154</v>
      </c>
      <c r="V69" s="18" t="s">
        <v>154</v>
      </c>
    </row>
    <row r="70" spans="1:22" x14ac:dyDescent="0.25">
      <c r="A70" s="11" t="s">
        <v>203</v>
      </c>
      <c r="B70" s="13">
        <v>6036</v>
      </c>
      <c r="C70" s="14">
        <f>(5064/B70*100)</f>
        <v>83.896620278330019</v>
      </c>
      <c r="D70" s="15">
        <v>972</v>
      </c>
      <c r="E70" s="14">
        <v>74.182167059999998</v>
      </c>
      <c r="F70" s="16">
        <v>1.7163085</v>
      </c>
      <c r="G70" s="14">
        <v>3.2130593300000001</v>
      </c>
      <c r="H70" s="16">
        <v>0.67707015000000004</v>
      </c>
      <c r="I70" s="14">
        <v>10.013259270000001</v>
      </c>
      <c r="J70" s="16">
        <v>1.4665303999999999</v>
      </c>
      <c r="K70" s="14">
        <v>12.59151434</v>
      </c>
      <c r="L70" s="16">
        <v>1.1974878200000001</v>
      </c>
      <c r="M70" s="14" t="s">
        <v>139</v>
      </c>
      <c r="N70" s="16" t="s">
        <v>139</v>
      </c>
      <c r="O70" s="14">
        <v>0</v>
      </c>
      <c r="P70" s="16">
        <v>0</v>
      </c>
      <c r="Q70" s="14">
        <v>0</v>
      </c>
      <c r="R70" s="16">
        <v>0</v>
      </c>
      <c r="S70" s="14">
        <v>0</v>
      </c>
      <c r="T70" s="16">
        <v>0</v>
      </c>
      <c r="U70" s="14">
        <v>0</v>
      </c>
      <c r="V70" s="16">
        <v>0</v>
      </c>
    </row>
    <row r="71" spans="1:22" x14ac:dyDescent="0.25">
      <c r="A71" s="11" t="s">
        <v>204</v>
      </c>
      <c r="B71" s="17" t="s">
        <v>154</v>
      </c>
      <c r="C71" s="17" t="s">
        <v>154</v>
      </c>
      <c r="D71" s="18" t="s">
        <v>154</v>
      </c>
      <c r="E71" s="17" t="s">
        <v>154</v>
      </c>
      <c r="F71" s="18" t="s">
        <v>154</v>
      </c>
      <c r="G71" s="17" t="s">
        <v>154</v>
      </c>
      <c r="H71" s="18" t="s">
        <v>154</v>
      </c>
      <c r="I71" s="17" t="s">
        <v>154</v>
      </c>
      <c r="J71" s="18" t="s">
        <v>154</v>
      </c>
      <c r="K71" s="17" t="s">
        <v>154</v>
      </c>
      <c r="L71" s="18" t="s">
        <v>154</v>
      </c>
      <c r="M71" s="17" t="s">
        <v>154</v>
      </c>
      <c r="N71" s="18" t="s">
        <v>154</v>
      </c>
      <c r="O71" s="17" t="s">
        <v>154</v>
      </c>
      <c r="P71" s="18" t="s">
        <v>154</v>
      </c>
      <c r="Q71" s="17" t="s">
        <v>154</v>
      </c>
      <c r="R71" s="18" t="s">
        <v>154</v>
      </c>
      <c r="S71" s="17" t="s">
        <v>154</v>
      </c>
      <c r="T71" s="18" t="s">
        <v>154</v>
      </c>
      <c r="U71" s="17" t="s">
        <v>154</v>
      </c>
      <c r="V71" s="18" t="s">
        <v>154</v>
      </c>
    </row>
    <row r="72" spans="1:22" x14ac:dyDescent="0.25">
      <c r="A72" s="11" t="s">
        <v>205</v>
      </c>
      <c r="B72" s="13">
        <v>7708</v>
      </c>
      <c r="C72" s="14">
        <f>(6371/B72*100)</f>
        <v>82.654385054488841</v>
      </c>
      <c r="D72" s="15">
        <v>1337</v>
      </c>
      <c r="E72" s="14">
        <v>34.233240350000003</v>
      </c>
      <c r="F72" s="16">
        <v>1.3374383400000001</v>
      </c>
      <c r="G72" s="14">
        <v>0.98255654999999997</v>
      </c>
      <c r="H72" s="16">
        <v>0.27699774999999999</v>
      </c>
      <c r="I72" s="14">
        <v>21.788365209999998</v>
      </c>
      <c r="J72" s="16">
        <v>1.18875373</v>
      </c>
      <c r="K72" s="14">
        <v>42.995837899999998</v>
      </c>
      <c r="L72" s="16">
        <v>1.3307466999999999</v>
      </c>
      <c r="M72" s="14" t="s">
        <v>139</v>
      </c>
      <c r="N72" s="16" t="s">
        <v>139</v>
      </c>
      <c r="O72" s="14">
        <v>0</v>
      </c>
      <c r="P72" s="16">
        <v>0</v>
      </c>
      <c r="Q72" s="14">
        <v>0</v>
      </c>
      <c r="R72" s="16">
        <v>0</v>
      </c>
      <c r="S72" s="14">
        <v>0</v>
      </c>
      <c r="T72" s="16">
        <v>0</v>
      </c>
      <c r="U72" s="14">
        <v>0</v>
      </c>
      <c r="V72" s="16">
        <v>0</v>
      </c>
    </row>
    <row r="73" spans="1:22" x14ac:dyDescent="0.25">
      <c r="A73" s="11" t="s">
        <v>206</v>
      </c>
      <c r="B73" s="13">
        <v>8249</v>
      </c>
      <c r="C73" s="14">
        <f>(7002/B73*100)</f>
        <v>84.883016123166442</v>
      </c>
      <c r="D73" s="15">
        <v>1247</v>
      </c>
      <c r="E73" s="14">
        <v>56.002611539999997</v>
      </c>
      <c r="F73" s="16">
        <v>1.8275182800000001</v>
      </c>
      <c r="G73" s="14">
        <v>4.6859427800000004</v>
      </c>
      <c r="H73" s="16">
        <v>0.66903436000000005</v>
      </c>
      <c r="I73" s="14">
        <v>10.76756001</v>
      </c>
      <c r="J73" s="16">
        <v>1.08654334</v>
      </c>
      <c r="K73" s="14">
        <v>28.543885670000002</v>
      </c>
      <c r="L73" s="16">
        <v>1.8871487300000001</v>
      </c>
      <c r="M73" s="14" t="s">
        <v>139</v>
      </c>
      <c r="N73" s="16" t="s">
        <v>139</v>
      </c>
      <c r="O73" s="14">
        <v>0</v>
      </c>
      <c r="P73" s="16">
        <v>0</v>
      </c>
      <c r="Q73" s="14">
        <v>0</v>
      </c>
      <c r="R73" s="16">
        <v>0</v>
      </c>
      <c r="S73" s="14">
        <v>0</v>
      </c>
      <c r="T73" s="16">
        <v>0</v>
      </c>
      <c r="U73" s="14">
        <v>0</v>
      </c>
      <c r="V73" s="16">
        <v>0</v>
      </c>
    </row>
    <row r="74" spans="1:22" x14ac:dyDescent="0.25">
      <c r="A74" s="11" t="s">
        <v>207</v>
      </c>
      <c r="B74" s="17" t="s">
        <v>154</v>
      </c>
      <c r="C74" s="17" t="s">
        <v>154</v>
      </c>
      <c r="D74" s="18" t="s">
        <v>154</v>
      </c>
      <c r="E74" s="17" t="s">
        <v>154</v>
      </c>
      <c r="F74" s="18" t="s">
        <v>154</v>
      </c>
      <c r="G74" s="17" t="s">
        <v>154</v>
      </c>
      <c r="H74" s="18" t="s">
        <v>154</v>
      </c>
      <c r="I74" s="17" t="s">
        <v>154</v>
      </c>
      <c r="J74" s="18" t="s">
        <v>154</v>
      </c>
      <c r="K74" s="17" t="s">
        <v>154</v>
      </c>
      <c r="L74" s="18" t="s">
        <v>154</v>
      </c>
      <c r="M74" s="17" t="s">
        <v>154</v>
      </c>
      <c r="N74" s="18" t="s">
        <v>154</v>
      </c>
      <c r="O74" s="17" t="s">
        <v>154</v>
      </c>
      <c r="P74" s="18" t="s">
        <v>154</v>
      </c>
      <c r="Q74" s="17" t="s">
        <v>154</v>
      </c>
      <c r="R74" s="18" t="s">
        <v>154</v>
      </c>
      <c r="S74" s="17" t="s">
        <v>154</v>
      </c>
      <c r="T74" s="18" t="s">
        <v>154</v>
      </c>
      <c r="U74" s="17" t="s">
        <v>154</v>
      </c>
      <c r="V74" s="18" t="s">
        <v>154</v>
      </c>
    </row>
    <row r="75" spans="1:22" x14ac:dyDescent="0.25">
      <c r="A75" s="11" t="s">
        <v>208</v>
      </c>
      <c r="B75" s="13">
        <v>5375</v>
      </c>
      <c r="C75" s="14">
        <f>(4601/B75*100)</f>
        <v>85.6</v>
      </c>
      <c r="D75" s="15">
        <v>774</v>
      </c>
      <c r="E75" s="14">
        <v>80.757912500000003</v>
      </c>
      <c r="F75" s="16">
        <v>1.54660665</v>
      </c>
      <c r="G75" s="14">
        <v>3.5067244500000001</v>
      </c>
      <c r="H75" s="16">
        <v>0.72724955000000002</v>
      </c>
      <c r="I75" s="14">
        <v>11.64817783</v>
      </c>
      <c r="J75" s="16">
        <v>1.12320278</v>
      </c>
      <c r="K75" s="14">
        <v>4.0871852200000003</v>
      </c>
      <c r="L75" s="16">
        <v>0.78949959000000003</v>
      </c>
      <c r="M75" s="14" t="s">
        <v>139</v>
      </c>
      <c r="N75" s="16" t="s">
        <v>139</v>
      </c>
      <c r="O75" s="14">
        <v>0</v>
      </c>
      <c r="P75" s="16">
        <v>0</v>
      </c>
      <c r="Q75" s="14">
        <v>0</v>
      </c>
      <c r="R75" s="16">
        <v>0</v>
      </c>
      <c r="S75" s="14">
        <v>0</v>
      </c>
      <c r="T75" s="16">
        <v>0</v>
      </c>
      <c r="U75" s="14">
        <v>0</v>
      </c>
      <c r="V75" s="16">
        <v>0</v>
      </c>
    </row>
    <row r="76" spans="1:22" x14ac:dyDescent="0.25">
      <c r="A76" s="11" t="s">
        <v>209</v>
      </c>
      <c r="B76" s="13">
        <v>14167</v>
      </c>
      <c r="C76" s="14">
        <f>(11797/B76*100)</f>
        <v>83.270981859250369</v>
      </c>
      <c r="D76" s="15">
        <v>2370</v>
      </c>
      <c r="E76" s="14">
        <v>65.351694649999999</v>
      </c>
      <c r="F76" s="16">
        <v>1.1522437400000001</v>
      </c>
      <c r="G76" s="14">
        <v>4.1570602000000001</v>
      </c>
      <c r="H76" s="16">
        <v>0.54333100000000001</v>
      </c>
      <c r="I76" s="14">
        <v>19.873945389999999</v>
      </c>
      <c r="J76" s="16">
        <v>0.93389305</v>
      </c>
      <c r="K76" s="14">
        <v>10.617299750000001</v>
      </c>
      <c r="L76" s="16">
        <v>0.81484895000000002</v>
      </c>
      <c r="M76" s="14" t="s">
        <v>139</v>
      </c>
      <c r="N76" s="16" t="s">
        <v>139</v>
      </c>
      <c r="O76" s="14">
        <v>0</v>
      </c>
      <c r="P76" s="16">
        <v>0</v>
      </c>
      <c r="Q76" s="14">
        <v>0</v>
      </c>
      <c r="R76" s="16">
        <v>0</v>
      </c>
      <c r="S76" s="14">
        <v>0</v>
      </c>
      <c r="T76" s="16">
        <v>0</v>
      </c>
      <c r="U76" s="14">
        <v>0</v>
      </c>
      <c r="V76" s="16">
        <v>0</v>
      </c>
    </row>
    <row r="77" spans="1:22" x14ac:dyDescent="0.25">
      <c r="A77" s="11" t="s">
        <v>210</v>
      </c>
      <c r="B77" s="13">
        <v>6062</v>
      </c>
      <c r="C77" s="14">
        <f>(5164/B77*100)</f>
        <v>85.186407126360947</v>
      </c>
      <c r="D77" s="15">
        <v>898</v>
      </c>
      <c r="E77" s="14">
        <v>66.334392359999995</v>
      </c>
      <c r="F77" s="16">
        <v>1.66355008</v>
      </c>
      <c r="G77" s="14">
        <v>2.8104880400000001</v>
      </c>
      <c r="H77" s="16">
        <v>0.62315295000000004</v>
      </c>
      <c r="I77" s="14">
        <v>21.348625779999999</v>
      </c>
      <c r="J77" s="16">
        <v>1.4992681000000001</v>
      </c>
      <c r="K77" s="14">
        <v>9.5064938199999993</v>
      </c>
      <c r="L77" s="16">
        <v>1.1156933600000001</v>
      </c>
      <c r="M77" s="14" t="s">
        <v>139</v>
      </c>
      <c r="N77" s="16" t="s">
        <v>139</v>
      </c>
      <c r="O77" s="14">
        <v>0</v>
      </c>
      <c r="P77" s="16">
        <v>0</v>
      </c>
      <c r="Q77" s="14">
        <v>0</v>
      </c>
      <c r="R77" s="16">
        <v>0</v>
      </c>
      <c r="S77" s="14">
        <v>0</v>
      </c>
      <c r="T77" s="16">
        <v>0</v>
      </c>
      <c r="U77" s="14">
        <v>0</v>
      </c>
      <c r="V77" s="16">
        <v>0</v>
      </c>
    </row>
    <row r="78" spans="1:22" x14ac:dyDescent="0.25">
      <c r="A78" s="11" t="s">
        <v>211</v>
      </c>
      <c r="B78" s="17" t="s">
        <v>154</v>
      </c>
      <c r="C78" s="17" t="s">
        <v>154</v>
      </c>
      <c r="D78" s="18" t="s">
        <v>154</v>
      </c>
      <c r="E78" s="17" t="s">
        <v>154</v>
      </c>
      <c r="F78" s="18" t="s">
        <v>154</v>
      </c>
      <c r="G78" s="17" t="s">
        <v>154</v>
      </c>
      <c r="H78" s="18" t="s">
        <v>154</v>
      </c>
      <c r="I78" s="17" t="s">
        <v>154</v>
      </c>
      <c r="J78" s="18" t="s">
        <v>154</v>
      </c>
      <c r="K78" s="17" t="s">
        <v>154</v>
      </c>
      <c r="L78" s="18" t="s">
        <v>154</v>
      </c>
      <c r="M78" s="17" t="s">
        <v>154</v>
      </c>
      <c r="N78" s="18" t="s">
        <v>154</v>
      </c>
      <c r="O78" s="17" t="s">
        <v>154</v>
      </c>
      <c r="P78" s="18" t="s">
        <v>154</v>
      </c>
      <c r="Q78" s="17" t="s">
        <v>154</v>
      </c>
      <c r="R78" s="18" t="s">
        <v>154</v>
      </c>
      <c r="S78" s="17" t="s">
        <v>154</v>
      </c>
      <c r="T78" s="18" t="s">
        <v>154</v>
      </c>
      <c r="U78" s="17" t="s">
        <v>154</v>
      </c>
      <c r="V78" s="18" t="s">
        <v>154</v>
      </c>
    </row>
    <row r="79" spans="1:22" ht="24.95" customHeight="1" x14ac:dyDescent="0.25">
      <c r="A79" s="11" t="s">
        <v>212</v>
      </c>
      <c r="B79" s="17" t="s">
        <v>154</v>
      </c>
      <c r="C79" s="17" t="s">
        <v>154</v>
      </c>
      <c r="D79" s="18" t="s">
        <v>154</v>
      </c>
      <c r="E79" s="17" t="s">
        <v>154</v>
      </c>
      <c r="F79" s="18" t="s">
        <v>154</v>
      </c>
      <c r="G79" s="17" t="s">
        <v>154</v>
      </c>
      <c r="H79" s="18" t="s">
        <v>154</v>
      </c>
      <c r="I79" s="17" t="s">
        <v>154</v>
      </c>
      <c r="J79" s="18" t="s">
        <v>154</v>
      </c>
      <c r="K79" s="17" t="s">
        <v>154</v>
      </c>
      <c r="L79" s="18" t="s">
        <v>154</v>
      </c>
      <c r="M79" s="17" t="s">
        <v>154</v>
      </c>
      <c r="N79" s="18" t="s">
        <v>154</v>
      </c>
      <c r="O79" s="17" t="s">
        <v>154</v>
      </c>
      <c r="P79" s="18" t="s">
        <v>154</v>
      </c>
      <c r="Q79" s="17" t="s">
        <v>154</v>
      </c>
      <c r="R79" s="18" t="s">
        <v>154</v>
      </c>
      <c r="S79" s="17" t="s">
        <v>154</v>
      </c>
      <c r="T79" s="18" t="s">
        <v>154</v>
      </c>
      <c r="U79" s="17" t="s">
        <v>154</v>
      </c>
      <c r="V79" s="18" t="s">
        <v>154</v>
      </c>
    </row>
    <row r="80" spans="1:22" x14ac:dyDescent="0.25">
      <c r="A80" s="11" t="s">
        <v>213</v>
      </c>
      <c r="B80" s="17" t="s">
        <v>154</v>
      </c>
      <c r="C80" s="17" t="s">
        <v>154</v>
      </c>
      <c r="D80" s="18" t="s">
        <v>154</v>
      </c>
      <c r="E80" s="17" t="s">
        <v>154</v>
      </c>
      <c r="F80" s="18" t="s">
        <v>154</v>
      </c>
      <c r="G80" s="17" t="s">
        <v>154</v>
      </c>
      <c r="H80" s="18" t="s">
        <v>154</v>
      </c>
      <c r="I80" s="17" t="s">
        <v>154</v>
      </c>
      <c r="J80" s="18" t="s">
        <v>154</v>
      </c>
      <c r="K80" s="17" t="s">
        <v>154</v>
      </c>
      <c r="L80" s="18" t="s">
        <v>154</v>
      </c>
      <c r="M80" s="17" t="s">
        <v>154</v>
      </c>
      <c r="N80" s="18" t="s">
        <v>154</v>
      </c>
      <c r="O80" s="17" t="s">
        <v>154</v>
      </c>
      <c r="P80" s="18" t="s">
        <v>154</v>
      </c>
      <c r="Q80" s="17" t="s">
        <v>154</v>
      </c>
      <c r="R80" s="18" t="s">
        <v>154</v>
      </c>
      <c r="S80" s="17" t="s">
        <v>154</v>
      </c>
      <c r="T80" s="18" t="s">
        <v>154</v>
      </c>
      <c r="U80" s="17" t="s">
        <v>154</v>
      </c>
      <c r="V80" s="18" t="s">
        <v>154</v>
      </c>
    </row>
    <row r="81" spans="1:22" x14ac:dyDescent="0.25">
      <c r="A81" s="19" t="s">
        <v>214</v>
      </c>
      <c r="B81" s="13">
        <v>8861</v>
      </c>
      <c r="C81" s="14">
        <f>(7377/B81*100)</f>
        <v>83.252454576232921</v>
      </c>
      <c r="D81" s="15">
        <v>1484</v>
      </c>
      <c r="E81" s="14">
        <v>62.299022630000003</v>
      </c>
      <c r="F81" s="16">
        <v>1.6859779800000001</v>
      </c>
      <c r="G81" s="14">
        <v>7.7110309299999997</v>
      </c>
      <c r="H81" s="16">
        <v>0.93286248000000005</v>
      </c>
      <c r="I81" s="14">
        <v>18.770988289999998</v>
      </c>
      <c r="J81" s="16">
        <v>1.27345826</v>
      </c>
      <c r="K81" s="14">
        <v>11.218958150000001</v>
      </c>
      <c r="L81" s="16">
        <v>1.0793035200000001</v>
      </c>
      <c r="M81" s="14" t="s">
        <v>139</v>
      </c>
      <c r="N81" s="16" t="s">
        <v>139</v>
      </c>
      <c r="O81" s="14">
        <v>0</v>
      </c>
      <c r="P81" s="16">
        <v>0</v>
      </c>
      <c r="Q81" s="14">
        <v>0</v>
      </c>
      <c r="R81" s="16">
        <v>0</v>
      </c>
      <c r="S81" s="14">
        <v>0</v>
      </c>
      <c r="T81" s="16">
        <v>0</v>
      </c>
      <c r="U81" s="14">
        <v>0</v>
      </c>
      <c r="V81" s="16">
        <v>0</v>
      </c>
    </row>
    <row r="82" spans="1:22" x14ac:dyDescent="0.25">
      <c r="A82" s="20"/>
      <c r="B82" s="20" t="s">
        <v>215</v>
      </c>
      <c r="C82" s="20" t="s">
        <v>215</v>
      </c>
      <c r="D82" s="20" t="s">
        <v>215</v>
      </c>
      <c r="E82" s="20" t="s">
        <v>215</v>
      </c>
      <c r="F82" s="20" t="s">
        <v>215</v>
      </c>
      <c r="G82" s="20" t="s">
        <v>215</v>
      </c>
      <c r="H82" s="20" t="s">
        <v>215</v>
      </c>
      <c r="I82" s="20" t="s">
        <v>215</v>
      </c>
      <c r="J82" s="20" t="s">
        <v>215</v>
      </c>
      <c r="K82" s="20" t="s">
        <v>215</v>
      </c>
      <c r="L82" s="20" t="s">
        <v>215</v>
      </c>
      <c r="M82" s="20" t="s">
        <v>215</v>
      </c>
      <c r="N82" s="20" t="s">
        <v>215</v>
      </c>
      <c r="O82" s="20" t="s">
        <v>215</v>
      </c>
      <c r="P82" s="20" t="s">
        <v>215</v>
      </c>
      <c r="Q82" s="20" t="s">
        <v>215</v>
      </c>
      <c r="R82" s="20" t="s">
        <v>215</v>
      </c>
      <c r="S82" s="20" t="s">
        <v>215</v>
      </c>
      <c r="T82" s="20" t="s">
        <v>215</v>
      </c>
      <c r="U82" s="20" t="s">
        <v>215</v>
      </c>
      <c r="V82" s="20" t="s">
        <v>215</v>
      </c>
    </row>
    <row r="83" spans="1:22" x14ac:dyDescent="0.25">
      <c r="A83" s="3" t="s">
        <v>216</v>
      </c>
    </row>
    <row r="84" spans="1:22" x14ac:dyDescent="0.25">
      <c r="A84" s="22" t="s">
        <v>217</v>
      </c>
      <c r="B84" s="23"/>
      <c r="C84" s="23"/>
      <c r="D84" s="23"/>
      <c r="E84" s="23"/>
      <c r="F84" s="23"/>
      <c r="G84" s="23"/>
      <c r="H84" s="23"/>
      <c r="I84" s="23"/>
      <c r="J84" s="23"/>
      <c r="K84" s="23"/>
      <c r="L84" s="23"/>
      <c r="M84" s="23"/>
      <c r="N84" s="23"/>
      <c r="O84" s="23"/>
      <c r="P84" s="23"/>
      <c r="Q84" s="23"/>
      <c r="R84" s="23"/>
      <c r="S84" s="23"/>
      <c r="T84" s="23"/>
      <c r="U84" s="23"/>
      <c r="V84" s="23"/>
    </row>
    <row r="85" spans="1:22" x14ac:dyDescent="0.25">
      <c r="A85" s="22" t="s">
        <v>218</v>
      </c>
      <c r="B85" s="23"/>
      <c r="C85" s="23"/>
      <c r="D85" s="23"/>
      <c r="E85" s="23"/>
      <c r="F85" s="23"/>
      <c r="G85" s="23"/>
      <c r="H85" s="23"/>
      <c r="I85" s="23"/>
      <c r="J85" s="23"/>
      <c r="K85" s="23"/>
      <c r="L85" s="23"/>
      <c r="M85" s="23"/>
      <c r="N85" s="23"/>
      <c r="O85" s="23"/>
      <c r="P85" s="23"/>
      <c r="Q85" s="23"/>
      <c r="R85" s="23"/>
      <c r="S85" s="23"/>
      <c r="T85" s="23"/>
      <c r="U85" s="23"/>
      <c r="V85" s="23"/>
    </row>
    <row r="86" spans="1:22" ht="30" customHeight="1" x14ac:dyDescent="0.25">
      <c r="A86" s="22" t="s">
        <v>219</v>
      </c>
      <c r="B86" s="23"/>
      <c r="C86" s="23"/>
      <c r="D86" s="23"/>
      <c r="E86" s="23"/>
      <c r="F86" s="23"/>
      <c r="G86" s="23"/>
      <c r="H86" s="23"/>
      <c r="I86" s="23"/>
      <c r="J86" s="23"/>
      <c r="K86" s="23"/>
      <c r="L86" s="23"/>
      <c r="M86" s="23"/>
      <c r="N86" s="23"/>
      <c r="O86" s="23"/>
      <c r="P86" s="23"/>
      <c r="Q86" s="23"/>
      <c r="R86" s="23"/>
      <c r="S86" s="23"/>
      <c r="T86" s="23"/>
      <c r="U86" s="23"/>
      <c r="V86" s="23"/>
    </row>
    <row r="87" spans="1:22" ht="30" customHeight="1" x14ac:dyDescent="0.25">
      <c r="A87" s="22" t="s">
        <v>215</v>
      </c>
      <c r="B87" s="23"/>
      <c r="C87" s="23"/>
      <c r="D87" s="23"/>
      <c r="E87" s="23"/>
      <c r="F87" s="23"/>
      <c r="G87" s="23"/>
      <c r="H87" s="23"/>
      <c r="I87" s="23"/>
      <c r="J87" s="23"/>
      <c r="K87" s="23"/>
      <c r="L87" s="23"/>
      <c r="M87" s="23"/>
      <c r="N87" s="23"/>
      <c r="O87" s="23"/>
      <c r="P87" s="23"/>
      <c r="Q87" s="23"/>
      <c r="R87" s="23"/>
      <c r="S87" s="23"/>
      <c r="T87" s="23"/>
      <c r="U87" s="23"/>
      <c r="V87" s="23"/>
    </row>
    <row r="88" spans="1:22" ht="30" customHeight="1" x14ac:dyDescent="0.25">
      <c r="A88" s="22" t="s">
        <v>220</v>
      </c>
      <c r="B88" s="23"/>
      <c r="C88" s="23"/>
      <c r="D88" s="23"/>
      <c r="E88" s="23"/>
      <c r="F88" s="23"/>
      <c r="G88" s="23"/>
      <c r="H88" s="23"/>
      <c r="I88" s="23"/>
      <c r="J88" s="23"/>
      <c r="K88" s="23"/>
      <c r="L88" s="23"/>
      <c r="M88" s="23"/>
      <c r="N88" s="23"/>
      <c r="O88" s="23"/>
      <c r="P88" s="23"/>
      <c r="Q88" s="23"/>
      <c r="R88" s="23"/>
      <c r="S88" s="23"/>
      <c r="T88" s="23"/>
      <c r="U88" s="23"/>
      <c r="V88" s="23"/>
    </row>
    <row r="89" spans="1:22" ht="30" customHeight="1" x14ac:dyDescent="0.25">
      <c r="A89" s="22" t="s">
        <v>221</v>
      </c>
      <c r="B89" s="23"/>
      <c r="C89" s="23"/>
      <c r="D89" s="23"/>
      <c r="E89" s="23"/>
      <c r="F89" s="23"/>
      <c r="G89" s="23"/>
      <c r="H89" s="23"/>
      <c r="I89" s="23"/>
      <c r="J89" s="23"/>
      <c r="K89" s="23"/>
      <c r="L89" s="23"/>
      <c r="M89" s="23"/>
      <c r="N89" s="23"/>
      <c r="O89" s="23"/>
      <c r="P89" s="23"/>
      <c r="Q89" s="23"/>
      <c r="R89" s="23"/>
      <c r="S89" s="23"/>
      <c r="T89" s="23"/>
      <c r="U89" s="23"/>
      <c r="V89" s="23"/>
    </row>
    <row r="90" spans="1:22" ht="30" customHeight="1" x14ac:dyDescent="0.25">
      <c r="A90" s="22" t="s">
        <v>222</v>
      </c>
      <c r="B90" s="23"/>
      <c r="C90" s="23"/>
      <c r="D90" s="23"/>
      <c r="E90" s="23"/>
      <c r="F90" s="23"/>
      <c r="G90" s="23"/>
      <c r="H90" s="23"/>
      <c r="I90" s="23"/>
      <c r="J90" s="23"/>
      <c r="K90" s="23"/>
      <c r="L90" s="23"/>
      <c r="M90" s="23"/>
      <c r="N90" s="23"/>
      <c r="O90" s="23"/>
      <c r="P90" s="23"/>
      <c r="Q90" s="23"/>
      <c r="R90" s="23"/>
      <c r="S90" s="23"/>
      <c r="T90" s="23"/>
      <c r="U90" s="23"/>
      <c r="V90" s="23"/>
    </row>
    <row r="91" spans="1:22" ht="30" customHeight="1" x14ac:dyDescent="0.25">
      <c r="A91" s="22" t="s">
        <v>223</v>
      </c>
      <c r="B91" s="23"/>
      <c r="C91" s="23"/>
      <c r="D91" s="23"/>
      <c r="E91" s="23"/>
      <c r="F91" s="23"/>
      <c r="G91" s="23"/>
      <c r="H91" s="23"/>
      <c r="I91" s="23"/>
      <c r="J91" s="23"/>
      <c r="K91" s="23"/>
      <c r="L91" s="23"/>
      <c r="M91" s="23"/>
      <c r="N91" s="23"/>
      <c r="O91" s="23"/>
      <c r="P91" s="23"/>
      <c r="Q91" s="23"/>
      <c r="R91" s="23"/>
      <c r="S91" s="23"/>
      <c r="T91" s="23"/>
      <c r="U91" s="23"/>
      <c r="V91" s="23"/>
    </row>
    <row r="92" spans="1:22" ht="30" customHeight="1" x14ac:dyDescent="0.25">
      <c r="A92" s="22" t="s">
        <v>224</v>
      </c>
      <c r="B92" s="23"/>
      <c r="C92" s="23"/>
      <c r="D92" s="23"/>
      <c r="E92" s="23"/>
      <c r="F92" s="23"/>
      <c r="G92" s="23"/>
      <c r="H92" s="23"/>
      <c r="I92" s="23"/>
      <c r="J92" s="23"/>
      <c r="K92" s="23"/>
      <c r="L92" s="23"/>
      <c r="M92" s="23"/>
      <c r="N92" s="23"/>
      <c r="O92" s="23"/>
      <c r="P92" s="23"/>
      <c r="Q92" s="23"/>
      <c r="R92" s="23"/>
      <c r="S92" s="23"/>
      <c r="T92" s="23"/>
      <c r="U92" s="23"/>
      <c r="V92" s="23"/>
    </row>
    <row r="93" spans="1:22" ht="30" customHeight="1" x14ac:dyDescent="0.25">
      <c r="A93" s="22" t="s">
        <v>225</v>
      </c>
      <c r="B93" s="23"/>
      <c r="C93" s="23"/>
      <c r="D93" s="23"/>
      <c r="E93" s="23"/>
      <c r="F93" s="23"/>
      <c r="G93" s="23"/>
      <c r="H93" s="23"/>
      <c r="I93" s="23"/>
      <c r="J93" s="23"/>
      <c r="K93" s="23"/>
      <c r="L93" s="23"/>
      <c r="M93" s="23"/>
      <c r="N93" s="23"/>
      <c r="O93" s="23"/>
      <c r="P93" s="23"/>
      <c r="Q93" s="23"/>
      <c r="R93" s="23"/>
      <c r="S93" s="23"/>
      <c r="T93" s="23"/>
      <c r="U93" s="23"/>
      <c r="V93" s="23"/>
    </row>
    <row r="94" spans="1:22" ht="30" customHeight="1" x14ac:dyDescent="0.25">
      <c r="A94" s="22" t="s">
        <v>226</v>
      </c>
      <c r="B94" s="23"/>
      <c r="C94" s="23"/>
      <c r="D94" s="23"/>
      <c r="E94" s="23"/>
      <c r="F94" s="23"/>
      <c r="G94" s="23"/>
      <c r="H94" s="23"/>
      <c r="I94" s="23"/>
      <c r="J94" s="23"/>
      <c r="K94" s="23"/>
      <c r="L94" s="23"/>
      <c r="M94" s="23"/>
      <c r="N94" s="23"/>
      <c r="O94" s="23"/>
      <c r="P94" s="23"/>
      <c r="Q94" s="23"/>
      <c r="R94" s="23"/>
      <c r="S94" s="23"/>
      <c r="T94" s="23"/>
      <c r="U94" s="23"/>
      <c r="V94" s="23"/>
    </row>
    <row r="95" spans="1:22" ht="30" customHeight="1" x14ac:dyDescent="0.25">
      <c r="A95" s="22" t="s">
        <v>227</v>
      </c>
      <c r="B95" s="23"/>
      <c r="C95" s="23"/>
      <c r="D95" s="23"/>
      <c r="E95" s="23"/>
      <c r="F95" s="23"/>
      <c r="G95" s="23"/>
      <c r="H95" s="23"/>
      <c r="I95" s="23"/>
      <c r="J95" s="23"/>
      <c r="K95" s="23"/>
      <c r="L95" s="23"/>
      <c r="M95" s="23"/>
      <c r="N95" s="23"/>
      <c r="O95" s="23"/>
      <c r="P95" s="23"/>
      <c r="Q95" s="23"/>
      <c r="R95" s="23"/>
      <c r="S95" s="23"/>
      <c r="T95" s="23"/>
      <c r="U95" s="23"/>
      <c r="V95" s="23"/>
    </row>
    <row r="96" spans="1:22" ht="30" customHeight="1" x14ac:dyDescent="0.25">
      <c r="A96" s="22" t="s">
        <v>228</v>
      </c>
      <c r="B96" s="23"/>
      <c r="C96" s="23"/>
      <c r="D96" s="23"/>
      <c r="E96" s="23"/>
      <c r="F96" s="23"/>
      <c r="G96" s="23"/>
      <c r="H96" s="23"/>
      <c r="I96" s="23"/>
      <c r="J96" s="23"/>
      <c r="K96" s="23"/>
      <c r="L96" s="23"/>
      <c r="M96" s="23"/>
      <c r="N96" s="23"/>
      <c r="O96" s="23"/>
      <c r="P96" s="23"/>
      <c r="Q96" s="23"/>
      <c r="R96" s="23"/>
      <c r="S96" s="23"/>
      <c r="T96" s="23"/>
      <c r="U96" s="23"/>
      <c r="V96" s="23"/>
    </row>
  </sheetData>
  <mergeCells count="24">
    <mergeCell ref="O4:P4"/>
    <mergeCell ref="Q4:R4"/>
    <mergeCell ref="S4:T4"/>
    <mergeCell ref="U4:V4"/>
    <mergeCell ref="A1:V1"/>
    <mergeCell ref="A2:V2"/>
    <mergeCell ref="E4:F4"/>
    <mergeCell ref="G4:H4"/>
    <mergeCell ref="I4:J4"/>
    <mergeCell ref="K4:L4"/>
    <mergeCell ref="M4:N4"/>
    <mergeCell ref="A84:V84"/>
    <mergeCell ref="A85:V85"/>
    <mergeCell ref="A86:V86"/>
    <mergeCell ref="A87:V87"/>
    <mergeCell ref="A88:V88"/>
    <mergeCell ref="A94:V94"/>
    <mergeCell ref="A95:V95"/>
    <mergeCell ref="A96:V96"/>
    <mergeCell ref="A89:V89"/>
    <mergeCell ref="A90:V90"/>
    <mergeCell ref="A91:V91"/>
    <mergeCell ref="A92:V92"/>
    <mergeCell ref="A93:V93"/>
  </mergeCells>
  <pageMargins left="0.75" right="0.75" top="1" bottom="1" header="0.5" footer="0.5"/>
</worksheet>
</file>

<file path=xl/worksheets/sheet1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5"/>
  <dimension ref="A1:R96"/>
  <sheetViews>
    <sheetView zoomScale="80" workbookViewId="0">
      <pane xSplit="4" topLeftCell="E1" activePane="topRight" state="frozen"/>
      <selection sqref="A1:R1"/>
      <selection pane="topRight" sqref="A1:R1"/>
    </sheetView>
  </sheetViews>
  <sheetFormatPr defaultColWidth="11.42578125" defaultRowHeight="15" x14ac:dyDescent="0.25"/>
  <cols>
    <col min="1" max="1" width="50" customWidth="1"/>
  </cols>
  <sheetData>
    <row r="1" spans="1:18" x14ac:dyDescent="0.25">
      <c r="A1" s="26" t="s">
        <v>122</v>
      </c>
      <c r="B1" s="23"/>
      <c r="C1" s="23"/>
      <c r="D1" s="23"/>
      <c r="E1" s="23"/>
      <c r="F1" s="23"/>
      <c r="G1" s="23"/>
      <c r="H1" s="23"/>
      <c r="I1" s="23"/>
      <c r="J1" s="23"/>
      <c r="K1" s="23"/>
      <c r="L1" s="23"/>
      <c r="M1" s="23"/>
      <c r="N1" s="23"/>
      <c r="O1" s="23"/>
      <c r="P1" s="23"/>
      <c r="Q1" s="23"/>
      <c r="R1" s="23"/>
    </row>
    <row r="2" spans="1:18" x14ac:dyDescent="0.25">
      <c r="A2" s="27" t="s">
        <v>351</v>
      </c>
      <c r="B2" s="23"/>
      <c r="C2" s="23"/>
      <c r="D2" s="23"/>
      <c r="E2" s="23"/>
      <c r="F2" s="23"/>
      <c r="G2" s="23"/>
      <c r="H2" s="23"/>
      <c r="I2" s="23"/>
      <c r="J2" s="23"/>
      <c r="K2" s="23"/>
      <c r="L2" s="23"/>
      <c r="M2" s="23"/>
      <c r="N2" s="23"/>
      <c r="O2" s="23"/>
      <c r="P2" s="23"/>
      <c r="Q2" s="23"/>
      <c r="R2" s="23"/>
    </row>
    <row r="4" spans="1:18" ht="30" customHeight="1" x14ac:dyDescent="0.25">
      <c r="A4" s="4"/>
      <c r="B4" s="5" t="s">
        <v>123</v>
      </c>
      <c r="C4" s="5" t="s">
        <v>124</v>
      </c>
      <c r="D4" s="6" t="s">
        <v>123</v>
      </c>
      <c r="E4" s="24" t="s">
        <v>125</v>
      </c>
      <c r="F4" s="25"/>
      <c r="G4" s="24" t="s">
        <v>126</v>
      </c>
      <c r="H4" s="25"/>
      <c r="I4" s="24" t="s">
        <v>127</v>
      </c>
      <c r="J4" s="25"/>
      <c r="K4" s="24" t="s">
        <v>128</v>
      </c>
      <c r="L4" s="25"/>
      <c r="M4" s="24" t="s">
        <v>129</v>
      </c>
      <c r="N4" s="25"/>
      <c r="O4" s="24" t="s">
        <v>130</v>
      </c>
      <c r="P4" s="25"/>
      <c r="Q4" s="24" t="s">
        <v>131</v>
      </c>
      <c r="R4" s="25"/>
    </row>
    <row r="5" spans="1:18" x14ac:dyDescent="0.25">
      <c r="A5" s="7"/>
      <c r="B5" s="8" t="s">
        <v>132</v>
      </c>
      <c r="C5" s="8" t="s">
        <v>133</v>
      </c>
      <c r="D5" s="7" t="s">
        <v>134</v>
      </c>
      <c r="E5" s="8" t="s">
        <v>135</v>
      </c>
      <c r="F5" s="7" t="s">
        <v>136</v>
      </c>
      <c r="G5" s="8" t="s">
        <v>135</v>
      </c>
      <c r="H5" s="7" t="s">
        <v>136</v>
      </c>
      <c r="I5" s="8" t="s">
        <v>135</v>
      </c>
      <c r="J5" s="7" t="s">
        <v>136</v>
      </c>
      <c r="K5" s="8" t="s">
        <v>135</v>
      </c>
      <c r="L5" s="7" t="s">
        <v>136</v>
      </c>
      <c r="M5" s="8" t="s">
        <v>135</v>
      </c>
      <c r="N5" s="7" t="s">
        <v>136</v>
      </c>
      <c r="O5" s="8" t="s">
        <v>135</v>
      </c>
      <c r="P5" s="7" t="s">
        <v>136</v>
      </c>
      <c r="Q5" s="8" t="s">
        <v>135</v>
      </c>
      <c r="R5" s="7" t="s">
        <v>136</v>
      </c>
    </row>
    <row r="6" spans="1:18" x14ac:dyDescent="0.25">
      <c r="A6" s="9" t="s">
        <v>137</v>
      </c>
      <c r="B6" s="10"/>
      <c r="C6" s="10"/>
      <c r="D6" s="11"/>
      <c r="E6" s="10"/>
      <c r="F6" s="11"/>
      <c r="G6" s="10"/>
      <c r="H6" s="11"/>
      <c r="I6" s="10"/>
      <c r="J6" s="11"/>
      <c r="K6" s="10"/>
      <c r="L6" s="11"/>
      <c r="M6" s="10"/>
      <c r="N6" s="11"/>
      <c r="O6" s="10"/>
      <c r="P6" s="11"/>
      <c r="Q6" s="10"/>
      <c r="R6" s="12"/>
    </row>
    <row r="7" spans="1:18" x14ac:dyDescent="0.25">
      <c r="A7" s="11" t="s">
        <v>138</v>
      </c>
      <c r="B7" s="13">
        <v>14530</v>
      </c>
      <c r="C7" s="14">
        <f>(12302/B7*100)</f>
        <v>84.666207845836212</v>
      </c>
      <c r="D7" s="15">
        <v>2228</v>
      </c>
      <c r="E7" s="14">
        <v>63.357588290000002</v>
      </c>
      <c r="F7" s="16">
        <v>1.1860778300000001</v>
      </c>
      <c r="G7" s="14">
        <v>36.642411709999998</v>
      </c>
      <c r="H7" s="16">
        <v>1.1860778300000001</v>
      </c>
      <c r="I7" s="14" t="s">
        <v>139</v>
      </c>
      <c r="J7" s="16" t="s">
        <v>139</v>
      </c>
      <c r="K7" s="14">
        <v>0</v>
      </c>
      <c r="L7" s="16">
        <v>0</v>
      </c>
      <c r="M7" s="14">
        <v>0</v>
      </c>
      <c r="N7" s="16">
        <v>0</v>
      </c>
      <c r="O7" s="14">
        <v>0</v>
      </c>
      <c r="P7" s="16">
        <v>0</v>
      </c>
      <c r="Q7" s="14">
        <v>0</v>
      </c>
      <c r="R7" s="16">
        <v>0</v>
      </c>
    </row>
    <row r="8" spans="1:18" x14ac:dyDescent="0.25">
      <c r="A8" s="11" t="s">
        <v>140</v>
      </c>
      <c r="B8" s="13">
        <v>7007</v>
      </c>
      <c r="C8" s="14">
        <f>(5878/B8*100)</f>
        <v>83.887541030398168</v>
      </c>
      <c r="D8" s="15">
        <v>1129</v>
      </c>
      <c r="E8" s="14">
        <v>69.339201709999998</v>
      </c>
      <c r="F8" s="16">
        <v>1.3584307</v>
      </c>
      <c r="G8" s="14">
        <v>30.660798289999999</v>
      </c>
      <c r="H8" s="16">
        <v>1.3584307</v>
      </c>
      <c r="I8" s="14" t="s">
        <v>139</v>
      </c>
      <c r="J8" s="16" t="s">
        <v>139</v>
      </c>
      <c r="K8" s="14">
        <v>0</v>
      </c>
      <c r="L8" s="16">
        <v>0</v>
      </c>
      <c r="M8" s="14">
        <v>0</v>
      </c>
      <c r="N8" s="16">
        <v>0</v>
      </c>
      <c r="O8" s="14">
        <v>0</v>
      </c>
      <c r="P8" s="16">
        <v>0</v>
      </c>
      <c r="Q8" s="14">
        <v>0</v>
      </c>
      <c r="R8" s="16">
        <v>0</v>
      </c>
    </row>
    <row r="9" spans="1:18" x14ac:dyDescent="0.25">
      <c r="A9" s="11" t="s">
        <v>141</v>
      </c>
      <c r="B9" s="13">
        <v>9651</v>
      </c>
      <c r="C9" s="14">
        <f>(8234/B9*100)</f>
        <v>85.317583670086009</v>
      </c>
      <c r="D9" s="15">
        <v>1417</v>
      </c>
      <c r="E9" s="14">
        <v>63.124494740000003</v>
      </c>
      <c r="F9" s="16">
        <v>1.35311308</v>
      </c>
      <c r="G9" s="14">
        <v>36.875505259999997</v>
      </c>
      <c r="H9" s="16">
        <v>1.35311308</v>
      </c>
      <c r="I9" s="14" t="s">
        <v>139</v>
      </c>
      <c r="J9" s="16" t="s">
        <v>139</v>
      </c>
      <c r="K9" s="14">
        <v>0</v>
      </c>
      <c r="L9" s="16">
        <v>0</v>
      </c>
      <c r="M9" s="14">
        <v>0</v>
      </c>
      <c r="N9" s="16">
        <v>0</v>
      </c>
      <c r="O9" s="14">
        <v>0</v>
      </c>
      <c r="P9" s="16">
        <v>0</v>
      </c>
      <c r="Q9" s="14">
        <v>0</v>
      </c>
      <c r="R9" s="16">
        <v>0</v>
      </c>
    </row>
    <row r="10" spans="1:18" x14ac:dyDescent="0.25">
      <c r="A10" s="11" t="s">
        <v>142</v>
      </c>
      <c r="B10" s="13">
        <v>20058</v>
      </c>
      <c r="C10" s="14">
        <f>(16791/B10*100)</f>
        <v>83.71223451989232</v>
      </c>
      <c r="D10" s="15">
        <v>3267</v>
      </c>
      <c r="E10" s="14">
        <v>60.984437810000003</v>
      </c>
      <c r="F10" s="16">
        <v>0.94483852999999995</v>
      </c>
      <c r="G10" s="14">
        <v>39.015562189999997</v>
      </c>
      <c r="H10" s="16">
        <v>0.94483852999999995</v>
      </c>
      <c r="I10" s="14" t="s">
        <v>139</v>
      </c>
      <c r="J10" s="16" t="s">
        <v>139</v>
      </c>
      <c r="K10" s="14">
        <v>0</v>
      </c>
      <c r="L10" s="16">
        <v>0</v>
      </c>
      <c r="M10" s="14">
        <v>0</v>
      </c>
      <c r="N10" s="16">
        <v>0</v>
      </c>
      <c r="O10" s="14">
        <v>0</v>
      </c>
      <c r="P10" s="16">
        <v>0</v>
      </c>
      <c r="Q10" s="14">
        <v>0</v>
      </c>
      <c r="R10" s="16">
        <v>0</v>
      </c>
    </row>
    <row r="11" spans="1:18" x14ac:dyDescent="0.25">
      <c r="A11" s="11" t="s">
        <v>143</v>
      </c>
      <c r="B11" s="13">
        <v>7053</v>
      </c>
      <c r="C11" s="14">
        <f>(6000/B11*100)</f>
        <v>85.070182900893229</v>
      </c>
      <c r="D11" s="15">
        <v>1053</v>
      </c>
      <c r="E11" s="14">
        <v>64.216876720000002</v>
      </c>
      <c r="F11" s="16">
        <v>1.54192755</v>
      </c>
      <c r="G11" s="14">
        <v>35.783123279999998</v>
      </c>
      <c r="H11" s="16">
        <v>1.54192755</v>
      </c>
      <c r="I11" s="14" t="s">
        <v>139</v>
      </c>
      <c r="J11" s="16" t="s">
        <v>139</v>
      </c>
      <c r="K11" s="14">
        <v>0</v>
      </c>
      <c r="L11" s="16">
        <v>0</v>
      </c>
      <c r="M11" s="14">
        <v>0</v>
      </c>
      <c r="N11" s="16">
        <v>0</v>
      </c>
      <c r="O11" s="14">
        <v>0</v>
      </c>
      <c r="P11" s="16">
        <v>0</v>
      </c>
      <c r="Q11" s="14">
        <v>0</v>
      </c>
      <c r="R11" s="16">
        <v>0</v>
      </c>
    </row>
    <row r="12" spans="1:18" x14ac:dyDescent="0.25">
      <c r="A12" s="11" t="s">
        <v>144</v>
      </c>
      <c r="B12" s="13">
        <v>6894</v>
      </c>
      <c r="C12" s="14">
        <f>(5829/B12*100)</f>
        <v>84.551784160139249</v>
      </c>
      <c r="D12" s="15">
        <v>1065</v>
      </c>
      <c r="E12" s="14">
        <v>0</v>
      </c>
      <c r="F12" s="16">
        <v>0</v>
      </c>
      <c r="G12" s="14">
        <v>0</v>
      </c>
      <c r="H12" s="16">
        <v>0</v>
      </c>
      <c r="I12" s="14" t="s">
        <v>139</v>
      </c>
      <c r="J12" s="16" t="s">
        <v>139</v>
      </c>
      <c r="K12" s="14">
        <v>0</v>
      </c>
      <c r="L12" s="16">
        <v>0</v>
      </c>
      <c r="M12" s="14">
        <v>100</v>
      </c>
      <c r="N12" s="16">
        <v>0</v>
      </c>
      <c r="O12" s="14">
        <v>0</v>
      </c>
      <c r="P12" s="16">
        <v>0</v>
      </c>
      <c r="Q12" s="14">
        <v>0</v>
      </c>
      <c r="R12" s="16">
        <v>0</v>
      </c>
    </row>
    <row r="13" spans="1:18" x14ac:dyDescent="0.25">
      <c r="A13" s="11" t="s">
        <v>145</v>
      </c>
      <c r="B13" s="13">
        <v>7161</v>
      </c>
      <c r="C13" s="14">
        <f>(6103/B13*100)</f>
        <v>85.22552716101103</v>
      </c>
      <c r="D13" s="15">
        <v>1058</v>
      </c>
      <c r="E13" s="14">
        <v>68.047235929999999</v>
      </c>
      <c r="F13" s="16">
        <v>1.7061105000000001</v>
      </c>
      <c r="G13" s="14">
        <v>31.952764070000001</v>
      </c>
      <c r="H13" s="16">
        <v>1.7061105000000001</v>
      </c>
      <c r="I13" s="14" t="s">
        <v>139</v>
      </c>
      <c r="J13" s="16" t="s">
        <v>139</v>
      </c>
      <c r="K13" s="14">
        <v>0</v>
      </c>
      <c r="L13" s="16">
        <v>0</v>
      </c>
      <c r="M13" s="14">
        <v>0</v>
      </c>
      <c r="N13" s="16">
        <v>0</v>
      </c>
      <c r="O13" s="14">
        <v>0</v>
      </c>
      <c r="P13" s="16">
        <v>0</v>
      </c>
      <c r="Q13" s="14">
        <v>0</v>
      </c>
      <c r="R13" s="16">
        <v>0</v>
      </c>
    </row>
    <row r="14" spans="1:18" x14ac:dyDescent="0.25">
      <c r="A14" s="11" t="s">
        <v>146</v>
      </c>
      <c r="B14" s="13">
        <v>5587</v>
      </c>
      <c r="C14" s="14">
        <f>(4677/B14*100)</f>
        <v>83.712189010202252</v>
      </c>
      <c r="D14" s="15">
        <v>910</v>
      </c>
      <c r="E14" s="14">
        <v>70.196823330000001</v>
      </c>
      <c r="F14" s="16">
        <v>1.66234675</v>
      </c>
      <c r="G14" s="14">
        <v>29.803176669999999</v>
      </c>
      <c r="H14" s="16">
        <v>1.66234675</v>
      </c>
      <c r="I14" s="14" t="s">
        <v>139</v>
      </c>
      <c r="J14" s="16" t="s">
        <v>139</v>
      </c>
      <c r="K14" s="14">
        <v>0</v>
      </c>
      <c r="L14" s="16">
        <v>0</v>
      </c>
      <c r="M14" s="14">
        <v>0</v>
      </c>
      <c r="N14" s="16">
        <v>0</v>
      </c>
      <c r="O14" s="14">
        <v>0</v>
      </c>
      <c r="P14" s="16">
        <v>0</v>
      </c>
      <c r="Q14" s="14">
        <v>0</v>
      </c>
      <c r="R14" s="16">
        <v>0</v>
      </c>
    </row>
    <row r="15" spans="1:18" x14ac:dyDescent="0.25">
      <c r="A15" s="11" t="s">
        <v>147</v>
      </c>
      <c r="B15" s="13">
        <v>5882</v>
      </c>
      <c r="C15" s="14">
        <f>(4928/B15*100)</f>
        <v>83.781026861611693</v>
      </c>
      <c r="D15" s="15">
        <v>954</v>
      </c>
      <c r="E15" s="14">
        <v>70.266577859999998</v>
      </c>
      <c r="F15" s="16">
        <v>1.5095005399999999</v>
      </c>
      <c r="G15" s="14">
        <v>29.733422139999998</v>
      </c>
      <c r="H15" s="16">
        <v>1.5095005399999999</v>
      </c>
      <c r="I15" s="14" t="s">
        <v>139</v>
      </c>
      <c r="J15" s="16" t="s">
        <v>139</v>
      </c>
      <c r="K15" s="14">
        <v>0</v>
      </c>
      <c r="L15" s="16">
        <v>0</v>
      </c>
      <c r="M15" s="14">
        <v>0</v>
      </c>
      <c r="N15" s="16">
        <v>0</v>
      </c>
      <c r="O15" s="14">
        <v>0</v>
      </c>
      <c r="P15" s="16">
        <v>0</v>
      </c>
      <c r="Q15" s="14">
        <v>0</v>
      </c>
      <c r="R15" s="16">
        <v>0</v>
      </c>
    </row>
    <row r="16" spans="1:18" x14ac:dyDescent="0.25">
      <c r="A16" s="11" t="s">
        <v>148</v>
      </c>
      <c r="B16" s="13">
        <v>6108</v>
      </c>
      <c r="C16" s="14">
        <f>(5161/B16*100)</f>
        <v>84.495743287491806</v>
      </c>
      <c r="D16" s="15">
        <v>947</v>
      </c>
      <c r="E16" s="14">
        <v>71.181337659999997</v>
      </c>
      <c r="F16" s="16">
        <v>1.3467699799999999</v>
      </c>
      <c r="G16" s="14">
        <v>28.818662339999999</v>
      </c>
      <c r="H16" s="16">
        <v>1.3467699799999999</v>
      </c>
      <c r="I16" s="14" t="s">
        <v>139</v>
      </c>
      <c r="J16" s="16" t="s">
        <v>139</v>
      </c>
      <c r="K16" s="14">
        <v>0</v>
      </c>
      <c r="L16" s="16">
        <v>0</v>
      </c>
      <c r="M16" s="14">
        <v>0</v>
      </c>
      <c r="N16" s="16">
        <v>0</v>
      </c>
      <c r="O16" s="14">
        <v>0</v>
      </c>
      <c r="P16" s="16">
        <v>0</v>
      </c>
      <c r="Q16" s="14">
        <v>0</v>
      </c>
      <c r="R16" s="16">
        <v>0</v>
      </c>
    </row>
    <row r="17" spans="1:18" x14ac:dyDescent="0.25">
      <c r="A17" s="11" t="s">
        <v>149</v>
      </c>
      <c r="B17" s="13">
        <v>6504</v>
      </c>
      <c r="C17" s="14">
        <f>(5506/B17*100)</f>
        <v>84.655596555965559</v>
      </c>
      <c r="D17" s="15">
        <v>998</v>
      </c>
      <c r="E17" s="14">
        <v>65.674971560000003</v>
      </c>
      <c r="F17" s="16">
        <v>1.31410023</v>
      </c>
      <c r="G17" s="14">
        <v>34.325028439999997</v>
      </c>
      <c r="H17" s="16">
        <v>1.31410023</v>
      </c>
      <c r="I17" s="14" t="s">
        <v>139</v>
      </c>
      <c r="J17" s="16" t="s">
        <v>139</v>
      </c>
      <c r="K17" s="14">
        <v>0</v>
      </c>
      <c r="L17" s="16">
        <v>0</v>
      </c>
      <c r="M17" s="14">
        <v>0</v>
      </c>
      <c r="N17" s="16">
        <v>0</v>
      </c>
      <c r="O17" s="14">
        <v>0</v>
      </c>
      <c r="P17" s="16">
        <v>0</v>
      </c>
      <c r="Q17" s="14">
        <v>0</v>
      </c>
      <c r="R17" s="16">
        <v>0</v>
      </c>
    </row>
    <row r="18" spans="1:18" x14ac:dyDescent="0.25">
      <c r="A18" s="11" t="s">
        <v>150</v>
      </c>
      <c r="B18" s="13">
        <v>5532</v>
      </c>
      <c r="C18" s="14">
        <f>(4616/B18*100)</f>
        <v>83.44179320318149</v>
      </c>
      <c r="D18" s="15">
        <v>916</v>
      </c>
      <c r="E18" s="14">
        <v>68.505697900000001</v>
      </c>
      <c r="F18" s="16">
        <v>1.6629352399999999</v>
      </c>
      <c r="G18" s="14">
        <v>31.494302099999999</v>
      </c>
      <c r="H18" s="16">
        <v>1.6629352399999999</v>
      </c>
      <c r="I18" s="14" t="s">
        <v>139</v>
      </c>
      <c r="J18" s="16" t="s">
        <v>139</v>
      </c>
      <c r="K18" s="14">
        <v>0</v>
      </c>
      <c r="L18" s="16">
        <v>0</v>
      </c>
      <c r="M18" s="14">
        <v>0</v>
      </c>
      <c r="N18" s="16">
        <v>0</v>
      </c>
      <c r="O18" s="14">
        <v>0</v>
      </c>
      <c r="P18" s="16">
        <v>0</v>
      </c>
      <c r="Q18" s="14">
        <v>0</v>
      </c>
      <c r="R18" s="16">
        <v>0</v>
      </c>
    </row>
    <row r="19" spans="1:18" x14ac:dyDescent="0.25">
      <c r="A19" s="11" t="s">
        <v>151</v>
      </c>
      <c r="B19" s="13">
        <v>5658</v>
      </c>
      <c r="C19" s="14">
        <f>(4798/B19*100)</f>
        <v>84.800282785436551</v>
      </c>
      <c r="D19" s="15">
        <v>860</v>
      </c>
      <c r="E19" s="14">
        <v>82.029351669999997</v>
      </c>
      <c r="F19" s="16">
        <v>1.2897272900000001</v>
      </c>
      <c r="G19" s="14">
        <v>17.97064833</v>
      </c>
      <c r="H19" s="16">
        <v>1.2897272900000001</v>
      </c>
      <c r="I19" s="14" t="s">
        <v>139</v>
      </c>
      <c r="J19" s="16" t="s">
        <v>139</v>
      </c>
      <c r="K19" s="14">
        <v>0</v>
      </c>
      <c r="L19" s="16">
        <v>0</v>
      </c>
      <c r="M19" s="14">
        <v>0</v>
      </c>
      <c r="N19" s="16">
        <v>0</v>
      </c>
      <c r="O19" s="14">
        <v>0</v>
      </c>
      <c r="P19" s="16">
        <v>0</v>
      </c>
      <c r="Q19" s="14">
        <v>0</v>
      </c>
      <c r="R19" s="16">
        <v>0</v>
      </c>
    </row>
    <row r="20" spans="1:18" x14ac:dyDescent="0.25">
      <c r="A20" s="11" t="s">
        <v>152</v>
      </c>
      <c r="B20" s="13">
        <v>3371</v>
      </c>
      <c r="C20" s="14">
        <f>(2844/B20*100)</f>
        <v>84.366656778404035</v>
      </c>
      <c r="D20" s="15">
        <v>527</v>
      </c>
      <c r="E20" s="14">
        <v>76.579976070000001</v>
      </c>
      <c r="F20" s="16">
        <v>1.93425509</v>
      </c>
      <c r="G20" s="14">
        <v>23.420023929999999</v>
      </c>
      <c r="H20" s="16">
        <v>1.93425509</v>
      </c>
      <c r="I20" s="14" t="s">
        <v>139</v>
      </c>
      <c r="J20" s="16" t="s">
        <v>139</v>
      </c>
      <c r="K20" s="14">
        <v>0</v>
      </c>
      <c r="L20" s="16">
        <v>0</v>
      </c>
      <c r="M20" s="14">
        <v>0</v>
      </c>
      <c r="N20" s="16">
        <v>0</v>
      </c>
      <c r="O20" s="14">
        <v>0</v>
      </c>
      <c r="P20" s="16">
        <v>0</v>
      </c>
      <c r="Q20" s="14">
        <v>0</v>
      </c>
      <c r="R20" s="16">
        <v>0</v>
      </c>
    </row>
    <row r="21" spans="1:18" x14ac:dyDescent="0.25">
      <c r="A21" s="11" t="s">
        <v>153</v>
      </c>
      <c r="B21" s="17" t="s">
        <v>154</v>
      </c>
      <c r="C21" s="17" t="s">
        <v>154</v>
      </c>
      <c r="D21" s="18" t="s">
        <v>154</v>
      </c>
      <c r="E21" s="17" t="s">
        <v>154</v>
      </c>
      <c r="F21" s="18" t="s">
        <v>154</v>
      </c>
      <c r="G21" s="17" t="s">
        <v>154</v>
      </c>
      <c r="H21" s="18" t="s">
        <v>154</v>
      </c>
      <c r="I21" s="17" t="s">
        <v>154</v>
      </c>
      <c r="J21" s="18" t="s">
        <v>154</v>
      </c>
      <c r="K21" s="17" t="s">
        <v>154</v>
      </c>
      <c r="L21" s="18" t="s">
        <v>154</v>
      </c>
      <c r="M21" s="17" t="s">
        <v>154</v>
      </c>
      <c r="N21" s="18" t="s">
        <v>154</v>
      </c>
      <c r="O21" s="17" t="s">
        <v>154</v>
      </c>
      <c r="P21" s="18" t="s">
        <v>154</v>
      </c>
      <c r="Q21" s="17" t="s">
        <v>154</v>
      </c>
      <c r="R21" s="18" t="s">
        <v>154</v>
      </c>
    </row>
    <row r="22" spans="1:18" x14ac:dyDescent="0.25">
      <c r="A22" s="11" t="s">
        <v>155</v>
      </c>
      <c r="B22" s="13">
        <v>6598</v>
      </c>
      <c r="C22" s="14">
        <f>(5643/B22*100)</f>
        <v>85.525916944528646</v>
      </c>
      <c r="D22" s="15">
        <v>955</v>
      </c>
      <c r="E22" s="14">
        <v>67.237888010000006</v>
      </c>
      <c r="F22" s="16">
        <v>1.67031945</v>
      </c>
      <c r="G22" s="14">
        <v>32.762111990000001</v>
      </c>
      <c r="H22" s="16">
        <v>1.67031945</v>
      </c>
      <c r="I22" s="14" t="s">
        <v>139</v>
      </c>
      <c r="J22" s="16" t="s">
        <v>139</v>
      </c>
      <c r="K22" s="14">
        <v>0</v>
      </c>
      <c r="L22" s="16">
        <v>0</v>
      </c>
      <c r="M22" s="14">
        <v>0</v>
      </c>
      <c r="N22" s="16">
        <v>0</v>
      </c>
      <c r="O22" s="14">
        <v>0</v>
      </c>
      <c r="P22" s="16">
        <v>0</v>
      </c>
      <c r="Q22" s="14">
        <v>0</v>
      </c>
      <c r="R22" s="16">
        <v>0</v>
      </c>
    </row>
    <row r="23" spans="1:18" x14ac:dyDescent="0.25">
      <c r="A23" s="11" t="s">
        <v>156</v>
      </c>
      <c r="B23" s="13">
        <v>11583</v>
      </c>
      <c r="C23" s="14">
        <f>(9693/B23*100)</f>
        <v>83.682983682983675</v>
      </c>
      <c r="D23" s="15">
        <v>1890</v>
      </c>
      <c r="E23" s="14">
        <v>0.41780598000000002</v>
      </c>
      <c r="F23" s="16">
        <v>4.3299690000000002E-2</v>
      </c>
      <c r="G23" s="14">
        <v>0.27413496999999998</v>
      </c>
      <c r="H23" s="16">
        <v>3.4523180000000001E-2</v>
      </c>
      <c r="I23" s="14" t="s">
        <v>139</v>
      </c>
      <c r="J23" s="16" t="s">
        <v>139</v>
      </c>
      <c r="K23" s="14">
        <v>0</v>
      </c>
      <c r="L23" s="16">
        <v>0</v>
      </c>
      <c r="M23" s="14">
        <v>99.308059049999997</v>
      </c>
      <c r="N23" s="16">
        <v>5.8435760000000003E-2</v>
      </c>
      <c r="O23" s="14">
        <v>0</v>
      </c>
      <c r="P23" s="16">
        <v>0</v>
      </c>
      <c r="Q23" s="14">
        <v>0</v>
      </c>
      <c r="R23" s="16">
        <v>0</v>
      </c>
    </row>
    <row r="24" spans="1:18" x14ac:dyDescent="0.25">
      <c r="A24" s="11" t="s">
        <v>157</v>
      </c>
      <c r="B24" s="13">
        <v>6647</v>
      </c>
      <c r="C24" s="14">
        <f>(5552/B24*100)</f>
        <v>83.526402888521133</v>
      </c>
      <c r="D24" s="15">
        <v>1095</v>
      </c>
      <c r="E24" s="14">
        <v>72.546835779999995</v>
      </c>
      <c r="F24" s="16">
        <v>1.5938718000000001</v>
      </c>
      <c r="G24" s="14">
        <v>27.453164220000001</v>
      </c>
      <c r="H24" s="16">
        <v>1.5938718000000001</v>
      </c>
      <c r="I24" s="14" t="s">
        <v>139</v>
      </c>
      <c r="J24" s="16" t="s">
        <v>139</v>
      </c>
      <c r="K24" s="14">
        <v>0</v>
      </c>
      <c r="L24" s="16">
        <v>0</v>
      </c>
      <c r="M24" s="14">
        <v>0</v>
      </c>
      <c r="N24" s="16">
        <v>0</v>
      </c>
      <c r="O24" s="14">
        <v>0</v>
      </c>
      <c r="P24" s="16">
        <v>0</v>
      </c>
      <c r="Q24" s="14">
        <v>0</v>
      </c>
      <c r="R24" s="16">
        <v>0</v>
      </c>
    </row>
    <row r="25" spans="1:18" x14ac:dyDescent="0.25">
      <c r="A25" s="11" t="s">
        <v>158</v>
      </c>
      <c r="B25" s="13">
        <v>5581</v>
      </c>
      <c r="C25" s="14">
        <f>(4623/B25*100)</f>
        <v>82.834617452069523</v>
      </c>
      <c r="D25" s="15">
        <v>958</v>
      </c>
      <c r="E25" s="14">
        <v>70.988341829999996</v>
      </c>
      <c r="F25" s="16">
        <v>1.38951026</v>
      </c>
      <c r="G25" s="14">
        <v>29.01165817</v>
      </c>
      <c r="H25" s="16">
        <v>1.38951026</v>
      </c>
      <c r="I25" s="14" t="s">
        <v>139</v>
      </c>
      <c r="J25" s="16" t="s">
        <v>139</v>
      </c>
      <c r="K25" s="14">
        <v>0</v>
      </c>
      <c r="L25" s="16">
        <v>0</v>
      </c>
      <c r="M25" s="14">
        <v>0</v>
      </c>
      <c r="N25" s="16">
        <v>0</v>
      </c>
      <c r="O25" s="14">
        <v>0</v>
      </c>
      <c r="P25" s="16">
        <v>0</v>
      </c>
      <c r="Q25" s="14">
        <v>0</v>
      </c>
      <c r="R25" s="16">
        <v>0</v>
      </c>
    </row>
    <row r="26" spans="1:18" x14ac:dyDescent="0.25">
      <c r="A26" s="11" t="s">
        <v>159</v>
      </c>
      <c r="B26" s="13">
        <v>4869</v>
      </c>
      <c r="C26" s="14">
        <f>(4068/B26*100)</f>
        <v>83.548983364140483</v>
      </c>
      <c r="D26" s="15">
        <v>801</v>
      </c>
      <c r="E26" s="14">
        <v>66.479940679999999</v>
      </c>
      <c r="F26" s="16">
        <v>1.8772213600000001</v>
      </c>
      <c r="G26" s="14">
        <v>33.520059320000001</v>
      </c>
      <c r="H26" s="16">
        <v>1.8772213600000001</v>
      </c>
      <c r="I26" s="14" t="s">
        <v>139</v>
      </c>
      <c r="J26" s="16" t="s">
        <v>139</v>
      </c>
      <c r="K26" s="14">
        <v>0</v>
      </c>
      <c r="L26" s="16">
        <v>0</v>
      </c>
      <c r="M26" s="14">
        <v>0</v>
      </c>
      <c r="N26" s="16">
        <v>0</v>
      </c>
      <c r="O26" s="14">
        <v>0</v>
      </c>
      <c r="P26" s="16">
        <v>0</v>
      </c>
      <c r="Q26" s="14">
        <v>0</v>
      </c>
      <c r="R26" s="16">
        <v>0</v>
      </c>
    </row>
    <row r="27" spans="1:18" x14ac:dyDescent="0.25">
      <c r="A27" s="11" t="s">
        <v>160</v>
      </c>
      <c r="B27" s="13">
        <v>5299</v>
      </c>
      <c r="C27" s="14">
        <f>(4502/B27*100)</f>
        <v>84.959426306850347</v>
      </c>
      <c r="D27" s="15">
        <v>797</v>
      </c>
      <c r="E27" s="14">
        <v>72.684464489999996</v>
      </c>
      <c r="F27" s="16">
        <v>1.7197030200000001</v>
      </c>
      <c r="G27" s="14">
        <v>27.31553551</v>
      </c>
      <c r="H27" s="16">
        <v>1.7197030200000001</v>
      </c>
      <c r="I27" s="14" t="s">
        <v>139</v>
      </c>
      <c r="J27" s="16" t="s">
        <v>139</v>
      </c>
      <c r="K27" s="14">
        <v>0</v>
      </c>
      <c r="L27" s="16">
        <v>0</v>
      </c>
      <c r="M27" s="14">
        <v>0</v>
      </c>
      <c r="N27" s="16">
        <v>0</v>
      </c>
      <c r="O27" s="14">
        <v>0</v>
      </c>
      <c r="P27" s="16">
        <v>0</v>
      </c>
      <c r="Q27" s="14">
        <v>0</v>
      </c>
      <c r="R27" s="16">
        <v>0</v>
      </c>
    </row>
    <row r="28" spans="1:18" x14ac:dyDescent="0.25">
      <c r="A28" s="11" t="s">
        <v>161</v>
      </c>
      <c r="B28" s="13">
        <v>7568</v>
      </c>
      <c r="C28" s="14">
        <f>(6518/B28*100)</f>
        <v>86.125792811839318</v>
      </c>
      <c r="D28" s="15">
        <v>1050</v>
      </c>
      <c r="E28" s="14">
        <v>70.541568949999998</v>
      </c>
      <c r="F28" s="16">
        <v>1.56059938</v>
      </c>
      <c r="G28" s="14">
        <v>29.458431050000002</v>
      </c>
      <c r="H28" s="16">
        <v>1.56059938</v>
      </c>
      <c r="I28" s="14" t="s">
        <v>139</v>
      </c>
      <c r="J28" s="16" t="s">
        <v>139</v>
      </c>
      <c r="K28" s="14">
        <v>0</v>
      </c>
      <c r="L28" s="16">
        <v>0</v>
      </c>
      <c r="M28" s="14">
        <v>0</v>
      </c>
      <c r="N28" s="16">
        <v>0</v>
      </c>
      <c r="O28" s="14">
        <v>0</v>
      </c>
      <c r="P28" s="16">
        <v>0</v>
      </c>
      <c r="Q28" s="14">
        <v>0</v>
      </c>
      <c r="R28" s="16">
        <v>0</v>
      </c>
    </row>
    <row r="29" spans="1:18" x14ac:dyDescent="0.25">
      <c r="A29" s="11" t="s">
        <v>162</v>
      </c>
      <c r="B29" s="13">
        <v>5385</v>
      </c>
      <c r="C29" s="14">
        <f>(4502/B29*100)</f>
        <v>83.602599814298983</v>
      </c>
      <c r="D29" s="15">
        <v>883</v>
      </c>
      <c r="E29" s="14">
        <v>49.652469050000001</v>
      </c>
      <c r="F29" s="16">
        <v>1.9282557899999999</v>
      </c>
      <c r="G29" s="14">
        <v>50.347530949999999</v>
      </c>
      <c r="H29" s="16">
        <v>1.9282557899999999</v>
      </c>
      <c r="I29" s="14" t="s">
        <v>139</v>
      </c>
      <c r="J29" s="16" t="s">
        <v>139</v>
      </c>
      <c r="K29" s="14">
        <v>0</v>
      </c>
      <c r="L29" s="16">
        <v>0</v>
      </c>
      <c r="M29" s="14">
        <v>0</v>
      </c>
      <c r="N29" s="16">
        <v>0</v>
      </c>
      <c r="O29" s="14">
        <v>0</v>
      </c>
      <c r="P29" s="16">
        <v>0</v>
      </c>
      <c r="Q29" s="14">
        <v>0</v>
      </c>
      <c r="R29" s="16">
        <v>0</v>
      </c>
    </row>
    <row r="30" spans="1:18" x14ac:dyDescent="0.25">
      <c r="A30" s="11" t="s">
        <v>163</v>
      </c>
      <c r="B30" s="13">
        <v>4520</v>
      </c>
      <c r="C30" s="14">
        <f>(3869/B30*100)</f>
        <v>85.597345132743357</v>
      </c>
      <c r="D30" s="15">
        <v>651</v>
      </c>
      <c r="E30" s="14">
        <v>69.826400579999998</v>
      </c>
      <c r="F30" s="16">
        <v>1.73637731</v>
      </c>
      <c r="G30" s="14">
        <v>30.173599419999999</v>
      </c>
      <c r="H30" s="16">
        <v>1.73637731</v>
      </c>
      <c r="I30" s="14" t="s">
        <v>139</v>
      </c>
      <c r="J30" s="16" t="s">
        <v>139</v>
      </c>
      <c r="K30" s="14">
        <v>0</v>
      </c>
      <c r="L30" s="16">
        <v>0</v>
      </c>
      <c r="M30" s="14">
        <v>0</v>
      </c>
      <c r="N30" s="16">
        <v>0</v>
      </c>
      <c r="O30" s="14">
        <v>0</v>
      </c>
      <c r="P30" s="16">
        <v>0</v>
      </c>
      <c r="Q30" s="14">
        <v>0</v>
      </c>
      <c r="R30" s="16">
        <v>0</v>
      </c>
    </row>
    <row r="31" spans="1:18" x14ac:dyDescent="0.25">
      <c r="A31" s="11" t="s">
        <v>164</v>
      </c>
      <c r="B31" s="13">
        <v>5456</v>
      </c>
      <c r="C31" s="14">
        <f>(4597/B31*100)</f>
        <v>84.255865102639291</v>
      </c>
      <c r="D31" s="15">
        <v>859</v>
      </c>
      <c r="E31" s="14">
        <v>57.11213162</v>
      </c>
      <c r="F31" s="16">
        <v>1.78055995</v>
      </c>
      <c r="G31" s="14">
        <v>42.88786838</v>
      </c>
      <c r="H31" s="16">
        <v>1.78055995</v>
      </c>
      <c r="I31" s="14" t="s">
        <v>139</v>
      </c>
      <c r="J31" s="16" t="s">
        <v>139</v>
      </c>
      <c r="K31" s="14">
        <v>0</v>
      </c>
      <c r="L31" s="16">
        <v>0</v>
      </c>
      <c r="M31" s="14">
        <v>0</v>
      </c>
      <c r="N31" s="16">
        <v>0</v>
      </c>
      <c r="O31" s="14">
        <v>0</v>
      </c>
      <c r="P31" s="16">
        <v>0</v>
      </c>
      <c r="Q31" s="14">
        <v>0</v>
      </c>
      <c r="R31" s="16">
        <v>0</v>
      </c>
    </row>
    <row r="32" spans="1:18" x14ac:dyDescent="0.25">
      <c r="A32" s="11" t="s">
        <v>165</v>
      </c>
      <c r="B32" s="17" t="s">
        <v>154</v>
      </c>
      <c r="C32" s="17" t="s">
        <v>154</v>
      </c>
      <c r="D32" s="18" t="s">
        <v>154</v>
      </c>
      <c r="E32" s="17" t="s">
        <v>154</v>
      </c>
      <c r="F32" s="18" t="s">
        <v>154</v>
      </c>
      <c r="G32" s="17" t="s">
        <v>154</v>
      </c>
      <c r="H32" s="18" t="s">
        <v>154</v>
      </c>
      <c r="I32" s="17" t="s">
        <v>154</v>
      </c>
      <c r="J32" s="18" t="s">
        <v>154</v>
      </c>
      <c r="K32" s="17" t="s">
        <v>154</v>
      </c>
      <c r="L32" s="18" t="s">
        <v>154</v>
      </c>
      <c r="M32" s="17" t="s">
        <v>154</v>
      </c>
      <c r="N32" s="18" t="s">
        <v>154</v>
      </c>
      <c r="O32" s="17" t="s">
        <v>154</v>
      </c>
      <c r="P32" s="18" t="s">
        <v>154</v>
      </c>
      <c r="Q32" s="17" t="s">
        <v>154</v>
      </c>
      <c r="R32" s="18" t="s">
        <v>154</v>
      </c>
    </row>
    <row r="33" spans="1:18" x14ac:dyDescent="0.25">
      <c r="A33" s="11" t="s">
        <v>166</v>
      </c>
      <c r="B33" s="13">
        <v>7325</v>
      </c>
      <c r="C33" s="14">
        <f>(6246/B33*100)</f>
        <v>85.269624573378849</v>
      </c>
      <c r="D33" s="15">
        <v>1079</v>
      </c>
      <c r="E33" s="14">
        <v>53.731195960000001</v>
      </c>
      <c r="F33" s="16">
        <v>1.6769750999999999</v>
      </c>
      <c r="G33" s="14">
        <v>46.268804039999999</v>
      </c>
      <c r="H33" s="16">
        <v>1.6769750999999999</v>
      </c>
      <c r="I33" s="14" t="s">
        <v>139</v>
      </c>
      <c r="J33" s="16" t="s">
        <v>139</v>
      </c>
      <c r="K33" s="14">
        <v>0</v>
      </c>
      <c r="L33" s="16">
        <v>0</v>
      </c>
      <c r="M33" s="14">
        <v>0</v>
      </c>
      <c r="N33" s="16">
        <v>0</v>
      </c>
      <c r="O33" s="14">
        <v>0</v>
      </c>
      <c r="P33" s="16">
        <v>0</v>
      </c>
      <c r="Q33" s="14">
        <v>0</v>
      </c>
      <c r="R33" s="16">
        <v>0</v>
      </c>
    </row>
    <row r="34" spans="1:18" x14ac:dyDescent="0.25">
      <c r="A34" s="11" t="s">
        <v>167</v>
      </c>
      <c r="B34" s="13">
        <v>6350</v>
      </c>
      <c r="C34" s="14">
        <f>(5413/B34*100)</f>
        <v>85.244094488188978</v>
      </c>
      <c r="D34" s="15">
        <v>937</v>
      </c>
      <c r="E34" s="14">
        <v>64.077209679999996</v>
      </c>
      <c r="F34" s="16">
        <v>1.5329903199999999</v>
      </c>
      <c r="G34" s="14">
        <v>35.922790319999997</v>
      </c>
      <c r="H34" s="16">
        <v>1.5329903199999999</v>
      </c>
      <c r="I34" s="14" t="s">
        <v>139</v>
      </c>
      <c r="J34" s="16" t="s">
        <v>139</v>
      </c>
      <c r="K34" s="14">
        <v>0</v>
      </c>
      <c r="L34" s="16">
        <v>0</v>
      </c>
      <c r="M34" s="14">
        <v>0</v>
      </c>
      <c r="N34" s="16">
        <v>0</v>
      </c>
      <c r="O34" s="14">
        <v>0</v>
      </c>
      <c r="P34" s="16">
        <v>0</v>
      </c>
      <c r="Q34" s="14">
        <v>0</v>
      </c>
      <c r="R34" s="16">
        <v>0</v>
      </c>
    </row>
    <row r="35" spans="1:18" x14ac:dyDescent="0.25">
      <c r="A35" s="11" t="s">
        <v>168</v>
      </c>
      <c r="B35" s="13">
        <v>6406</v>
      </c>
      <c r="C35" s="14">
        <f>(5386/B35*100)</f>
        <v>84.077427411801438</v>
      </c>
      <c r="D35" s="15">
        <v>1020</v>
      </c>
      <c r="E35" s="14">
        <v>0</v>
      </c>
      <c r="F35" s="16">
        <v>0</v>
      </c>
      <c r="G35" s="14">
        <v>0</v>
      </c>
      <c r="H35" s="16">
        <v>0</v>
      </c>
      <c r="I35" s="14" t="s">
        <v>139</v>
      </c>
      <c r="J35" s="16" t="s">
        <v>139</v>
      </c>
      <c r="K35" s="14">
        <v>0</v>
      </c>
      <c r="L35" s="16">
        <v>0</v>
      </c>
      <c r="M35" s="14">
        <v>100</v>
      </c>
      <c r="N35" s="16">
        <v>0</v>
      </c>
      <c r="O35" s="14">
        <v>0</v>
      </c>
      <c r="P35" s="16">
        <v>0</v>
      </c>
      <c r="Q35" s="14">
        <v>0</v>
      </c>
      <c r="R35" s="16">
        <v>0</v>
      </c>
    </row>
    <row r="36" spans="1:18" x14ac:dyDescent="0.25">
      <c r="A36" s="11" t="s">
        <v>169</v>
      </c>
      <c r="B36" s="13">
        <v>6736</v>
      </c>
      <c r="C36" s="14">
        <f>(5713/B36*100)</f>
        <v>84.812945368171029</v>
      </c>
      <c r="D36" s="15">
        <v>1023</v>
      </c>
      <c r="E36" s="14">
        <v>75.481934030000005</v>
      </c>
      <c r="F36" s="16">
        <v>1.46375166</v>
      </c>
      <c r="G36" s="14">
        <v>24.518065969999999</v>
      </c>
      <c r="H36" s="16">
        <v>1.46375166</v>
      </c>
      <c r="I36" s="14" t="s">
        <v>139</v>
      </c>
      <c r="J36" s="16" t="s">
        <v>139</v>
      </c>
      <c r="K36" s="14">
        <v>0</v>
      </c>
      <c r="L36" s="16">
        <v>0</v>
      </c>
      <c r="M36" s="14">
        <v>0</v>
      </c>
      <c r="N36" s="16">
        <v>0</v>
      </c>
      <c r="O36" s="14">
        <v>0</v>
      </c>
      <c r="P36" s="16">
        <v>0</v>
      </c>
      <c r="Q36" s="14">
        <v>0</v>
      </c>
      <c r="R36" s="16">
        <v>0</v>
      </c>
    </row>
    <row r="37" spans="1:18" x14ac:dyDescent="0.25">
      <c r="A37" s="11" t="s">
        <v>170</v>
      </c>
      <c r="B37" s="13">
        <v>5458</v>
      </c>
      <c r="C37" s="14">
        <f>(4658/B37*100)</f>
        <v>85.34261634298278</v>
      </c>
      <c r="D37" s="15">
        <v>800</v>
      </c>
      <c r="E37" s="14">
        <v>61.262067170000002</v>
      </c>
      <c r="F37" s="16">
        <v>1.7164273999999999</v>
      </c>
      <c r="G37" s="14">
        <v>38.737932829999998</v>
      </c>
      <c r="H37" s="16">
        <v>1.7164273999999999</v>
      </c>
      <c r="I37" s="14" t="s">
        <v>139</v>
      </c>
      <c r="J37" s="16" t="s">
        <v>139</v>
      </c>
      <c r="K37" s="14">
        <v>0</v>
      </c>
      <c r="L37" s="16">
        <v>0</v>
      </c>
      <c r="M37" s="14">
        <v>0</v>
      </c>
      <c r="N37" s="16">
        <v>0</v>
      </c>
      <c r="O37" s="14">
        <v>0</v>
      </c>
      <c r="P37" s="16">
        <v>0</v>
      </c>
      <c r="Q37" s="14">
        <v>0</v>
      </c>
      <c r="R37" s="16">
        <v>0</v>
      </c>
    </row>
    <row r="38" spans="1:18" x14ac:dyDescent="0.25">
      <c r="A38" s="11" t="s">
        <v>171</v>
      </c>
      <c r="B38" s="17" t="s">
        <v>154</v>
      </c>
      <c r="C38" s="17" t="s">
        <v>154</v>
      </c>
      <c r="D38" s="18" t="s">
        <v>154</v>
      </c>
      <c r="E38" s="17" t="s">
        <v>154</v>
      </c>
      <c r="F38" s="18" t="s">
        <v>154</v>
      </c>
      <c r="G38" s="17" t="s">
        <v>154</v>
      </c>
      <c r="H38" s="18" t="s">
        <v>154</v>
      </c>
      <c r="I38" s="17" t="s">
        <v>154</v>
      </c>
      <c r="J38" s="18" t="s">
        <v>154</v>
      </c>
      <c r="K38" s="17" t="s">
        <v>154</v>
      </c>
      <c r="L38" s="18" t="s">
        <v>154</v>
      </c>
      <c r="M38" s="17" t="s">
        <v>154</v>
      </c>
      <c r="N38" s="18" t="s">
        <v>154</v>
      </c>
      <c r="O38" s="17" t="s">
        <v>154</v>
      </c>
      <c r="P38" s="18" t="s">
        <v>154</v>
      </c>
      <c r="Q38" s="17" t="s">
        <v>154</v>
      </c>
      <c r="R38" s="18" t="s">
        <v>154</v>
      </c>
    </row>
    <row r="39" spans="1:18" x14ac:dyDescent="0.25">
      <c r="A39" s="11" t="s">
        <v>172</v>
      </c>
      <c r="B39" s="13">
        <v>5895</v>
      </c>
      <c r="C39" s="14">
        <f>(4872/B39*100)</f>
        <v>82.646310432569976</v>
      </c>
      <c r="D39" s="15">
        <v>1023</v>
      </c>
      <c r="E39" s="14">
        <v>67.892254489999999</v>
      </c>
      <c r="F39" s="16">
        <v>1.6440221399999999</v>
      </c>
      <c r="G39" s="14">
        <v>32.107745510000001</v>
      </c>
      <c r="H39" s="16">
        <v>1.6440221399999999</v>
      </c>
      <c r="I39" s="14" t="s">
        <v>139</v>
      </c>
      <c r="J39" s="16" t="s">
        <v>139</v>
      </c>
      <c r="K39" s="14">
        <v>0</v>
      </c>
      <c r="L39" s="16">
        <v>0</v>
      </c>
      <c r="M39" s="14">
        <v>0</v>
      </c>
      <c r="N39" s="16">
        <v>0</v>
      </c>
      <c r="O39" s="14">
        <v>0</v>
      </c>
      <c r="P39" s="16">
        <v>0</v>
      </c>
      <c r="Q39" s="14">
        <v>0</v>
      </c>
      <c r="R39" s="16">
        <v>0</v>
      </c>
    </row>
    <row r="40" spans="1:18" x14ac:dyDescent="0.25">
      <c r="A40" s="11" t="s">
        <v>173</v>
      </c>
      <c r="B40" s="13">
        <v>14157</v>
      </c>
      <c r="C40" s="14">
        <f>(11829/B40*100)</f>
        <v>83.55583810129265</v>
      </c>
      <c r="D40" s="15">
        <v>2328</v>
      </c>
      <c r="E40" s="14">
        <v>63.99260263</v>
      </c>
      <c r="F40" s="16">
        <v>1.6774727899999999</v>
      </c>
      <c r="G40" s="14">
        <v>36.00739737</v>
      </c>
      <c r="H40" s="16">
        <v>1.6774727899999999</v>
      </c>
      <c r="I40" s="14" t="s">
        <v>139</v>
      </c>
      <c r="J40" s="16" t="s">
        <v>139</v>
      </c>
      <c r="K40" s="14">
        <v>0</v>
      </c>
      <c r="L40" s="16">
        <v>0</v>
      </c>
      <c r="M40" s="14">
        <v>0</v>
      </c>
      <c r="N40" s="16">
        <v>0</v>
      </c>
      <c r="O40" s="14">
        <v>0</v>
      </c>
      <c r="P40" s="16">
        <v>0</v>
      </c>
      <c r="Q40" s="14">
        <v>0</v>
      </c>
      <c r="R40" s="16">
        <v>0</v>
      </c>
    </row>
    <row r="41" spans="1:18" x14ac:dyDescent="0.25">
      <c r="A41" s="11" t="s">
        <v>174</v>
      </c>
      <c r="B41" s="13">
        <v>5712</v>
      </c>
      <c r="C41" s="14">
        <f>(4810/B41*100)</f>
        <v>84.208683473389357</v>
      </c>
      <c r="D41" s="15">
        <v>902</v>
      </c>
      <c r="E41" s="14">
        <v>59.375946560000003</v>
      </c>
      <c r="F41" s="16">
        <v>1.63186009</v>
      </c>
      <c r="G41" s="14">
        <v>40.624053439999997</v>
      </c>
      <c r="H41" s="16">
        <v>1.63186009</v>
      </c>
      <c r="I41" s="14" t="s">
        <v>139</v>
      </c>
      <c r="J41" s="16" t="s">
        <v>139</v>
      </c>
      <c r="K41" s="14">
        <v>0</v>
      </c>
      <c r="L41" s="16">
        <v>0</v>
      </c>
      <c r="M41" s="14">
        <v>0</v>
      </c>
      <c r="N41" s="16">
        <v>0</v>
      </c>
      <c r="O41" s="14">
        <v>0</v>
      </c>
      <c r="P41" s="16">
        <v>0</v>
      </c>
      <c r="Q41" s="14">
        <v>0</v>
      </c>
      <c r="R41" s="16">
        <v>0</v>
      </c>
    </row>
    <row r="42" spans="1:18" x14ac:dyDescent="0.25">
      <c r="A42" s="11" t="s">
        <v>175</v>
      </c>
      <c r="B42" s="13">
        <f>IF(COUNT(B7:B41) &gt; 0, AVERAGE(B7:B41), "\u2014")</f>
        <v>7266.90625</v>
      </c>
      <c r="C42" s="14">
        <f>IF(COUNT(C7:C41) &gt; 0, AVERAGE(C7:C41), "—")</f>
        <v>84.390681983216851</v>
      </c>
      <c r="D42" s="15">
        <f>IF(COUNT(D7:D41) &gt; 0, AVERAGE(D7:D41), "—")</f>
        <v>1136.875</v>
      </c>
      <c r="E42" s="14">
        <f>IF(COUNT(E7:E41) &gt; 0, AVERAGE(E7:E41), "—")</f>
        <v>60.525175898124992</v>
      </c>
      <c r="F42" s="16">
        <f>IF(COUNT(F7:F41) &gt; 0, SQRT(SUMSQ(F7:F41)/(COUNT(F7:F41)*COUNT(F7:F41)) ), "—")</f>
        <v>0.26614087475310105</v>
      </c>
      <c r="G42" s="14">
        <f>IF(COUNT(G7:G41) &gt; 0, AVERAGE(G7:G41), "—")</f>
        <v>30.121447256562494</v>
      </c>
      <c r="H42" s="16">
        <f>IF(COUNT(H7:H41) &gt; 0, SQRT(SUMSQ(H7:H41)/(COUNT(H7:H41)*COUNT(H7:H41)) ), "—")</f>
        <v>0.26613962164486299</v>
      </c>
      <c r="I42" s="14" t="str">
        <f>IF(COUNT(I7:I41) &gt; 0, AVERAGE(I7:I41), "—")</f>
        <v>—</v>
      </c>
      <c r="J42" s="16" t="str">
        <f>IF(COUNT(J7:J41) &gt; 0, SQRT(SUMSQ(J7:J41)/(COUNT(J7:J41)*COUNT(J7:J41)) ), "—")</f>
        <v>—</v>
      </c>
      <c r="K42" s="14">
        <f>IF(COUNT(K7:K41) &gt; 0, AVERAGE(K7:K41), "—")</f>
        <v>0</v>
      </c>
      <c r="L42" s="16">
        <f>IF(COUNT(L7:L41) &gt; 0, SQRT(SUMSQ(L7:L41)/(COUNT(L7:L41)*COUNT(L7:L41)) ), "—")</f>
        <v>0</v>
      </c>
      <c r="M42" s="14">
        <f>IF(COUNT(M7:M41) &gt; 0, AVERAGE(M7:M41), "—")</f>
        <v>9.3533768453124999</v>
      </c>
      <c r="N42" s="16">
        <f>IF(COUNT(N7:N41) &gt; 0, SQRT(SUMSQ(N7:N41)/(COUNT(N7:N41)*COUNT(N7:N41)) ), "—")</f>
        <v>1.8261175000000001E-3</v>
      </c>
      <c r="O42" s="14">
        <f>IF(COUNT(O7:O41) &gt; 0, AVERAGE(O7:O41), "—")</f>
        <v>0</v>
      </c>
      <c r="P42" s="16">
        <f>IF(COUNT(P7:P41) &gt; 0, SQRT(SUMSQ(P7:P41)/(COUNT(P7:P41)*COUNT(P7:P41)) ), "—")</f>
        <v>0</v>
      </c>
      <c r="Q42" s="14">
        <f>IF(COUNT(Q7:Q41) &gt; 0, AVERAGE(Q7:Q41), "—")</f>
        <v>0</v>
      </c>
      <c r="R42" s="16">
        <f>IF(COUNT(R7:R41) &gt; 0, SQRT(SUMSQ(R7:R41)/(COUNT(R7:R41)*COUNT(R7:R41)) ), "—")</f>
        <v>0</v>
      </c>
    </row>
    <row r="43" spans="1:18" x14ac:dyDescent="0.25">
      <c r="A43" s="9" t="s">
        <v>176</v>
      </c>
      <c r="B43" s="10"/>
      <c r="C43" s="10"/>
      <c r="D43" s="11"/>
      <c r="E43" s="10"/>
      <c r="F43" s="11"/>
      <c r="G43" s="10"/>
      <c r="H43" s="11"/>
      <c r="I43" s="10"/>
      <c r="J43" s="11"/>
      <c r="K43" s="10"/>
      <c r="L43" s="11"/>
      <c r="M43" s="10"/>
      <c r="N43" s="11"/>
      <c r="O43" s="10"/>
      <c r="P43" s="11"/>
      <c r="Q43" s="10"/>
      <c r="R43" s="12"/>
    </row>
    <row r="44" spans="1:18" x14ac:dyDescent="0.25">
      <c r="A44" s="11" t="s">
        <v>177</v>
      </c>
      <c r="B44" s="17" t="s">
        <v>154</v>
      </c>
      <c r="C44" s="17" t="s">
        <v>154</v>
      </c>
      <c r="D44" s="18" t="s">
        <v>154</v>
      </c>
      <c r="E44" s="17" t="s">
        <v>154</v>
      </c>
      <c r="F44" s="18" t="s">
        <v>154</v>
      </c>
      <c r="G44" s="17" t="s">
        <v>154</v>
      </c>
      <c r="H44" s="18" t="s">
        <v>154</v>
      </c>
      <c r="I44" s="17" t="s">
        <v>154</v>
      </c>
      <c r="J44" s="18" t="s">
        <v>154</v>
      </c>
      <c r="K44" s="17" t="s">
        <v>154</v>
      </c>
      <c r="L44" s="18" t="s">
        <v>154</v>
      </c>
      <c r="M44" s="17" t="s">
        <v>154</v>
      </c>
      <c r="N44" s="18" t="s">
        <v>154</v>
      </c>
      <c r="O44" s="17" t="s">
        <v>154</v>
      </c>
      <c r="P44" s="18" t="s">
        <v>154</v>
      </c>
      <c r="Q44" s="17" t="s">
        <v>154</v>
      </c>
      <c r="R44" s="18" t="s">
        <v>154</v>
      </c>
    </row>
    <row r="45" spans="1:18" x14ac:dyDescent="0.25">
      <c r="A45" s="11" t="s">
        <v>178</v>
      </c>
      <c r="B45" s="17" t="s">
        <v>154</v>
      </c>
      <c r="C45" s="17" t="s">
        <v>154</v>
      </c>
      <c r="D45" s="18" t="s">
        <v>154</v>
      </c>
      <c r="E45" s="17" t="s">
        <v>154</v>
      </c>
      <c r="F45" s="18" t="s">
        <v>154</v>
      </c>
      <c r="G45" s="17" t="s">
        <v>154</v>
      </c>
      <c r="H45" s="18" t="s">
        <v>154</v>
      </c>
      <c r="I45" s="17" t="s">
        <v>154</v>
      </c>
      <c r="J45" s="18" t="s">
        <v>154</v>
      </c>
      <c r="K45" s="17" t="s">
        <v>154</v>
      </c>
      <c r="L45" s="18" t="s">
        <v>154</v>
      </c>
      <c r="M45" s="17" t="s">
        <v>154</v>
      </c>
      <c r="N45" s="18" t="s">
        <v>154</v>
      </c>
      <c r="O45" s="17" t="s">
        <v>154</v>
      </c>
      <c r="P45" s="18" t="s">
        <v>154</v>
      </c>
      <c r="Q45" s="17" t="s">
        <v>154</v>
      </c>
      <c r="R45" s="18" t="s">
        <v>154</v>
      </c>
    </row>
    <row r="46" spans="1:18" x14ac:dyDescent="0.25">
      <c r="A46" s="11" t="s">
        <v>179</v>
      </c>
      <c r="B46" s="13">
        <v>23141</v>
      </c>
      <c r="C46" s="14">
        <f>(20770/B46*100)</f>
        <v>89.754116071042731</v>
      </c>
      <c r="D46" s="15">
        <v>2371</v>
      </c>
      <c r="E46" s="14">
        <v>76.150222900000003</v>
      </c>
      <c r="F46" s="16">
        <v>1.0633917100000001</v>
      </c>
      <c r="G46" s="14">
        <v>23.849777100000001</v>
      </c>
      <c r="H46" s="16">
        <v>1.0633917100000001</v>
      </c>
      <c r="I46" s="14" t="s">
        <v>139</v>
      </c>
      <c r="J46" s="16" t="s">
        <v>139</v>
      </c>
      <c r="K46" s="14">
        <v>0</v>
      </c>
      <c r="L46" s="16">
        <v>0</v>
      </c>
      <c r="M46" s="14">
        <v>0</v>
      </c>
      <c r="N46" s="16">
        <v>0</v>
      </c>
      <c r="O46" s="14">
        <v>0</v>
      </c>
      <c r="P46" s="16">
        <v>0</v>
      </c>
      <c r="Q46" s="14">
        <v>0</v>
      </c>
      <c r="R46" s="16">
        <v>0</v>
      </c>
    </row>
    <row r="47" spans="1:18" x14ac:dyDescent="0.25">
      <c r="A47" s="11" t="s">
        <v>180</v>
      </c>
      <c r="B47" s="13">
        <v>5928</v>
      </c>
      <c r="C47" s="14">
        <f>(5040/B47*100)</f>
        <v>85.020242914979761</v>
      </c>
      <c r="D47" s="15">
        <v>888</v>
      </c>
      <c r="E47" s="14">
        <v>70.946012429999996</v>
      </c>
      <c r="F47" s="16">
        <v>1.7892874999999999</v>
      </c>
      <c r="G47" s="14">
        <v>29.05398757</v>
      </c>
      <c r="H47" s="16">
        <v>1.7892874999999999</v>
      </c>
      <c r="I47" s="14" t="s">
        <v>139</v>
      </c>
      <c r="J47" s="16" t="s">
        <v>139</v>
      </c>
      <c r="K47" s="14">
        <v>0</v>
      </c>
      <c r="L47" s="16">
        <v>0</v>
      </c>
      <c r="M47" s="14">
        <v>0</v>
      </c>
      <c r="N47" s="16">
        <v>0</v>
      </c>
      <c r="O47" s="14">
        <v>0</v>
      </c>
      <c r="P47" s="16">
        <v>0</v>
      </c>
      <c r="Q47" s="14">
        <v>0</v>
      </c>
      <c r="R47" s="16">
        <v>0</v>
      </c>
    </row>
    <row r="48" spans="1:18" x14ac:dyDescent="0.25">
      <c r="A48" s="11" t="s">
        <v>181</v>
      </c>
      <c r="B48" s="13">
        <v>9841</v>
      </c>
      <c r="C48" s="14">
        <f>(8220/B48*100)</f>
        <v>83.528096738136369</v>
      </c>
      <c r="D48" s="15">
        <v>1621</v>
      </c>
      <c r="E48" s="14">
        <v>63.642637790000002</v>
      </c>
      <c r="F48" s="16">
        <v>1.48857979</v>
      </c>
      <c r="G48" s="14">
        <v>36.357362209999998</v>
      </c>
      <c r="H48" s="16">
        <v>1.48857979</v>
      </c>
      <c r="I48" s="14" t="s">
        <v>139</v>
      </c>
      <c r="J48" s="16" t="s">
        <v>139</v>
      </c>
      <c r="K48" s="14">
        <v>0</v>
      </c>
      <c r="L48" s="16">
        <v>0</v>
      </c>
      <c r="M48" s="14">
        <v>0</v>
      </c>
      <c r="N48" s="16">
        <v>0</v>
      </c>
      <c r="O48" s="14">
        <v>0</v>
      </c>
      <c r="P48" s="16">
        <v>0</v>
      </c>
      <c r="Q48" s="14">
        <v>0</v>
      </c>
      <c r="R48" s="16">
        <v>0</v>
      </c>
    </row>
    <row r="49" spans="1:18" x14ac:dyDescent="0.25">
      <c r="A49" s="11" t="s">
        <v>182</v>
      </c>
      <c r="B49" s="17" t="s">
        <v>154</v>
      </c>
      <c r="C49" s="17" t="s">
        <v>154</v>
      </c>
      <c r="D49" s="18" t="s">
        <v>154</v>
      </c>
      <c r="E49" s="17" t="s">
        <v>154</v>
      </c>
      <c r="F49" s="18" t="s">
        <v>154</v>
      </c>
      <c r="G49" s="17" t="s">
        <v>154</v>
      </c>
      <c r="H49" s="18" t="s">
        <v>154</v>
      </c>
      <c r="I49" s="17" t="s">
        <v>154</v>
      </c>
      <c r="J49" s="18" t="s">
        <v>154</v>
      </c>
      <c r="K49" s="17" t="s">
        <v>154</v>
      </c>
      <c r="L49" s="18" t="s">
        <v>154</v>
      </c>
      <c r="M49" s="17" t="s">
        <v>154</v>
      </c>
      <c r="N49" s="18" t="s">
        <v>154</v>
      </c>
      <c r="O49" s="17" t="s">
        <v>154</v>
      </c>
      <c r="P49" s="18" t="s">
        <v>154</v>
      </c>
      <c r="Q49" s="17" t="s">
        <v>154</v>
      </c>
      <c r="R49" s="18" t="s">
        <v>154</v>
      </c>
    </row>
    <row r="50" spans="1:18" x14ac:dyDescent="0.25">
      <c r="A50" s="11" t="s">
        <v>183</v>
      </c>
      <c r="B50" s="13">
        <v>11795</v>
      </c>
      <c r="C50" s="14">
        <f>(10071/B50*100)</f>
        <v>85.383637134378972</v>
      </c>
      <c r="D50" s="15">
        <v>1724</v>
      </c>
      <c r="E50" s="14">
        <v>67.621635600000005</v>
      </c>
      <c r="F50" s="16">
        <v>1.5125457</v>
      </c>
      <c r="G50" s="14">
        <v>32.378364400000002</v>
      </c>
      <c r="H50" s="16">
        <v>1.5125457</v>
      </c>
      <c r="I50" s="14" t="s">
        <v>139</v>
      </c>
      <c r="J50" s="16" t="s">
        <v>139</v>
      </c>
      <c r="K50" s="14">
        <v>0</v>
      </c>
      <c r="L50" s="16">
        <v>0</v>
      </c>
      <c r="M50" s="14">
        <v>0</v>
      </c>
      <c r="N50" s="16">
        <v>0</v>
      </c>
      <c r="O50" s="14">
        <v>0</v>
      </c>
      <c r="P50" s="16">
        <v>0</v>
      </c>
      <c r="Q50" s="14">
        <v>0</v>
      </c>
      <c r="R50" s="16">
        <v>0</v>
      </c>
    </row>
    <row r="51" spans="1:18" x14ac:dyDescent="0.25">
      <c r="A51" s="11" t="s">
        <v>184</v>
      </c>
      <c r="B51" s="13">
        <v>6866</v>
      </c>
      <c r="C51" s="14">
        <f>(5973/B51*100)</f>
        <v>86.993882901252547</v>
      </c>
      <c r="D51" s="15">
        <v>893</v>
      </c>
      <c r="E51" s="14">
        <v>70.592451519999997</v>
      </c>
      <c r="F51" s="16">
        <v>1.8998343799999999</v>
      </c>
      <c r="G51" s="14">
        <v>29.407548479999999</v>
      </c>
      <c r="H51" s="16">
        <v>1.8998343799999999</v>
      </c>
      <c r="I51" s="14" t="s">
        <v>139</v>
      </c>
      <c r="J51" s="16" t="s">
        <v>139</v>
      </c>
      <c r="K51" s="14">
        <v>0</v>
      </c>
      <c r="L51" s="16">
        <v>0</v>
      </c>
      <c r="M51" s="14">
        <v>0</v>
      </c>
      <c r="N51" s="16">
        <v>0</v>
      </c>
      <c r="O51" s="14">
        <v>0</v>
      </c>
      <c r="P51" s="16">
        <v>0</v>
      </c>
      <c r="Q51" s="14">
        <v>0</v>
      </c>
      <c r="R51" s="16">
        <v>0</v>
      </c>
    </row>
    <row r="52" spans="1:18" x14ac:dyDescent="0.25">
      <c r="A52" s="11" t="s">
        <v>185</v>
      </c>
      <c r="B52" s="13">
        <v>5809</v>
      </c>
      <c r="C52" s="14">
        <f>(4885/B52*100)</f>
        <v>84.093647787915302</v>
      </c>
      <c r="D52" s="15">
        <v>924</v>
      </c>
      <c r="E52" s="14">
        <v>0</v>
      </c>
      <c r="F52" s="16">
        <v>0</v>
      </c>
      <c r="G52" s="14">
        <v>0</v>
      </c>
      <c r="H52" s="16">
        <v>0</v>
      </c>
      <c r="I52" s="14" t="s">
        <v>139</v>
      </c>
      <c r="J52" s="16" t="s">
        <v>139</v>
      </c>
      <c r="K52" s="14">
        <v>0</v>
      </c>
      <c r="L52" s="16">
        <v>0</v>
      </c>
      <c r="M52" s="14">
        <v>100</v>
      </c>
      <c r="N52" s="16">
        <v>0</v>
      </c>
      <c r="O52" s="14">
        <v>0</v>
      </c>
      <c r="P52" s="16">
        <v>0</v>
      </c>
      <c r="Q52" s="14">
        <v>0</v>
      </c>
      <c r="R52" s="16">
        <v>0</v>
      </c>
    </row>
    <row r="53" spans="1:18" x14ac:dyDescent="0.25">
      <c r="A53" s="11" t="s">
        <v>186</v>
      </c>
      <c r="B53" s="13">
        <v>5571</v>
      </c>
      <c r="C53" s="14">
        <f>(4728/B53*100)</f>
        <v>84.86806677436725</v>
      </c>
      <c r="D53" s="15">
        <v>843</v>
      </c>
      <c r="E53" s="14">
        <v>61.542731109999998</v>
      </c>
      <c r="F53" s="16">
        <v>1.80135245</v>
      </c>
      <c r="G53" s="14">
        <v>38.457268890000002</v>
      </c>
      <c r="H53" s="16">
        <v>1.80135245</v>
      </c>
      <c r="I53" s="14" t="s">
        <v>139</v>
      </c>
      <c r="J53" s="16" t="s">
        <v>139</v>
      </c>
      <c r="K53" s="14">
        <v>0</v>
      </c>
      <c r="L53" s="16">
        <v>0</v>
      </c>
      <c r="M53" s="14">
        <v>0</v>
      </c>
      <c r="N53" s="16">
        <v>0</v>
      </c>
      <c r="O53" s="14">
        <v>0</v>
      </c>
      <c r="P53" s="16">
        <v>0</v>
      </c>
      <c r="Q53" s="14">
        <v>0</v>
      </c>
      <c r="R53" s="16">
        <v>0</v>
      </c>
    </row>
    <row r="54" spans="1:18" x14ac:dyDescent="0.25">
      <c r="A54" s="11" t="s">
        <v>187</v>
      </c>
      <c r="B54" s="17" t="s">
        <v>154</v>
      </c>
      <c r="C54" s="17" t="s">
        <v>154</v>
      </c>
      <c r="D54" s="18" t="s">
        <v>154</v>
      </c>
      <c r="E54" s="17" t="s">
        <v>154</v>
      </c>
      <c r="F54" s="18" t="s">
        <v>154</v>
      </c>
      <c r="G54" s="17" t="s">
        <v>154</v>
      </c>
      <c r="H54" s="18" t="s">
        <v>154</v>
      </c>
      <c r="I54" s="17" t="s">
        <v>154</v>
      </c>
      <c r="J54" s="18" t="s">
        <v>154</v>
      </c>
      <c r="K54" s="17" t="s">
        <v>154</v>
      </c>
      <c r="L54" s="18" t="s">
        <v>154</v>
      </c>
      <c r="M54" s="17" t="s">
        <v>154</v>
      </c>
      <c r="N54" s="18" t="s">
        <v>154</v>
      </c>
      <c r="O54" s="17" t="s">
        <v>154</v>
      </c>
      <c r="P54" s="18" t="s">
        <v>154</v>
      </c>
      <c r="Q54" s="17" t="s">
        <v>154</v>
      </c>
      <c r="R54" s="18" t="s">
        <v>154</v>
      </c>
    </row>
    <row r="55" spans="1:18" x14ac:dyDescent="0.25">
      <c r="A55" s="11" t="s">
        <v>188</v>
      </c>
      <c r="B55" s="17" t="s">
        <v>154</v>
      </c>
      <c r="C55" s="17" t="s">
        <v>154</v>
      </c>
      <c r="D55" s="18" t="s">
        <v>154</v>
      </c>
      <c r="E55" s="17" t="s">
        <v>154</v>
      </c>
      <c r="F55" s="18" t="s">
        <v>154</v>
      </c>
      <c r="G55" s="17" t="s">
        <v>154</v>
      </c>
      <c r="H55" s="18" t="s">
        <v>154</v>
      </c>
      <c r="I55" s="17" t="s">
        <v>154</v>
      </c>
      <c r="J55" s="18" t="s">
        <v>154</v>
      </c>
      <c r="K55" s="17" t="s">
        <v>154</v>
      </c>
      <c r="L55" s="18" t="s">
        <v>154</v>
      </c>
      <c r="M55" s="17" t="s">
        <v>154</v>
      </c>
      <c r="N55" s="18" t="s">
        <v>154</v>
      </c>
      <c r="O55" s="17" t="s">
        <v>154</v>
      </c>
      <c r="P55" s="18" t="s">
        <v>154</v>
      </c>
      <c r="Q55" s="17" t="s">
        <v>154</v>
      </c>
      <c r="R55" s="18" t="s">
        <v>154</v>
      </c>
    </row>
    <row r="56" spans="1:18" x14ac:dyDescent="0.25">
      <c r="A56" s="11" t="s">
        <v>189</v>
      </c>
      <c r="B56" s="13">
        <v>5359</v>
      </c>
      <c r="C56" s="14">
        <f>(4464/B56*100)</f>
        <v>83.299122970703493</v>
      </c>
      <c r="D56" s="15">
        <v>895</v>
      </c>
      <c r="E56" s="14">
        <v>44.554113780000002</v>
      </c>
      <c r="F56" s="16">
        <v>1.6870682800000001</v>
      </c>
      <c r="G56" s="14">
        <v>55.445886219999998</v>
      </c>
      <c r="H56" s="16">
        <v>1.6870682800000001</v>
      </c>
      <c r="I56" s="14" t="s">
        <v>139</v>
      </c>
      <c r="J56" s="16" t="s">
        <v>139</v>
      </c>
      <c r="K56" s="14">
        <v>0</v>
      </c>
      <c r="L56" s="16">
        <v>0</v>
      </c>
      <c r="M56" s="14">
        <v>0</v>
      </c>
      <c r="N56" s="16">
        <v>0</v>
      </c>
      <c r="O56" s="14">
        <v>0</v>
      </c>
      <c r="P56" s="16">
        <v>0</v>
      </c>
      <c r="Q56" s="14">
        <v>0</v>
      </c>
      <c r="R56" s="16">
        <v>0</v>
      </c>
    </row>
    <row r="57" spans="1:18" x14ac:dyDescent="0.25">
      <c r="A57" s="11" t="s">
        <v>190</v>
      </c>
      <c r="B57" s="17" t="s">
        <v>154</v>
      </c>
      <c r="C57" s="17" t="s">
        <v>154</v>
      </c>
      <c r="D57" s="18" t="s">
        <v>154</v>
      </c>
      <c r="E57" s="17" t="s">
        <v>154</v>
      </c>
      <c r="F57" s="18" t="s">
        <v>154</v>
      </c>
      <c r="G57" s="17" t="s">
        <v>154</v>
      </c>
      <c r="H57" s="18" t="s">
        <v>154</v>
      </c>
      <c r="I57" s="17" t="s">
        <v>154</v>
      </c>
      <c r="J57" s="18" t="s">
        <v>154</v>
      </c>
      <c r="K57" s="17" t="s">
        <v>154</v>
      </c>
      <c r="L57" s="18" t="s">
        <v>154</v>
      </c>
      <c r="M57" s="17" t="s">
        <v>154</v>
      </c>
      <c r="N57" s="18" t="s">
        <v>154</v>
      </c>
      <c r="O57" s="17" t="s">
        <v>154</v>
      </c>
      <c r="P57" s="18" t="s">
        <v>154</v>
      </c>
      <c r="Q57" s="17" t="s">
        <v>154</v>
      </c>
      <c r="R57" s="18" t="s">
        <v>154</v>
      </c>
    </row>
    <row r="58" spans="1:18" x14ac:dyDescent="0.25">
      <c r="A58" s="11" t="s">
        <v>191</v>
      </c>
      <c r="B58" s="17" t="s">
        <v>154</v>
      </c>
      <c r="C58" s="17" t="s">
        <v>154</v>
      </c>
      <c r="D58" s="18" t="s">
        <v>154</v>
      </c>
      <c r="E58" s="17" t="s">
        <v>154</v>
      </c>
      <c r="F58" s="18" t="s">
        <v>154</v>
      </c>
      <c r="G58" s="17" t="s">
        <v>154</v>
      </c>
      <c r="H58" s="18" t="s">
        <v>154</v>
      </c>
      <c r="I58" s="17" t="s">
        <v>154</v>
      </c>
      <c r="J58" s="18" t="s">
        <v>154</v>
      </c>
      <c r="K58" s="17" t="s">
        <v>154</v>
      </c>
      <c r="L58" s="18" t="s">
        <v>154</v>
      </c>
      <c r="M58" s="17" t="s">
        <v>154</v>
      </c>
      <c r="N58" s="18" t="s">
        <v>154</v>
      </c>
      <c r="O58" s="17" t="s">
        <v>154</v>
      </c>
      <c r="P58" s="18" t="s">
        <v>154</v>
      </c>
      <c r="Q58" s="17" t="s">
        <v>154</v>
      </c>
      <c r="R58" s="18" t="s">
        <v>154</v>
      </c>
    </row>
    <row r="59" spans="1:18" x14ac:dyDescent="0.25">
      <c r="A59" s="11" t="s">
        <v>192</v>
      </c>
      <c r="B59" s="17" t="s">
        <v>154</v>
      </c>
      <c r="C59" s="17" t="s">
        <v>154</v>
      </c>
      <c r="D59" s="18" t="s">
        <v>154</v>
      </c>
      <c r="E59" s="17" t="s">
        <v>154</v>
      </c>
      <c r="F59" s="18" t="s">
        <v>154</v>
      </c>
      <c r="G59" s="17" t="s">
        <v>154</v>
      </c>
      <c r="H59" s="18" t="s">
        <v>154</v>
      </c>
      <c r="I59" s="17" t="s">
        <v>154</v>
      </c>
      <c r="J59" s="18" t="s">
        <v>154</v>
      </c>
      <c r="K59" s="17" t="s">
        <v>154</v>
      </c>
      <c r="L59" s="18" t="s">
        <v>154</v>
      </c>
      <c r="M59" s="17" t="s">
        <v>154</v>
      </c>
      <c r="N59" s="18" t="s">
        <v>154</v>
      </c>
      <c r="O59" s="17" t="s">
        <v>154</v>
      </c>
      <c r="P59" s="18" t="s">
        <v>154</v>
      </c>
      <c r="Q59" s="17" t="s">
        <v>154</v>
      </c>
      <c r="R59" s="18" t="s">
        <v>154</v>
      </c>
    </row>
    <row r="60" spans="1:18" x14ac:dyDescent="0.25">
      <c r="A60" s="11" t="s">
        <v>193</v>
      </c>
      <c r="B60" s="17" t="s">
        <v>154</v>
      </c>
      <c r="C60" s="17" t="s">
        <v>154</v>
      </c>
      <c r="D60" s="18" t="s">
        <v>154</v>
      </c>
      <c r="E60" s="17" t="s">
        <v>154</v>
      </c>
      <c r="F60" s="18" t="s">
        <v>154</v>
      </c>
      <c r="G60" s="17" t="s">
        <v>154</v>
      </c>
      <c r="H60" s="18" t="s">
        <v>154</v>
      </c>
      <c r="I60" s="17" t="s">
        <v>154</v>
      </c>
      <c r="J60" s="18" t="s">
        <v>154</v>
      </c>
      <c r="K60" s="17" t="s">
        <v>154</v>
      </c>
      <c r="L60" s="18" t="s">
        <v>154</v>
      </c>
      <c r="M60" s="17" t="s">
        <v>154</v>
      </c>
      <c r="N60" s="18" t="s">
        <v>154</v>
      </c>
      <c r="O60" s="17" t="s">
        <v>154</v>
      </c>
      <c r="P60" s="18" t="s">
        <v>154</v>
      </c>
      <c r="Q60" s="17" t="s">
        <v>154</v>
      </c>
      <c r="R60" s="18" t="s">
        <v>154</v>
      </c>
    </row>
    <row r="61" spans="1:18" x14ac:dyDescent="0.25">
      <c r="A61" s="11" t="s">
        <v>194</v>
      </c>
      <c r="B61" s="13">
        <v>6525</v>
      </c>
      <c r="C61" s="14">
        <f>(5500/B61*100)</f>
        <v>84.291187739463595</v>
      </c>
      <c r="D61" s="15">
        <v>1025</v>
      </c>
      <c r="E61" s="14">
        <v>4.4280824799999996</v>
      </c>
      <c r="F61" s="16">
        <v>0.4287224</v>
      </c>
      <c r="G61" s="14">
        <v>1.71419528</v>
      </c>
      <c r="H61" s="16">
        <v>0.22021578999999999</v>
      </c>
      <c r="I61" s="14" t="s">
        <v>139</v>
      </c>
      <c r="J61" s="16" t="s">
        <v>139</v>
      </c>
      <c r="K61" s="14">
        <v>0</v>
      </c>
      <c r="L61" s="16">
        <v>0</v>
      </c>
      <c r="M61" s="14">
        <v>93.857722240000001</v>
      </c>
      <c r="N61" s="16">
        <v>0.54682467999999995</v>
      </c>
      <c r="O61" s="14">
        <v>0</v>
      </c>
      <c r="P61" s="16">
        <v>0</v>
      </c>
      <c r="Q61" s="14">
        <v>0</v>
      </c>
      <c r="R61" s="16">
        <v>0</v>
      </c>
    </row>
    <row r="62" spans="1:18" x14ac:dyDescent="0.25">
      <c r="A62" s="11" t="s">
        <v>195</v>
      </c>
      <c r="B62" s="13">
        <v>4476</v>
      </c>
      <c r="C62" s="14">
        <f>(3758/B62*100)</f>
        <v>83.958891867739055</v>
      </c>
      <c r="D62" s="15">
        <v>718</v>
      </c>
      <c r="E62" s="14">
        <v>32.661604169999997</v>
      </c>
      <c r="F62" s="16">
        <v>1.81699298</v>
      </c>
      <c r="G62" s="14">
        <v>67.338395829999996</v>
      </c>
      <c r="H62" s="16">
        <v>1.81699298</v>
      </c>
      <c r="I62" s="14" t="s">
        <v>139</v>
      </c>
      <c r="J62" s="16" t="s">
        <v>139</v>
      </c>
      <c r="K62" s="14">
        <v>0</v>
      </c>
      <c r="L62" s="16">
        <v>0</v>
      </c>
      <c r="M62" s="14">
        <v>0</v>
      </c>
      <c r="N62" s="16">
        <v>0</v>
      </c>
      <c r="O62" s="14">
        <v>0</v>
      </c>
      <c r="P62" s="16">
        <v>0</v>
      </c>
      <c r="Q62" s="14">
        <v>0</v>
      </c>
      <c r="R62" s="16">
        <v>0</v>
      </c>
    </row>
    <row r="63" spans="1:18" x14ac:dyDescent="0.25">
      <c r="A63" s="11" t="s">
        <v>196</v>
      </c>
      <c r="B63" s="17" t="s">
        <v>154</v>
      </c>
      <c r="C63" s="17" t="s">
        <v>154</v>
      </c>
      <c r="D63" s="18" t="s">
        <v>154</v>
      </c>
      <c r="E63" s="17" t="s">
        <v>154</v>
      </c>
      <c r="F63" s="18" t="s">
        <v>154</v>
      </c>
      <c r="G63" s="17" t="s">
        <v>154</v>
      </c>
      <c r="H63" s="18" t="s">
        <v>154</v>
      </c>
      <c r="I63" s="17" t="s">
        <v>154</v>
      </c>
      <c r="J63" s="18" t="s">
        <v>154</v>
      </c>
      <c r="K63" s="17" t="s">
        <v>154</v>
      </c>
      <c r="L63" s="18" t="s">
        <v>154</v>
      </c>
      <c r="M63" s="17" t="s">
        <v>154</v>
      </c>
      <c r="N63" s="18" t="s">
        <v>154</v>
      </c>
      <c r="O63" s="17" t="s">
        <v>154</v>
      </c>
      <c r="P63" s="18" t="s">
        <v>154</v>
      </c>
      <c r="Q63" s="17" t="s">
        <v>154</v>
      </c>
      <c r="R63" s="18" t="s">
        <v>154</v>
      </c>
    </row>
    <row r="64" spans="1:18" x14ac:dyDescent="0.25">
      <c r="A64" s="11" t="s">
        <v>197</v>
      </c>
      <c r="B64" s="17" t="s">
        <v>154</v>
      </c>
      <c r="C64" s="17" t="s">
        <v>154</v>
      </c>
      <c r="D64" s="18" t="s">
        <v>154</v>
      </c>
      <c r="E64" s="17" t="s">
        <v>154</v>
      </c>
      <c r="F64" s="18" t="s">
        <v>154</v>
      </c>
      <c r="G64" s="17" t="s">
        <v>154</v>
      </c>
      <c r="H64" s="18" t="s">
        <v>154</v>
      </c>
      <c r="I64" s="17" t="s">
        <v>154</v>
      </c>
      <c r="J64" s="18" t="s">
        <v>154</v>
      </c>
      <c r="K64" s="17" t="s">
        <v>154</v>
      </c>
      <c r="L64" s="18" t="s">
        <v>154</v>
      </c>
      <c r="M64" s="17" t="s">
        <v>154</v>
      </c>
      <c r="N64" s="18" t="s">
        <v>154</v>
      </c>
      <c r="O64" s="17" t="s">
        <v>154</v>
      </c>
      <c r="P64" s="18" t="s">
        <v>154</v>
      </c>
      <c r="Q64" s="17" t="s">
        <v>154</v>
      </c>
      <c r="R64" s="18" t="s">
        <v>154</v>
      </c>
    </row>
    <row r="65" spans="1:18" x14ac:dyDescent="0.25">
      <c r="A65" s="11" t="s">
        <v>198</v>
      </c>
      <c r="B65" s="17" t="s">
        <v>154</v>
      </c>
      <c r="C65" s="17" t="s">
        <v>154</v>
      </c>
      <c r="D65" s="18" t="s">
        <v>154</v>
      </c>
      <c r="E65" s="17" t="s">
        <v>154</v>
      </c>
      <c r="F65" s="18" t="s">
        <v>154</v>
      </c>
      <c r="G65" s="17" t="s">
        <v>154</v>
      </c>
      <c r="H65" s="18" t="s">
        <v>154</v>
      </c>
      <c r="I65" s="17" t="s">
        <v>154</v>
      </c>
      <c r="J65" s="18" t="s">
        <v>154</v>
      </c>
      <c r="K65" s="17" t="s">
        <v>154</v>
      </c>
      <c r="L65" s="18" t="s">
        <v>154</v>
      </c>
      <c r="M65" s="17" t="s">
        <v>154</v>
      </c>
      <c r="N65" s="18" t="s">
        <v>154</v>
      </c>
      <c r="O65" s="17" t="s">
        <v>154</v>
      </c>
      <c r="P65" s="18" t="s">
        <v>154</v>
      </c>
      <c r="Q65" s="17" t="s">
        <v>154</v>
      </c>
      <c r="R65" s="18" t="s">
        <v>154</v>
      </c>
    </row>
    <row r="66" spans="1:18" x14ac:dyDescent="0.25">
      <c r="A66" s="11" t="s">
        <v>199</v>
      </c>
      <c r="B66" s="13">
        <v>5665</v>
      </c>
      <c r="C66" s="14">
        <f>(4808/B66*100)</f>
        <v>84.872021182700792</v>
      </c>
      <c r="D66" s="15">
        <v>857</v>
      </c>
      <c r="E66" s="14">
        <v>71.927676030000001</v>
      </c>
      <c r="F66" s="16">
        <v>1.4795203299999999</v>
      </c>
      <c r="G66" s="14">
        <v>28.072323969999999</v>
      </c>
      <c r="H66" s="16">
        <v>1.4795203299999999</v>
      </c>
      <c r="I66" s="14" t="s">
        <v>139</v>
      </c>
      <c r="J66" s="16" t="s">
        <v>139</v>
      </c>
      <c r="K66" s="14">
        <v>0</v>
      </c>
      <c r="L66" s="16">
        <v>0</v>
      </c>
      <c r="M66" s="14">
        <v>0</v>
      </c>
      <c r="N66" s="16">
        <v>0</v>
      </c>
      <c r="O66" s="14">
        <v>0</v>
      </c>
      <c r="P66" s="16">
        <v>0</v>
      </c>
      <c r="Q66" s="14">
        <v>0</v>
      </c>
      <c r="R66" s="16">
        <v>0</v>
      </c>
    </row>
    <row r="67" spans="1:18" x14ac:dyDescent="0.25">
      <c r="A67" s="11" t="s">
        <v>200</v>
      </c>
      <c r="B67" s="13">
        <v>6971</v>
      </c>
      <c r="C67" s="14">
        <f>(6104/B67*100)</f>
        <v>87.562760005738056</v>
      </c>
      <c r="D67" s="15">
        <v>867</v>
      </c>
      <c r="E67" s="14">
        <v>64.214525870000003</v>
      </c>
      <c r="F67" s="16">
        <v>1.84217404</v>
      </c>
      <c r="G67" s="14">
        <v>35.785474129999997</v>
      </c>
      <c r="H67" s="16">
        <v>1.84217404</v>
      </c>
      <c r="I67" s="14" t="s">
        <v>139</v>
      </c>
      <c r="J67" s="16" t="s">
        <v>139</v>
      </c>
      <c r="K67" s="14">
        <v>0</v>
      </c>
      <c r="L67" s="16">
        <v>0</v>
      </c>
      <c r="M67" s="14">
        <v>0</v>
      </c>
      <c r="N67" s="16">
        <v>0</v>
      </c>
      <c r="O67" s="14">
        <v>0</v>
      </c>
      <c r="P67" s="16">
        <v>0</v>
      </c>
      <c r="Q67" s="14">
        <v>0</v>
      </c>
      <c r="R67" s="16">
        <v>0</v>
      </c>
    </row>
    <row r="68" spans="1:18" x14ac:dyDescent="0.25">
      <c r="A68" s="11" t="s">
        <v>201</v>
      </c>
      <c r="B68" s="17" t="s">
        <v>154</v>
      </c>
      <c r="C68" s="17" t="s">
        <v>154</v>
      </c>
      <c r="D68" s="18" t="s">
        <v>154</v>
      </c>
      <c r="E68" s="17" t="s">
        <v>154</v>
      </c>
      <c r="F68" s="18" t="s">
        <v>154</v>
      </c>
      <c r="G68" s="17" t="s">
        <v>154</v>
      </c>
      <c r="H68" s="18" t="s">
        <v>154</v>
      </c>
      <c r="I68" s="17" t="s">
        <v>154</v>
      </c>
      <c r="J68" s="18" t="s">
        <v>154</v>
      </c>
      <c r="K68" s="17" t="s">
        <v>154</v>
      </c>
      <c r="L68" s="18" t="s">
        <v>154</v>
      </c>
      <c r="M68" s="17" t="s">
        <v>154</v>
      </c>
      <c r="N68" s="18" t="s">
        <v>154</v>
      </c>
      <c r="O68" s="17" t="s">
        <v>154</v>
      </c>
      <c r="P68" s="18" t="s">
        <v>154</v>
      </c>
      <c r="Q68" s="17" t="s">
        <v>154</v>
      </c>
      <c r="R68" s="18" t="s">
        <v>154</v>
      </c>
    </row>
    <row r="69" spans="1:18" x14ac:dyDescent="0.25">
      <c r="A69" s="11" t="s">
        <v>202</v>
      </c>
      <c r="B69" s="17" t="s">
        <v>154</v>
      </c>
      <c r="C69" s="17" t="s">
        <v>154</v>
      </c>
      <c r="D69" s="18" t="s">
        <v>154</v>
      </c>
      <c r="E69" s="17" t="s">
        <v>154</v>
      </c>
      <c r="F69" s="18" t="s">
        <v>154</v>
      </c>
      <c r="G69" s="17" t="s">
        <v>154</v>
      </c>
      <c r="H69" s="18" t="s">
        <v>154</v>
      </c>
      <c r="I69" s="17" t="s">
        <v>154</v>
      </c>
      <c r="J69" s="18" t="s">
        <v>154</v>
      </c>
      <c r="K69" s="17" t="s">
        <v>154</v>
      </c>
      <c r="L69" s="18" t="s">
        <v>154</v>
      </c>
      <c r="M69" s="17" t="s">
        <v>154</v>
      </c>
      <c r="N69" s="18" t="s">
        <v>154</v>
      </c>
      <c r="O69" s="17" t="s">
        <v>154</v>
      </c>
      <c r="P69" s="18" t="s">
        <v>154</v>
      </c>
      <c r="Q69" s="17" t="s">
        <v>154</v>
      </c>
      <c r="R69" s="18" t="s">
        <v>154</v>
      </c>
    </row>
    <row r="70" spans="1:18" x14ac:dyDescent="0.25">
      <c r="A70" s="11" t="s">
        <v>203</v>
      </c>
      <c r="B70" s="13">
        <v>6036</v>
      </c>
      <c r="C70" s="14">
        <f>(5098/B70*100)</f>
        <v>84.459907223326695</v>
      </c>
      <c r="D70" s="15">
        <v>938</v>
      </c>
      <c r="E70" s="14">
        <v>66.386001340000007</v>
      </c>
      <c r="F70" s="16">
        <v>1.8281262199999999</v>
      </c>
      <c r="G70" s="14">
        <v>33.61399866</v>
      </c>
      <c r="H70" s="16">
        <v>1.8281262199999999</v>
      </c>
      <c r="I70" s="14" t="s">
        <v>139</v>
      </c>
      <c r="J70" s="16" t="s">
        <v>139</v>
      </c>
      <c r="K70" s="14">
        <v>0</v>
      </c>
      <c r="L70" s="16">
        <v>0</v>
      </c>
      <c r="M70" s="14">
        <v>0</v>
      </c>
      <c r="N70" s="16">
        <v>0</v>
      </c>
      <c r="O70" s="14">
        <v>0</v>
      </c>
      <c r="P70" s="16">
        <v>0</v>
      </c>
      <c r="Q70" s="14">
        <v>0</v>
      </c>
      <c r="R70" s="16">
        <v>0</v>
      </c>
    </row>
    <row r="71" spans="1:18" x14ac:dyDescent="0.25">
      <c r="A71" s="11" t="s">
        <v>204</v>
      </c>
      <c r="B71" s="17" t="s">
        <v>154</v>
      </c>
      <c r="C71" s="17" t="s">
        <v>154</v>
      </c>
      <c r="D71" s="18" t="s">
        <v>154</v>
      </c>
      <c r="E71" s="17" t="s">
        <v>154</v>
      </c>
      <c r="F71" s="18" t="s">
        <v>154</v>
      </c>
      <c r="G71" s="17" t="s">
        <v>154</v>
      </c>
      <c r="H71" s="18" t="s">
        <v>154</v>
      </c>
      <c r="I71" s="17" t="s">
        <v>154</v>
      </c>
      <c r="J71" s="18" t="s">
        <v>154</v>
      </c>
      <c r="K71" s="17" t="s">
        <v>154</v>
      </c>
      <c r="L71" s="18" t="s">
        <v>154</v>
      </c>
      <c r="M71" s="17" t="s">
        <v>154</v>
      </c>
      <c r="N71" s="18" t="s">
        <v>154</v>
      </c>
      <c r="O71" s="17" t="s">
        <v>154</v>
      </c>
      <c r="P71" s="18" t="s">
        <v>154</v>
      </c>
      <c r="Q71" s="17" t="s">
        <v>154</v>
      </c>
      <c r="R71" s="18" t="s">
        <v>154</v>
      </c>
    </row>
    <row r="72" spans="1:18" x14ac:dyDescent="0.25">
      <c r="A72" s="11" t="s">
        <v>205</v>
      </c>
      <c r="B72" s="13">
        <v>7708</v>
      </c>
      <c r="C72" s="14">
        <f>(6380/B72*100)</f>
        <v>82.77114686040477</v>
      </c>
      <c r="D72" s="15">
        <v>1328</v>
      </c>
      <c r="E72" s="14">
        <v>77.154039960000006</v>
      </c>
      <c r="F72" s="16">
        <v>1.1368292499999999</v>
      </c>
      <c r="G72" s="14">
        <v>22.845960040000001</v>
      </c>
      <c r="H72" s="16">
        <v>1.1368292499999999</v>
      </c>
      <c r="I72" s="14" t="s">
        <v>139</v>
      </c>
      <c r="J72" s="16" t="s">
        <v>139</v>
      </c>
      <c r="K72" s="14">
        <v>0</v>
      </c>
      <c r="L72" s="16">
        <v>0</v>
      </c>
      <c r="M72" s="14">
        <v>0</v>
      </c>
      <c r="N72" s="16">
        <v>0</v>
      </c>
      <c r="O72" s="14">
        <v>0</v>
      </c>
      <c r="P72" s="16">
        <v>0</v>
      </c>
      <c r="Q72" s="14">
        <v>0</v>
      </c>
      <c r="R72" s="16">
        <v>0</v>
      </c>
    </row>
    <row r="73" spans="1:18" x14ac:dyDescent="0.25">
      <c r="A73" s="11" t="s">
        <v>206</v>
      </c>
      <c r="B73" s="13">
        <v>8249</v>
      </c>
      <c r="C73" s="14">
        <f>(7058/B73*100)</f>
        <v>85.561886289247184</v>
      </c>
      <c r="D73" s="15">
        <v>1191</v>
      </c>
      <c r="E73" s="14">
        <v>51.742457129999998</v>
      </c>
      <c r="F73" s="16">
        <v>2.0672802199999998</v>
      </c>
      <c r="G73" s="14">
        <v>48.257542870000002</v>
      </c>
      <c r="H73" s="16">
        <v>2.0672802199999998</v>
      </c>
      <c r="I73" s="14" t="s">
        <v>139</v>
      </c>
      <c r="J73" s="16" t="s">
        <v>139</v>
      </c>
      <c r="K73" s="14">
        <v>0</v>
      </c>
      <c r="L73" s="16">
        <v>0</v>
      </c>
      <c r="M73" s="14">
        <v>0</v>
      </c>
      <c r="N73" s="16">
        <v>0</v>
      </c>
      <c r="O73" s="14">
        <v>0</v>
      </c>
      <c r="P73" s="16">
        <v>0</v>
      </c>
      <c r="Q73" s="14">
        <v>0</v>
      </c>
      <c r="R73" s="16">
        <v>0</v>
      </c>
    </row>
    <row r="74" spans="1:18" x14ac:dyDescent="0.25">
      <c r="A74" s="11" t="s">
        <v>207</v>
      </c>
      <c r="B74" s="17" t="s">
        <v>154</v>
      </c>
      <c r="C74" s="17" t="s">
        <v>154</v>
      </c>
      <c r="D74" s="18" t="s">
        <v>154</v>
      </c>
      <c r="E74" s="17" t="s">
        <v>154</v>
      </c>
      <c r="F74" s="18" t="s">
        <v>154</v>
      </c>
      <c r="G74" s="17" t="s">
        <v>154</v>
      </c>
      <c r="H74" s="18" t="s">
        <v>154</v>
      </c>
      <c r="I74" s="17" t="s">
        <v>154</v>
      </c>
      <c r="J74" s="18" t="s">
        <v>154</v>
      </c>
      <c r="K74" s="17" t="s">
        <v>154</v>
      </c>
      <c r="L74" s="18" t="s">
        <v>154</v>
      </c>
      <c r="M74" s="17" t="s">
        <v>154</v>
      </c>
      <c r="N74" s="18" t="s">
        <v>154</v>
      </c>
      <c r="O74" s="17" t="s">
        <v>154</v>
      </c>
      <c r="P74" s="18" t="s">
        <v>154</v>
      </c>
      <c r="Q74" s="17" t="s">
        <v>154</v>
      </c>
      <c r="R74" s="18" t="s">
        <v>154</v>
      </c>
    </row>
    <row r="75" spans="1:18" x14ac:dyDescent="0.25">
      <c r="A75" s="11" t="s">
        <v>208</v>
      </c>
      <c r="B75" s="13">
        <v>5375</v>
      </c>
      <c r="C75" s="14">
        <f>(4623/B75*100)</f>
        <v>86.009302325581388</v>
      </c>
      <c r="D75" s="15">
        <v>752</v>
      </c>
      <c r="E75" s="14">
        <v>85.311825830000004</v>
      </c>
      <c r="F75" s="16">
        <v>1.3337242600000001</v>
      </c>
      <c r="G75" s="14">
        <v>14.68817417</v>
      </c>
      <c r="H75" s="16">
        <v>1.3337242600000001</v>
      </c>
      <c r="I75" s="14" t="s">
        <v>139</v>
      </c>
      <c r="J75" s="16" t="s">
        <v>139</v>
      </c>
      <c r="K75" s="14">
        <v>0</v>
      </c>
      <c r="L75" s="16">
        <v>0</v>
      </c>
      <c r="M75" s="14">
        <v>0</v>
      </c>
      <c r="N75" s="16">
        <v>0</v>
      </c>
      <c r="O75" s="14">
        <v>0</v>
      </c>
      <c r="P75" s="16">
        <v>0</v>
      </c>
      <c r="Q75" s="14">
        <v>0</v>
      </c>
      <c r="R75" s="16">
        <v>0</v>
      </c>
    </row>
    <row r="76" spans="1:18" x14ac:dyDescent="0.25">
      <c r="A76" s="11" t="s">
        <v>209</v>
      </c>
      <c r="B76" s="13">
        <v>14167</v>
      </c>
      <c r="C76" s="14">
        <f>(11813/B76*100)</f>
        <v>83.38392037834403</v>
      </c>
      <c r="D76" s="15">
        <v>2354</v>
      </c>
      <c r="E76" s="14">
        <v>76.749450830000001</v>
      </c>
      <c r="F76" s="16">
        <v>0.99513605999999999</v>
      </c>
      <c r="G76" s="14">
        <v>23.250549169999999</v>
      </c>
      <c r="H76" s="16">
        <v>0.99513605999999999</v>
      </c>
      <c r="I76" s="14" t="s">
        <v>139</v>
      </c>
      <c r="J76" s="16" t="s">
        <v>139</v>
      </c>
      <c r="K76" s="14">
        <v>0</v>
      </c>
      <c r="L76" s="16">
        <v>0</v>
      </c>
      <c r="M76" s="14">
        <v>0</v>
      </c>
      <c r="N76" s="16">
        <v>0</v>
      </c>
      <c r="O76" s="14">
        <v>0</v>
      </c>
      <c r="P76" s="16">
        <v>0</v>
      </c>
      <c r="Q76" s="14">
        <v>0</v>
      </c>
      <c r="R76" s="16">
        <v>0</v>
      </c>
    </row>
    <row r="77" spans="1:18" x14ac:dyDescent="0.25">
      <c r="A77" s="11" t="s">
        <v>210</v>
      </c>
      <c r="B77" s="13">
        <v>6062</v>
      </c>
      <c r="C77" s="14">
        <f>(5206/B77*100)</f>
        <v>85.879247773012196</v>
      </c>
      <c r="D77" s="15">
        <v>856</v>
      </c>
      <c r="E77" s="14">
        <v>67.189872640000004</v>
      </c>
      <c r="F77" s="16">
        <v>1.68461018</v>
      </c>
      <c r="G77" s="14">
        <v>32.810127360000003</v>
      </c>
      <c r="H77" s="16">
        <v>1.68461018</v>
      </c>
      <c r="I77" s="14" t="s">
        <v>139</v>
      </c>
      <c r="J77" s="16" t="s">
        <v>139</v>
      </c>
      <c r="K77" s="14">
        <v>0</v>
      </c>
      <c r="L77" s="16">
        <v>0</v>
      </c>
      <c r="M77" s="14">
        <v>0</v>
      </c>
      <c r="N77" s="16">
        <v>0</v>
      </c>
      <c r="O77" s="14">
        <v>0</v>
      </c>
      <c r="P77" s="16">
        <v>0</v>
      </c>
      <c r="Q77" s="14">
        <v>0</v>
      </c>
      <c r="R77" s="16">
        <v>0</v>
      </c>
    </row>
    <row r="78" spans="1:18" x14ac:dyDescent="0.25">
      <c r="A78" s="11" t="s">
        <v>211</v>
      </c>
      <c r="B78" s="17" t="s">
        <v>154</v>
      </c>
      <c r="C78" s="17" t="s">
        <v>154</v>
      </c>
      <c r="D78" s="18" t="s">
        <v>154</v>
      </c>
      <c r="E78" s="17" t="s">
        <v>154</v>
      </c>
      <c r="F78" s="18" t="s">
        <v>154</v>
      </c>
      <c r="G78" s="17" t="s">
        <v>154</v>
      </c>
      <c r="H78" s="18" t="s">
        <v>154</v>
      </c>
      <c r="I78" s="17" t="s">
        <v>154</v>
      </c>
      <c r="J78" s="18" t="s">
        <v>154</v>
      </c>
      <c r="K78" s="17" t="s">
        <v>154</v>
      </c>
      <c r="L78" s="18" t="s">
        <v>154</v>
      </c>
      <c r="M78" s="17" t="s">
        <v>154</v>
      </c>
      <c r="N78" s="18" t="s">
        <v>154</v>
      </c>
      <c r="O78" s="17" t="s">
        <v>154</v>
      </c>
      <c r="P78" s="18" t="s">
        <v>154</v>
      </c>
      <c r="Q78" s="17" t="s">
        <v>154</v>
      </c>
      <c r="R78" s="18" t="s">
        <v>154</v>
      </c>
    </row>
    <row r="79" spans="1:18" ht="24.95" customHeight="1" x14ac:dyDescent="0.25">
      <c r="A79" s="11" t="s">
        <v>212</v>
      </c>
      <c r="B79" s="17" t="s">
        <v>154</v>
      </c>
      <c r="C79" s="17" t="s">
        <v>154</v>
      </c>
      <c r="D79" s="18" t="s">
        <v>154</v>
      </c>
      <c r="E79" s="17" t="s">
        <v>154</v>
      </c>
      <c r="F79" s="18" t="s">
        <v>154</v>
      </c>
      <c r="G79" s="17" t="s">
        <v>154</v>
      </c>
      <c r="H79" s="18" t="s">
        <v>154</v>
      </c>
      <c r="I79" s="17" t="s">
        <v>154</v>
      </c>
      <c r="J79" s="18" t="s">
        <v>154</v>
      </c>
      <c r="K79" s="17" t="s">
        <v>154</v>
      </c>
      <c r="L79" s="18" t="s">
        <v>154</v>
      </c>
      <c r="M79" s="17" t="s">
        <v>154</v>
      </c>
      <c r="N79" s="18" t="s">
        <v>154</v>
      </c>
      <c r="O79" s="17" t="s">
        <v>154</v>
      </c>
      <c r="P79" s="18" t="s">
        <v>154</v>
      </c>
      <c r="Q79" s="17" t="s">
        <v>154</v>
      </c>
      <c r="R79" s="18" t="s">
        <v>154</v>
      </c>
    </row>
    <row r="80" spans="1:18" x14ac:dyDescent="0.25">
      <c r="A80" s="11" t="s">
        <v>213</v>
      </c>
      <c r="B80" s="17" t="s">
        <v>154</v>
      </c>
      <c r="C80" s="17" t="s">
        <v>154</v>
      </c>
      <c r="D80" s="18" t="s">
        <v>154</v>
      </c>
      <c r="E80" s="17" t="s">
        <v>154</v>
      </c>
      <c r="F80" s="18" t="s">
        <v>154</v>
      </c>
      <c r="G80" s="17" t="s">
        <v>154</v>
      </c>
      <c r="H80" s="18" t="s">
        <v>154</v>
      </c>
      <c r="I80" s="17" t="s">
        <v>154</v>
      </c>
      <c r="J80" s="18" t="s">
        <v>154</v>
      </c>
      <c r="K80" s="17" t="s">
        <v>154</v>
      </c>
      <c r="L80" s="18" t="s">
        <v>154</v>
      </c>
      <c r="M80" s="17" t="s">
        <v>154</v>
      </c>
      <c r="N80" s="18" t="s">
        <v>154</v>
      </c>
      <c r="O80" s="17" t="s">
        <v>154</v>
      </c>
      <c r="P80" s="18" t="s">
        <v>154</v>
      </c>
      <c r="Q80" s="17" t="s">
        <v>154</v>
      </c>
      <c r="R80" s="18" t="s">
        <v>154</v>
      </c>
    </row>
    <row r="81" spans="1:18" x14ac:dyDescent="0.25">
      <c r="A81" s="19" t="s">
        <v>214</v>
      </c>
      <c r="B81" s="13">
        <v>8861</v>
      </c>
      <c r="C81" s="14">
        <f>(7407/B81*100)</f>
        <v>83.591016815257873</v>
      </c>
      <c r="D81" s="15">
        <v>1454</v>
      </c>
      <c r="E81" s="14">
        <v>72.283378110000001</v>
      </c>
      <c r="F81" s="16">
        <v>1.1963544699999999</v>
      </c>
      <c r="G81" s="14">
        <v>27.716621889999999</v>
      </c>
      <c r="H81" s="16">
        <v>1.1963544699999999</v>
      </c>
      <c r="I81" s="14" t="s">
        <v>139</v>
      </c>
      <c r="J81" s="16" t="s">
        <v>139</v>
      </c>
      <c r="K81" s="14">
        <v>0</v>
      </c>
      <c r="L81" s="16">
        <v>0</v>
      </c>
      <c r="M81" s="14">
        <v>0</v>
      </c>
      <c r="N81" s="16">
        <v>0</v>
      </c>
      <c r="O81" s="14">
        <v>0</v>
      </c>
      <c r="P81" s="16">
        <v>0</v>
      </c>
      <c r="Q81" s="14">
        <v>0</v>
      </c>
      <c r="R81" s="16">
        <v>0</v>
      </c>
    </row>
    <row r="82" spans="1:18" x14ac:dyDescent="0.25">
      <c r="A82" s="20"/>
      <c r="B82" s="20" t="s">
        <v>215</v>
      </c>
      <c r="C82" s="20" t="s">
        <v>215</v>
      </c>
      <c r="D82" s="20" t="s">
        <v>215</v>
      </c>
      <c r="E82" s="20" t="s">
        <v>215</v>
      </c>
      <c r="F82" s="20" t="s">
        <v>215</v>
      </c>
      <c r="G82" s="20" t="s">
        <v>215</v>
      </c>
      <c r="H82" s="20" t="s">
        <v>215</v>
      </c>
      <c r="I82" s="20" t="s">
        <v>215</v>
      </c>
      <c r="J82" s="20" t="s">
        <v>215</v>
      </c>
      <c r="K82" s="20" t="s">
        <v>215</v>
      </c>
      <c r="L82" s="20" t="s">
        <v>215</v>
      </c>
      <c r="M82" s="20" t="s">
        <v>215</v>
      </c>
      <c r="N82" s="20" t="s">
        <v>215</v>
      </c>
      <c r="O82" s="20" t="s">
        <v>215</v>
      </c>
      <c r="P82" s="20" t="s">
        <v>215</v>
      </c>
      <c r="Q82" s="20" t="s">
        <v>215</v>
      </c>
      <c r="R82" s="20" t="s">
        <v>215</v>
      </c>
    </row>
    <row r="83" spans="1:18" x14ac:dyDescent="0.25">
      <c r="A83" s="3" t="s">
        <v>216</v>
      </c>
    </row>
    <row r="84" spans="1:18" x14ac:dyDescent="0.25">
      <c r="A84" s="22" t="s">
        <v>217</v>
      </c>
      <c r="B84" s="23"/>
      <c r="C84" s="23"/>
      <c r="D84" s="23"/>
      <c r="E84" s="23"/>
      <c r="F84" s="23"/>
      <c r="G84" s="23"/>
      <c r="H84" s="23"/>
      <c r="I84" s="23"/>
      <c r="J84" s="23"/>
      <c r="K84" s="23"/>
      <c r="L84" s="23"/>
      <c r="M84" s="23"/>
      <c r="N84" s="23"/>
      <c r="O84" s="23"/>
      <c r="P84" s="23"/>
      <c r="Q84" s="23"/>
      <c r="R84" s="23"/>
    </row>
    <row r="85" spans="1:18" x14ac:dyDescent="0.25">
      <c r="A85" s="22" t="s">
        <v>218</v>
      </c>
      <c r="B85" s="23"/>
      <c r="C85" s="23"/>
      <c r="D85" s="23"/>
      <c r="E85" s="23"/>
      <c r="F85" s="23"/>
      <c r="G85" s="23"/>
      <c r="H85" s="23"/>
      <c r="I85" s="23"/>
      <c r="J85" s="23"/>
      <c r="K85" s="23"/>
      <c r="L85" s="23"/>
      <c r="M85" s="23"/>
      <c r="N85" s="23"/>
      <c r="O85" s="23"/>
      <c r="P85" s="23"/>
      <c r="Q85" s="23"/>
      <c r="R85" s="23"/>
    </row>
    <row r="86" spans="1:18" ht="30" customHeight="1" x14ac:dyDescent="0.25">
      <c r="A86" s="22" t="s">
        <v>219</v>
      </c>
      <c r="B86" s="23"/>
      <c r="C86" s="23"/>
      <c r="D86" s="23"/>
      <c r="E86" s="23"/>
      <c r="F86" s="23"/>
      <c r="G86" s="23"/>
      <c r="H86" s="23"/>
      <c r="I86" s="23"/>
      <c r="J86" s="23"/>
      <c r="K86" s="23"/>
      <c r="L86" s="23"/>
      <c r="M86" s="23"/>
      <c r="N86" s="23"/>
      <c r="O86" s="23"/>
      <c r="P86" s="23"/>
      <c r="Q86" s="23"/>
      <c r="R86" s="23"/>
    </row>
    <row r="87" spans="1:18" ht="30" customHeight="1" x14ac:dyDescent="0.25">
      <c r="A87" s="22" t="s">
        <v>215</v>
      </c>
      <c r="B87" s="23"/>
      <c r="C87" s="23"/>
      <c r="D87" s="23"/>
      <c r="E87" s="23"/>
      <c r="F87" s="23"/>
      <c r="G87" s="23"/>
      <c r="H87" s="23"/>
      <c r="I87" s="23"/>
      <c r="J87" s="23"/>
      <c r="K87" s="23"/>
      <c r="L87" s="23"/>
      <c r="M87" s="23"/>
      <c r="N87" s="23"/>
      <c r="O87" s="23"/>
      <c r="P87" s="23"/>
      <c r="Q87" s="23"/>
      <c r="R87" s="23"/>
    </row>
    <row r="88" spans="1:18" ht="30" customHeight="1" x14ac:dyDescent="0.25">
      <c r="A88" s="22" t="s">
        <v>220</v>
      </c>
      <c r="B88" s="23"/>
      <c r="C88" s="23"/>
      <c r="D88" s="23"/>
      <c r="E88" s="23"/>
      <c r="F88" s="23"/>
      <c r="G88" s="23"/>
      <c r="H88" s="23"/>
      <c r="I88" s="23"/>
      <c r="J88" s="23"/>
      <c r="K88" s="23"/>
      <c r="L88" s="23"/>
      <c r="M88" s="23"/>
      <c r="N88" s="23"/>
      <c r="O88" s="23"/>
      <c r="P88" s="23"/>
      <c r="Q88" s="23"/>
      <c r="R88" s="23"/>
    </row>
    <row r="89" spans="1:18" ht="30" customHeight="1" x14ac:dyDescent="0.25">
      <c r="A89" s="22" t="s">
        <v>221</v>
      </c>
      <c r="B89" s="23"/>
      <c r="C89" s="23"/>
      <c r="D89" s="23"/>
      <c r="E89" s="23"/>
      <c r="F89" s="23"/>
      <c r="G89" s="23"/>
      <c r="H89" s="23"/>
      <c r="I89" s="23"/>
      <c r="J89" s="23"/>
      <c r="K89" s="23"/>
      <c r="L89" s="23"/>
      <c r="M89" s="23"/>
      <c r="N89" s="23"/>
      <c r="O89" s="23"/>
      <c r="P89" s="23"/>
      <c r="Q89" s="23"/>
      <c r="R89" s="23"/>
    </row>
    <row r="90" spans="1:18" ht="30" customHeight="1" x14ac:dyDescent="0.25">
      <c r="A90" s="22" t="s">
        <v>222</v>
      </c>
      <c r="B90" s="23"/>
      <c r="C90" s="23"/>
      <c r="D90" s="23"/>
      <c r="E90" s="23"/>
      <c r="F90" s="23"/>
      <c r="G90" s="23"/>
      <c r="H90" s="23"/>
      <c r="I90" s="23"/>
      <c r="J90" s="23"/>
      <c r="K90" s="23"/>
      <c r="L90" s="23"/>
      <c r="M90" s="23"/>
      <c r="N90" s="23"/>
      <c r="O90" s="23"/>
      <c r="P90" s="23"/>
      <c r="Q90" s="23"/>
      <c r="R90" s="23"/>
    </row>
    <row r="91" spans="1:18" ht="30" customHeight="1" x14ac:dyDescent="0.25">
      <c r="A91" s="22" t="s">
        <v>223</v>
      </c>
      <c r="B91" s="23"/>
      <c r="C91" s="23"/>
      <c r="D91" s="23"/>
      <c r="E91" s="23"/>
      <c r="F91" s="23"/>
      <c r="G91" s="23"/>
      <c r="H91" s="23"/>
      <c r="I91" s="23"/>
      <c r="J91" s="23"/>
      <c r="K91" s="23"/>
      <c r="L91" s="23"/>
      <c r="M91" s="23"/>
      <c r="N91" s="23"/>
      <c r="O91" s="23"/>
      <c r="P91" s="23"/>
      <c r="Q91" s="23"/>
      <c r="R91" s="23"/>
    </row>
    <row r="92" spans="1:18" ht="30" customHeight="1" x14ac:dyDescent="0.25">
      <c r="A92" s="22" t="s">
        <v>224</v>
      </c>
      <c r="B92" s="23"/>
      <c r="C92" s="23"/>
      <c r="D92" s="23"/>
      <c r="E92" s="23"/>
      <c r="F92" s="23"/>
      <c r="G92" s="23"/>
      <c r="H92" s="23"/>
      <c r="I92" s="23"/>
      <c r="J92" s="23"/>
      <c r="K92" s="23"/>
      <c r="L92" s="23"/>
      <c r="M92" s="23"/>
      <c r="N92" s="23"/>
      <c r="O92" s="23"/>
      <c r="P92" s="23"/>
      <c r="Q92" s="23"/>
      <c r="R92" s="23"/>
    </row>
    <row r="93" spans="1:18" ht="30" customHeight="1" x14ac:dyDescent="0.25">
      <c r="A93" s="22" t="s">
        <v>225</v>
      </c>
      <c r="B93" s="23"/>
      <c r="C93" s="23"/>
      <c r="D93" s="23"/>
      <c r="E93" s="23"/>
      <c r="F93" s="23"/>
      <c r="G93" s="23"/>
      <c r="H93" s="23"/>
      <c r="I93" s="23"/>
      <c r="J93" s="23"/>
      <c r="K93" s="23"/>
      <c r="L93" s="23"/>
      <c r="M93" s="23"/>
      <c r="N93" s="23"/>
      <c r="O93" s="23"/>
      <c r="P93" s="23"/>
      <c r="Q93" s="23"/>
      <c r="R93" s="23"/>
    </row>
    <row r="94" spans="1:18" ht="30" customHeight="1" x14ac:dyDescent="0.25">
      <c r="A94" s="22" t="s">
        <v>226</v>
      </c>
      <c r="B94" s="23"/>
      <c r="C94" s="23"/>
      <c r="D94" s="23"/>
      <c r="E94" s="23"/>
      <c r="F94" s="23"/>
      <c r="G94" s="23"/>
      <c r="H94" s="23"/>
      <c r="I94" s="23"/>
      <c r="J94" s="23"/>
      <c r="K94" s="23"/>
      <c r="L94" s="23"/>
      <c r="M94" s="23"/>
      <c r="N94" s="23"/>
      <c r="O94" s="23"/>
      <c r="P94" s="23"/>
      <c r="Q94" s="23"/>
      <c r="R94" s="23"/>
    </row>
    <row r="95" spans="1:18" ht="30" customHeight="1" x14ac:dyDescent="0.25">
      <c r="A95" s="22" t="s">
        <v>227</v>
      </c>
      <c r="B95" s="23"/>
      <c r="C95" s="23"/>
      <c r="D95" s="23"/>
      <c r="E95" s="23"/>
      <c r="F95" s="23"/>
      <c r="G95" s="23"/>
      <c r="H95" s="23"/>
      <c r="I95" s="23"/>
      <c r="J95" s="23"/>
      <c r="K95" s="23"/>
      <c r="L95" s="23"/>
      <c r="M95" s="23"/>
      <c r="N95" s="23"/>
      <c r="O95" s="23"/>
      <c r="P95" s="23"/>
      <c r="Q95" s="23"/>
      <c r="R95" s="23"/>
    </row>
    <row r="96" spans="1:18" ht="30" customHeight="1" x14ac:dyDescent="0.25">
      <c r="A96" s="22" t="s">
        <v>228</v>
      </c>
      <c r="B96" s="23"/>
      <c r="C96" s="23"/>
      <c r="D96" s="23"/>
      <c r="E96" s="23"/>
      <c r="F96" s="23"/>
      <c r="G96" s="23"/>
      <c r="H96" s="23"/>
      <c r="I96" s="23"/>
      <c r="J96" s="23"/>
      <c r="K96" s="23"/>
      <c r="L96" s="23"/>
      <c r="M96" s="23"/>
      <c r="N96" s="23"/>
      <c r="O96" s="23"/>
      <c r="P96" s="23"/>
      <c r="Q96" s="23"/>
      <c r="R96" s="23"/>
    </row>
  </sheetData>
  <mergeCells count="22">
    <mergeCell ref="O4:P4"/>
    <mergeCell ref="Q4:R4"/>
    <mergeCell ref="A1:R1"/>
    <mergeCell ref="A2:R2"/>
    <mergeCell ref="A84:R84"/>
    <mergeCell ref="E4:F4"/>
    <mergeCell ref="G4:H4"/>
    <mergeCell ref="I4:J4"/>
    <mergeCell ref="K4:L4"/>
    <mergeCell ref="M4:N4"/>
    <mergeCell ref="A85:R85"/>
    <mergeCell ref="A86:R86"/>
    <mergeCell ref="A87:R87"/>
    <mergeCell ref="A88:R88"/>
    <mergeCell ref="A89:R89"/>
    <mergeCell ref="A95:R95"/>
    <mergeCell ref="A96:R96"/>
    <mergeCell ref="A90:R90"/>
    <mergeCell ref="A91:R91"/>
    <mergeCell ref="A92:R92"/>
    <mergeCell ref="A93:R93"/>
    <mergeCell ref="A94:R94"/>
  </mergeCells>
  <pageMargins left="0.75" right="0.75" top="1" bottom="1" header="0.5" footer="0.5"/>
</worksheet>
</file>

<file path=xl/worksheets/sheet1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6"/>
  <dimension ref="A1:R96"/>
  <sheetViews>
    <sheetView zoomScale="80" workbookViewId="0">
      <pane xSplit="4" topLeftCell="E1" activePane="topRight" state="frozen"/>
      <selection sqref="A1:R1"/>
      <selection pane="topRight" sqref="A1:R1"/>
    </sheetView>
  </sheetViews>
  <sheetFormatPr defaultColWidth="11.42578125" defaultRowHeight="15" x14ac:dyDescent="0.25"/>
  <cols>
    <col min="1" max="1" width="50" customWidth="1"/>
  </cols>
  <sheetData>
    <row r="1" spans="1:18" x14ac:dyDescent="0.25">
      <c r="A1" s="26" t="s">
        <v>122</v>
      </c>
      <c r="B1" s="23"/>
      <c r="C1" s="23"/>
      <c r="D1" s="23"/>
      <c r="E1" s="23"/>
      <c r="F1" s="23"/>
      <c r="G1" s="23"/>
      <c r="H1" s="23"/>
      <c r="I1" s="23"/>
      <c r="J1" s="23"/>
      <c r="K1" s="23"/>
      <c r="L1" s="23"/>
      <c r="M1" s="23"/>
      <c r="N1" s="23"/>
      <c r="O1" s="23"/>
      <c r="P1" s="23"/>
      <c r="Q1" s="23"/>
      <c r="R1" s="23"/>
    </row>
    <row r="2" spans="1:18" x14ac:dyDescent="0.25">
      <c r="A2" s="27" t="s">
        <v>352</v>
      </c>
      <c r="B2" s="23"/>
      <c r="C2" s="23"/>
      <c r="D2" s="23"/>
      <c r="E2" s="23"/>
      <c r="F2" s="23"/>
      <c r="G2" s="23"/>
      <c r="H2" s="23"/>
      <c r="I2" s="23"/>
      <c r="J2" s="23"/>
      <c r="K2" s="23"/>
      <c r="L2" s="23"/>
      <c r="M2" s="23"/>
      <c r="N2" s="23"/>
      <c r="O2" s="23"/>
      <c r="P2" s="23"/>
      <c r="Q2" s="23"/>
      <c r="R2" s="23"/>
    </row>
    <row r="4" spans="1:18" ht="30" customHeight="1" x14ac:dyDescent="0.25">
      <c r="A4" s="4"/>
      <c r="B4" s="5" t="s">
        <v>123</v>
      </c>
      <c r="C4" s="5" t="s">
        <v>124</v>
      </c>
      <c r="D4" s="6" t="s">
        <v>123</v>
      </c>
      <c r="E4" s="24" t="s">
        <v>125</v>
      </c>
      <c r="F4" s="25"/>
      <c r="G4" s="24" t="s">
        <v>126</v>
      </c>
      <c r="H4" s="25"/>
      <c r="I4" s="24" t="s">
        <v>127</v>
      </c>
      <c r="J4" s="25"/>
      <c r="K4" s="24" t="s">
        <v>128</v>
      </c>
      <c r="L4" s="25"/>
      <c r="M4" s="24" t="s">
        <v>129</v>
      </c>
      <c r="N4" s="25"/>
      <c r="O4" s="24" t="s">
        <v>130</v>
      </c>
      <c r="P4" s="25"/>
      <c r="Q4" s="24" t="s">
        <v>131</v>
      </c>
      <c r="R4" s="25"/>
    </row>
    <row r="5" spans="1:18" x14ac:dyDescent="0.25">
      <c r="A5" s="7"/>
      <c r="B5" s="8" t="s">
        <v>132</v>
      </c>
      <c r="C5" s="8" t="s">
        <v>133</v>
      </c>
      <c r="D5" s="7" t="s">
        <v>134</v>
      </c>
      <c r="E5" s="8" t="s">
        <v>135</v>
      </c>
      <c r="F5" s="7" t="s">
        <v>136</v>
      </c>
      <c r="G5" s="8" t="s">
        <v>135</v>
      </c>
      <c r="H5" s="7" t="s">
        <v>136</v>
      </c>
      <c r="I5" s="8" t="s">
        <v>135</v>
      </c>
      <c r="J5" s="7" t="s">
        <v>136</v>
      </c>
      <c r="K5" s="8" t="s">
        <v>135</v>
      </c>
      <c r="L5" s="7" t="s">
        <v>136</v>
      </c>
      <c r="M5" s="8" t="s">
        <v>135</v>
      </c>
      <c r="N5" s="7" t="s">
        <v>136</v>
      </c>
      <c r="O5" s="8" t="s">
        <v>135</v>
      </c>
      <c r="P5" s="7" t="s">
        <v>136</v>
      </c>
      <c r="Q5" s="8" t="s">
        <v>135</v>
      </c>
      <c r="R5" s="7" t="s">
        <v>136</v>
      </c>
    </row>
    <row r="6" spans="1:18" x14ac:dyDescent="0.25">
      <c r="A6" s="9" t="s">
        <v>137</v>
      </c>
      <c r="B6" s="10"/>
      <c r="C6" s="10"/>
      <c r="D6" s="11"/>
      <c r="E6" s="10"/>
      <c r="F6" s="11"/>
      <c r="G6" s="10"/>
      <c r="H6" s="11"/>
      <c r="I6" s="10"/>
      <c r="J6" s="11"/>
      <c r="K6" s="10"/>
      <c r="L6" s="11"/>
      <c r="M6" s="10"/>
      <c r="N6" s="11"/>
      <c r="O6" s="10"/>
      <c r="P6" s="11"/>
      <c r="Q6" s="10"/>
      <c r="R6" s="12"/>
    </row>
    <row r="7" spans="1:18" x14ac:dyDescent="0.25">
      <c r="A7" s="11" t="s">
        <v>138</v>
      </c>
      <c r="B7" s="13">
        <v>14530</v>
      </c>
      <c r="C7" s="14">
        <f>(12302/B7*100)</f>
        <v>84.666207845836212</v>
      </c>
      <c r="D7" s="15">
        <v>2228</v>
      </c>
      <c r="E7" s="14">
        <v>40.207538739999997</v>
      </c>
      <c r="F7" s="16">
        <v>1.34733357</v>
      </c>
      <c r="G7" s="14">
        <v>59.792461260000003</v>
      </c>
      <c r="H7" s="16">
        <v>1.34733357</v>
      </c>
      <c r="I7" s="14" t="s">
        <v>139</v>
      </c>
      <c r="J7" s="16" t="s">
        <v>139</v>
      </c>
      <c r="K7" s="14">
        <v>0</v>
      </c>
      <c r="L7" s="16">
        <v>0</v>
      </c>
      <c r="M7" s="14">
        <v>0</v>
      </c>
      <c r="N7" s="16">
        <v>0</v>
      </c>
      <c r="O7" s="14">
        <v>0</v>
      </c>
      <c r="P7" s="16">
        <v>0</v>
      </c>
      <c r="Q7" s="14">
        <v>0</v>
      </c>
      <c r="R7" s="16">
        <v>0</v>
      </c>
    </row>
    <row r="8" spans="1:18" x14ac:dyDescent="0.25">
      <c r="A8" s="11" t="s">
        <v>140</v>
      </c>
      <c r="B8" s="13">
        <v>7007</v>
      </c>
      <c r="C8" s="14">
        <f>(5878/B8*100)</f>
        <v>83.887541030398168</v>
      </c>
      <c r="D8" s="15">
        <v>1129</v>
      </c>
      <c r="E8" s="14">
        <v>54.79005153</v>
      </c>
      <c r="F8" s="16">
        <v>1.59987218</v>
      </c>
      <c r="G8" s="14">
        <v>45.20994847</v>
      </c>
      <c r="H8" s="16">
        <v>1.59987218</v>
      </c>
      <c r="I8" s="14" t="s">
        <v>139</v>
      </c>
      <c r="J8" s="16" t="s">
        <v>139</v>
      </c>
      <c r="K8" s="14">
        <v>0</v>
      </c>
      <c r="L8" s="16">
        <v>0</v>
      </c>
      <c r="M8" s="14">
        <v>0</v>
      </c>
      <c r="N8" s="16">
        <v>0</v>
      </c>
      <c r="O8" s="14">
        <v>0</v>
      </c>
      <c r="P8" s="16">
        <v>0</v>
      </c>
      <c r="Q8" s="14">
        <v>0</v>
      </c>
      <c r="R8" s="16">
        <v>0</v>
      </c>
    </row>
    <row r="9" spans="1:18" x14ac:dyDescent="0.25">
      <c r="A9" s="11" t="s">
        <v>141</v>
      </c>
      <c r="B9" s="13">
        <v>9651</v>
      </c>
      <c r="C9" s="14">
        <f>(8234/B9*100)</f>
        <v>85.317583670086009</v>
      </c>
      <c r="D9" s="15">
        <v>1417</v>
      </c>
      <c r="E9" s="14">
        <v>58.565159829999999</v>
      </c>
      <c r="F9" s="16">
        <v>1.5956943800000001</v>
      </c>
      <c r="G9" s="14">
        <v>41.434840170000001</v>
      </c>
      <c r="H9" s="16">
        <v>1.5956943800000001</v>
      </c>
      <c r="I9" s="14" t="s">
        <v>139</v>
      </c>
      <c r="J9" s="16" t="s">
        <v>139</v>
      </c>
      <c r="K9" s="14">
        <v>0</v>
      </c>
      <c r="L9" s="16">
        <v>0</v>
      </c>
      <c r="M9" s="14">
        <v>0</v>
      </c>
      <c r="N9" s="16">
        <v>0</v>
      </c>
      <c r="O9" s="14">
        <v>0</v>
      </c>
      <c r="P9" s="16">
        <v>0</v>
      </c>
      <c r="Q9" s="14">
        <v>0</v>
      </c>
      <c r="R9" s="16">
        <v>0</v>
      </c>
    </row>
    <row r="10" spans="1:18" x14ac:dyDescent="0.25">
      <c r="A10" s="11" t="s">
        <v>142</v>
      </c>
      <c r="B10" s="13">
        <v>20058</v>
      </c>
      <c r="C10" s="14">
        <f>(16791/B10*100)</f>
        <v>83.71223451989232</v>
      </c>
      <c r="D10" s="15">
        <v>3267</v>
      </c>
      <c r="E10" s="14">
        <v>41.43487116</v>
      </c>
      <c r="F10" s="16">
        <v>1.29921245</v>
      </c>
      <c r="G10" s="14">
        <v>58.56512884</v>
      </c>
      <c r="H10" s="16">
        <v>1.29921245</v>
      </c>
      <c r="I10" s="14" t="s">
        <v>139</v>
      </c>
      <c r="J10" s="16" t="s">
        <v>139</v>
      </c>
      <c r="K10" s="14">
        <v>0</v>
      </c>
      <c r="L10" s="16">
        <v>0</v>
      </c>
      <c r="M10" s="14">
        <v>0</v>
      </c>
      <c r="N10" s="16">
        <v>0</v>
      </c>
      <c r="O10" s="14">
        <v>0</v>
      </c>
      <c r="P10" s="16">
        <v>0</v>
      </c>
      <c r="Q10" s="14">
        <v>0</v>
      </c>
      <c r="R10" s="16">
        <v>0</v>
      </c>
    </row>
    <row r="11" spans="1:18" x14ac:dyDescent="0.25">
      <c r="A11" s="11" t="s">
        <v>143</v>
      </c>
      <c r="B11" s="13">
        <v>7053</v>
      </c>
      <c r="C11" s="14">
        <f>(6000/B11*100)</f>
        <v>85.070182900893229</v>
      </c>
      <c r="D11" s="15">
        <v>1053</v>
      </c>
      <c r="E11" s="14">
        <v>50.879209359999997</v>
      </c>
      <c r="F11" s="16">
        <v>1.75076911</v>
      </c>
      <c r="G11" s="14">
        <v>49.120790640000003</v>
      </c>
      <c r="H11" s="16">
        <v>1.75076911</v>
      </c>
      <c r="I11" s="14" t="s">
        <v>139</v>
      </c>
      <c r="J11" s="16" t="s">
        <v>139</v>
      </c>
      <c r="K11" s="14">
        <v>0</v>
      </c>
      <c r="L11" s="16">
        <v>0</v>
      </c>
      <c r="M11" s="14">
        <v>0</v>
      </c>
      <c r="N11" s="16">
        <v>0</v>
      </c>
      <c r="O11" s="14">
        <v>0</v>
      </c>
      <c r="P11" s="16">
        <v>0</v>
      </c>
      <c r="Q11" s="14">
        <v>0</v>
      </c>
      <c r="R11" s="16">
        <v>0</v>
      </c>
    </row>
    <row r="12" spans="1:18" x14ac:dyDescent="0.25">
      <c r="A12" s="11" t="s">
        <v>144</v>
      </c>
      <c r="B12" s="13">
        <v>6894</v>
      </c>
      <c r="C12" s="14">
        <f>(5829/B12*100)</f>
        <v>84.551784160139249</v>
      </c>
      <c r="D12" s="15">
        <v>1065</v>
      </c>
      <c r="E12" s="14">
        <v>47.828225719999999</v>
      </c>
      <c r="F12" s="16">
        <v>1.67063293</v>
      </c>
      <c r="G12" s="14">
        <v>52.171774280000001</v>
      </c>
      <c r="H12" s="16">
        <v>1.67063293</v>
      </c>
      <c r="I12" s="14" t="s">
        <v>139</v>
      </c>
      <c r="J12" s="16" t="s">
        <v>139</v>
      </c>
      <c r="K12" s="14">
        <v>0</v>
      </c>
      <c r="L12" s="16">
        <v>0</v>
      </c>
      <c r="M12" s="14">
        <v>0</v>
      </c>
      <c r="N12" s="16">
        <v>0</v>
      </c>
      <c r="O12" s="14">
        <v>0</v>
      </c>
      <c r="P12" s="16">
        <v>0</v>
      </c>
      <c r="Q12" s="14">
        <v>0</v>
      </c>
      <c r="R12" s="16">
        <v>0</v>
      </c>
    </row>
    <row r="13" spans="1:18" x14ac:dyDescent="0.25">
      <c r="A13" s="11" t="s">
        <v>145</v>
      </c>
      <c r="B13" s="13">
        <v>7161</v>
      </c>
      <c r="C13" s="14">
        <f>(6103/B13*100)</f>
        <v>85.22552716101103</v>
      </c>
      <c r="D13" s="15">
        <v>1058</v>
      </c>
      <c r="E13" s="14">
        <v>49.33095376</v>
      </c>
      <c r="F13" s="16">
        <v>1.9149179300000001</v>
      </c>
      <c r="G13" s="14">
        <v>50.66904624</v>
      </c>
      <c r="H13" s="16">
        <v>1.9149179300000001</v>
      </c>
      <c r="I13" s="14" t="s">
        <v>139</v>
      </c>
      <c r="J13" s="16" t="s">
        <v>139</v>
      </c>
      <c r="K13" s="14">
        <v>0</v>
      </c>
      <c r="L13" s="16">
        <v>0</v>
      </c>
      <c r="M13" s="14">
        <v>0</v>
      </c>
      <c r="N13" s="16">
        <v>0</v>
      </c>
      <c r="O13" s="14">
        <v>0</v>
      </c>
      <c r="P13" s="16">
        <v>0</v>
      </c>
      <c r="Q13" s="14">
        <v>0</v>
      </c>
      <c r="R13" s="16">
        <v>0</v>
      </c>
    </row>
    <row r="14" spans="1:18" x14ac:dyDescent="0.25">
      <c r="A14" s="11" t="s">
        <v>146</v>
      </c>
      <c r="B14" s="13">
        <v>5587</v>
      </c>
      <c r="C14" s="14">
        <f>(4677/B14*100)</f>
        <v>83.712189010202252</v>
      </c>
      <c r="D14" s="15">
        <v>910</v>
      </c>
      <c r="E14" s="14">
        <v>43.430846359999997</v>
      </c>
      <c r="F14" s="16">
        <v>1.7844237700000001</v>
      </c>
      <c r="G14" s="14">
        <v>56.569153640000003</v>
      </c>
      <c r="H14" s="16">
        <v>1.7844237700000001</v>
      </c>
      <c r="I14" s="14" t="s">
        <v>139</v>
      </c>
      <c r="J14" s="16" t="s">
        <v>139</v>
      </c>
      <c r="K14" s="14">
        <v>0</v>
      </c>
      <c r="L14" s="16">
        <v>0</v>
      </c>
      <c r="M14" s="14">
        <v>0</v>
      </c>
      <c r="N14" s="16">
        <v>0</v>
      </c>
      <c r="O14" s="14">
        <v>0</v>
      </c>
      <c r="P14" s="16">
        <v>0</v>
      </c>
      <c r="Q14" s="14">
        <v>0</v>
      </c>
      <c r="R14" s="16">
        <v>0</v>
      </c>
    </row>
    <row r="15" spans="1:18" x14ac:dyDescent="0.25">
      <c r="A15" s="11" t="s">
        <v>147</v>
      </c>
      <c r="B15" s="13">
        <v>5882</v>
      </c>
      <c r="C15" s="14">
        <f>(4928/B15*100)</f>
        <v>83.781026861611693</v>
      </c>
      <c r="D15" s="15">
        <v>954</v>
      </c>
      <c r="E15" s="14">
        <v>52.700067480000001</v>
      </c>
      <c r="F15" s="16">
        <v>1.4304873899999999</v>
      </c>
      <c r="G15" s="14">
        <v>47.299932519999999</v>
      </c>
      <c r="H15" s="16">
        <v>1.4304873899999999</v>
      </c>
      <c r="I15" s="14" t="s">
        <v>139</v>
      </c>
      <c r="J15" s="16" t="s">
        <v>139</v>
      </c>
      <c r="K15" s="14">
        <v>0</v>
      </c>
      <c r="L15" s="16">
        <v>0</v>
      </c>
      <c r="M15" s="14">
        <v>0</v>
      </c>
      <c r="N15" s="16">
        <v>0</v>
      </c>
      <c r="O15" s="14">
        <v>0</v>
      </c>
      <c r="P15" s="16">
        <v>0</v>
      </c>
      <c r="Q15" s="14">
        <v>0</v>
      </c>
      <c r="R15" s="16">
        <v>0</v>
      </c>
    </row>
    <row r="16" spans="1:18" x14ac:dyDescent="0.25">
      <c r="A16" s="11" t="s">
        <v>148</v>
      </c>
      <c r="B16" s="13">
        <v>6108</v>
      </c>
      <c r="C16" s="14">
        <f>(5161/B16*100)</f>
        <v>84.495743287491806</v>
      </c>
      <c r="D16" s="15">
        <v>947</v>
      </c>
      <c r="E16" s="14">
        <v>57.034640160000002</v>
      </c>
      <c r="F16" s="16">
        <v>1.7087334700000001</v>
      </c>
      <c r="G16" s="14">
        <v>42.965359839999998</v>
      </c>
      <c r="H16" s="16">
        <v>1.7087334700000001</v>
      </c>
      <c r="I16" s="14" t="s">
        <v>139</v>
      </c>
      <c r="J16" s="16" t="s">
        <v>139</v>
      </c>
      <c r="K16" s="14">
        <v>0</v>
      </c>
      <c r="L16" s="16">
        <v>0</v>
      </c>
      <c r="M16" s="14">
        <v>0</v>
      </c>
      <c r="N16" s="16">
        <v>0</v>
      </c>
      <c r="O16" s="14">
        <v>0</v>
      </c>
      <c r="P16" s="16">
        <v>0</v>
      </c>
      <c r="Q16" s="14">
        <v>0</v>
      </c>
      <c r="R16" s="16">
        <v>0</v>
      </c>
    </row>
    <row r="17" spans="1:18" x14ac:dyDescent="0.25">
      <c r="A17" s="11" t="s">
        <v>149</v>
      </c>
      <c r="B17" s="13">
        <v>6504</v>
      </c>
      <c r="C17" s="14">
        <f>(5506/B17*100)</f>
        <v>84.655596555965559</v>
      </c>
      <c r="D17" s="15">
        <v>998</v>
      </c>
      <c r="E17" s="14">
        <v>43.665800449999999</v>
      </c>
      <c r="F17" s="16">
        <v>1.59272247</v>
      </c>
      <c r="G17" s="14">
        <v>56.334199550000001</v>
      </c>
      <c r="H17" s="16">
        <v>1.59272247</v>
      </c>
      <c r="I17" s="14" t="s">
        <v>139</v>
      </c>
      <c r="J17" s="16" t="s">
        <v>139</v>
      </c>
      <c r="K17" s="14">
        <v>0</v>
      </c>
      <c r="L17" s="16">
        <v>0</v>
      </c>
      <c r="M17" s="14">
        <v>0</v>
      </c>
      <c r="N17" s="16">
        <v>0</v>
      </c>
      <c r="O17" s="14">
        <v>0</v>
      </c>
      <c r="P17" s="16">
        <v>0</v>
      </c>
      <c r="Q17" s="14">
        <v>0</v>
      </c>
      <c r="R17" s="16">
        <v>0</v>
      </c>
    </row>
    <row r="18" spans="1:18" x14ac:dyDescent="0.25">
      <c r="A18" s="11" t="s">
        <v>150</v>
      </c>
      <c r="B18" s="13">
        <v>5532</v>
      </c>
      <c r="C18" s="14">
        <f>(4616/B18*100)</f>
        <v>83.44179320318149</v>
      </c>
      <c r="D18" s="15">
        <v>916</v>
      </c>
      <c r="E18" s="14">
        <v>60.518664770000001</v>
      </c>
      <c r="F18" s="16">
        <v>1.74839821</v>
      </c>
      <c r="G18" s="14">
        <v>39.481335229999999</v>
      </c>
      <c r="H18" s="16">
        <v>1.74839821</v>
      </c>
      <c r="I18" s="14" t="s">
        <v>139</v>
      </c>
      <c r="J18" s="16" t="s">
        <v>139</v>
      </c>
      <c r="K18" s="14">
        <v>0</v>
      </c>
      <c r="L18" s="16">
        <v>0</v>
      </c>
      <c r="M18" s="14">
        <v>0</v>
      </c>
      <c r="N18" s="16">
        <v>0</v>
      </c>
      <c r="O18" s="14">
        <v>0</v>
      </c>
      <c r="P18" s="16">
        <v>0</v>
      </c>
      <c r="Q18" s="14">
        <v>0</v>
      </c>
      <c r="R18" s="16">
        <v>0</v>
      </c>
    </row>
    <row r="19" spans="1:18" x14ac:dyDescent="0.25">
      <c r="A19" s="11" t="s">
        <v>151</v>
      </c>
      <c r="B19" s="13">
        <v>5658</v>
      </c>
      <c r="C19" s="14">
        <f>(4798/B19*100)</f>
        <v>84.800282785436551</v>
      </c>
      <c r="D19" s="15">
        <v>860</v>
      </c>
      <c r="E19" s="14">
        <v>56.865870829999999</v>
      </c>
      <c r="F19" s="16">
        <v>1.86516229</v>
      </c>
      <c r="G19" s="14">
        <v>43.134129170000001</v>
      </c>
      <c r="H19" s="16">
        <v>1.86516229</v>
      </c>
      <c r="I19" s="14" t="s">
        <v>139</v>
      </c>
      <c r="J19" s="16" t="s">
        <v>139</v>
      </c>
      <c r="K19" s="14">
        <v>0</v>
      </c>
      <c r="L19" s="16">
        <v>0</v>
      </c>
      <c r="M19" s="14">
        <v>0</v>
      </c>
      <c r="N19" s="16">
        <v>0</v>
      </c>
      <c r="O19" s="14">
        <v>0</v>
      </c>
      <c r="P19" s="16">
        <v>0</v>
      </c>
      <c r="Q19" s="14">
        <v>0</v>
      </c>
      <c r="R19" s="16">
        <v>0</v>
      </c>
    </row>
    <row r="20" spans="1:18" x14ac:dyDescent="0.25">
      <c r="A20" s="11" t="s">
        <v>152</v>
      </c>
      <c r="B20" s="13">
        <v>3371</v>
      </c>
      <c r="C20" s="14">
        <f>(2844/B20*100)</f>
        <v>84.366656778404035</v>
      </c>
      <c r="D20" s="15">
        <v>527</v>
      </c>
      <c r="E20" s="14">
        <v>51.419775479999998</v>
      </c>
      <c r="F20" s="16">
        <v>1.99050456</v>
      </c>
      <c r="G20" s="14">
        <v>48.580224520000002</v>
      </c>
      <c r="H20" s="16">
        <v>1.99050456</v>
      </c>
      <c r="I20" s="14" t="s">
        <v>139</v>
      </c>
      <c r="J20" s="16" t="s">
        <v>139</v>
      </c>
      <c r="K20" s="14">
        <v>0</v>
      </c>
      <c r="L20" s="16">
        <v>0</v>
      </c>
      <c r="M20" s="14">
        <v>0</v>
      </c>
      <c r="N20" s="16">
        <v>0</v>
      </c>
      <c r="O20" s="14">
        <v>0</v>
      </c>
      <c r="P20" s="16">
        <v>0</v>
      </c>
      <c r="Q20" s="14">
        <v>0</v>
      </c>
      <c r="R20" s="16">
        <v>0</v>
      </c>
    </row>
    <row r="21" spans="1:18" x14ac:dyDescent="0.25">
      <c r="A21" s="11" t="s">
        <v>153</v>
      </c>
      <c r="B21" s="17" t="s">
        <v>154</v>
      </c>
      <c r="C21" s="17" t="s">
        <v>154</v>
      </c>
      <c r="D21" s="18" t="s">
        <v>154</v>
      </c>
      <c r="E21" s="17" t="s">
        <v>154</v>
      </c>
      <c r="F21" s="18" t="s">
        <v>154</v>
      </c>
      <c r="G21" s="17" t="s">
        <v>154</v>
      </c>
      <c r="H21" s="18" t="s">
        <v>154</v>
      </c>
      <c r="I21" s="17" t="s">
        <v>154</v>
      </c>
      <c r="J21" s="18" t="s">
        <v>154</v>
      </c>
      <c r="K21" s="17" t="s">
        <v>154</v>
      </c>
      <c r="L21" s="18" t="s">
        <v>154</v>
      </c>
      <c r="M21" s="17" t="s">
        <v>154</v>
      </c>
      <c r="N21" s="18" t="s">
        <v>154</v>
      </c>
      <c r="O21" s="17" t="s">
        <v>154</v>
      </c>
      <c r="P21" s="18" t="s">
        <v>154</v>
      </c>
      <c r="Q21" s="17" t="s">
        <v>154</v>
      </c>
      <c r="R21" s="18" t="s">
        <v>154</v>
      </c>
    </row>
    <row r="22" spans="1:18" x14ac:dyDescent="0.25">
      <c r="A22" s="11" t="s">
        <v>155</v>
      </c>
      <c r="B22" s="13">
        <v>6598</v>
      </c>
      <c r="C22" s="14">
        <f>(5643/B22*100)</f>
        <v>85.525916944528646</v>
      </c>
      <c r="D22" s="15">
        <v>955</v>
      </c>
      <c r="E22" s="14">
        <v>53.193740509999998</v>
      </c>
      <c r="F22" s="16">
        <v>2.1321084799999999</v>
      </c>
      <c r="G22" s="14">
        <v>46.806259490000002</v>
      </c>
      <c r="H22" s="16">
        <v>2.1321084799999999</v>
      </c>
      <c r="I22" s="14" t="s">
        <v>139</v>
      </c>
      <c r="J22" s="16" t="s">
        <v>139</v>
      </c>
      <c r="K22" s="14">
        <v>0</v>
      </c>
      <c r="L22" s="16">
        <v>0</v>
      </c>
      <c r="M22" s="14">
        <v>0</v>
      </c>
      <c r="N22" s="16">
        <v>0</v>
      </c>
      <c r="O22" s="14">
        <v>0</v>
      </c>
      <c r="P22" s="16">
        <v>0</v>
      </c>
      <c r="Q22" s="14">
        <v>0</v>
      </c>
      <c r="R22" s="16">
        <v>0</v>
      </c>
    </row>
    <row r="23" spans="1:18" x14ac:dyDescent="0.25">
      <c r="A23" s="11" t="s">
        <v>156</v>
      </c>
      <c r="B23" s="13">
        <v>11583</v>
      </c>
      <c r="C23" s="14">
        <f>(9693/B23*100)</f>
        <v>83.682983682983675</v>
      </c>
      <c r="D23" s="15">
        <v>1890</v>
      </c>
      <c r="E23" s="14">
        <v>49.053785480000002</v>
      </c>
      <c r="F23" s="16">
        <v>1.4077282900000001</v>
      </c>
      <c r="G23" s="14">
        <v>50.946214519999998</v>
      </c>
      <c r="H23" s="16">
        <v>1.4077282900000001</v>
      </c>
      <c r="I23" s="14" t="s">
        <v>139</v>
      </c>
      <c r="J23" s="16" t="s">
        <v>139</v>
      </c>
      <c r="K23" s="14">
        <v>0</v>
      </c>
      <c r="L23" s="16">
        <v>0</v>
      </c>
      <c r="M23" s="14">
        <v>0</v>
      </c>
      <c r="N23" s="16">
        <v>0</v>
      </c>
      <c r="O23" s="14">
        <v>0</v>
      </c>
      <c r="P23" s="16">
        <v>0</v>
      </c>
      <c r="Q23" s="14">
        <v>0</v>
      </c>
      <c r="R23" s="16">
        <v>0</v>
      </c>
    </row>
    <row r="24" spans="1:18" x14ac:dyDescent="0.25">
      <c r="A24" s="11" t="s">
        <v>157</v>
      </c>
      <c r="B24" s="13">
        <v>6647</v>
      </c>
      <c r="C24" s="14">
        <f>(5552/B24*100)</f>
        <v>83.526402888521133</v>
      </c>
      <c r="D24" s="15">
        <v>1095</v>
      </c>
      <c r="E24" s="14">
        <v>49.74952862</v>
      </c>
      <c r="F24" s="16">
        <v>1.42611395</v>
      </c>
      <c r="G24" s="14">
        <v>50.25047138</v>
      </c>
      <c r="H24" s="16">
        <v>1.42611395</v>
      </c>
      <c r="I24" s="14" t="s">
        <v>139</v>
      </c>
      <c r="J24" s="16" t="s">
        <v>139</v>
      </c>
      <c r="K24" s="14">
        <v>0</v>
      </c>
      <c r="L24" s="16">
        <v>0</v>
      </c>
      <c r="M24" s="14">
        <v>0</v>
      </c>
      <c r="N24" s="16">
        <v>0</v>
      </c>
      <c r="O24" s="14">
        <v>0</v>
      </c>
      <c r="P24" s="16">
        <v>0</v>
      </c>
      <c r="Q24" s="14">
        <v>0</v>
      </c>
      <c r="R24" s="16">
        <v>0</v>
      </c>
    </row>
    <row r="25" spans="1:18" x14ac:dyDescent="0.25">
      <c r="A25" s="11" t="s">
        <v>158</v>
      </c>
      <c r="B25" s="13">
        <v>5581</v>
      </c>
      <c r="C25" s="14">
        <f>(4623/B25*100)</f>
        <v>82.834617452069523</v>
      </c>
      <c r="D25" s="15">
        <v>958</v>
      </c>
      <c r="E25" s="14">
        <v>53.560144649999998</v>
      </c>
      <c r="F25" s="16">
        <v>1.5455583399999999</v>
      </c>
      <c r="G25" s="14">
        <v>46.439855350000002</v>
      </c>
      <c r="H25" s="16">
        <v>1.5455583399999999</v>
      </c>
      <c r="I25" s="14" t="s">
        <v>139</v>
      </c>
      <c r="J25" s="16" t="s">
        <v>139</v>
      </c>
      <c r="K25" s="14">
        <v>0</v>
      </c>
      <c r="L25" s="16">
        <v>0</v>
      </c>
      <c r="M25" s="14">
        <v>0</v>
      </c>
      <c r="N25" s="16">
        <v>0</v>
      </c>
      <c r="O25" s="14">
        <v>0</v>
      </c>
      <c r="P25" s="16">
        <v>0</v>
      </c>
      <c r="Q25" s="14">
        <v>0</v>
      </c>
      <c r="R25" s="16">
        <v>0</v>
      </c>
    </row>
    <row r="26" spans="1:18" x14ac:dyDescent="0.25">
      <c r="A26" s="11" t="s">
        <v>159</v>
      </c>
      <c r="B26" s="13">
        <v>4869</v>
      </c>
      <c r="C26" s="14">
        <f>(4068/B26*100)</f>
        <v>83.548983364140483</v>
      </c>
      <c r="D26" s="15">
        <v>801</v>
      </c>
      <c r="E26" s="14">
        <v>59.934909709999999</v>
      </c>
      <c r="F26" s="16">
        <v>1.4855508799999999</v>
      </c>
      <c r="G26" s="14">
        <v>40.065090290000001</v>
      </c>
      <c r="H26" s="16">
        <v>1.4855508799999999</v>
      </c>
      <c r="I26" s="14" t="s">
        <v>139</v>
      </c>
      <c r="J26" s="16" t="s">
        <v>139</v>
      </c>
      <c r="K26" s="14">
        <v>0</v>
      </c>
      <c r="L26" s="16">
        <v>0</v>
      </c>
      <c r="M26" s="14">
        <v>0</v>
      </c>
      <c r="N26" s="16">
        <v>0</v>
      </c>
      <c r="O26" s="14">
        <v>0</v>
      </c>
      <c r="P26" s="16">
        <v>0</v>
      </c>
      <c r="Q26" s="14">
        <v>0</v>
      </c>
      <c r="R26" s="16">
        <v>0</v>
      </c>
    </row>
    <row r="27" spans="1:18" x14ac:dyDescent="0.25">
      <c r="A27" s="11" t="s">
        <v>160</v>
      </c>
      <c r="B27" s="13">
        <v>5299</v>
      </c>
      <c r="C27" s="14">
        <f>(4502/B27*100)</f>
        <v>84.959426306850347</v>
      </c>
      <c r="D27" s="15">
        <v>797</v>
      </c>
      <c r="E27" s="14">
        <v>53.159066129999999</v>
      </c>
      <c r="F27" s="16">
        <v>1.5148227999999999</v>
      </c>
      <c r="G27" s="14">
        <v>46.840933870000001</v>
      </c>
      <c r="H27" s="16">
        <v>1.5148227999999999</v>
      </c>
      <c r="I27" s="14" t="s">
        <v>139</v>
      </c>
      <c r="J27" s="16" t="s">
        <v>139</v>
      </c>
      <c r="K27" s="14">
        <v>0</v>
      </c>
      <c r="L27" s="16">
        <v>0</v>
      </c>
      <c r="M27" s="14">
        <v>0</v>
      </c>
      <c r="N27" s="16">
        <v>0</v>
      </c>
      <c r="O27" s="14">
        <v>0</v>
      </c>
      <c r="P27" s="16">
        <v>0</v>
      </c>
      <c r="Q27" s="14">
        <v>0</v>
      </c>
      <c r="R27" s="16">
        <v>0</v>
      </c>
    </row>
    <row r="28" spans="1:18" x14ac:dyDescent="0.25">
      <c r="A28" s="11" t="s">
        <v>161</v>
      </c>
      <c r="B28" s="13">
        <v>7568</v>
      </c>
      <c r="C28" s="14">
        <f>(6518/B28*100)</f>
        <v>86.125792811839318</v>
      </c>
      <c r="D28" s="15">
        <v>1050</v>
      </c>
      <c r="E28" s="14">
        <v>47.99902676</v>
      </c>
      <c r="F28" s="16">
        <v>1.61610085</v>
      </c>
      <c r="G28" s="14">
        <v>52.00097324</v>
      </c>
      <c r="H28" s="16">
        <v>1.61610085</v>
      </c>
      <c r="I28" s="14" t="s">
        <v>139</v>
      </c>
      <c r="J28" s="16" t="s">
        <v>139</v>
      </c>
      <c r="K28" s="14">
        <v>0</v>
      </c>
      <c r="L28" s="16">
        <v>0</v>
      </c>
      <c r="M28" s="14">
        <v>0</v>
      </c>
      <c r="N28" s="16">
        <v>0</v>
      </c>
      <c r="O28" s="14">
        <v>0</v>
      </c>
      <c r="P28" s="16">
        <v>0</v>
      </c>
      <c r="Q28" s="14">
        <v>0</v>
      </c>
      <c r="R28" s="16">
        <v>0</v>
      </c>
    </row>
    <row r="29" spans="1:18" x14ac:dyDescent="0.25">
      <c r="A29" s="11" t="s">
        <v>162</v>
      </c>
      <c r="B29" s="13">
        <v>5385</v>
      </c>
      <c r="C29" s="14">
        <f>(4502/B29*100)</f>
        <v>83.602599814298983</v>
      </c>
      <c r="D29" s="15">
        <v>883</v>
      </c>
      <c r="E29" s="14">
        <v>56.942344939999998</v>
      </c>
      <c r="F29" s="16">
        <v>1.5309052400000001</v>
      </c>
      <c r="G29" s="14">
        <v>43.057655060000002</v>
      </c>
      <c r="H29" s="16">
        <v>1.5309052400000001</v>
      </c>
      <c r="I29" s="14" t="s">
        <v>139</v>
      </c>
      <c r="J29" s="16" t="s">
        <v>139</v>
      </c>
      <c r="K29" s="14">
        <v>0</v>
      </c>
      <c r="L29" s="16">
        <v>0</v>
      </c>
      <c r="M29" s="14">
        <v>0</v>
      </c>
      <c r="N29" s="16">
        <v>0</v>
      </c>
      <c r="O29" s="14">
        <v>0</v>
      </c>
      <c r="P29" s="16">
        <v>0</v>
      </c>
      <c r="Q29" s="14">
        <v>0</v>
      </c>
      <c r="R29" s="16">
        <v>0</v>
      </c>
    </row>
    <row r="30" spans="1:18" x14ac:dyDescent="0.25">
      <c r="A30" s="11" t="s">
        <v>163</v>
      </c>
      <c r="B30" s="13">
        <v>4520</v>
      </c>
      <c r="C30" s="14">
        <f>(3869/B30*100)</f>
        <v>85.597345132743357</v>
      </c>
      <c r="D30" s="15">
        <v>651</v>
      </c>
      <c r="E30" s="14">
        <v>40.87451283</v>
      </c>
      <c r="F30" s="16">
        <v>1.9786635100000001</v>
      </c>
      <c r="G30" s="14">
        <v>59.12548717</v>
      </c>
      <c r="H30" s="16">
        <v>1.9786635100000001</v>
      </c>
      <c r="I30" s="14" t="s">
        <v>139</v>
      </c>
      <c r="J30" s="16" t="s">
        <v>139</v>
      </c>
      <c r="K30" s="14">
        <v>0</v>
      </c>
      <c r="L30" s="16">
        <v>0</v>
      </c>
      <c r="M30" s="14">
        <v>0</v>
      </c>
      <c r="N30" s="16">
        <v>0</v>
      </c>
      <c r="O30" s="14">
        <v>0</v>
      </c>
      <c r="P30" s="16">
        <v>0</v>
      </c>
      <c r="Q30" s="14">
        <v>0</v>
      </c>
      <c r="R30" s="16">
        <v>0</v>
      </c>
    </row>
    <row r="31" spans="1:18" x14ac:dyDescent="0.25">
      <c r="A31" s="11" t="s">
        <v>164</v>
      </c>
      <c r="B31" s="13">
        <v>5456</v>
      </c>
      <c r="C31" s="14">
        <f>(4597/B31*100)</f>
        <v>84.255865102639291</v>
      </c>
      <c r="D31" s="15">
        <v>859</v>
      </c>
      <c r="E31" s="14">
        <v>49.079913959999999</v>
      </c>
      <c r="F31" s="16">
        <v>1.6911494899999999</v>
      </c>
      <c r="G31" s="14">
        <v>50.920086040000001</v>
      </c>
      <c r="H31" s="16">
        <v>1.6911494899999999</v>
      </c>
      <c r="I31" s="14" t="s">
        <v>139</v>
      </c>
      <c r="J31" s="16" t="s">
        <v>139</v>
      </c>
      <c r="K31" s="14">
        <v>0</v>
      </c>
      <c r="L31" s="16">
        <v>0</v>
      </c>
      <c r="M31" s="14">
        <v>0</v>
      </c>
      <c r="N31" s="16">
        <v>0</v>
      </c>
      <c r="O31" s="14">
        <v>0</v>
      </c>
      <c r="P31" s="16">
        <v>0</v>
      </c>
      <c r="Q31" s="14">
        <v>0</v>
      </c>
      <c r="R31" s="16">
        <v>0</v>
      </c>
    </row>
    <row r="32" spans="1:18" x14ac:dyDescent="0.25">
      <c r="A32" s="11" t="s">
        <v>165</v>
      </c>
      <c r="B32" s="17" t="s">
        <v>154</v>
      </c>
      <c r="C32" s="17" t="s">
        <v>154</v>
      </c>
      <c r="D32" s="18" t="s">
        <v>154</v>
      </c>
      <c r="E32" s="17" t="s">
        <v>154</v>
      </c>
      <c r="F32" s="18" t="s">
        <v>154</v>
      </c>
      <c r="G32" s="17" t="s">
        <v>154</v>
      </c>
      <c r="H32" s="18" t="s">
        <v>154</v>
      </c>
      <c r="I32" s="17" t="s">
        <v>154</v>
      </c>
      <c r="J32" s="18" t="s">
        <v>154</v>
      </c>
      <c r="K32" s="17" t="s">
        <v>154</v>
      </c>
      <c r="L32" s="18" t="s">
        <v>154</v>
      </c>
      <c r="M32" s="17" t="s">
        <v>154</v>
      </c>
      <c r="N32" s="18" t="s">
        <v>154</v>
      </c>
      <c r="O32" s="17" t="s">
        <v>154</v>
      </c>
      <c r="P32" s="18" t="s">
        <v>154</v>
      </c>
      <c r="Q32" s="17" t="s">
        <v>154</v>
      </c>
      <c r="R32" s="18" t="s">
        <v>154</v>
      </c>
    </row>
    <row r="33" spans="1:18" x14ac:dyDescent="0.25">
      <c r="A33" s="11" t="s">
        <v>166</v>
      </c>
      <c r="B33" s="13">
        <v>7325</v>
      </c>
      <c r="C33" s="14">
        <f>(6246/B33*100)</f>
        <v>85.269624573378849</v>
      </c>
      <c r="D33" s="15">
        <v>1079</v>
      </c>
      <c r="E33" s="14">
        <v>48.135231660000002</v>
      </c>
      <c r="F33" s="16">
        <v>2.0574293400000001</v>
      </c>
      <c r="G33" s="14">
        <v>51.864768339999998</v>
      </c>
      <c r="H33" s="16">
        <v>2.0574293400000001</v>
      </c>
      <c r="I33" s="14" t="s">
        <v>139</v>
      </c>
      <c r="J33" s="16" t="s">
        <v>139</v>
      </c>
      <c r="K33" s="14">
        <v>0</v>
      </c>
      <c r="L33" s="16">
        <v>0</v>
      </c>
      <c r="M33" s="14">
        <v>0</v>
      </c>
      <c r="N33" s="16">
        <v>0</v>
      </c>
      <c r="O33" s="14">
        <v>0</v>
      </c>
      <c r="P33" s="16">
        <v>0</v>
      </c>
      <c r="Q33" s="14">
        <v>0</v>
      </c>
      <c r="R33" s="16">
        <v>0</v>
      </c>
    </row>
    <row r="34" spans="1:18" x14ac:dyDescent="0.25">
      <c r="A34" s="11" t="s">
        <v>167</v>
      </c>
      <c r="B34" s="13">
        <v>6350</v>
      </c>
      <c r="C34" s="14">
        <f>(5413/B34*100)</f>
        <v>85.244094488188978</v>
      </c>
      <c r="D34" s="15">
        <v>937</v>
      </c>
      <c r="E34" s="14">
        <v>50.945786239999997</v>
      </c>
      <c r="F34" s="16">
        <v>1.9130409900000001</v>
      </c>
      <c r="G34" s="14">
        <v>49.054213760000003</v>
      </c>
      <c r="H34" s="16">
        <v>1.9130409900000001</v>
      </c>
      <c r="I34" s="14" t="s">
        <v>139</v>
      </c>
      <c r="J34" s="16" t="s">
        <v>139</v>
      </c>
      <c r="K34" s="14">
        <v>0</v>
      </c>
      <c r="L34" s="16">
        <v>0</v>
      </c>
      <c r="M34" s="14">
        <v>0</v>
      </c>
      <c r="N34" s="16">
        <v>0</v>
      </c>
      <c r="O34" s="14">
        <v>0</v>
      </c>
      <c r="P34" s="16">
        <v>0</v>
      </c>
      <c r="Q34" s="14">
        <v>0</v>
      </c>
      <c r="R34" s="16">
        <v>0</v>
      </c>
    </row>
    <row r="35" spans="1:18" x14ac:dyDescent="0.25">
      <c r="A35" s="11" t="s">
        <v>168</v>
      </c>
      <c r="B35" s="13">
        <v>6406</v>
      </c>
      <c r="C35" s="14">
        <f>(5386/B35*100)</f>
        <v>84.077427411801438</v>
      </c>
      <c r="D35" s="15">
        <v>1020</v>
      </c>
      <c r="E35" s="14">
        <v>56.685690229999999</v>
      </c>
      <c r="F35" s="16">
        <v>2.3792038099999999</v>
      </c>
      <c r="G35" s="14">
        <v>43.314309770000001</v>
      </c>
      <c r="H35" s="16">
        <v>2.3792038099999999</v>
      </c>
      <c r="I35" s="14" t="s">
        <v>139</v>
      </c>
      <c r="J35" s="16" t="s">
        <v>139</v>
      </c>
      <c r="K35" s="14">
        <v>0</v>
      </c>
      <c r="L35" s="16">
        <v>0</v>
      </c>
      <c r="M35" s="14">
        <v>0</v>
      </c>
      <c r="N35" s="16">
        <v>0</v>
      </c>
      <c r="O35" s="14">
        <v>0</v>
      </c>
      <c r="P35" s="16">
        <v>0</v>
      </c>
      <c r="Q35" s="14">
        <v>0</v>
      </c>
      <c r="R35" s="16">
        <v>0</v>
      </c>
    </row>
    <row r="36" spans="1:18" x14ac:dyDescent="0.25">
      <c r="A36" s="11" t="s">
        <v>169</v>
      </c>
      <c r="B36" s="13">
        <v>6736</v>
      </c>
      <c r="C36" s="14">
        <f>(5713/B36*100)</f>
        <v>84.812945368171029</v>
      </c>
      <c r="D36" s="15">
        <v>1023</v>
      </c>
      <c r="E36" s="14">
        <v>50.4989755</v>
      </c>
      <c r="F36" s="16">
        <v>1.7840628599999999</v>
      </c>
      <c r="G36" s="14">
        <v>49.5010245</v>
      </c>
      <c r="H36" s="16">
        <v>1.7840628599999999</v>
      </c>
      <c r="I36" s="14" t="s">
        <v>139</v>
      </c>
      <c r="J36" s="16" t="s">
        <v>139</v>
      </c>
      <c r="K36" s="14">
        <v>0</v>
      </c>
      <c r="L36" s="16">
        <v>0</v>
      </c>
      <c r="M36" s="14">
        <v>0</v>
      </c>
      <c r="N36" s="16">
        <v>0</v>
      </c>
      <c r="O36" s="14">
        <v>0</v>
      </c>
      <c r="P36" s="16">
        <v>0</v>
      </c>
      <c r="Q36" s="14">
        <v>0</v>
      </c>
      <c r="R36" s="16">
        <v>0</v>
      </c>
    </row>
    <row r="37" spans="1:18" x14ac:dyDescent="0.25">
      <c r="A37" s="11" t="s">
        <v>170</v>
      </c>
      <c r="B37" s="13">
        <v>5458</v>
      </c>
      <c r="C37" s="14">
        <f>(4658/B37*100)</f>
        <v>85.34261634298278</v>
      </c>
      <c r="D37" s="15">
        <v>800</v>
      </c>
      <c r="E37" s="14">
        <v>39.875407359999997</v>
      </c>
      <c r="F37" s="16">
        <v>2.0015172899999998</v>
      </c>
      <c r="G37" s="14">
        <v>60.124592640000003</v>
      </c>
      <c r="H37" s="16">
        <v>2.0015172899999998</v>
      </c>
      <c r="I37" s="14" t="s">
        <v>139</v>
      </c>
      <c r="J37" s="16" t="s">
        <v>139</v>
      </c>
      <c r="K37" s="14">
        <v>0</v>
      </c>
      <c r="L37" s="16">
        <v>0</v>
      </c>
      <c r="M37" s="14">
        <v>0</v>
      </c>
      <c r="N37" s="16">
        <v>0</v>
      </c>
      <c r="O37" s="14">
        <v>0</v>
      </c>
      <c r="P37" s="16">
        <v>0</v>
      </c>
      <c r="Q37" s="14">
        <v>0</v>
      </c>
      <c r="R37" s="16">
        <v>0</v>
      </c>
    </row>
    <row r="38" spans="1:18" x14ac:dyDescent="0.25">
      <c r="A38" s="11" t="s">
        <v>171</v>
      </c>
      <c r="B38" s="17" t="s">
        <v>154</v>
      </c>
      <c r="C38" s="17" t="s">
        <v>154</v>
      </c>
      <c r="D38" s="18" t="s">
        <v>154</v>
      </c>
      <c r="E38" s="17" t="s">
        <v>154</v>
      </c>
      <c r="F38" s="18" t="s">
        <v>154</v>
      </c>
      <c r="G38" s="17" t="s">
        <v>154</v>
      </c>
      <c r="H38" s="18" t="s">
        <v>154</v>
      </c>
      <c r="I38" s="17" t="s">
        <v>154</v>
      </c>
      <c r="J38" s="18" t="s">
        <v>154</v>
      </c>
      <c r="K38" s="17" t="s">
        <v>154</v>
      </c>
      <c r="L38" s="18" t="s">
        <v>154</v>
      </c>
      <c r="M38" s="17" t="s">
        <v>154</v>
      </c>
      <c r="N38" s="18" t="s">
        <v>154</v>
      </c>
      <c r="O38" s="17" t="s">
        <v>154</v>
      </c>
      <c r="P38" s="18" t="s">
        <v>154</v>
      </c>
      <c r="Q38" s="17" t="s">
        <v>154</v>
      </c>
      <c r="R38" s="18" t="s">
        <v>154</v>
      </c>
    </row>
    <row r="39" spans="1:18" x14ac:dyDescent="0.25">
      <c r="A39" s="11" t="s">
        <v>172</v>
      </c>
      <c r="B39" s="13">
        <v>5895</v>
      </c>
      <c r="C39" s="14">
        <f>(4872/B39*100)</f>
        <v>82.646310432569976</v>
      </c>
      <c r="D39" s="15">
        <v>1023</v>
      </c>
      <c r="E39" s="14">
        <v>62.562731059999997</v>
      </c>
      <c r="F39" s="16">
        <v>1.6749878499999999</v>
      </c>
      <c r="G39" s="14">
        <v>37.437268940000003</v>
      </c>
      <c r="H39" s="16">
        <v>1.6749878499999999</v>
      </c>
      <c r="I39" s="14" t="s">
        <v>139</v>
      </c>
      <c r="J39" s="16" t="s">
        <v>139</v>
      </c>
      <c r="K39" s="14">
        <v>0</v>
      </c>
      <c r="L39" s="16">
        <v>0</v>
      </c>
      <c r="M39" s="14">
        <v>0</v>
      </c>
      <c r="N39" s="16">
        <v>0</v>
      </c>
      <c r="O39" s="14">
        <v>0</v>
      </c>
      <c r="P39" s="16">
        <v>0</v>
      </c>
      <c r="Q39" s="14">
        <v>0</v>
      </c>
      <c r="R39" s="16">
        <v>0</v>
      </c>
    </row>
    <row r="40" spans="1:18" x14ac:dyDescent="0.25">
      <c r="A40" s="11" t="s">
        <v>173</v>
      </c>
      <c r="B40" s="13">
        <v>14157</v>
      </c>
      <c r="C40" s="14">
        <f>(11829/B40*100)</f>
        <v>83.55583810129265</v>
      </c>
      <c r="D40" s="15">
        <v>2328</v>
      </c>
      <c r="E40" s="14">
        <v>38.62843977</v>
      </c>
      <c r="F40" s="16">
        <v>1.5559931600000001</v>
      </c>
      <c r="G40" s="14">
        <v>61.37156023</v>
      </c>
      <c r="H40" s="16">
        <v>1.5559931600000001</v>
      </c>
      <c r="I40" s="14" t="s">
        <v>139</v>
      </c>
      <c r="J40" s="16" t="s">
        <v>139</v>
      </c>
      <c r="K40" s="14">
        <v>0</v>
      </c>
      <c r="L40" s="16">
        <v>0</v>
      </c>
      <c r="M40" s="14">
        <v>0</v>
      </c>
      <c r="N40" s="16">
        <v>0</v>
      </c>
      <c r="O40" s="14">
        <v>0</v>
      </c>
      <c r="P40" s="16">
        <v>0</v>
      </c>
      <c r="Q40" s="14">
        <v>0</v>
      </c>
      <c r="R40" s="16">
        <v>0</v>
      </c>
    </row>
    <row r="41" spans="1:18" x14ac:dyDescent="0.25">
      <c r="A41" s="11" t="s">
        <v>174</v>
      </c>
      <c r="B41" s="13">
        <v>5712</v>
      </c>
      <c r="C41" s="14">
        <f>(4810/B41*100)</f>
        <v>84.208683473389357</v>
      </c>
      <c r="D41" s="15">
        <v>902</v>
      </c>
      <c r="E41" s="14">
        <v>48.596932350000003</v>
      </c>
      <c r="F41" s="16">
        <v>1.8118571800000001</v>
      </c>
      <c r="G41" s="14">
        <v>51.403067649999997</v>
      </c>
      <c r="H41" s="16">
        <v>1.8118571800000001</v>
      </c>
      <c r="I41" s="14" t="s">
        <v>139</v>
      </c>
      <c r="J41" s="16" t="s">
        <v>139</v>
      </c>
      <c r="K41" s="14">
        <v>0</v>
      </c>
      <c r="L41" s="16">
        <v>0</v>
      </c>
      <c r="M41" s="14">
        <v>0</v>
      </c>
      <c r="N41" s="16">
        <v>0</v>
      </c>
      <c r="O41" s="14">
        <v>0</v>
      </c>
      <c r="P41" s="16">
        <v>0</v>
      </c>
      <c r="Q41" s="14">
        <v>0</v>
      </c>
      <c r="R41" s="16">
        <v>0</v>
      </c>
    </row>
    <row r="42" spans="1:18" x14ac:dyDescent="0.25">
      <c r="A42" s="11" t="s">
        <v>175</v>
      </c>
      <c r="B42" s="13">
        <f>IF(COUNT(B7:B41) &gt; 0, AVERAGE(B7:B41), "\u2014")</f>
        <v>7266.90625</v>
      </c>
      <c r="C42" s="14">
        <f>IF(COUNT(C7:C41) &gt; 0, AVERAGE(C7:C41), "—")</f>
        <v>84.390681983216851</v>
      </c>
      <c r="D42" s="15">
        <f>IF(COUNT(D7:D41) &gt; 0, AVERAGE(D7:D41), "—")</f>
        <v>1136.875</v>
      </c>
      <c r="E42" s="14">
        <f>IF(COUNT(E7:E41) &gt; 0, AVERAGE(E7:E41), "—")</f>
        <v>50.567120105937498</v>
      </c>
      <c r="F42" s="16">
        <f>IF(COUNT(F7:F41) &gt; 0, SQRT(SUMSQ(F7:F41)/(COUNT(F7:F41)*COUNT(F7:F41)) ), "—")</f>
        <v>0.30578904532956208</v>
      </c>
      <c r="G42" s="14">
        <f>IF(COUNT(G7:G41) &gt; 0, AVERAGE(G7:G41), "—")</f>
        <v>49.432879894062502</v>
      </c>
      <c r="H42" s="16">
        <f>IF(COUNT(H7:H41) &gt; 0, SQRT(SUMSQ(H7:H41)/(COUNT(H7:H41)*COUNT(H7:H41)) ), "—")</f>
        <v>0.30578904532956208</v>
      </c>
      <c r="I42" s="14" t="str">
        <f>IF(COUNT(I7:I41) &gt; 0, AVERAGE(I7:I41), "—")</f>
        <v>—</v>
      </c>
      <c r="J42" s="16" t="str">
        <f>IF(COUNT(J7:J41) &gt; 0, SQRT(SUMSQ(J7:J41)/(COUNT(J7:J41)*COUNT(J7:J41)) ), "—")</f>
        <v>—</v>
      </c>
      <c r="K42" s="14">
        <f>IF(COUNT(K7:K41) &gt; 0, AVERAGE(K7:K41), "—")</f>
        <v>0</v>
      </c>
      <c r="L42" s="16">
        <f>IF(COUNT(L7:L41) &gt; 0, SQRT(SUMSQ(L7:L41)/(COUNT(L7:L41)*COUNT(L7:L41)) ), "—")</f>
        <v>0</v>
      </c>
      <c r="M42" s="14">
        <f>IF(COUNT(M7:M41) &gt; 0, AVERAGE(M7:M41), "—")</f>
        <v>0</v>
      </c>
      <c r="N42" s="16">
        <f>IF(COUNT(N7:N41) &gt; 0, SQRT(SUMSQ(N7:N41)/(COUNT(N7:N41)*COUNT(N7:N41)) ), "—")</f>
        <v>0</v>
      </c>
      <c r="O42" s="14">
        <f>IF(COUNT(O7:O41) &gt; 0, AVERAGE(O7:O41), "—")</f>
        <v>0</v>
      </c>
      <c r="P42" s="16">
        <f>IF(COUNT(P7:P41) &gt; 0, SQRT(SUMSQ(P7:P41)/(COUNT(P7:P41)*COUNT(P7:P41)) ), "—")</f>
        <v>0</v>
      </c>
      <c r="Q42" s="14">
        <f>IF(COUNT(Q7:Q41) &gt; 0, AVERAGE(Q7:Q41), "—")</f>
        <v>0</v>
      </c>
      <c r="R42" s="16">
        <f>IF(COUNT(R7:R41) &gt; 0, SQRT(SUMSQ(R7:R41)/(COUNT(R7:R41)*COUNT(R7:R41)) ), "—")</f>
        <v>0</v>
      </c>
    </row>
    <row r="43" spans="1:18" x14ac:dyDescent="0.25">
      <c r="A43" s="9" t="s">
        <v>176</v>
      </c>
      <c r="B43" s="10"/>
      <c r="C43" s="10"/>
      <c r="D43" s="11"/>
      <c r="E43" s="10"/>
      <c r="F43" s="11"/>
      <c r="G43" s="10"/>
      <c r="H43" s="11"/>
      <c r="I43" s="10"/>
      <c r="J43" s="11"/>
      <c r="K43" s="10"/>
      <c r="L43" s="11"/>
      <c r="M43" s="10"/>
      <c r="N43" s="11"/>
      <c r="O43" s="10"/>
      <c r="P43" s="11"/>
      <c r="Q43" s="10"/>
      <c r="R43" s="12"/>
    </row>
    <row r="44" spans="1:18" x14ac:dyDescent="0.25">
      <c r="A44" s="11" t="s">
        <v>177</v>
      </c>
      <c r="B44" s="17" t="s">
        <v>154</v>
      </c>
      <c r="C44" s="17" t="s">
        <v>154</v>
      </c>
      <c r="D44" s="18" t="s">
        <v>154</v>
      </c>
      <c r="E44" s="17" t="s">
        <v>154</v>
      </c>
      <c r="F44" s="18" t="s">
        <v>154</v>
      </c>
      <c r="G44" s="17" t="s">
        <v>154</v>
      </c>
      <c r="H44" s="18" t="s">
        <v>154</v>
      </c>
      <c r="I44" s="17" t="s">
        <v>154</v>
      </c>
      <c r="J44" s="18" t="s">
        <v>154</v>
      </c>
      <c r="K44" s="17" t="s">
        <v>154</v>
      </c>
      <c r="L44" s="18" t="s">
        <v>154</v>
      </c>
      <c r="M44" s="17" t="s">
        <v>154</v>
      </c>
      <c r="N44" s="18" t="s">
        <v>154</v>
      </c>
      <c r="O44" s="17" t="s">
        <v>154</v>
      </c>
      <c r="P44" s="18" t="s">
        <v>154</v>
      </c>
      <c r="Q44" s="17" t="s">
        <v>154</v>
      </c>
      <c r="R44" s="18" t="s">
        <v>154</v>
      </c>
    </row>
    <row r="45" spans="1:18" x14ac:dyDescent="0.25">
      <c r="A45" s="11" t="s">
        <v>178</v>
      </c>
      <c r="B45" s="17" t="s">
        <v>154</v>
      </c>
      <c r="C45" s="17" t="s">
        <v>154</v>
      </c>
      <c r="D45" s="18" t="s">
        <v>154</v>
      </c>
      <c r="E45" s="17" t="s">
        <v>154</v>
      </c>
      <c r="F45" s="18" t="s">
        <v>154</v>
      </c>
      <c r="G45" s="17" t="s">
        <v>154</v>
      </c>
      <c r="H45" s="18" t="s">
        <v>154</v>
      </c>
      <c r="I45" s="17" t="s">
        <v>154</v>
      </c>
      <c r="J45" s="18" t="s">
        <v>154</v>
      </c>
      <c r="K45" s="17" t="s">
        <v>154</v>
      </c>
      <c r="L45" s="18" t="s">
        <v>154</v>
      </c>
      <c r="M45" s="17" t="s">
        <v>154</v>
      </c>
      <c r="N45" s="18" t="s">
        <v>154</v>
      </c>
      <c r="O45" s="17" t="s">
        <v>154</v>
      </c>
      <c r="P45" s="18" t="s">
        <v>154</v>
      </c>
      <c r="Q45" s="17" t="s">
        <v>154</v>
      </c>
      <c r="R45" s="18" t="s">
        <v>154</v>
      </c>
    </row>
    <row r="46" spans="1:18" x14ac:dyDescent="0.25">
      <c r="A46" s="11" t="s">
        <v>179</v>
      </c>
      <c r="B46" s="13">
        <v>23141</v>
      </c>
      <c r="C46" s="14">
        <f>(20770/B46*100)</f>
        <v>89.754116071042731</v>
      </c>
      <c r="D46" s="15">
        <v>2371</v>
      </c>
      <c r="E46" s="14">
        <v>69.029264909999995</v>
      </c>
      <c r="F46" s="16">
        <v>1.2250102199999999</v>
      </c>
      <c r="G46" s="14">
        <v>30.970735090000002</v>
      </c>
      <c r="H46" s="16">
        <v>1.2250102199999999</v>
      </c>
      <c r="I46" s="14" t="s">
        <v>139</v>
      </c>
      <c r="J46" s="16" t="s">
        <v>139</v>
      </c>
      <c r="K46" s="14">
        <v>0</v>
      </c>
      <c r="L46" s="16">
        <v>0</v>
      </c>
      <c r="M46" s="14">
        <v>0</v>
      </c>
      <c r="N46" s="16">
        <v>0</v>
      </c>
      <c r="O46" s="14">
        <v>0</v>
      </c>
      <c r="P46" s="16">
        <v>0</v>
      </c>
      <c r="Q46" s="14">
        <v>0</v>
      </c>
      <c r="R46" s="16">
        <v>0</v>
      </c>
    </row>
    <row r="47" spans="1:18" x14ac:dyDescent="0.25">
      <c r="A47" s="11" t="s">
        <v>180</v>
      </c>
      <c r="B47" s="13">
        <v>5928</v>
      </c>
      <c r="C47" s="14">
        <f>(5040/B47*100)</f>
        <v>85.020242914979761</v>
      </c>
      <c r="D47" s="15">
        <v>888</v>
      </c>
      <c r="E47" s="14">
        <v>67.619821470000005</v>
      </c>
      <c r="F47" s="16">
        <v>1.4110997700000001</v>
      </c>
      <c r="G47" s="14">
        <v>32.380178530000002</v>
      </c>
      <c r="H47" s="16">
        <v>1.4110997700000001</v>
      </c>
      <c r="I47" s="14" t="s">
        <v>139</v>
      </c>
      <c r="J47" s="16" t="s">
        <v>139</v>
      </c>
      <c r="K47" s="14">
        <v>0</v>
      </c>
      <c r="L47" s="16">
        <v>0</v>
      </c>
      <c r="M47" s="14">
        <v>0</v>
      </c>
      <c r="N47" s="16">
        <v>0</v>
      </c>
      <c r="O47" s="14">
        <v>0</v>
      </c>
      <c r="P47" s="16">
        <v>0</v>
      </c>
      <c r="Q47" s="14">
        <v>0</v>
      </c>
      <c r="R47" s="16">
        <v>0</v>
      </c>
    </row>
    <row r="48" spans="1:18" x14ac:dyDescent="0.25">
      <c r="A48" s="11" t="s">
        <v>181</v>
      </c>
      <c r="B48" s="13">
        <v>9841</v>
      </c>
      <c r="C48" s="14">
        <f>(8220/B48*100)</f>
        <v>83.528096738136369</v>
      </c>
      <c r="D48" s="15">
        <v>1621</v>
      </c>
      <c r="E48" s="14">
        <v>37.200443139999997</v>
      </c>
      <c r="F48" s="16">
        <v>1.5377393699999999</v>
      </c>
      <c r="G48" s="14">
        <v>62.799556860000003</v>
      </c>
      <c r="H48" s="16">
        <v>1.5377393699999999</v>
      </c>
      <c r="I48" s="14" t="s">
        <v>139</v>
      </c>
      <c r="J48" s="16" t="s">
        <v>139</v>
      </c>
      <c r="K48" s="14">
        <v>0</v>
      </c>
      <c r="L48" s="16">
        <v>0</v>
      </c>
      <c r="M48" s="14">
        <v>0</v>
      </c>
      <c r="N48" s="16">
        <v>0</v>
      </c>
      <c r="O48" s="14">
        <v>0</v>
      </c>
      <c r="P48" s="16">
        <v>0</v>
      </c>
      <c r="Q48" s="14">
        <v>0</v>
      </c>
      <c r="R48" s="16">
        <v>0</v>
      </c>
    </row>
    <row r="49" spans="1:18" x14ac:dyDescent="0.25">
      <c r="A49" s="11" t="s">
        <v>182</v>
      </c>
      <c r="B49" s="17" t="s">
        <v>154</v>
      </c>
      <c r="C49" s="17" t="s">
        <v>154</v>
      </c>
      <c r="D49" s="18" t="s">
        <v>154</v>
      </c>
      <c r="E49" s="17" t="s">
        <v>154</v>
      </c>
      <c r="F49" s="18" t="s">
        <v>154</v>
      </c>
      <c r="G49" s="17" t="s">
        <v>154</v>
      </c>
      <c r="H49" s="18" t="s">
        <v>154</v>
      </c>
      <c r="I49" s="17" t="s">
        <v>154</v>
      </c>
      <c r="J49" s="18" t="s">
        <v>154</v>
      </c>
      <c r="K49" s="17" t="s">
        <v>154</v>
      </c>
      <c r="L49" s="18" t="s">
        <v>154</v>
      </c>
      <c r="M49" s="17" t="s">
        <v>154</v>
      </c>
      <c r="N49" s="18" t="s">
        <v>154</v>
      </c>
      <c r="O49" s="17" t="s">
        <v>154</v>
      </c>
      <c r="P49" s="18" t="s">
        <v>154</v>
      </c>
      <c r="Q49" s="17" t="s">
        <v>154</v>
      </c>
      <c r="R49" s="18" t="s">
        <v>154</v>
      </c>
    </row>
    <row r="50" spans="1:18" x14ac:dyDescent="0.25">
      <c r="A50" s="11" t="s">
        <v>183</v>
      </c>
      <c r="B50" s="13">
        <v>11795</v>
      </c>
      <c r="C50" s="14">
        <f>(10071/B50*100)</f>
        <v>85.383637134378972</v>
      </c>
      <c r="D50" s="15">
        <v>1724</v>
      </c>
      <c r="E50" s="14">
        <v>51.286768219999999</v>
      </c>
      <c r="F50" s="16">
        <v>1.66176642</v>
      </c>
      <c r="G50" s="14">
        <v>48.713231780000001</v>
      </c>
      <c r="H50" s="16">
        <v>1.66176642</v>
      </c>
      <c r="I50" s="14" t="s">
        <v>139</v>
      </c>
      <c r="J50" s="16" t="s">
        <v>139</v>
      </c>
      <c r="K50" s="14">
        <v>0</v>
      </c>
      <c r="L50" s="16">
        <v>0</v>
      </c>
      <c r="M50" s="14">
        <v>0</v>
      </c>
      <c r="N50" s="16">
        <v>0</v>
      </c>
      <c r="O50" s="14">
        <v>0</v>
      </c>
      <c r="P50" s="16">
        <v>0</v>
      </c>
      <c r="Q50" s="14">
        <v>0</v>
      </c>
      <c r="R50" s="16">
        <v>0</v>
      </c>
    </row>
    <row r="51" spans="1:18" x14ac:dyDescent="0.25">
      <c r="A51" s="11" t="s">
        <v>184</v>
      </c>
      <c r="B51" s="13">
        <v>6866</v>
      </c>
      <c r="C51" s="14">
        <f>(5973/B51*100)</f>
        <v>86.993882901252547</v>
      </c>
      <c r="D51" s="15">
        <v>893</v>
      </c>
      <c r="E51" s="14">
        <v>51.66906548</v>
      </c>
      <c r="F51" s="16">
        <v>1.76780581</v>
      </c>
      <c r="G51" s="14">
        <v>48.33093452</v>
      </c>
      <c r="H51" s="16">
        <v>1.76780581</v>
      </c>
      <c r="I51" s="14" t="s">
        <v>139</v>
      </c>
      <c r="J51" s="16" t="s">
        <v>139</v>
      </c>
      <c r="K51" s="14">
        <v>0</v>
      </c>
      <c r="L51" s="16">
        <v>0</v>
      </c>
      <c r="M51" s="14">
        <v>0</v>
      </c>
      <c r="N51" s="16">
        <v>0</v>
      </c>
      <c r="O51" s="14">
        <v>0</v>
      </c>
      <c r="P51" s="16">
        <v>0</v>
      </c>
      <c r="Q51" s="14">
        <v>0</v>
      </c>
      <c r="R51" s="16">
        <v>0</v>
      </c>
    </row>
    <row r="52" spans="1:18" x14ac:dyDescent="0.25">
      <c r="A52" s="11" t="s">
        <v>185</v>
      </c>
      <c r="B52" s="13">
        <v>5809</v>
      </c>
      <c r="C52" s="14">
        <f>(4885/B52*100)</f>
        <v>84.093647787915302</v>
      </c>
      <c r="D52" s="15">
        <v>924</v>
      </c>
      <c r="E52" s="14">
        <v>67.266516629999998</v>
      </c>
      <c r="F52" s="16">
        <v>1.98604146</v>
      </c>
      <c r="G52" s="14">
        <v>32.733483370000002</v>
      </c>
      <c r="H52" s="16">
        <v>1.98604146</v>
      </c>
      <c r="I52" s="14" t="s">
        <v>139</v>
      </c>
      <c r="J52" s="16" t="s">
        <v>139</v>
      </c>
      <c r="K52" s="14">
        <v>0</v>
      </c>
      <c r="L52" s="16">
        <v>0</v>
      </c>
      <c r="M52" s="14">
        <v>0</v>
      </c>
      <c r="N52" s="16">
        <v>0</v>
      </c>
      <c r="O52" s="14">
        <v>0</v>
      </c>
      <c r="P52" s="16">
        <v>0</v>
      </c>
      <c r="Q52" s="14">
        <v>0</v>
      </c>
      <c r="R52" s="16">
        <v>0</v>
      </c>
    </row>
    <row r="53" spans="1:18" x14ac:dyDescent="0.25">
      <c r="A53" s="11" t="s">
        <v>186</v>
      </c>
      <c r="B53" s="13">
        <v>5571</v>
      </c>
      <c r="C53" s="14">
        <f>(4728/B53*100)</f>
        <v>84.86806677436725</v>
      </c>
      <c r="D53" s="15">
        <v>843</v>
      </c>
      <c r="E53" s="14">
        <v>58.797488690000002</v>
      </c>
      <c r="F53" s="16">
        <v>1.7545860499999999</v>
      </c>
      <c r="G53" s="14">
        <v>41.202511309999998</v>
      </c>
      <c r="H53" s="16">
        <v>1.7545860499999999</v>
      </c>
      <c r="I53" s="14" t="s">
        <v>139</v>
      </c>
      <c r="J53" s="16" t="s">
        <v>139</v>
      </c>
      <c r="K53" s="14">
        <v>0</v>
      </c>
      <c r="L53" s="16">
        <v>0</v>
      </c>
      <c r="M53" s="14">
        <v>0</v>
      </c>
      <c r="N53" s="16">
        <v>0</v>
      </c>
      <c r="O53" s="14">
        <v>0</v>
      </c>
      <c r="P53" s="16">
        <v>0</v>
      </c>
      <c r="Q53" s="14">
        <v>0</v>
      </c>
      <c r="R53" s="16">
        <v>0</v>
      </c>
    </row>
    <row r="54" spans="1:18" x14ac:dyDescent="0.25">
      <c r="A54" s="11" t="s">
        <v>187</v>
      </c>
      <c r="B54" s="17" t="s">
        <v>154</v>
      </c>
      <c r="C54" s="17" t="s">
        <v>154</v>
      </c>
      <c r="D54" s="18" t="s">
        <v>154</v>
      </c>
      <c r="E54" s="17" t="s">
        <v>154</v>
      </c>
      <c r="F54" s="18" t="s">
        <v>154</v>
      </c>
      <c r="G54" s="17" t="s">
        <v>154</v>
      </c>
      <c r="H54" s="18" t="s">
        <v>154</v>
      </c>
      <c r="I54" s="17" t="s">
        <v>154</v>
      </c>
      <c r="J54" s="18" t="s">
        <v>154</v>
      </c>
      <c r="K54" s="17" t="s">
        <v>154</v>
      </c>
      <c r="L54" s="18" t="s">
        <v>154</v>
      </c>
      <c r="M54" s="17" t="s">
        <v>154</v>
      </c>
      <c r="N54" s="18" t="s">
        <v>154</v>
      </c>
      <c r="O54" s="17" t="s">
        <v>154</v>
      </c>
      <c r="P54" s="18" t="s">
        <v>154</v>
      </c>
      <c r="Q54" s="17" t="s">
        <v>154</v>
      </c>
      <c r="R54" s="18" t="s">
        <v>154</v>
      </c>
    </row>
    <row r="55" spans="1:18" x14ac:dyDescent="0.25">
      <c r="A55" s="11" t="s">
        <v>188</v>
      </c>
      <c r="B55" s="17" t="s">
        <v>154</v>
      </c>
      <c r="C55" s="17" t="s">
        <v>154</v>
      </c>
      <c r="D55" s="18" t="s">
        <v>154</v>
      </c>
      <c r="E55" s="17" t="s">
        <v>154</v>
      </c>
      <c r="F55" s="18" t="s">
        <v>154</v>
      </c>
      <c r="G55" s="17" t="s">
        <v>154</v>
      </c>
      <c r="H55" s="18" t="s">
        <v>154</v>
      </c>
      <c r="I55" s="17" t="s">
        <v>154</v>
      </c>
      <c r="J55" s="18" t="s">
        <v>154</v>
      </c>
      <c r="K55" s="17" t="s">
        <v>154</v>
      </c>
      <c r="L55" s="18" t="s">
        <v>154</v>
      </c>
      <c r="M55" s="17" t="s">
        <v>154</v>
      </c>
      <c r="N55" s="18" t="s">
        <v>154</v>
      </c>
      <c r="O55" s="17" t="s">
        <v>154</v>
      </c>
      <c r="P55" s="18" t="s">
        <v>154</v>
      </c>
      <c r="Q55" s="17" t="s">
        <v>154</v>
      </c>
      <c r="R55" s="18" t="s">
        <v>154</v>
      </c>
    </row>
    <row r="56" spans="1:18" x14ac:dyDescent="0.25">
      <c r="A56" s="11" t="s">
        <v>189</v>
      </c>
      <c r="B56" s="13">
        <v>5359</v>
      </c>
      <c r="C56" s="14">
        <f>(4464/B56*100)</f>
        <v>83.299122970703493</v>
      </c>
      <c r="D56" s="15">
        <v>895</v>
      </c>
      <c r="E56" s="14">
        <v>39.723522930000001</v>
      </c>
      <c r="F56" s="16">
        <v>1.6871509899999999</v>
      </c>
      <c r="G56" s="14">
        <v>60.276477069999999</v>
      </c>
      <c r="H56" s="16">
        <v>1.6871509899999999</v>
      </c>
      <c r="I56" s="14" t="s">
        <v>139</v>
      </c>
      <c r="J56" s="16" t="s">
        <v>139</v>
      </c>
      <c r="K56" s="14">
        <v>0</v>
      </c>
      <c r="L56" s="16">
        <v>0</v>
      </c>
      <c r="M56" s="14">
        <v>0</v>
      </c>
      <c r="N56" s="16">
        <v>0</v>
      </c>
      <c r="O56" s="14">
        <v>0</v>
      </c>
      <c r="P56" s="16">
        <v>0</v>
      </c>
      <c r="Q56" s="14">
        <v>0</v>
      </c>
      <c r="R56" s="16">
        <v>0</v>
      </c>
    </row>
    <row r="57" spans="1:18" x14ac:dyDescent="0.25">
      <c r="A57" s="11" t="s">
        <v>190</v>
      </c>
      <c r="B57" s="17" t="s">
        <v>154</v>
      </c>
      <c r="C57" s="17" t="s">
        <v>154</v>
      </c>
      <c r="D57" s="18" t="s">
        <v>154</v>
      </c>
      <c r="E57" s="17" t="s">
        <v>154</v>
      </c>
      <c r="F57" s="18" t="s">
        <v>154</v>
      </c>
      <c r="G57" s="17" t="s">
        <v>154</v>
      </c>
      <c r="H57" s="18" t="s">
        <v>154</v>
      </c>
      <c r="I57" s="17" t="s">
        <v>154</v>
      </c>
      <c r="J57" s="18" t="s">
        <v>154</v>
      </c>
      <c r="K57" s="17" t="s">
        <v>154</v>
      </c>
      <c r="L57" s="18" t="s">
        <v>154</v>
      </c>
      <c r="M57" s="17" t="s">
        <v>154</v>
      </c>
      <c r="N57" s="18" t="s">
        <v>154</v>
      </c>
      <c r="O57" s="17" t="s">
        <v>154</v>
      </c>
      <c r="P57" s="18" t="s">
        <v>154</v>
      </c>
      <c r="Q57" s="17" t="s">
        <v>154</v>
      </c>
      <c r="R57" s="18" t="s">
        <v>154</v>
      </c>
    </row>
    <row r="58" spans="1:18" x14ac:dyDescent="0.25">
      <c r="A58" s="11" t="s">
        <v>191</v>
      </c>
      <c r="B58" s="17" t="s">
        <v>154</v>
      </c>
      <c r="C58" s="17" t="s">
        <v>154</v>
      </c>
      <c r="D58" s="18" t="s">
        <v>154</v>
      </c>
      <c r="E58" s="17" t="s">
        <v>154</v>
      </c>
      <c r="F58" s="18" t="s">
        <v>154</v>
      </c>
      <c r="G58" s="17" t="s">
        <v>154</v>
      </c>
      <c r="H58" s="18" t="s">
        <v>154</v>
      </c>
      <c r="I58" s="17" t="s">
        <v>154</v>
      </c>
      <c r="J58" s="18" t="s">
        <v>154</v>
      </c>
      <c r="K58" s="17" t="s">
        <v>154</v>
      </c>
      <c r="L58" s="18" t="s">
        <v>154</v>
      </c>
      <c r="M58" s="17" t="s">
        <v>154</v>
      </c>
      <c r="N58" s="18" t="s">
        <v>154</v>
      </c>
      <c r="O58" s="17" t="s">
        <v>154</v>
      </c>
      <c r="P58" s="18" t="s">
        <v>154</v>
      </c>
      <c r="Q58" s="17" t="s">
        <v>154</v>
      </c>
      <c r="R58" s="18" t="s">
        <v>154</v>
      </c>
    </row>
    <row r="59" spans="1:18" x14ac:dyDescent="0.25">
      <c r="A59" s="11" t="s">
        <v>192</v>
      </c>
      <c r="B59" s="17" t="s">
        <v>154</v>
      </c>
      <c r="C59" s="17" t="s">
        <v>154</v>
      </c>
      <c r="D59" s="18" t="s">
        <v>154</v>
      </c>
      <c r="E59" s="17" t="s">
        <v>154</v>
      </c>
      <c r="F59" s="18" t="s">
        <v>154</v>
      </c>
      <c r="G59" s="17" t="s">
        <v>154</v>
      </c>
      <c r="H59" s="18" t="s">
        <v>154</v>
      </c>
      <c r="I59" s="17" t="s">
        <v>154</v>
      </c>
      <c r="J59" s="18" t="s">
        <v>154</v>
      </c>
      <c r="K59" s="17" t="s">
        <v>154</v>
      </c>
      <c r="L59" s="18" t="s">
        <v>154</v>
      </c>
      <c r="M59" s="17" t="s">
        <v>154</v>
      </c>
      <c r="N59" s="18" t="s">
        <v>154</v>
      </c>
      <c r="O59" s="17" t="s">
        <v>154</v>
      </c>
      <c r="P59" s="18" t="s">
        <v>154</v>
      </c>
      <c r="Q59" s="17" t="s">
        <v>154</v>
      </c>
      <c r="R59" s="18" t="s">
        <v>154</v>
      </c>
    </row>
    <row r="60" spans="1:18" x14ac:dyDescent="0.25">
      <c r="A60" s="11" t="s">
        <v>193</v>
      </c>
      <c r="B60" s="17" t="s">
        <v>154</v>
      </c>
      <c r="C60" s="17" t="s">
        <v>154</v>
      </c>
      <c r="D60" s="18" t="s">
        <v>154</v>
      </c>
      <c r="E60" s="17" t="s">
        <v>154</v>
      </c>
      <c r="F60" s="18" t="s">
        <v>154</v>
      </c>
      <c r="G60" s="17" t="s">
        <v>154</v>
      </c>
      <c r="H60" s="18" t="s">
        <v>154</v>
      </c>
      <c r="I60" s="17" t="s">
        <v>154</v>
      </c>
      <c r="J60" s="18" t="s">
        <v>154</v>
      </c>
      <c r="K60" s="17" t="s">
        <v>154</v>
      </c>
      <c r="L60" s="18" t="s">
        <v>154</v>
      </c>
      <c r="M60" s="17" t="s">
        <v>154</v>
      </c>
      <c r="N60" s="18" t="s">
        <v>154</v>
      </c>
      <c r="O60" s="17" t="s">
        <v>154</v>
      </c>
      <c r="P60" s="18" t="s">
        <v>154</v>
      </c>
      <c r="Q60" s="17" t="s">
        <v>154</v>
      </c>
      <c r="R60" s="18" t="s">
        <v>154</v>
      </c>
    </row>
    <row r="61" spans="1:18" x14ac:dyDescent="0.25">
      <c r="A61" s="11" t="s">
        <v>194</v>
      </c>
      <c r="B61" s="13">
        <v>6525</v>
      </c>
      <c r="C61" s="14">
        <f>(5500/B61*100)</f>
        <v>84.291187739463595</v>
      </c>
      <c r="D61" s="15">
        <v>1025</v>
      </c>
      <c r="E61" s="14">
        <v>54.815829899999997</v>
      </c>
      <c r="F61" s="16">
        <v>1.7159767100000001</v>
      </c>
      <c r="G61" s="14">
        <v>45.184170100000003</v>
      </c>
      <c r="H61" s="16">
        <v>1.7159767100000001</v>
      </c>
      <c r="I61" s="14" t="s">
        <v>139</v>
      </c>
      <c r="J61" s="16" t="s">
        <v>139</v>
      </c>
      <c r="K61" s="14">
        <v>0</v>
      </c>
      <c r="L61" s="16">
        <v>0</v>
      </c>
      <c r="M61" s="14">
        <v>0</v>
      </c>
      <c r="N61" s="16">
        <v>0</v>
      </c>
      <c r="O61" s="14">
        <v>0</v>
      </c>
      <c r="P61" s="16">
        <v>0</v>
      </c>
      <c r="Q61" s="14">
        <v>0</v>
      </c>
      <c r="R61" s="16">
        <v>0</v>
      </c>
    </row>
    <row r="62" spans="1:18" x14ac:dyDescent="0.25">
      <c r="A62" s="11" t="s">
        <v>195</v>
      </c>
      <c r="B62" s="13">
        <v>4476</v>
      </c>
      <c r="C62" s="14">
        <f>(3758/B62*100)</f>
        <v>83.958891867739055</v>
      </c>
      <c r="D62" s="15">
        <v>718</v>
      </c>
      <c r="E62" s="14">
        <v>40.093931670000003</v>
      </c>
      <c r="F62" s="16">
        <v>1.8362939599999999</v>
      </c>
      <c r="G62" s="14">
        <v>59.906068329999997</v>
      </c>
      <c r="H62" s="16">
        <v>1.8362939599999999</v>
      </c>
      <c r="I62" s="14" t="s">
        <v>139</v>
      </c>
      <c r="J62" s="16" t="s">
        <v>139</v>
      </c>
      <c r="K62" s="14">
        <v>0</v>
      </c>
      <c r="L62" s="16">
        <v>0</v>
      </c>
      <c r="M62" s="14">
        <v>0</v>
      </c>
      <c r="N62" s="16">
        <v>0</v>
      </c>
      <c r="O62" s="14">
        <v>0</v>
      </c>
      <c r="P62" s="16">
        <v>0</v>
      </c>
      <c r="Q62" s="14">
        <v>0</v>
      </c>
      <c r="R62" s="16">
        <v>0</v>
      </c>
    </row>
    <row r="63" spans="1:18" x14ac:dyDescent="0.25">
      <c r="A63" s="11" t="s">
        <v>196</v>
      </c>
      <c r="B63" s="17" t="s">
        <v>154</v>
      </c>
      <c r="C63" s="17" t="s">
        <v>154</v>
      </c>
      <c r="D63" s="18" t="s">
        <v>154</v>
      </c>
      <c r="E63" s="17" t="s">
        <v>154</v>
      </c>
      <c r="F63" s="18" t="s">
        <v>154</v>
      </c>
      <c r="G63" s="17" t="s">
        <v>154</v>
      </c>
      <c r="H63" s="18" t="s">
        <v>154</v>
      </c>
      <c r="I63" s="17" t="s">
        <v>154</v>
      </c>
      <c r="J63" s="18" t="s">
        <v>154</v>
      </c>
      <c r="K63" s="17" t="s">
        <v>154</v>
      </c>
      <c r="L63" s="18" t="s">
        <v>154</v>
      </c>
      <c r="M63" s="17" t="s">
        <v>154</v>
      </c>
      <c r="N63" s="18" t="s">
        <v>154</v>
      </c>
      <c r="O63" s="17" t="s">
        <v>154</v>
      </c>
      <c r="P63" s="18" t="s">
        <v>154</v>
      </c>
      <c r="Q63" s="17" t="s">
        <v>154</v>
      </c>
      <c r="R63" s="18" t="s">
        <v>154</v>
      </c>
    </row>
    <row r="64" spans="1:18" x14ac:dyDescent="0.25">
      <c r="A64" s="11" t="s">
        <v>197</v>
      </c>
      <c r="B64" s="17" t="s">
        <v>154</v>
      </c>
      <c r="C64" s="17" t="s">
        <v>154</v>
      </c>
      <c r="D64" s="18" t="s">
        <v>154</v>
      </c>
      <c r="E64" s="17" t="s">
        <v>154</v>
      </c>
      <c r="F64" s="18" t="s">
        <v>154</v>
      </c>
      <c r="G64" s="17" t="s">
        <v>154</v>
      </c>
      <c r="H64" s="18" t="s">
        <v>154</v>
      </c>
      <c r="I64" s="17" t="s">
        <v>154</v>
      </c>
      <c r="J64" s="18" t="s">
        <v>154</v>
      </c>
      <c r="K64" s="17" t="s">
        <v>154</v>
      </c>
      <c r="L64" s="18" t="s">
        <v>154</v>
      </c>
      <c r="M64" s="17" t="s">
        <v>154</v>
      </c>
      <c r="N64" s="18" t="s">
        <v>154</v>
      </c>
      <c r="O64" s="17" t="s">
        <v>154</v>
      </c>
      <c r="P64" s="18" t="s">
        <v>154</v>
      </c>
      <c r="Q64" s="17" t="s">
        <v>154</v>
      </c>
      <c r="R64" s="18" t="s">
        <v>154</v>
      </c>
    </row>
    <row r="65" spans="1:18" x14ac:dyDescent="0.25">
      <c r="A65" s="11" t="s">
        <v>198</v>
      </c>
      <c r="B65" s="17" t="s">
        <v>154</v>
      </c>
      <c r="C65" s="17" t="s">
        <v>154</v>
      </c>
      <c r="D65" s="18" t="s">
        <v>154</v>
      </c>
      <c r="E65" s="17" t="s">
        <v>154</v>
      </c>
      <c r="F65" s="18" t="s">
        <v>154</v>
      </c>
      <c r="G65" s="17" t="s">
        <v>154</v>
      </c>
      <c r="H65" s="18" t="s">
        <v>154</v>
      </c>
      <c r="I65" s="17" t="s">
        <v>154</v>
      </c>
      <c r="J65" s="18" t="s">
        <v>154</v>
      </c>
      <c r="K65" s="17" t="s">
        <v>154</v>
      </c>
      <c r="L65" s="18" t="s">
        <v>154</v>
      </c>
      <c r="M65" s="17" t="s">
        <v>154</v>
      </c>
      <c r="N65" s="18" t="s">
        <v>154</v>
      </c>
      <c r="O65" s="17" t="s">
        <v>154</v>
      </c>
      <c r="P65" s="18" t="s">
        <v>154</v>
      </c>
      <c r="Q65" s="17" t="s">
        <v>154</v>
      </c>
      <c r="R65" s="18" t="s">
        <v>154</v>
      </c>
    </row>
    <row r="66" spans="1:18" x14ac:dyDescent="0.25">
      <c r="A66" s="11" t="s">
        <v>199</v>
      </c>
      <c r="B66" s="13">
        <v>5665</v>
      </c>
      <c r="C66" s="14">
        <f>(4808/B66*100)</f>
        <v>84.872021182700792</v>
      </c>
      <c r="D66" s="15">
        <v>857</v>
      </c>
      <c r="E66" s="14">
        <v>70.389936730000002</v>
      </c>
      <c r="F66" s="16">
        <v>1.59225642</v>
      </c>
      <c r="G66" s="14">
        <v>29.610063270000001</v>
      </c>
      <c r="H66" s="16">
        <v>1.59225642</v>
      </c>
      <c r="I66" s="14" t="s">
        <v>139</v>
      </c>
      <c r="J66" s="16" t="s">
        <v>139</v>
      </c>
      <c r="K66" s="14">
        <v>0</v>
      </c>
      <c r="L66" s="16">
        <v>0</v>
      </c>
      <c r="M66" s="14">
        <v>0</v>
      </c>
      <c r="N66" s="16">
        <v>0</v>
      </c>
      <c r="O66" s="14">
        <v>0</v>
      </c>
      <c r="P66" s="16">
        <v>0</v>
      </c>
      <c r="Q66" s="14">
        <v>0</v>
      </c>
      <c r="R66" s="16">
        <v>0</v>
      </c>
    </row>
    <row r="67" spans="1:18" x14ac:dyDescent="0.25">
      <c r="A67" s="11" t="s">
        <v>200</v>
      </c>
      <c r="B67" s="13">
        <v>6971</v>
      </c>
      <c r="C67" s="14">
        <f>(6104/B67*100)</f>
        <v>87.562760005738056</v>
      </c>
      <c r="D67" s="15">
        <v>867</v>
      </c>
      <c r="E67" s="14">
        <v>54.304725789999999</v>
      </c>
      <c r="F67" s="16">
        <v>1.7718472999999999</v>
      </c>
      <c r="G67" s="14">
        <v>45.695274210000001</v>
      </c>
      <c r="H67" s="16">
        <v>1.7718472999999999</v>
      </c>
      <c r="I67" s="14" t="s">
        <v>139</v>
      </c>
      <c r="J67" s="16" t="s">
        <v>139</v>
      </c>
      <c r="K67" s="14">
        <v>0</v>
      </c>
      <c r="L67" s="16">
        <v>0</v>
      </c>
      <c r="M67" s="14">
        <v>0</v>
      </c>
      <c r="N67" s="16">
        <v>0</v>
      </c>
      <c r="O67" s="14">
        <v>0</v>
      </c>
      <c r="P67" s="16">
        <v>0</v>
      </c>
      <c r="Q67" s="14">
        <v>0</v>
      </c>
      <c r="R67" s="16">
        <v>0</v>
      </c>
    </row>
    <row r="68" spans="1:18" x14ac:dyDescent="0.25">
      <c r="A68" s="11" t="s">
        <v>201</v>
      </c>
      <c r="B68" s="17" t="s">
        <v>154</v>
      </c>
      <c r="C68" s="17" t="s">
        <v>154</v>
      </c>
      <c r="D68" s="18" t="s">
        <v>154</v>
      </c>
      <c r="E68" s="17" t="s">
        <v>154</v>
      </c>
      <c r="F68" s="18" t="s">
        <v>154</v>
      </c>
      <c r="G68" s="17" t="s">
        <v>154</v>
      </c>
      <c r="H68" s="18" t="s">
        <v>154</v>
      </c>
      <c r="I68" s="17" t="s">
        <v>154</v>
      </c>
      <c r="J68" s="18" t="s">
        <v>154</v>
      </c>
      <c r="K68" s="17" t="s">
        <v>154</v>
      </c>
      <c r="L68" s="18" t="s">
        <v>154</v>
      </c>
      <c r="M68" s="17" t="s">
        <v>154</v>
      </c>
      <c r="N68" s="18" t="s">
        <v>154</v>
      </c>
      <c r="O68" s="17" t="s">
        <v>154</v>
      </c>
      <c r="P68" s="18" t="s">
        <v>154</v>
      </c>
      <c r="Q68" s="17" t="s">
        <v>154</v>
      </c>
      <c r="R68" s="18" t="s">
        <v>154</v>
      </c>
    </row>
    <row r="69" spans="1:18" x14ac:dyDescent="0.25">
      <c r="A69" s="11" t="s">
        <v>202</v>
      </c>
      <c r="B69" s="17" t="s">
        <v>154</v>
      </c>
      <c r="C69" s="17" t="s">
        <v>154</v>
      </c>
      <c r="D69" s="18" t="s">
        <v>154</v>
      </c>
      <c r="E69" s="17" t="s">
        <v>154</v>
      </c>
      <c r="F69" s="18" t="s">
        <v>154</v>
      </c>
      <c r="G69" s="17" t="s">
        <v>154</v>
      </c>
      <c r="H69" s="18" t="s">
        <v>154</v>
      </c>
      <c r="I69" s="17" t="s">
        <v>154</v>
      </c>
      <c r="J69" s="18" t="s">
        <v>154</v>
      </c>
      <c r="K69" s="17" t="s">
        <v>154</v>
      </c>
      <c r="L69" s="18" t="s">
        <v>154</v>
      </c>
      <c r="M69" s="17" t="s">
        <v>154</v>
      </c>
      <c r="N69" s="18" t="s">
        <v>154</v>
      </c>
      <c r="O69" s="17" t="s">
        <v>154</v>
      </c>
      <c r="P69" s="18" t="s">
        <v>154</v>
      </c>
      <c r="Q69" s="17" t="s">
        <v>154</v>
      </c>
      <c r="R69" s="18" t="s">
        <v>154</v>
      </c>
    </row>
    <row r="70" spans="1:18" x14ac:dyDescent="0.25">
      <c r="A70" s="11" t="s">
        <v>203</v>
      </c>
      <c r="B70" s="13">
        <v>6036</v>
      </c>
      <c r="C70" s="14">
        <f>(5098/B70*100)</f>
        <v>84.459907223326695</v>
      </c>
      <c r="D70" s="15">
        <v>938</v>
      </c>
      <c r="E70" s="14">
        <v>53.282923480000001</v>
      </c>
      <c r="F70" s="16">
        <v>2.0067933099999999</v>
      </c>
      <c r="G70" s="14">
        <v>46.717076519999999</v>
      </c>
      <c r="H70" s="16">
        <v>2.0067933099999999</v>
      </c>
      <c r="I70" s="14" t="s">
        <v>139</v>
      </c>
      <c r="J70" s="16" t="s">
        <v>139</v>
      </c>
      <c r="K70" s="14">
        <v>0</v>
      </c>
      <c r="L70" s="16">
        <v>0</v>
      </c>
      <c r="M70" s="14">
        <v>0</v>
      </c>
      <c r="N70" s="16">
        <v>0</v>
      </c>
      <c r="O70" s="14">
        <v>0</v>
      </c>
      <c r="P70" s="16">
        <v>0</v>
      </c>
      <c r="Q70" s="14">
        <v>0</v>
      </c>
      <c r="R70" s="16">
        <v>0</v>
      </c>
    </row>
    <row r="71" spans="1:18" x14ac:dyDescent="0.25">
      <c r="A71" s="11" t="s">
        <v>204</v>
      </c>
      <c r="B71" s="17" t="s">
        <v>154</v>
      </c>
      <c r="C71" s="17" t="s">
        <v>154</v>
      </c>
      <c r="D71" s="18" t="s">
        <v>154</v>
      </c>
      <c r="E71" s="17" t="s">
        <v>154</v>
      </c>
      <c r="F71" s="18" t="s">
        <v>154</v>
      </c>
      <c r="G71" s="17" t="s">
        <v>154</v>
      </c>
      <c r="H71" s="18" t="s">
        <v>154</v>
      </c>
      <c r="I71" s="17" t="s">
        <v>154</v>
      </c>
      <c r="J71" s="18" t="s">
        <v>154</v>
      </c>
      <c r="K71" s="17" t="s">
        <v>154</v>
      </c>
      <c r="L71" s="18" t="s">
        <v>154</v>
      </c>
      <c r="M71" s="17" t="s">
        <v>154</v>
      </c>
      <c r="N71" s="18" t="s">
        <v>154</v>
      </c>
      <c r="O71" s="17" t="s">
        <v>154</v>
      </c>
      <c r="P71" s="18" t="s">
        <v>154</v>
      </c>
      <c r="Q71" s="17" t="s">
        <v>154</v>
      </c>
      <c r="R71" s="18" t="s">
        <v>154</v>
      </c>
    </row>
    <row r="72" spans="1:18" x14ac:dyDescent="0.25">
      <c r="A72" s="11" t="s">
        <v>205</v>
      </c>
      <c r="B72" s="13">
        <v>7708</v>
      </c>
      <c r="C72" s="14">
        <f>(6380/B72*100)</f>
        <v>82.77114686040477</v>
      </c>
      <c r="D72" s="15">
        <v>1328</v>
      </c>
      <c r="E72" s="14">
        <v>43.339235289999998</v>
      </c>
      <c r="F72" s="16">
        <v>1.5795672199999999</v>
      </c>
      <c r="G72" s="14">
        <v>56.660764710000002</v>
      </c>
      <c r="H72" s="16">
        <v>1.5795672199999999</v>
      </c>
      <c r="I72" s="14" t="s">
        <v>139</v>
      </c>
      <c r="J72" s="16" t="s">
        <v>139</v>
      </c>
      <c r="K72" s="14">
        <v>0</v>
      </c>
      <c r="L72" s="16">
        <v>0</v>
      </c>
      <c r="M72" s="14">
        <v>0</v>
      </c>
      <c r="N72" s="16">
        <v>0</v>
      </c>
      <c r="O72" s="14">
        <v>0</v>
      </c>
      <c r="P72" s="16">
        <v>0</v>
      </c>
      <c r="Q72" s="14">
        <v>0</v>
      </c>
      <c r="R72" s="16">
        <v>0</v>
      </c>
    </row>
    <row r="73" spans="1:18" x14ac:dyDescent="0.25">
      <c r="A73" s="11" t="s">
        <v>206</v>
      </c>
      <c r="B73" s="13">
        <v>8249</v>
      </c>
      <c r="C73" s="14">
        <f>(7058/B73*100)</f>
        <v>85.561886289247184</v>
      </c>
      <c r="D73" s="15">
        <v>1191</v>
      </c>
      <c r="E73" s="14">
        <v>58.230914900000002</v>
      </c>
      <c r="F73" s="16">
        <v>1.85137178</v>
      </c>
      <c r="G73" s="14">
        <v>41.769085099999998</v>
      </c>
      <c r="H73" s="16">
        <v>1.85137178</v>
      </c>
      <c r="I73" s="14" t="s">
        <v>139</v>
      </c>
      <c r="J73" s="16" t="s">
        <v>139</v>
      </c>
      <c r="K73" s="14">
        <v>0</v>
      </c>
      <c r="L73" s="16">
        <v>0</v>
      </c>
      <c r="M73" s="14">
        <v>0</v>
      </c>
      <c r="N73" s="16">
        <v>0</v>
      </c>
      <c r="O73" s="14">
        <v>0</v>
      </c>
      <c r="P73" s="16">
        <v>0</v>
      </c>
      <c r="Q73" s="14">
        <v>0</v>
      </c>
      <c r="R73" s="16">
        <v>0</v>
      </c>
    </row>
    <row r="74" spans="1:18" x14ac:dyDescent="0.25">
      <c r="A74" s="11" t="s">
        <v>207</v>
      </c>
      <c r="B74" s="17" t="s">
        <v>154</v>
      </c>
      <c r="C74" s="17" t="s">
        <v>154</v>
      </c>
      <c r="D74" s="18" t="s">
        <v>154</v>
      </c>
      <c r="E74" s="17" t="s">
        <v>154</v>
      </c>
      <c r="F74" s="18" t="s">
        <v>154</v>
      </c>
      <c r="G74" s="17" t="s">
        <v>154</v>
      </c>
      <c r="H74" s="18" t="s">
        <v>154</v>
      </c>
      <c r="I74" s="17" t="s">
        <v>154</v>
      </c>
      <c r="J74" s="18" t="s">
        <v>154</v>
      </c>
      <c r="K74" s="17" t="s">
        <v>154</v>
      </c>
      <c r="L74" s="18" t="s">
        <v>154</v>
      </c>
      <c r="M74" s="17" t="s">
        <v>154</v>
      </c>
      <c r="N74" s="18" t="s">
        <v>154</v>
      </c>
      <c r="O74" s="17" t="s">
        <v>154</v>
      </c>
      <c r="P74" s="18" t="s">
        <v>154</v>
      </c>
      <c r="Q74" s="17" t="s">
        <v>154</v>
      </c>
      <c r="R74" s="18" t="s">
        <v>154</v>
      </c>
    </row>
    <row r="75" spans="1:18" x14ac:dyDescent="0.25">
      <c r="A75" s="11" t="s">
        <v>208</v>
      </c>
      <c r="B75" s="13">
        <v>5375</v>
      </c>
      <c r="C75" s="14">
        <f>(4623/B75*100)</f>
        <v>86.009302325581388</v>
      </c>
      <c r="D75" s="15">
        <v>752</v>
      </c>
      <c r="E75" s="14">
        <v>72.494337610000002</v>
      </c>
      <c r="F75" s="16">
        <v>1.5374787700000001</v>
      </c>
      <c r="G75" s="14">
        <v>27.505662390000001</v>
      </c>
      <c r="H75" s="16">
        <v>1.5374787700000001</v>
      </c>
      <c r="I75" s="14" t="s">
        <v>139</v>
      </c>
      <c r="J75" s="16" t="s">
        <v>139</v>
      </c>
      <c r="K75" s="14">
        <v>0</v>
      </c>
      <c r="L75" s="16">
        <v>0</v>
      </c>
      <c r="M75" s="14">
        <v>0</v>
      </c>
      <c r="N75" s="16">
        <v>0</v>
      </c>
      <c r="O75" s="14">
        <v>0</v>
      </c>
      <c r="P75" s="16">
        <v>0</v>
      </c>
      <c r="Q75" s="14">
        <v>0</v>
      </c>
      <c r="R75" s="16">
        <v>0</v>
      </c>
    </row>
    <row r="76" spans="1:18" x14ac:dyDescent="0.25">
      <c r="A76" s="11" t="s">
        <v>209</v>
      </c>
      <c r="B76" s="13">
        <v>14167</v>
      </c>
      <c r="C76" s="14">
        <f>(11813/B76*100)</f>
        <v>83.38392037834403</v>
      </c>
      <c r="D76" s="15">
        <v>2354</v>
      </c>
      <c r="E76" s="14">
        <v>60.078589839999999</v>
      </c>
      <c r="F76" s="16">
        <v>1.18057042</v>
      </c>
      <c r="G76" s="14">
        <v>39.921410160000001</v>
      </c>
      <c r="H76" s="16">
        <v>1.18057042</v>
      </c>
      <c r="I76" s="14" t="s">
        <v>139</v>
      </c>
      <c r="J76" s="16" t="s">
        <v>139</v>
      </c>
      <c r="K76" s="14">
        <v>0</v>
      </c>
      <c r="L76" s="16">
        <v>0</v>
      </c>
      <c r="M76" s="14">
        <v>0</v>
      </c>
      <c r="N76" s="16">
        <v>0</v>
      </c>
      <c r="O76" s="14">
        <v>0</v>
      </c>
      <c r="P76" s="16">
        <v>0</v>
      </c>
      <c r="Q76" s="14">
        <v>0</v>
      </c>
      <c r="R76" s="16">
        <v>0</v>
      </c>
    </row>
    <row r="77" spans="1:18" x14ac:dyDescent="0.25">
      <c r="A77" s="11" t="s">
        <v>210</v>
      </c>
      <c r="B77" s="13">
        <v>6062</v>
      </c>
      <c r="C77" s="14">
        <f>(5206/B77*100)</f>
        <v>85.879247773012196</v>
      </c>
      <c r="D77" s="15">
        <v>856</v>
      </c>
      <c r="E77" s="14">
        <v>59.47798607</v>
      </c>
      <c r="F77" s="16">
        <v>1.8322807000000001</v>
      </c>
      <c r="G77" s="14">
        <v>40.52201393</v>
      </c>
      <c r="H77" s="16">
        <v>1.8322807000000001</v>
      </c>
      <c r="I77" s="14" t="s">
        <v>139</v>
      </c>
      <c r="J77" s="16" t="s">
        <v>139</v>
      </c>
      <c r="K77" s="14">
        <v>0</v>
      </c>
      <c r="L77" s="16">
        <v>0</v>
      </c>
      <c r="M77" s="14">
        <v>0</v>
      </c>
      <c r="N77" s="16">
        <v>0</v>
      </c>
      <c r="O77" s="14">
        <v>0</v>
      </c>
      <c r="P77" s="16">
        <v>0</v>
      </c>
      <c r="Q77" s="14">
        <v>0</v>
      </c>
      <c r="R77" s="16">
        <v>0</v>
      </c>
    </row>
    <row r="78" spans="1:18" x14ac:dyDescent="0.25">
      <c r="A78" s="11" t="s">
        <v>211</v>
      </c>
      <c r="B78" s="17" t="s">
        <v>154</v>
      </c>
      <c r="C78" s="17" t="s">
        <v>154</v>
      </c>
      <c r="D78" s="18" t="s">
        <v>154</v>
      </c>
      <c r="E78" s="17" t="s">
        <v>154</v>
      </c>
      <c r="F78" s="18" t="s">
        <v>154</v>
      </c>
      <c r="G78" s="17" t="s">
        <v>154</v>
      </c>
      <c r="H78" s="18" t="s">
        <v>154</v>
      </c>
      <c r="I78" s="17" t="s">
        <v>154</v>
      </c>
      <c r="J78" s="18" t="s">
        <v>154</v>
      </c>
      <c r="K78" s="17" t="s">
        <v>154</v>
      </c>
      <c r="L78" s="18" t="s">
        <v>154</v>
      </c>
      <c r="M78" s="17" t="s">
        <v>154</v>
      </c>
      <c r="N78" s="18" t="s">
        <v>154</v>
      </c>
      <c r="O78" s="17" t="s">
        <v>154</v>
      </c>
      <c r="P78" s="18" t="s">
        <v>154</v>
      </c>
      <c r="Q78" s="17" t="s">
        <v>154</v>
      </c>
      <c r="R78" s="18" t="s">
        <v>154</v>
      </c>
    </row>
    <row r="79" spans="1:18" ht="24.95" customHeight="1" x14ac:dyDescent="0.25">
      <c r="A79" s="11" t="s">
        <v>212</v>
      </c>
      <c r="B79" s="17" t="s">
        <v>154</v>
      </c>
      <c r="C79" s="17" t="s">
        <v>154</v>
      </c>
      <c r="D79" s="18" t="s">
        <v>154</v>
      </c>
      <c r="E79" s="17" t="s">
        <v>154</v>
      </c>
      <c r="F79" s="18" t="s">
        <v>154</v>
      </c>
      <c r="G79" s="17" t="s">
        <v>154</v>
      </c>
      <c r="H79" s="18" t="s">
        <v>154</v>
      </c>
      <c r="I79" s="17" t="s">
        <v>154</v>
      </c>
      <c r="J79" s="18" t="s">
        <v>154</v>
      </c>
      <c r="K79" s="17" t="s">
        <v>154</v>
      </c>
      <c r="L79" s="18" t="s">
        <v>154</v>
      </c>
      <c r="M79" s="17" t="s">
        <v>154</v>
      </c>
      <c r="N79" s="18" t="s">
        <v>154</v>
      </c>
      <c r="O79" s="17" t="s">
        <v>154</v>
      </c>
      <c r="P79" s="18" t="s">
        <v>154</v>
      </c>
      <c r="Q79" s="17" t="s">
        <v>154</v>
      </c>
      <c r="R79" s="18" t="s">
        <v>154</v>
      </c>
    </row>
    <row r="80" spans="1:18" x14ac:dyDescent="0.25">
      <c r="A80" s="11" t="s">
        <v>213</v>
      </c>
      <c r="B80" s="17" t="s">
        <v>154</v>
      </c>
      <c r="C80" s="17" t="s">
        <v>154</v>
      </c>
      <c r="D80" s="18" t="s">
        <v>154</v>
      </c>
      <c r="E80" s="17" t="s">
        <v>154</v>
      </c>
      <c r="F80" s="18" t="s">
        <v>154</v>
      </c>
      <c r="G80" s="17" t="s">
        <v>154</v>
      </c>
      <c r="H80" s="18" t="s">
        <v>154</v>
      </c>
      <c r="I80" s="17" t="s">
        <v>154</v>
      </c>
      <c r="J80" s="18" t="s">
        <v>154</v>
      </c>
      <c r="K80" s="17" t="s">
        <v>154</v>
      </c>
      <c r="L80" s="18" t="s">
        <v>154</v>
      </c>
      <c r="M80" s="17" t="s">
        <v>154</v>
      </c>
      <c r="N80" s="18" t="s">
        <v>154</v>
      </c>
      <c r="O80" s="17" t="s">
        <v>154</v>
      </c>
      <c r="P80" s="18" t="s">
        <v>154</v>
      </c>
      <c r="Q80" s="17" t="s">
        <v>154</v>
      </c>
      <c r="R80" s="18" t="s">
        <v>154</v>
      </c>
    </row>
    <row r="81" spans="1:18" x14ac:dyDescent="0.25">
      <c r="A81" s="19" t="s">
        <v>214</v>
      </c>
      <c r="B81" s="13">
        <v>8861</v>
      </c>
      <c r="C81" s="14">
        <f>(7407/B81*100)</f>
        <v>83.591016815257873</v>
      </c>
      <c r="D81" s="15">
        <v>1454</v>
      </c>
      <c r="E81" s="14">
        <v>49.872314799999998</v>
      </c>
      <c r="F81" s="16">
        <v>1.9184956</v>
      </c>
      <c r="G81" s="14">
        <v>50.127685200000002</v>
      </c>
      <c r="H81" s="16">
        <v>1.9184956</v>
      </c>
      <c r="I81" s="14" t="s">
        <v>139</v>
      </c>
      <c r="J81" s="16" t="s">
        <v>139</v>
      </c>
      <c r="K81" s="14">
        <v>0</v>
      </c>
      <c r="L81" s="16">
        <v>0</v>
      </c>
      <c r="M81" s="14">
        <v>0</v>
      </c>
      <c r="N81" s="16">
        <v>0</v>
      </c>
      <c r="O81" s="14">
        <v>0</v>
      </c>
      <c r="P81" s="16">
        <v>0</v>
      </c>
      <c r="Q81" s="14">
        <v>0</v>
      </c>
      <c r="R81" s="16">
        <v>0</v>
      </c>
    </row>
    <row r="82" spans="1:18" x14ac:dyDescent="0.25">
      <c r="A82" s="20"/>
      <c r="B82" s="20" t="s">
        <v>215</v>
      </c>
      <c r="C82" s="20" t="s">
        <v>215</v>
      </c>
      <c r="D82" s="20" t="s">
        <v>215</v>
      </c>
      <c r="E82" s="20" t="s">
        <v>215</v>
      </c>
      <c r="F82" s="20" t="s">
        <v>215</v>
      </c>
      <c r="G82" s="20" t="s">
        <v>215</v>
      </c>
      <c r="H82" s="20" t="s">
        <v>215</v>
      </c>
      <c r="I82" s="20" t="s">
        <v>215</v>
      </c>
      <c r="J82" s="20" t="s">
        <v>215</v>
      </c>
      <c r="K82" s="20" t="s">
        <v>215</v>
      </c>
      <c r="L82" s="20" t="s">
        <v>215</v>
      </c>
      <c r="M82" s="20" t="s">
        <v>215</v>
      </c>
      <c r="N82" s="20" t="s">
        <v>215</v>
      </c>
      <c r="O82" s="20" t="s">
        <v>215</v>
      </c>
      <c r="P82" s="20" t="s">
        <v>215</v>
      </c>
      <c r="Q82" s="20" t="s">
        <v>215</v>
      </c>
      <c r="R82" s="20" t="s">
        <v>215</v>
      </c>
    </row>
    <row r="83" spans="1:18" x14ac:dyDescent="0.25">
      <c r="A83" s="3" t="s">
        <v>216</v>
      </c>
    </row>
    <row r="84" spans="1:18" x14ac:dyDescent="0.25">
      <c r="A84" s="22" t="s">
        <v>217</v>
      </c>
      <c r="B84" s="23"/>
      <c r="C84" s="23"/>
      <c r="D84" s="23"/>
      <c r="E84" s="23"/>
      <c r="F84" s="23"/>
      <c r="G84" s="23"/>
      <c r="H84" s="23"/>
      <c r="I84" s="23"/>
      <c r="J84" s="23"/>
      <c r="K84" s="23"/>
      <c r="L84" s="23"/>
      <c r="M84" s="23"/>
      <c r="N84" s="23"/>
      <c r="O84" s="23"/>
      <c r="P84" s="23"/>
      <c r="Q84" s="23"/>
      <c r="R84" s="23"/>
    </row>
    <row r="85" spans="1:18" x14ac:dyDescent="0.25">
      <c r="A85" s="22" t="s">
        <v>218</v>
      </c>
      <c r="B85" s="23"/>
      <c r="C85" s="23"/>
      <c r="D85" s="23"/>
      <c r="E85" s="23"/>
      <c r="F85" s="23"/>
      <c r="G85" s="23"/>
      <c r="H85" s="23"/>
      <c r="I85" s="23"/>
      <c r="J85" s="23"/>
      <c r="K85" s="23"/>
      <c r="L85" s="23"/>
      <c r="M85" s="23"/>
      <c r="N85" s="23"/>
      <c r="O85" s="23"/>
      <c r="P85" s="23"/>
      <c r="Q85" s="23"/>
      <c r="R85" s="23"/>
    </row>
    <row r="86" spans="1:18" ht="30" customHeight="1" x14ac:dyDescent="0.25">
      <c r="A86" s="22" t="s">
        <v>219</v>
      </c>
      <c r="B86" s="23"/>
      <c r="C86" s="23"/>
      <c r="D86" s="23"/>
      <c r="E86" s="23"/>
      <c r="F86" s="23"/>
      <c r="G86" s="23"/>
      <c r="H86" s="23"/>
      <c r="I86" s="23"/>
      <c r="J86" s="23"/>
      <c r="K86" s="23"/>
      <c r="L86" s="23"/>
      <c r="M86" s="23"/>
      <c r="N86" s="23"/>
      <c r="O86" s="23"/>
      <c r="P86" s="23"/>
      <c r="Q86" s="23"/>
      <c r="R86" s="23"/>
    </row>
    <row r="87" spans="1:18" ht="30" customHeight="1" x14ac:dyDescent="0.25">
      <c r="A87" s="22" t="s">
        <v>215</v>
      </c>
      <c r="B87" s="23"/>
      <c r="C87" s="23"/>
      <c r="D87" s="23"/>
      <c r="E87" s="23"/>
      <c r="F87" s="23"/>
      <c r="G87" s="23"/>
      <c r="H87" s="23"/>
      <c r="I87" s="23"/>
      <c r="J87" s="23"/>
      <c r="K87" s="23"/>
      <c r="L87" s="23"/>
      <c r="M87" s="23"/>
      <c r="N87" s="23"/>
      <c r="O87" s="23"/>
      <c r="P87" s="23"/>
      <c r="Q87" s="23"/>
      <c r="R87" s="23"/>
    </row>
    <row r="88" spans="1:18" ht="30" customHeight="1" x14ac:dyDescent="0.25">
      <c r="A88" s="22" t="s">
        <v>220</v>
      </c>
      <c r="B88" s="23"/>
      <c r="C88" s="23"/>
      <c r="D88" s="23"/>
      <c r="E88" s="23"/>
      <c r="F88" s="23"/>
      <c r="G88" s="23"/>
      <c r="H88" s="23"/>
      <c r="I88" s="23"/>
      <c r="J88" s="23"/>
      <c r="K88" s="23"/>
      <c r="L88" s="23"/>
      <c r="M88" s="23"/>
      <c r="N88" s="23"/>
      <c r="O88" s="23"/>
      <c r="P88" s="23"/>
      <c r="Q88" s="23"/>
      <c r="R88" s="23"/>
    </row>
    <row r="89" spans="1:18" ht="30" customHeight="1" x14ac:dyDescent="0.25">
      <c r="A89" s="22" t="s">
        <v>221</v>
      </c>
      <c r="B89" s="23"/>
      <c r="C89" s="23"/>
      <c r="D89" s="23"/>
      <c r="E89" s="23"/>
      <c r="F89" s="23"/>
      <c r="G89" s="23"/>
      <c r="H89" s="23"/>
      <c r="I89" s="23"/>
      <c r="J89" s="23"/>
      <c r="K89" s="23"/>
      <c r="L89" s="23"/>
      <c r="M89" s="23"/>
      <c r="N89" s="23"/>
      <c r="O89" s="23"/>
      <c r="P89" s="23"/>
      <c r="Q89" s="23"/>
      <c r="R89" s="23"/>
    </row>
    <row r="90" spans="1:18" ht="30" customHeight="1" x14ac:dyDescent="0.25">
      <c r="A90" s="22" t="s">
        <v>222</v>
      </c>
      <c r="B90" s="23"/>
      <c r="C90" s="23"/>
      <c r="D90" s="23"/>
      <c r="E90" s="23"/>
      <c r="F90" s="23"/>
      <c r="G90" s="23"/>
      <c r="H90" s="23"/>
      <c r="I90" s="23"/>
      <c r="J90" s="23"/>
      <c r="K90" s="23"/>
      <c r="L90" s="23"/>
      <c r="M90" s="23"/>
      <c r="N90" s="23"/>
      <c r="O90" s="23"/>
      <c r="P90" s="23"/>
      <c r="Q90" s="23"/>
      <c r="R90" s="23"/>
    </row>
    <row r="91" spans="1:18" ht="30" customHeight="1" x14ac:dyDescent="0.25">
      <c r="A91" s="22" t="s">
        <v>223</v>
      </c>
      <c r="B91" s="23"/>
      <c r="C91" s="23"/>
      <c r="D91" s="23"/>
      <c r="E91" s="23"/>
      <c r="F91" s="23"/>
      <c r="G91" s="23"/>
      <c r="H91" s="23"/>
      <c r="I91" s="23"/>
      <c r="J91" s="23"/>
      <c r="K91" s="23"/>
      <c r="L91" s="23"/>
      <c r="M91" s="23"/>
      <c r="N91" s="23"/>
      <c r="O91" s="23"/>
      <c r="P91" s="23"/>
      <c r="Q91" s="23"/>
      <c r="R91" s="23"/>
    </row>
    <row r="92" spans="1:18" ht="30" customHeight="1" x14ac:dyDescent="0.25">
      <c r="A92" s="22" t="s">
        <v>224</v>
      </c>
      <c r="B92" s="23"/>
      <c r="C92" s="23"/>
      <c r="D92" s="23"/>
      <c r="E92" s="23"/>
      <c r="F92" s="23"/>
      <c r="G92" s="23"/>
      <c r="H92" s="23"/>
      <c r="I92" s="23"/>
      <c r="J92" s="23"/>
      <c r="K92" s="23"/>
      <c r="L92" s="23"/>
      <c r="M92" s="23"/>
      <c r="N92" s="23"/>
      <c r="O92" s="23"/>
      <c r="P92" s="23"/>
      <c r="Q92" s="23"/>
      <c r="R92" s="23"/>
    </row>
    <row r="93" spans="1:18" ht="30" customHeight="1" x14ac:dyDescent="0.25">
      <c r="A93" s="22" t="s">
        <v>225</v>
      </c>
      <c r="B93" s="23"/>
      <c r="C93" s="23"/>
      <c r="D93" s="23"/>
      <c r="E93" s="23"/>
      <c r="F93" s="23"/>
      <c r="G93" s="23"/>
      <c r="H93" s="23"/>
      <c r="I93" s="23"/>
      <c r="J93" s="23"/>
      <c r="K93" s="23"/>
      <c r="L93" s="23"/>
      <c r="M93" s="23"/>
      <c r="N93" s="23"/>
      <c r="O93" s="23"/>
      <c r="P93" s="23"/>
      <c r="Q93" s="23"/>
      <c r="R93" s="23"/>
    </row>
    <row r="94" spans="1:18" ht="30" customHeight="1" x14ac:dyDescent="0.25">
      <c r="A94" s="22" t="s">
        <v>226</v>
      </c>
      <c r="B94" s="23"/>
      <c r="C94" s="23"/>
      <c r="D94" s="23"/>
      <c r="E94" s="23"/>
      <c r="F94" s="23"/>
      <c r="G94" s="23"/>
      <c r="H94" s="23"/>
      <c r="I94" s="23"/>
      <c r="J94" s="23"/>
      <c r="K94" s="23"/>
      <c r="L94" s="23"/>
      <c r="M94" s="23"/>
      <c r="N94" s="23"/>
      <c r="O94" s="23"/>
      <c r="P94" s="23"/>
      <c r="Q94" s="23"/>
      <c r="R94" s="23"/>
    </row>
    <row r="95" spans="1:18" ht="30" customHeight="1" x14ac:dyDescent="0.25">
      <c r="A95" s="22" t="s">
        <v>227</v>
      </c>
      <c r="B95" s="23"/>
      <c r="C95" s="23"/>
      <c r="D95" s="23"/>
      <c r="E95" s="23"/>
      <c r="F95" s="23"/>
      <c r="G95" s="23"/>
      <c r="H95" s="23"/>
      <c r="I95" s="23"/>
      <c r="J95" s="23"/>
      <c r="K95" s="23"/>
      <c r="L95" s="23"/>
      <c r="M95" s="23"/>
      <c r="N95" s="23"/>
      <c r="O95" s="23"/>
      <c r="P95" s="23"/>
      <c r="Q95" s="23"/>
      <c r="R95" s="23"/>
    </row>
    <row r="96" spans="1:18" ht="30" customHeight="1" x14ac:dyDescent="0.25">
      <c r="A96" s="22" t="s">
        <v>228</v>
      </c>
      <c r="B96" s="23"/>
      <c r="C96" s="23"/>
      <c r="D96" s="23"/>
      <c r="E96" s="23"/>
      <c r="F96" s="23"/>
      <c r="G96" s="23"/>
      <c r="H96" s="23"/>
      <c r="I96" s="23"/>
      <c r="J96" s="23"/>
      <c r="K96" s="23"/>
      <c r="L96" s="23"/>
      <c r="M96" s="23"/>
      <c r="N96" s="23"/>
      <c r="O96" s="23"/>
      <c r="P96" s="23"/>
      <c r="Q96" s="23"/>
      <c r="R96" s="23"/>
    </row>
  </sheetData>
  <mergeCells count="22">
    <mergeCell ref="O4:P4"/>
    <mergeCell ref="Q4:R4"/>
    <mergeCell ref="A1:R1"/>
    <mergeCell ref="A2:R2"/>
    <mergeCell ref="A84:R84"/>
    <mergeCell ref="E4:F4"/>
    <mergeCell ref="G4:H4"/>
    <mergeCell ref="I4:J4"/>
    <mergeCell ref="K4:L4"/>
    <mergeCell ref="M4:N4"/>
    <mergeCell ref="A85:R85"/>
    <mergeCell ref="A86:R86"/>
    <mergeCell ref="A87:R87"/>
    <mergeCell ref="A88:R88"/>
    <mergeCell ref="A89:R89"/>
    <mergeCell ref="A95:R95"/>
    <mergeCell ref="A96:R96"/>
    <mergeCell ref="A90:R90"/>
    <mergeCell ref="A91:R91"/>
    <mergeCell ref="A92:R92"/>
    <mergeCell ref="A93:R93"/>
    <mergeCell ref="A94:R94"/>
  </mergeCells>
  <pageMargins left="0.75" right="0.75" top="1" bottom="1" header="0.5" footer="0.5"/>
</worksheet>
</file>

<file path=xl/worksheets/sheet1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7"/>
  <dimension ref="A1:R96"/>
  <sheetViews>
    <sheetView zoomScale="80" workbookViewId="0">
      <pane xSplit="4" topLeftCell="E1" activePane="topRight" state="frozen"/>
      <selection sqref="A1:R1"/>
      <selection pane="topRight" sqref="A1:R1"/>
    </sheetView>
  </sheetViews>
  <sheetFormatPr defaultColWidth="11.42578125" defaultRowHeight="15" x14ac:dyDescent="0.25"/>
  <cols>
    <col min="1" max="1" width="50" customWidth="1"/>
  </cols>
  <sheetData>
    <row r="1" spans="1:18" x14ac:dyDescent="0.25">
      <c r="A1" s="26" t="s">
        <v>122</v>
      </c>
      <c r="B1" s="23"/>
      <c r="C1" s="23"/>
      <c r="D1" s="23"/>
      <c r="E1" s="23"/>
      <c r="F1" s="23"/>
      <c r="G1" s="23"/>
      <c r="H1" s="23"/>
      <c r="I1" s="23"/>
      <c r="J1" s="23"/>
      <c r="K1" s="23"/>
      <c r="L1" s="23"/>
      <c r="M1" s="23"/>
      <c r="N1" s="23"/>
      <c r="O1" s="23"/>
      <c r="P1" s="23"/>
      <c r="Q1" s="23"/>
      <c r="R1" s="23"/>
    </row>
    <row r="2" spans="1:18" x14ac:dyDescent="0.25">
      <c r="A2" s="27" t="s">
        <v>353</v>
      </c>
      <c r="B2" s="23"/>
      <c r="C2" s="23"/>
      <c r="D2" s="23"/>
      <c r="E2" s="23"/>
      <c r="F2" s="23"/>
      <c r="G2" s="23"/>
      <c r="H2" s="23"/>
      <c r="I2" s="23"/>
      <c r="J2" s="23"/>
      <c r="K2" s="23"/>
      <c r="L2" s="23"/>
      <c r="M2" s="23"/>
      <c r="N2" s="23"/>
      <c r="O2" s="23"/>
      <c r="P2" s="23"/>
      <c r="Q2" s="23"/>
      <c r="R2" s="23"/>
    </row>
    <row r="4" spans="1:18" ht="30" customHeight="1" x14ac:dyDescent="0.25">
      <c r="A4" s="4"/>
      <c r="B4" s="5" t="s">
        <v>123</v>
      </c>
      <c r="C4" s="5" t="s">
        <v>124</v>
      </c>
      <c r="D4" s="6" t="s">
        <v>123</v>
      </c>
      <c r="E4" s="24" t="s">
        <v>125</v>
      </c>
      <c r="F4" s="25"/>
      <c r="G4" s="24" t="s">
        <v>126</v>
      </c>
      <c r="H4" s="25"/>
      <c r="I4" s="24" t="s">
        <v>127</v>
      </c>
      <c r="J4" s="25"/>
      <c r="K4" s="24" t="s">
        <v>128</v>
      </c>
      <c r="L4" s="25"/>
      <c r="M4" s="24" t="s">
        <v>129</v>
      </c>
      <c r="N4" s="25"/>
      <c r="O4" s="24" t="s">
        <v>130</v>
      </c>
      <c r="P4" s="25"/>
      <c r="Q4" s="24" t="s">
        <v>131</v>
      </c>
      <c r="R4" s="25"/>
    </row>
    <row r="5" spans="1:18" x14ac:dyDescent="0.25">
      <c r="A5" s="7"/>
      <c r="B5" s="8" t="s">
        <v>132</v>
      </c>
      <c r="C5" s="8" t="s">
        <v>133</v>
      </c>
      <c r="D5" s="7" t="s">
        <v>134</v>
      </c>
      <c r="E5" s="8" t="s">
        <v>135</v>
      </c>
      <c r="F5" s="7" t="s">
        <v>136</v>
      </c>
      <c r="G5" s="8" t="s">
        <v>135</v>
      </c>
      <c r="H5" s="7" t="s">
        <v>136</v>
      </c>
      <c r="I5" s="8" t="s">
        <v>135</v>
      </c>
      <c r="J5" s="7" t="s">
        <v>136</v>
      </c>
      <c r="K5" s="8" t="s">
        <v>135</v>
      </c>
      <c r="L5" s="7" t="s">
        <v>136</v>
      </c>
      <c r="M5" s="8" t="s">
        <v>135</v>
      </c>
      <c r="N5" s="7" t="s">
        <v>136</v>
      </c>
      <c r="O5" s="8" t="s">
        <v>135</v>
      </c>
      <c r="P5" s="7" t="s">
        <v>136</v>
      </c>
      <c r="Q5" s="8" t="s">
        <v>135</v>
      </c>
      <c r="R5" s="7" t="s">
        <v>136</v>
      </c>
    </row>
    <row r="6" spans="1:18" x14ac:dyDescent="0.25">
      <c r="A6" s="9" t="s">
        <v>137</v>
      </c>
      <c r="B6" s="10"/>
      <c r="C6" s="10"/>
      <c r="D6" s="11"/>
      <c r="E6" s="10"/>
      <c r="F6" s="11"/>
      <c r="G6" s="10"/>
      <c r="H6" s="11"/>
      <c r="I6" s="10"/>
      <c r="J6" s="11"/>
      <c r="K6" s="10"/>
      <c r="L6" s="11"/>
      <c r="M6" s="10"/>
      <c r="N6" s="11"/>
      <c r="O6" s="10"/>
      <c r="P6" s="11"/>
      <c r="Q6" s="10"/>
      <c r="R6" s="12"/>
    </row>
    <row r="7" spans="1:18" x14ac:dyDescent="0.25">
      <c r="A7" s="11" t="s">
        <v>138</v>
      </c>
      <c r="B7" s="13">
        <v>14530</v>
      </c>
      <c r="C7" s="14">
        <f>(12302/B7*100)</f>
        <v>84.666207845836212</v>
      </c>
      <c r="D7" s="15">
        <v>2228</v>
      </c>
      <c r="E7" s="14">
        <v>76.684323570000004</v>
      </c>
      <c r="F7" s="16">
        <v>1.2295332999999999</v>
      </c>
      <c r="G7" s="14">
        <v>23.31567643</v>
      </c>
      <c r="H7" s="16">
        <v>1.2295332999999999</v>
      </c>
      <c r="I7" s="14" t="s">
        <v>139</v>
      </c>
      <c r="J7" s="16" t="s">
        <v>139</v>
      </c>
      <c r="K7" s="14">
        <v>0</v>
      </c>
      <c r="L7" s="16">
        <v>0</v>
      </c>
      <c r="M7" s="14">
        <v>0</v>
      </c>
      <c r="N7" s="16">
        <v>0</v>
      </c>
      <c r="O7" s="14">
        <v>0</v>
      </c>
      <c r="P7" s="16">
        <v>0</v>
      </c>
      <c r="Q7" s="14">
        <v>0</v>
      </c>
      <c r="R7" s="16">
        <v>0</v>
      </c>
    </row>
    <row r="8" spans="1:18" x14ac:dyDescent="0.25">
      <c r="A8" s="11" t="s">
        <v>140</v>
      </c>
      <c r="B8" s="13">
        <v>7007</v>
      </c>
      <c r="C8" s="14">
        <f>(5878/B8*100)</f>
        <v>83.887541030398168</v>
      </c>
      <c r="D8" s="15">
        <v>1129</v>
      </c>
      <c r="E8" s="14">
        <v>76.811423390000002</v>
      </c>
      <c r="F8" s="16">
        <v>1.0706852099999999</v>
      </c>
      <c r="G8" s="14">
        <v>23.188576609999998</v>
      </c>
      <c r="H8" s="16">
        <v>1.0706852099999999</v>
      </c>
      <c r="I8" s="14" t="s">
        <v>139</v>
      </c>
      <c r="J8" s="16" t="s">
        <v>139</v>
      </c>
      <c r="K8" s="14">
        <v>0</v>
      </c>
      <c r="L8" s="16">
        <v>0</v>
      </c>
      <c r="M8" s="14">
        <v>0</v>
      </c>
      <c r="N8" s="16">
        <v>0</v>
      </c>
      <c r="O8" s="14">
        <v>0</v>
      </c>
      <c r="P8" s="16">
        <v>0</v>
      </c>
      <c r="Q8" s="14">
        <v>0</v>
      </c>
      <c r="R8" s="16">
        <v>0</v>
      </c>
    </row>
    <row r="9" spans="1:18" x14ac:dyDescent="0.25">
      <c r="A9" s="11" t="s">
        <v>141</v>
      </c>
      <c r="B9" s="13">
        <v>9651</v>
      </c>
      <c r="C9" s="14">
        <f>(8234/B9*100)</f>
        <v>85.317583670086009</v>
      </c>
      <c r="D9" s="15">
        <v>1417</v>
      </c>
      <c r="E9" s="14">
        <v>82.297862749999993</v>
      </c>
      <c r="F9" s="16">
        <v>1.11707763</v>
      </c>
      <c r="G9" s="14">
        <v>17.70213725</v>
      </c>
      <c r="H9" s="16">
        <v>1.11707763</v>
      </c>
      <c r="I9" s="14" t="s">
        <v>139</v>
      </c>
      <c r="J9" s="16" t="s">
        <v>139</v>
      </c>
      <c r="K9" s="14">
        <v>0</v>
      </c>
      <c r="L9" s="16">
        <v>0</v>
      </c>
      <c r="M9" s="14">
        <v>0</v>
      </c>
      <c r="N9" s="16">
        <v>0</v>
      </c>
      <c r="O9" s="14">
        <v>0</v>
      </c>
      <c r="P9" s="16">
        <v>0</v>
      </c>
      <c r="Q9" s="14">
        <v>0</v>
      </c>
      <c r="R9" s="16">
        <v>0</v>
      </c>
    </row>
    <row r="10" spans="1:18" x14ac:dyDescent="0.25">
      <c r="A10" s="11" t="s">
        <v>142</v>
      </c>
      <c r="B10" s="13">
        <v>20058</v>
      </c>
      <c r="C10" s="14">
        <f>(16791/B10*100)</f>
        <v>83.71223451989232</v>
      </c>
      <c r="D10" s="15">
        <v>3267</v>
      </c>
      <c r="E10" s="14">
        <v>77.334595730000004</v>
      </c>
      <c r="F10" s="16">
        <v>0.94765085999999998</v>
      </c>
      <c r="G10" s="14">
        <v>22.66540427</v>
      </c>
      <c r="H10" s="16">
        <v>0.94765085999999998</v>
      </c>
      <c r="I10" s="14" t="s">
        <v>139</v>
      </c>
      <c r="J10" s="16" t="s">
        <v>139</v>
      </c>
      <c r="K10" s="14">
        <v>0</v>
      </c>
      <c r="L10" s="16">
        <v>0</v>
      </c>
      <c r="M10" s="14">
        <v>0</v>
      </c>
      <c r="N10" s="16">
        <v>0</v>
      </c>
      <c r="O10" s="14">
        <v>0</v>
      </c>
      <c r="P10" s="16">
        <v>0</v>
      </c>
      <c r="Q10" s="14">
        <v>0</v>
      </c>
      <c r="R10" s="16">
        <v>0</v>
      </c>
    </row>
    <row r="11" spans="1:18" x14ac:dyDescent="0.25">
      <c r="A11" s="11" t="s">
        <v>143</v>
      </c>
      <c r="B11" s="13">
        <v>7053</v>
      </c>
      <c r="C11" s="14">
        <f>(6000/B11*100)</f>
        <v>85.070182900893229</v>
      </c>
      <c r="D11" s="15">
        <v>1053</v>
      </c>
      <c r="E11" s="14">
        <v>81.898466619999994</v>
      </c>
      <c r="F11" s="16">
        <v>1.2666501800000001</v>
      </c>
      <c r="G11" s="14">
        <v>18.101533379999999</v>
      </c>
      <c r="H11" s="16">
        <v>1.2666501800000001</v>
      </c>
      <c r="I11" s="14" t="s">
        <v>139</v>
      </c>
      <c r="J11" s="16" t="s">
        <v>139</v>
      </c>
      <c r="K11" s="14">
        <v>0</v>
      </c>
      <c r="L11" s="16">
        <v>0</v>
      </c>
      <c r="M11" s="14">
        <v>0</v>
      </c>
      <c r="N11" s="16">
        <v>0</v>
      </c>
      <c r="O11" s="14">
        <v>0</v>
      </c>
      <c r="P11" s="16">
        <v>0</v>
      </c>
      <c r="Q11" s="14">
        <v>0</v>
      </c>
      <c r="R11" s="16">
        <v>0</v>
      </c>
    </row>
    <row r="12" spans="1:18" x14ac:dyDescent="0.25">
      <c r="A12" s="11" t="s">
        <v>144</v>
      </c>
      <c r="B12" s="13">
        <v>6894</v>
      </c>
      <c r="C12" s="14">
        <f>(5829/B12*100)</f>
        <v>84.551784160139249</v>
      </c>
      <c r="D12" s="15">
        <v>1065</v>
      </c>
      <c r="E12" s="14">
        <v>88.286756299999993</v>
      </c>
      <c r="F12" s="16">
        <v>1.0028765900000001</v>
      </c>
      <c r="G12" s="14">
        <v>11.7132437</v>
      </c>
      <c r="H12" s="16">
        <v>1.0028765900000001</v>
      </c>
      <c r="I12" s="14" t="s">
        <v>139</v>
      </c>
      <c r="J12" s="16" t="s">
        <v>139</v>
      </c>
      <c r="K12" s="14">
        <v>0</v>
      </c>
      <c r="L12" s="16">
        <v>0</v>
      </c>
      <c r="M12" s="14">
        <v>0</v>
      </c>
      <c r="N12" s="16">
        <v>0</v>
      </c>
      <c r="O12" s="14">
        <v>0</v>
      </c>
      <c r="P12" s="16">
        <v>0</v>
      </c>
      <c r="Q12" s="14">
        <v>0</v>
      </c>
      <c r="R12" s="16">
        <v>0</v>
      </c>
    </row>
    <row r="13" spans="1:18" x14ac:dyDescent="0.25">
      <c r="A13" s="11" t="s">
        <v>145</v>
      </c>
      <c r="B13" s="13">
        <v>7161</v>
      </c>
      <c r="C13" s="14">
        <f>(6103/B13*100)</f>
        <v>85.22552716101103</v>
      </c>
      <c r="D13" s="15">
        <v>1058</v>
      </c>
      <c r="E13" s="14">
        <v>80.684789390000006</v>
      </c>
      <c r="F13" s="16">
        <v>1.50277496</v>
      </c>
      <c r="G13" s="14">
        <v>19.315210610000001</v>
      </c>
      <c r="H13" s="16">
        <v>1.50277496</v>
      </c>
      <c r="I13" s="14" t="s">
        <v>139</v>
      </c>
      <c r="J13" s="16" t="s">
        <v>139</v>
      </c>
      <c r="K13" s="14">
        <v>0</v>
      </c>
      <c r="L13" s="16">
        <v>0</v>
      </c>
      <c r="M13" s="14">
        <v>0</v>
      </c>
      <c r="N13" s="16">
        <v>0</v>
      </c>
      <c r="O13" s="14">
        <v>0</v>
      </c>
      <c r="P13" s="16">
        <v>0</v>
      </c>
      <c r="Q13" s="14">
        <v>0</v>
      </c>
      <c r="R13" s="16">
        <v>0</v>
      </c>
    </row>
    <row r="14" spans="1:18" x14ac:dyDescent="0.25">
      <c r="A14" s="11" t="s">
        <v>146</v>
      </c>
      <c r="B14" s="13">
        <v>5587</v>
      </c>
      <c r="C14" s="14">
        <f>(4677/B14*100)</f>
        <v>83.712189010202252</v>
      </c>
      <c r="D14" s="15">
        <v>910</v>
      </c>
      <c r="E14" s="14">
        <v>84.069742680000004</v>
      </c>
      <c r="F14" s="16">
        <v>1.2707752400000001</v>
      </c>
      <c r="G14" s="14">
        <v>15.930257320000001</v>
      </c>
      <c r="H14" s="16">
        <v>1.2707752400000001</v>
      </c>
      <c r="I14" s="14" t="s">
        <v>139</v>
      </c>
      <c r="J14" s="16" t="s">
        <v>139</v>
      </c>
      <c r="K14" s="14">
        <v>0</v>
      </c>
      <c r="L14" s="16">
        <v>0</v>
      </c>
      <c r="M14" s="14">
        <v>0</v>
      </c>
      <c r="N14" s="16">
        <v>0</v>
      </c>
      <c r="O14" s="14">
        <v>0</v>
      </c>
      <c r="P14" s="16">
        <v>0</v>
      </c>
      <c r="Q14" s="14">
        <v>0</v>
      </c>
      <c r="R14" s="16">
        <v>0</v>
      </c>
    </row>
    <row r="15" spans="1:18" x14ac:dyDescent="0.25">
      <c r="A15" s="11" t="s">
        <v>147</v>
      </c>
      <c r="B15" s="13">
        <v>5882</v>
      </c>
      <c r="C15" s="14">
        <f>(4928/B15*100)</f>
        <v>83.781026861611693</v>
      </c>
      <c r="D15" s="15">
        <v>954</v>
      </c>
      <c r="E15" s="14">
        <v>85.643108949999998</v>
      </c>
      <c r="F15" s="16">
        <v>1.17076205</v>
      </c>
      <c r="G15" s="14">
        <v>14.35689105</v>
      </c>
      <c r="H15" s="16">
        <v>1.17076205</v>
      </c>
      <c r="I15" s="14" t="s">
        <v>139</v>
      </c>
      <c r="J15" s="16" t="s">
        <v>139</v>
      </c>
      <c r="K15" s="14">
        <v>0</v>
      </c>
      <c r="L15" s="16">
        <v>0</v>
      </c>
      <c r="M15" s="14">
        <v>0</v>
      </c>
      <c r="N15" s="16">
        <v>0</v>
      </c>
      <c r="O15" s="14">
        <v>0</v>
      </c>
      <c r="P15" s="16">
        <v>0</v>
      </c>
      <c r="Q15" s="14">
        <v>0</v>
      </c>
      <c r="R15" s="16">
        <v>0</v>
      </c>
    </row>
    <row r="16" spans="1:18" x14ac:dyDescent="0.25">
      <c r="A16" s="11" t="s">
        <v>148</v>
      </c>
      <c r="B16" s="13">
        <v>6108</v>
      </c>
      <c r="C16" s="14">
        <f>(5161/B16*100)</f>
        <v>84.495743287491806</v>
      </c>
      <c r="D16" s="15">
        <v>947</v>
      </c>
      <c r="E16" s="14">
        <v>83.761204950000007</v>
      </c>
      <c r="F16" s="16">
        <v>1.09271696</v>
      </c>
      <c r="G16" s="14">
        <v>16.23879505</v>
      </c>
      <c r="H16" s="16">
        <v>1.09271696</v>
      </c>
      <c r="I16" s="14" t="s">
        <v>139</v>
      </c>
      <c r="J16" s="16" t="s">
        <v>139</v>
      </c>
      <c r="K16" s="14">
        <v>0</v>
      </c>
      <c r="L16" s="16">
        <v>0</v>
      </c>
      <c r="M16" s="14">
        <v>0</v>
      </c>
      <c r="N16" s="16">
        <v>0</v>
      </c>
      <c r="O16" s="14">
        <v>0</v>
      </c>
      <c r="P16" s="16">
        <v>0</v>
      </c>
      <c r="Q16" s="14">
        <v>0</v>
      </c>
      <c r="R16" s="16">
        <v>0</v>
      </c>
    </row>
    <row r="17" spans="1:18" x14ac:dyDescent="0.25">
      <c r="A17" s="11" t="s">
        <v>149</v>
      </c>
      <c r="B17" s="13">
        <v>6504</v>
      </c>
      <c r="C17" s="14">
        <f>(5506/B17*100)</f>
        <v>84.655596555965559</v>
      </c>
      <c r="D17" s="15">
        <v>998</v>
      </c>
      <c r="E17" s="14">
        <v>76.959781410000005</v>
      </c>
      <c r="F17" s="16">
        <v>1.3715726399999999</v>
      </c>
      <c r="G17" s="14">
        <v>23.040218589999998</v>
      </c>
      <c r="H17" s="16">
        <v>1.3715726399999999</v>
      </c>
      <c r="I17" s="14" t="s">
        <v>139</v>
      </c>
      <c r="J17" s="16" t="s">
        <v>139</v>
      </c>
      <c r="K17" s="14">
        <v>0</v>
      </c>
      <c r="L17" s="16">
        <v>0</v>
      </c>
      <c r="M17" s="14">
        <v>0</v>
      </c>
      <c r="N17" s="16">
        <v>0</v>
      </c>
      <c r="O17" s="14">
        <v>0</v>
      </c>
      <c r="P17" s="16">
        <v>0</v>
      </c>
      <c r="Q17" s="14">
        <v>0</v>
      </c>
      <c r="R17" s="16">
        <v>0</v>
      </c>
    </row>
    <row r="18" spans="1:18" x14ac:dyDescent="0.25">
      <c r="A18" s="11" t="s">
        <v>150</v>
      </c>
      <c r="B18" s="13">
        <v>5532</v>
      </c>
      <c r="C18" s="14">
        <f>(4616/B18*100)</f>
        <v>83.44179320318149</v>
      </c>
      <c r="D18" s="15">
        <v>916</v>
      </c>
      <c r="E18" s="14">
        <v>83.388196579999999</v>
      </c>
      <c r="F18" s="16">
        <v>1.0888501500000001</v>
      </c>
      <c r="G18" s="14">
        <v>16.611803420000001</v>
      </c>
      <c r="H18" s="16">
        <v>1.0888501500000001</v>
      </c>
      <c r="I18" s="14" t="s">
        <v>139</v>
      </c>
      <c r="J18" s="16" t="s">
        <v>139</v>
      </c>
      <c r="K18" s="14">
        <v>0</v>
      </c>
      <c r="L18" s="16">
        <v>0</v>
      </c>
      <c r="M18" s="14">
        <v>0</v>
      </c>
      <c r="N18" s="16">
        <v>0</v>
      </c>
      <c r="O18" s="14">
        <v>0</v>
      </c>
      <c r="P18" s="16">
        <v>0</v>
      </c>
      <c r="Q18" s="14">
        <v>0</v>
      </c>
      <c r="R18" s="16">
        <v>0</v>
      </c>
    </row>
    <row r="19" spans="1:18" x14ac:dyDescent="0.25">
      <c r="A19" s="11" t="s">
        <v>151</v>
      </c>
      <c r="B19" s="13">
        <v>5658</v>
      </c>
      <c r="C19" s="14">
        <f>(4798/B19*100)</f>
        <v>84.800282785436551</v>
      </c>
      <c r="D19" s="15">
        <v>860</v>
      </c>
      <c r="E19" s="14">
        <v>80.97014471</v>
      </c>
      <c r="F19" s="16">
        <v>1.3700682200000001</v>
      </c>
      <c r="G19" s="14">
        <v>19.02985529</v>
      </c>
      <c r="H19" s="16">
        <v>1.3700682200000001</v>
      </c>
      <c r="I19" s="14" t="s">
        <v>139</v>
      </c>
      <c r="J19" s="16" t="s">
        <v>139</v>
      </c>
      <c r="K19" s="14">
        <v>0</v>
      </c>
      <c r="L19" s="16">
        <v>0</v>
      </c>
      <c r="M19" s="14">
        <v>0</v>
      </c>
      <c r="N19" s="16">
        <v>0</v>
      </c>
      <c r="O19" s="14">
        <v>0</v>
      </c>
      <c r="P19" s="16">
        <v>0</v>
      </c>
      <c r="Q19" s="14">
        <v>0</v>
      </c>
      <c r="R19" s="16">
        <v>0</v>
      </c>
    </row>
    <row r="20" spans="1:18" x14ac:dyDescent="0.25">
      <c r="A20" s="11" t="s">
        <v>152</v>
      </c>
      <c r="B20" s="13">
        <v>3371</v>
      </c>
      <c r="C20" s="14">
        <f>(2844/B20*100)</f>
        <v>84.366656778404035</v>
      </c>
      <c r="D20" s="15">
        <v>527</v>
      </c>
      <c r="E20" s="14">
        <v>88.790628780000006</v>
      </c>
      <c r="F20" s="16">
        <v>1.44751363</v>
      </c>
      <c r="G20" s="14">
        <v>11.20937122</v>
      </c>
      <c r="H20" s="16">
        <v>1.44751363</v>
      </c>
      <c r="I20" s="14" t="s">
        <v>139</v>
      </c>
      <c r="J20" s="16" t="s">
        <v>139</v>
      </c>
      <c r="K20" s="14">
        <v>0</v>
      </c>
      <c r="L20" s="16">
        <v>0</v>
      </c>
      <c r="M20" s="14">
        <v>0</v>
      </c>
      <c r="N20" s="16">
        <v>0</v>
      </c>
      <c r="O20" s="14">
        <v>0</v>
      </c>
      <c r="P20" s="16">
        <v>0</v>
      </c>
      <c r="Q20" s="14">
        <v>0</v>
      </c>
      <c r="R20" s="16">
        <v>0</v>
      </c>
    </row>
    <row r="21" spans="1:18" x14ac:dyDescent="0.25">
      <c r="A21" s="11" t="s">
        <v>153</v>
      </c>
      <c r="B21" s="17" t="s">
        <v>154</v>
      </c>
      <c r="C21" s="17" t="s">
        <v>154</v>
      </c>
      <c r="D21" s="18" t="s">
        <v>154</v>
      </c>
      <c r="E21" s="17" t="s">
        <v>154</v>
      </c>
      <c r="F21" s="18" t="s">
        <v>154</v>
      </c>
      <c r="G21" s="17" t="s">
        <v>154</v>
      </c>
      <c r="H21" s="18" t="s">
        <v>154</v>
      </c>
      <c r="I21" s="17" t="s">
        <v>154</v>
      </c>
      <c r="J21" s="18" t="s">
        <v>154</v>
      </c>
      <c r="K21" s="17" t="s">
        <v>154</v>
      </c>
      <c r="L21" s="18" t="s">
        <v>154</v>
      </c>
      <c r="M21" s="17" t="s">
        <v>154</v>
      </c>
      <c r="N21" s="18" t="s">
        <v>154</v>
      </c>
      <c r="O21" s="17" t="s">
        <v>154</v>
      </c>
      <c r="P21" s="18" t="s">
        <v>154</v>
      </c>
      <c r="Q21" s="17" t="s">
        <v>154</v>
      </c>
      <c r="R21" s="18" t="s">
        <v>154</v>
      </c>
    </row>
    <row r="22" spans="1:18" x14ac:dyDescent="0.25">
      <c r="A22" s="11" t="s">
        <v>155</v>
      </c>
      <c r="B22" s="13">
        <v>6598</v>
      </c>
      <c r="C22" s="14">
        <f>(5643/B22*100)</f>
        <v>85.525916944528646</v>
      </c>
      <c r="D22" s="15">
        <v>955</v>
      </c>
      <c r="E22" s="14">
        <v>79.205993320000005</v>
      </c>
      <c r="F22" s="16">
        <v>1.49360812</v>
      </c>
      <c r="G22" s="14">
        <v>20.794006679999999</v>
      </c>
      <c r="H22" s="16">
        <v>1.49360812</v>
      </c>
      <c r="I22" s="14" t="s">
        <v>139</v>
      </c>
      <c r="J22" s="16" t="s">
        <v>139</v>
      </c>
      <c r="K22" s="14">
        <v>0</v>
      </c>
      <c r="L22" s="16">
        <v>0</v>
      </c>
      <c r="M22" s="14">
        <v>0</v>
      </c>
      <c r="N22" s="16">
        <v>0</v>
      </c>
      <c r="O22" s="14">
        <v>0</v>
      </c>
      <c r="P22" s="16">
        <v>0</v>
      </c>
      <c r="Q22" s="14">
        <v>0</v>
      </c>
      <c r="R22" s="16">
        <v>0</v>
      </c>
    </row>
    <row r="23" spans="1:18" x14ac:dyDescent="0.25">
      <c r="A23" s="11" t="s">
        <v>156</v>
      </c>
      <c r="B23" s="13">
        <v>11583</v>
      </c>
      <c r="C23" s="14">
        <f>(9693/B23*100)</f>
        <v>83.682983682983675</v>
      </c>
      <c r="D23" s="15">
        <v>1890</v>
      </c>
      <c r="E23" s="14">
        <v>79.621455749999996</v>
      </c>
      <c r="F23" s="16">
        <v>1.4843691800000001</v>
      </c>
      <c r="G23" s="14">
        <v>20.378544250000001</v>
      </c>
      <c r="H23" s="16">
        <v>1.4843691800000001</v>
      </c>
      <c r="I23" s="14" t="s">
        <v>139</v>
      </c>
      <c r="J23" s="16" t="s">
        <v>139</v>
      </c>
      <c r="K23" s="14">
        <v>0</v>
      </c>
      <c r="L23" s="16">
        <v>0</v>
      </c>
      <c r="M23" s="14">
        <v>0</v>
      </c>
      <c r="N23" s="16">
        <v>0</v>
      </c>
      <c r="O23" s="14">
        <v>0</v>
      </c>
      <c r="P23" s="16">
        <v>0</v>
      </c>
      <c r="Q23" s="14">
        <v>0</v>
      </c>
      <c r="R23" s="16">
        <v>0</v>
      </c>
    </row>
    <row r="24" spans="1:18" x14ac:dyDescent="0.25">
      <c r="A24" s="11" t="s">
        <v>157</v>
      </c>
      <c r="B24" s="13">
        <v>6647</v>
      </c>
      <c r="C24" s="14">
        <f>(5552/B24*100)</f>
        <v>83.526402888521133</v>
      </c>
      <c r="D24" s="15">
        <v>1095</v>
      </c>
      <c r="E24" s="14">
        <v>78.26236231</v>
      </c>
      <c r="F24" s="16">
        <v>1.4351985</v>
      </c>
      <c r="G24" s="14">
        <v>21.73763769</v>
      </c>
      <c r="H24" s="16">
        <v>1.4351985</v>
      </c>
      <c r="I24" s="14" t="s">
        <v>139</v>
      </c>
      <c r="J24" s="16" t="s">
        <v>139</v>
      </c>
      <c r="K24" s="14">
        <v>0</v>
      </c>
      <c r="L24" s="16">
        <v>0</v>
      </c>
      <c r="M24" s="14">
        <v>0</v>
      </c>
      <c r="N24" s="16">
        <v>0</v>
      </c>
      <c r="O24" s="14">
        <v>0</v>
      </c>
      <c r="P24" s="16">
        <v>0</v>
      </c>
      <c r="Q24" s="14">
        <v>0</v>
      </c>
      <c r="R24" s="16">
        <v>0</v>
      </c>
    </row>
    <row r="25" spans="1:18" x14ac:dyDescent="0.25">
      <c r="A25" s="11" t="s">
        <v>158</v>
      </c>
      <c r="B25" s="13">
        <v>5581</v>
      </c>
      <c r="C25" s="14">
        <f>(4623/B25*100)</f>
        <v>82.834617452069523</v>
      </c>
      <c r="D25" s="15">
        <v>958</v>
      </c>
      <c r="E25" s="14">
        <v>77.671664289999995</v>
      </c>
      <c r="F25" s="16">
        <v>1.4282102000000001</v>
      </c>
      <c r="G25" s="14">
        <v>22.328335710000001</v>
      </c>
      <c r="H25" s="16">
        <v>1.4282102000000001</v>
      </c>
      <c r="I25" s="14" t="s">
        <v>139</v>
      </c>
      <c r="J25" s="16" t="s">
        <v>139</v>
      </c>
      <c r="K25" s="14">
        <v>0</v>
      </c>
      <c r="L25" s="16">
        <v>0</v>
      </c>
      <c r="M25" s="14">
        <v>0</v>
      </c>
      <c r="N25" s="16">
        <v>0</v>
      </c>
      <c r="O25" s="14">
        <v>0</v>
      </c>
      <c r="P25" s="16">
        <v>0</v>
      </c>
      <c r="Q25" s="14">
        <v>0</v>
      </c>
      <c r="R25" s="16">
        <v>0</v>
      </c>
    </row>
    <row r="26" spans="1:18" x14ac:dyDescent="0.25">
      <c r="A26" s="11" t="s">
        <v>159</v>
      </c>
      <c r="B26" s="13">
        <v>4869</v>
      </c>
      <c r="C26" s="14">
        <f>(4068/B26*100)</f>
        <v>83.548983364140483</v>
      </c>
      <c r="D26" s="15">
        <v>801</v>
      </c>
      <c r="E26" s="14">
        <v>87.226919100000003</v>
      </c>
      <c r="F26" s="16">
        <v>1.29795989</v>
      </c>
      <c r="G26" s="14">
        <v>12.7730809</v>
      </c>
      <c r="H26" s="16">
        <v>1.29795989</v>
      </c>
      <c r="I26" s="14" t="s">
        <v>139</v>
      </c>
      <c r="J26" s="16" t="s">
        <v>139</v>
      </c>
      <c r="K26" s="14">
        <v>0</v>
      </c>
      <c r="L26" s="16">
        <v>0</v>
      </c>
      <c r="M26" s="14">
        <v>0</v>
      </c>
      <c r="N26" s="16">
        <v>0</v>
      </c>
      <c r="O26" s="14">
        <v>0</v>
      </c>
      <c r="P26" s="16">
        <v>0</v>
      </c>
      <c r="Q26" s="14">
        <v>0</v>
      </c>
      <c r="R26" s="16">
        <v>0</v>
      </c>
    </row>
    <row r="27" spans="1:18" x14ac:dyDescent="0.25">
      <c r="A27" s="11" t="s">
        <v>160</v>
      </c>
      <c r="B27" s="13">
        <v>5299</v>
      </c>
      <c r="C27" s="14">
        <f>(4502/B27*100)</f>
        <v>84.959426306850347</v>
      </c>
      <c r="D27" s="15">
        <v>797</v>
      </c>
      <c r="E27" s="14">
        <v>81.844208030000004</v>
      </c>
      <c r="F27" s="16">
        <v>1.4506374500000001</v>
      </c>
      <c r="G27" s="14">
        <v>18.155791969999999</v>
      </c>
      <c r="H27" s="16">
        <v>1.4506374500000001</v>
      </c>
      <c r="I27" s="14" t="s">
        <v>139</v>
      </c>
      <c r="J27" s="16" t="s">
        <v>139</v>
      </c>
      <c r="K27" s="14">
        <v>0</v>
      </c>
      <c r="L27" s="16">
        <v>0</v>
      </c>
      <c r="M27" s="14">
        <v>0</v>
      </c>
      <c r="N27" s="16">
        <v>0</v>
      </c>
      <c r="O27" s="14">
        <v>0</v>
      </c>
      <c r="P27" s="16">
        <v>0</v>
      </c>
      <c r="Q27" s="14">
        <v>0</v>
      </c>
      <c r="R27" s="16">
        <v>0</v>
      </c>
    </row>
    <row r="28" spans="1:18" x14ac:dyDescent="0.25">
      <c r="A28" s="11" t="s">
        <v>161</v>
      </c>
      <c r="B28" s="13">
        <v>7568</v>
      </c>
      <c r="C28" s="14">
        <f>(6518/B28*100)</f>
        <v>86.125792811839318</v>
      </c>
      <c r="D28" s="15">
        <v>1050</v>
      </c>
      <c r="E28" s="14">
        <v>89.161708140000002</v>
      </c>
      <c r="F28" s="16">
        <v>1.1190223500000001</v>
      </c>
      <c r="G28" s="14">
        <v>10.83829186</v>
      </c>
      <c r="H28" s="16">
        <v>1.1190223500000001</v>
      </c>
      <c r="I28" s="14" t="s">
        <v>139</v>
      </c>
      <c r="J28" s="16" t="s">
        <v>139</v>
      </c>
      <c r="K28" s="14">
        <v>0</v>
      </c>
      <c r="L28" s="16">
        <v>0</v>
      </c>
      <c r="M28" s="14">
        <v>0</v>
      </c>
      <c r="N28" s="16">
        <v>0</v>
      </c>
      <c r="O28" s="14">
        <v>0</v>
      </c>
      <c r="P28" s="16">
        <v>0</v>
      </c>
      <c r="Q28" s="14">
        <v>0</v>
      </c>
      <c r="R28" s="16">
        <v>0</v>
      </c>
    </row>
    <row r="29" spans="1:18" x14ac:dyDescent="0.25">
      <c r="A29" s="11" t="s">
        <v>162</v>
      </c>
      <c r="B29" s="13">
        <v>5385</v>
      </c>
      <c r="C29" s="14">
        <f>(4502/B29*100)</f>
        <v>83.602599814298983</v>
      </c>
      <c r="D29" s="15">
        <v>883</v>
      </c>
      <c r="E29" s="14">
        <v>75.681036320000004</v>
      </c>
      <c r="F29" s="16">
        <v>1.4830240699999999</v>
      </c>
      <c r="G29" s="14">
        <v>24.31896368</v>
      </c>
      <c r="H29" s="16">
        <v>1.4830240699999999</v>
      </c>
      <c r="I29" s="14" t="s">
        <v>139</v>
      </c>
      <c r="J29" s="16" t="s">
        <v>139</v>
      </c>
      <c r="K29" s="14">
        <v>0</v>
      </c>
      <c r="L29" s="16">
        <v>0</v>
      </c>
      <c r="M29" s="14">
        <v>0</v>
      </c>
      <c r="N29" s="16">
        <v>0</v>
      </c>
      <c r="O29" s="14">
        <v>0</v>
      </c>
      <c r="P29" s="16">
        <v>0</v>
      </c>
      <c r="Q29" s="14">
        <v>0</v>
      </c>
      <c r="R29" s="16">
        <v>0</v>
      </c>
    </row>
    <row r="30" spans="1:18" x14ac:dyDescent="0.25">
      <c r="A30" s="11" t="s">
        <v>163</v>
      </c>
      <c r="B30" s="13">
        <v>4520</v>
      </c>
      <c r="C30" s="14">
        <f>(3869/B30*100)</f>
        <v>85.597345132743357</v>
      </c>
      <c r="D30" s="15">
        <v>651</v>
      </c>
      <c r="E30" s="14">
        <v>75.652399270000004</v>
      </c>
      <c r="F30" s="16">
        <v>2.0914251199999998</v>
      </c>
      <c r="G30" s="14">
        <v>24.34760073</v>
      </c>
      <c r="H30" s="16">
        <v>2.0914251199999998</v>
      </c>
      <c r="I30" s="14" t="s">
        <v>139</v>
      </c>
      <c r="J30" s="16" t="s">
        <v>139</v>
      </c>
      <c r="K30" s="14">
        <v>0</v>
      </c>
      <c r="L30" s="16">
        <v>0</v>
      </c>
      <c r="M30" s="14">
        <v>0</v>
      </c>
      <c r="N30" s="16">
        <v>0</v>
      </c>
      <c r="O30" s="14">
        <v>0</v>
      </c>
      <c r="P30" s="16">
        <v>0</v>
      </c>
      <c r="Q30" s="14">
        <v>0</v>
      </c>
      <c r="R30" s="16">
        <v>0</v>
      </c>
    </row>
    <row r="31" spans="1:18" x14ac:dyDescent="0.25">
      <c r="A31" s="11" t="s">
        <v>164</v>
      </c>
      <c r="B31" s="13">
        <v>5456</v>
      </c>
      <c r="C31" s="14">
        <f>(4597/B31*100)</f>
        <v>84.255865102639291</v>
      </c>
      <c r="D31" s="15">
        <v>859</v>
      </c>
      <c r="E31" s="14">
        <v>82.814401070000002</v>
      </c>
      <c r="F31" s="16">
        <v>1.3717101300000001</v>
      </c>
      <c r="G31" s="14">
        <v>17.185598930000001</v>
      </c>
      <c r="H31" s="16">
        <v>1.3717101300000001</v>
      </c>
      <c r="I31" s="14" t="s">
        <v>139</v>
      </c>
      <c r="J31" s="16" t="s">
        <v>139</v>
      </c>
      <c r="K31" s="14">
        <v>0</v>
      </c>
      <c r="L31" s="16">
        <v>0</v>
      </c>
      <c r="M31" s="14">
        <v>0</v>
      </c>
      <c r="N31" s="16">
        <v>0</v>
      </c>
      <c r="O31" s="14">
        <v>0</v>
      </c>
      <c r="P31" s="16">
        <v>0</v>
      </c>
      <c r="Q31" s="14">
        <v>0</v>
      </c>
      <c r="R31" s="16">
        <v>0</v>
      </c>
    </row>
    <row r="32" spans="1:18" x14ac:dyDescent="0.25">
      <c r="A32" s="11" t="s">
        <v>165</v>
      </c>
      <c r="B32" s="17" t="s">
        <v>154</v>
      </c>
      <c r="C32" s="17" t="s">
        <v>154</v>
      </c>
      <c r="D32" s="18" t="s">
        <v>154</v>
      </c>
      <c r="E32" s="17" t="s">
        <v>154</v>
      </c>
      <c r="F32" s="18" t="s">
        <v>154</v>
      </c>
      <c r="G32" s="17" t="s">
        <v>154</v>
      </c>
      <c r="H32" s="18" t="s">
        <v>154</v>
      </c>
      <c r="I32" s="17" t="s">
        <v>154</v>
      </c>
      <c r="J32" s="18" t="s">
        <v>154</v>
      </c>
      <c r="K32" s="17" t="s">
        <v>154</v>
      </c>
      <c r="L32" s="18" t="s">
        <v>154</v>
      </c>
      <c r="M32" s="17" t="s">
        <v>154</v>
      </c>
      <c r="N32" s="18" t="s">
        <v>154</v>
      </c>
      <c r="O32" s="17" t="s">
        <v>154</v>
      </c>
      <c r="P32" s="18" t="s">
        <v>154</v>
      </c>
      <c r="Q32" s="17" t="s">
        <v>154</v>
      </c>
      <c r="R32" s="18" t="s">
        <v>154</v>
      </c>
    </row>
    <row r="33" spans="1:18" x14ac:dyDescent="0.25">
      <c r="A33" s="11" t="s">
        <v>166</v>
      </c>
      <c r="B33" s="13">
        <v>7325</v>
      </c>
      <c r="C33" s="14">
        <f>(6246/B33*100)</f>
        <v>85.269624573378849</v>
      </c>
      <c r="D33" s="15">
        <v>1079</v>
      </c>
      <c r="E33" s="14">
        <v>78.480842780000003</v>
      </c>
      <c r="F33" s="16">
        <v>1.83486992</v>
      </c>
      <c r="G33" s="14">
        <v>21.51915722</v>
      </c>
      <c r="H33" s="16">
        <v>1.83486992</v>
      </c>
      <c r="I33" s="14" t="s">
        <v>139</v>
      </c>
      <c r="J33" s="16" t="s">
        <v>139</v>
      </c>
      <c r="K33" s="14">
        <v>0</v>
      </c>
      <c r="L33" s="16">
        <v>0</v>
      </c>
      <c r="M33" s="14">
        <v>0</v>
      </c>
      <c r="N33" s="16">
        <v>0</v>
      </c>
      <c r="O33" s="14">
        <v>0</v>
      </c>
      <c r="P33" s="16">
        <v>0</v>
      </c>
      <c r="Q33" s="14">
        <v>0</v>
      </c>
      <c r="R33" s="16">
        <v>0</v>
      </c>
    </row>
    <row r="34" spans="1:18" x14ac:dyDescent="0.25">
      <c r="A34" s="11" t="s">
        <v>167</v>
      </c>
      <c r="B34" s="13">
        <v>6350</v>
      </c>
      <c r="C34" s="14">
        <f>(5413/B34*100)</f>
        <v>85.244094488188978</v>
      </c>
      <c r="D34" s="15">
        <v>937</v>
      </c>
      <c r="E34" s="14">
        <v>82.807104580000001</v>
      </c>
      <c r="F34" s="16">
        <v>1.16657838</v>
      </c>
      <c r="G34" s="14">
        <v>17.192895419999999</v>
      </c>
      <c r="H34" s="16">
        <v>1.16657838</v>
      </c>
      <c r="I34" s="14" t="s">
        <v>139</v>
      </c>
      <c r="J34" s="16" t="s">
        <v>139</v>
      </c>
      <c r="K34" s="14">
        <v>0</v>
      </c>
      <c r="L34" s="16">
        <v>0</v>
      </c>
      <c r="M34" s="14">
        <v>0</v>
      </c>
      <c r="N34" s="16">
        <v>0</v>
      </c>
      <c r="O34" s="14">
        <v>0</v>
      </c>
      <c r="P34" s="16">
        <v>0</v>
      </c>
      <c r="Q34" s="14">
        <v>0</v>
      </c>
      <c r="R34" s="16">
        <v>0</v>
      </c>
    </row>
    <row r="35" spans="1:18" x14ac:dyDescent="0.25">
      <c r="A35" s="11" t="s">
        <v>168</v>
      </c>
      <c r="B35" s="13">
        <v>6406</v>
      </c>
      <c r="C35" s="14">
        <f>(5386/B35*100)</f>
        <v>84.077427411801438</v>
      </c>
      <c r="D35" s="15">
        <v>1020</v>
      </c>
      <c r="E35" s="14">
        <v>83.436869290000004</v>
      </c>
      <c r="F35" s="16">
        <v>1.53296477</v>
      </c>
      <c r="G35" s="14">
        <v>16.563130709999999</v>
      </c>
      <c r="H35" s="16">
        <v>1.53296477</v>
      </c>
      <c r="I35" s="14" t="s">
        <v>139</v>
      </c>
      <c r="J35" s="16" t="s">
        <v>139</v>
      </c>
      <c r="K35" s="14">
        <v>0</v>
      </c>
      <c r="L35" s="16">
        <v>0</v>
      </c>
      <c r="M35" s="14">
        <v>0</v>
      </c>
      <c r="N35" s="16">
        <v>0</v>
      </c>
      <c r="O35" s="14">
        <v>0</v>
      </c>
      <c r="P35" s="16">
        <v>0</v>
      </c>
      <c r="Q35" s="14">
        <v>0</v>
      </c>
      <c r="R35" s="16">
        <v>0</v>
      </c>
    </row>
    <row r="36" spans="1:18" x14ac:dyDescent="0.25">
      <c r="A36" s="11" t="s">
        <v>169</v>
      </c>
      <c r="B36" s="13">
        <v>6736</v>
      </c>
      <c r="C36" s="14">
        <f>(5713/B36*100)</f>
        <v>84.812945368171029</v>
      </c>
      <c r="D36" s="15">
        <v>1023</v>
      </c>
      <c r="E36" s="14">
        <v>83.814376190000004</v>
      </c>
      <c r="F36" s="16">
        <v>1.0922874</v>
      </c>
      <c r="G36" s="14">
        <v>16.185623809999999</v>
      </c>
      <c r="H36" s="16">
        <v>1.0922874</v>
      </c>
      <c r="I36" s="14" t="s">
        <v>139</v>
      </c>
      <c r="J36" s="16" t="s">
        <v>139</v>
      </c>
      <c r="K36" s="14">
        <v>0</v>
      </c>
      <c r="L36" s="16">
        <v>0</v>
      </c>
      <c r="M36" s="14">
        <v>0</v>
      </c>
      <c r="N36" s="16">
        <v>0</v>
      </c>
      <c r="O36" s="14">
        <v>0</v>
      </c>
      <c r="P36" s="16">
        <v>0</v>
      </c>
      <c r="Q36" s="14">
        <v>0</v>
      </c>
      <c r="R36" s="16">
        <v>0</v>
      </c>
    </row>
    <row r="37" spans="1:18" x14ac:dyDescent="0.25">
      <c r="A37" s="11" t="s">
        <v>170</v>
      </c>
      <c r="B37" s="13">
        <v>5458</v>
      </c>
      <c r="C37" s="14">
        <f>(4658/B37*100)</f>
        <v>85.34261634298278</v>
      </c>
      <c r="D37" s="15">
        <v>800</v>
      </c>
      <c r="E37" s="14">
        <v>84.736591880000006</v>
      </c>
      <c r="F37" s="16">
        <v>1.32163031</v>
      </c>
      <c r="G37" s="14">
        <v>15.263408119999999</v>
      </c>
      <c r="H37" s="16">
        <v>1.32163031</v>
      </c>
      <c r="I37" s="14" t="s">
        <v>139</v>
      </c>
      <c r="J37" s="16" t="s">
        <v>139</v>
      </c>
      <c r="K37" s="14">
        <v>0</v>
      </c>
      <c r="L37" s="16">
        <v>0</v>
      </c>
      <c r="M37" s="14">
        <v>0</v>
      </c>
      <c r="N37" s="16">
        <v>0</v>
      </c>
      <c r="O37" s="14">
        <v>0</v>
      </c>
      <c r="P37" s="16">
        <v>0</v>
      </c>
      <c r="Q37" s="14">
        <v>0</v>
      </c>
      <c r="R37" s="16">
        <v>0</v>
      </c>
    </row>
    <row r="38" spans="1:18" x14ac:dyDescent="0.25">
      <c r="A38" s="11" t="s">
        <v>171</v>
      </c>
      <c r="B38" s="17" t="s">
        <v>154</v>
      </c>
      <c r="C38" s="17" t="s">
        <v>154</v>
      </c>
      <c r="D38" s="18" t="s">
        <v>154</v>
      </c>
      <c r="E38" s="17" t="s">
        <v>154</v>
      </c>
      <c r="F38" s="18" t="s">
        <v>154</v>
      </c>
      <c r="G38" s="17" t="s">
        <v>154</v>
      </c>
      <c r="H38" s="18" t="s">
        <v>154</v>
      </c>
      <c r="I38" s="17" t="s">
        <v>154</v>
      </c>
      <c r="J38" s="18" t="s">
        <v>154</v>
      </c>
      <c r="K38" s="17" t="s">
        <v>154</v>
      </c>
      <c r="L38" s="18" t="s">
        <v>154</v>
      </c>
      <c r="M38" s="17" t="s">
        <v>154</v>
      </c>
      <c r="N38" s="18" t="s">
        <v>154</v>
      </c>
      <c r="O38" s="17" t="s">
        <v>154</v>
      </c>
      <c r="P38" s="18" t="s">
        <v>154</v>
      </c>
      <c r="Q38" s="17" t="s">
        <v>154</v>
      </c>
      <c r="R38" s="18" t="s">
        <v>154</v>
      </c>
    </row>
    <row r="39" spans="1:18" x14ac:dyDescent="0.25">
      <c r="A39" s="11" t="s">
        <v>172</v>
      </c>
      <c r="B39" s="13">
        <v>5895</v>
      </c>
      <c r="C39" s="14">
        <f>(4872/B39*100)</f>
        <v>82.646310432569976</v>
      </c>
      <c r="D39" s="15">
        <v>1023</v>
      </c>
      <c r="E39" s="14">
        <v>84.688894790000006</v>
      </c>
      <c r="F39" s="16">
        <v>1.19278211</v>
      </c>
      <c r="G39" s="14">
        <v>15.311105209999999</v>
      </c>
      <c r="H39" s="16">
        <v>1.19278211</v>
      </c>
      <c r="I39" s="14" t="s">
        <v>139</v>
      </c>
      <c r="J39" s="16" t="s">
        <v>139</v>
      </c>
      <c r="K39" s="14">
        <v>0</v>
      </c>
      <c r="L39" s="16">
        <v>0</v>
      </c>
      <c r="M39" s="14">
        <v>0</v>
      </c>
      <c r="N39" s="16">
        <v>0</v>
      </c>
      <c r="O39" s="14">
        <v>0</v>
      </c>
      <c r="P39" s="16">
        <v>0</v>
      </c>
      <c r="Q39" s="14">
        <v>0</v>
      </c>
      <c r="R39" s="16">
        <v>0</v>
      </c>
    </row>
    <row r="40" spans="1:18" x14ac:dyDescent="0.25">
      <c r="A40" s="11" t="s">
        <v>173</v>
      </c>
      <c r="B40" s="13">
        <v>14157</v>
      </c>
      <c r="C40" s="14">
        <f>(11829/B40*100)</f>
        <v>83.55583810129265</v>
      </c>
      <c r="D40" s="15">
        <v>2328</v>
      </c>
      <c r="E40" s="14">
        <v>81.639301110000005</v>
      </c>
      <c r="F40" s="16">
        <v>1.32091851</v>
      </c>
      <c r="G40" s="14">
        <v>18.360698889999998</v>
      </c>
      <c r="H40" s="16">
        <v>1.32091851</v>
      </c>
      <c r="I40" s="14" t="s">
        <v>139</v>
      </c>
      <c r="J40" s="16" t="s">
        <v>139</v>
      </c>
      <c r="K40" s="14">
        <v>0</v>
      </c>
      <c r="L40" s="16">
        <v>0</v>
      </c>
      <c r="M40" s="14">
        <v>0</v>
      </c>
      <c r="N40" s="16">
        <v>0</v>
      </c>
      <c r="O40" s="14">
        <v>0</v>
      </c>
      <c r="P40" s="16">
        <v>0</v>
      </c>
      <c r="Q40" s="14">
        <v>0</v>
      </c>
      <c r="R40" s="16">
        <v>0</v>
      </c>
    </row>
    <row r="41" spans="1:18" x14ac:dyDescent="0.25">
      <c r="A41" s="11" t="s">
        <v>174</v>
      </c>
      <c r="B41" s="13">
        <v>5712</v>
      </c>
      <c r="C41" s="14">
        <f>(4810/B41*100)</f>
        <v>84.208683473389357</v>
      </c>
      <c r="D41" s="15">
        <v>902</v>
      </c>
      <c r="E41" s="14">
        <v>75.862032880000001</v>
      </c>
      <c r="F41" s="16">
        <v>1.46289501</v>
      </c>
      <c r="G41" s="14">
        <v>24.137967119999999</v>
      </c>
      <c r="H41" s="16">
        <v>1.46289501</v>
      </c>
      <c r="I41" s="14" t="s">
        <v>139</v>
      </c>
      <c r="J41" s="16" t="s">
        <v>139</v>
      </c>
      <c r="K41" s="14">
        <v>0</v>
      </c>
      <c r="L41" s="16">
        <v>0</v>
      </c>
      <c r="M41" s="14">
        <v>0</v>
      </c>
      <c r="N41" s="16">
        <v>0</v>
      </c>
      <c r="O41" s="14">
        <v>0</v>
      </c>
      <c r="P41" s="16">
        <v>0</v>
      </c>
      <c r="Q41" s="14">
        <v>0</v>
      </c>
      <c r="R41" s="16">
        <v>0</v>
      </c>
    </row>
    <row r="42" spans="1:18" x14ac:dyDescent="0.25">
      <c r="A42" s="11" t="s">
        <v>175</v>
      </c>
      <c r="B42" s="13">
        <f>IF(COUNT(B7:B41) &gt; 0, AVERAGE(B7:B41), "\u2014")</f>
        <v>7266.90625</v>
      </c>
      <c r="C42" s="14">
        <f>IF(COUNT(C7:C41) &gt; 0, AVERAGE(C7:C41), "—")</f>
        <v>84.390681983216851</v>
      </c>
      <c r="D42" s="15">
        <f>IF(COUNT(D7:D41) &gt; 0, AVERAGE(D7:D41), "—")</f>
        <v>1136.875</v>
      </c>
      <c r="E42" s="14">
        <f>IF(COUNT(E7:E41) &gt; 0, AVERAGE(E7:E41), "—")</f>
        <v>81.5684120909375</v>
      </c>
      <c r="F42" s="16">
        <f>IF(COUNT(F7:F41) &gt; 0, SQRT(SUMSQ(F7:F41)/(COUNT(F7:F41)*COUNT(F7:F41)) ), "—")</f>
        <v>0.23849791571115436</v>
      </c>
      <c r="G42" s="14">
        <f>IF(COUNT(G7:G41) &gt; 0, AVERAGE(G7:G41), "—")</f>
        <v>18.431587909062504</v>
      </c>
      <c r="H42" s="16">
        <f>IF(COUNT(H7:H41) &gt; 0, SQRT(SUMSQ(H7:H41)/(COUNT(H7:H41)*COUNT(H7:H41)) ), "—")</f>
        <v>0.23849791571115436</v>
      </c>
      <c r="I42" s="14" t="str">
        <f>IF(COUNT(I7:I41) &gt; 0, AVERAGE(I7:I41), "—")</f>
        <v>—</v>
      </c>
      <c r="J42" s="16" t="str">
        <f>IF(COUNT(J7:J41) &gt; 0, SQRT(SUMSQ(J7:J41)/(COUNT(J7:J41)*COUNT(J7:J41)) ), "—")</f>
        <v>—</v>
      </c>
      <c r="K42" s="14">
        <f>IF(COUNT(K7:K41) &gt; 0, AVERAGE(K7:K41), "—")</f>
        <v>0</v>
      </c>
      <c r="L42" s="16">
        <f>IF(COUNT(L7:L41) &gt; 0, SQRT(SUMSQ(L7:L41)/(COUNT(L7:L41)*COUNT(L7:L41)) ), "—")</f>
        <v>0</v>
      </c>
      <c r="M42" s="14">
        <f>IF(COUNT(M7:M41) &gt; 0, AVERAGE(M7:M41), "—")</f>
        <v>0</v>
      </c>
      <c r="N42" s="16">
        <f>IF(COUNT(N7:N41) &gt; 0, SQRT(SUMSQ(N7:N41)/(COUNT(N7:N41)*COUNT(N7:N41)) ), "—")</f>
        <v>0</v>
      </c>
      <c r="O42" s="14">
        <f>IF(COUNT(O7:O41) &gt; 0, AVERAGE(O7:O41), "—")</f>
        <v>0</v>
      </c>
      <c r="P42" s="16">
        <f>IF(COUNT(P7:P41) &gt; 0, SQRT(SUMSQ(P7:P41)/(COUNT(P7:P41)*COUNT(P7:P41)) ), "—")</f>
        <v>0</v>
      </c>
      <c r="Q42" s="14">
        <f>IF(COUNT(Q7:Q41) &gt; 0, AVERAGE(Q7:Q41), "—")</f>
        <v>0</v>
      </c>
      <c r="R42" s="16">
        <f>IF(COUNT(R7:R41) &gt; 0, SQRT(SUMSQ(R7:R41)/(COUNT(R7:R41)*COUNT(R7:R41)) ), "—")</f>
        <v>0</v>
      </c>
    </row>
    <row r="43" spans="1:18" x14ac:dyDescent="0.25">
      <c r="A43" s="9" t="s">
        <v>176</v>
      </c>
      <c r="B43" s="10"/>
      <c r="C43" s="10"/>
      <c r="D43" s="11"/>
      <c r="E43" s="10"/>
      <c r="F43" s="11"/>
      <c r="G43" s="10"/>
      <c r="H43" s="11"/>
      <c r="I43" s="10"/>
      <c r="J43" s="11"/>
      <c r="K43" s="10"/>
      <c r="L43" s="11"/>
      <c r="M43" s="10"/>
      <c r="N43" s="11"/>
      <c r="O43" s="10"/>
      <c r="P43" s="11"/>
      <c r="Q43" s="10"/>
      <c r="R43" s="12"/>
    </row>
    <row r="44" spans="1:18" x14ac:dyDescent="0.25">
      <c r="A44" s="11" t="s">
        <v>177</v>
      </c>
      <c r="B44" s="17" t="s">
        <v>154</v>
      </c>
      <c r="C44" s="17" t="s">
        <v>154</v>
      </c>
      <c r="D44" s="18" t="s">
        <v>154</v>
      </c>
      <c r="E44" s="17" t="s">
        <v>154</v>
      </c>
      <c r="F44" s="18" t="s">
        <v>154</v>
      </c>
      <c r="G44" s="17" t="s">
        <v>154</v>
      </c>
      <c r="H44" s="18" t="s">
        <v>154</v>
      </c>
      <c r="I44" s="17" t="s">
        <v>154</v>
      </c>
      <c r="J44" s="18" t="s">
        <v>154</v>
      </c>
      <c r="K44" s="17" t="s">
        <v>154</v>
      </c>
      <c r="L44" s="18" t="s">
        <v>154</v>
      </c>
      <c r="M44" s="17" t="s">
        <v>154</v>
      </c>
      <c r="N44" s="18" t="s">
        <v>154</v>
      </c>
      <c r="O44" s="17" t="s">
        <v>154</v>
      </c>
      <c r="P44" s="18" t="s">
        <v>154</v>
      </c>
      <c r="Q44" s="17" t="s">
        <v>154</v>
      </c>
      <c r="R44" s="18" t="s">
        <v>154</v>
      </c>
    </row>
    <row r="45" spans="1:18" x14ac:dyDescent="0.25">
      <c r="A45" s="11" t="s">
        <v>178</v>
      </c>
      <c r="B45" s="17" t="s">
        <v>154</v>
      </c>
      <c r="C45" s="17" t="s">
        <v>154</v>
      </c>
      <c r="D45" s="18" t="s">
        <v>154</v>
      </c>
      <c r="E45" s="17" t="s">
        <v>154</v>
      </c>
      <c r="F45" s="18" t="s">
        <v>154</v>
      </c>
      <c r="G45" s="17" t="s">
        <v>154</v>
      </c>
      <c r="H45" s="18" t="s">
        <v>154</v>
      </c>
      <c r="I45" s="17" t="s">
        <v>154</v>
      </c>
      <c r="J45" s="18" t="s">
        <v>154</v>
      </c>
      <c r="K45" s="17" t="s">
        <v>154</v>
      </c>
      <c r="L45" s="18" t="s">
        <v>154</v>
      </c>
      <c r="M45" s="17" t="s">
        <v>154</v>
      </c>
      <c r="N45" s="18" t="s">
        <v>154</v>
      </c>
      <c r="O45" s="17" t="s">
        <v>154</v>
      </c>
      <c r="P45" s="18" t="s">
        <v>154</v>
      </c>
      <c r="Q45" s="17" t="s">
        <v>154</v>
      </c>
      <c r="R45" s="18" t="s">
        <v>154</v>
      </c>
    </row>
    <row r="46" spans="1:18" x14ac:dyDescent="0.25">
      <c r="A46" s="11" t="s">
        <v>179</v>
      </c>
      <c r="B46" s="13">
        <v>23141</v>
      </c>
      <c r="C46" s="14">
        <f>(20770/B46*100)</f>
        <v>89.754116071042731</v>
      </c>
      <c r="D46" s="15">
        <v>2371</v>
      </c>
      <c r="E46" s="14">
        <v>82.744276600000006</v>
      </c>
      <c r="F46" s="16">
        <v>0.96897761999999998</v>
      </c>
      <c r="G46" s="14">
        <v>17.255723400000001</v>
      </c>
      <c r="H46" s="16">
        <v>0.96897761999999998</v>
      </c>
      <c r="I46" s="14" t="s">
        <v>139</v>
      </c>
      <c r="J46" s="16" t="s">
        <v>139</v>
      </c>
      <c r="K46" s="14">
        <v>0</v>
      </c>
      <c r="L46" s="16">
        <v>0</v>
      </c>
      <c r="M46" s="14">
        <v>0</v>
      </c>
      <c r="N46" s="16">
        <v>0</v>
      </c>
      <c r="O46" s="14">
        <v>0</v>
      </c>
      <c r="P46" s="16">
        <v>0</v>
      </c>
      <c r="Q46" s="14">
        <v>0</v>
      </c>
      <c r="R46" s="16">
        <v>0</v>
      </c>
    </row>
    <row r="47" spans="1:18" x14ac:dyDescent="0.25">
      <c r="A47" s="11" t="s">
        <v>180</v>
      </c>
      <c r="B47" s="13">
        <v>5928</v>
      </c>
      <c r="C47" s="14">
        <f>(5040/B47*100)</f>
        <v>85.020242914979761</v>
      </c>
      <c r="D47" s="15">
        <v>888</v>
      </c>
      <c r="E47" s="14">
        <v>85.318726949999999</v>
      </c>
      <c r="F47" s="16">
        <v>1.1908082200000001</v>
      </c>
      <c r="G47" s="14">
        <v>14.68127305</v>
      </c>
      <c r="H47" s="16">
        <v>1.1908082200000001</v>
      </c>
      <c r="I47" s="14" t="s">
        <v>139</v>
      </c>
      <c r="J47" s="16" t="s">
        <v>139</v>
      </c>
      <c r="K47" s="14">
        <v>0</v>
      </c>
      <c r="L47" s="16">
        <v>0</v>
      </c>
      <c r="M47" s="14">
        <v>0</v>
      </c>
      <c r="N47" s="16">
        <v>0</v>
      </c>
      <c r="O47" s="14">
        <v>0</v>
      </c>
      <c r="P47" s="16">
        <v>0</v>
      </c>
      <c r="Q47" s="14">
        <v>0</v>
      </c>
      <c r="R47" s="16">
        <v>0</v>
      </c>
    </row>
    <row r="48" spans="1:18" x14ac:dyDescent="0.25">
      <c r="A48" s="11" t="s">
        <v>181</v>
      </c>
      <c r="B48" s="13">
        <v>9841</v>
      </c>
      <c r="C48" s="14">
        <f>(8220/B48*100)</f>
        <v>83.528096738136369</v>
      </c>
      <c r="D48" s="15">
        <v>1621</v>
      </c>
      <c r="E48" s="14">
        <v>74.894846419999993</v>
      </c>
      <c r="F48" s="16">
        <v>1.69989006</v>
      </c>
      <c r="G48" s="14">
        <v>25.10515358</v>
      </c>
      <c r="H48" s="16">
        <v>1.69989006</v>
      </c>
      <c r="I48" s="14" t="s">
        <v>139</v>
      </c>
      <c r="J48" s="16" t="s">
        <v>139</v>
      </c>
      <c r="K48" s="14">
        <v>0</v>
      </c>
      <c r="L48" s="16">
        <v>0</v>
      </c>
      <c r="M48" s="14">
        <v>0</v>
      </c>
      <c r="N48" s="16">
        <v>0</v>
      </c>
      <c r="O48" s="14">
        <v>0</v>
      </c>
      <c r="P48" s="16">
        <v>0</v>
      </c>
      <c r="Q48" s="14">
        <v>0</v>
      </c>
      <c r="R48" s="16">
        <v>0</v>
      </c>
    </row>
    <row r="49" spans="1:18" x14ac:dyDescent="0.25">
      <c r="A49" s="11" t="s">
        <v>182</v>
      </c>
      <c r="B49" s="17" t="s">
        <v>154</v>
      </c>
      <c r="C49" s="17" t="s">
        <v>154</v>
      </c>
      <c r="D49" s="18" t="s">
        <v>154</v>
      </c>
      <c r="E49" s="17" t="s">
        <v>154</v>
      </c>
      <c r="F49" s="18" t="s">
        <v>154</v>
      </c>
      <c r="G49" s="17" t="s">
        <v>154</v>
      </c>
      <c r="H49" s="18" t="s">
        <v>154</v>
      </c>
      <c r="I49" s="17" t="s">
        <v>154</v>
      </c>
      <c r="J49" s="18" t="s">
        <v>154</v>
      </c>
      <c r="K49" s="17" t="s">
        <v>154</v>
      </c>
      <c r="L49" s="18" t="s">
        <v>154</v>
      </c>
      <c r="M49" s="17" t="s">
        <v>154</v>
      </c>
      <c r="N49" s="18" t="s">
        <v>154</v>
      </c>
      <c r="O49" s="17" t="s">
        <v>154</v>
      </c>
      <c r="P49" s="18" t="s">
        <v>154</v>
      </c>
      <c r="Q49" s="17" t="s">
        <v>154</v>
      </c>
      <c r="R49" s="18" t="s">
        <v>154</v>
      </c>
    </row>
    <row r="50" spans="1:18" x14ac:dyDescent="0.25">
      <c r="A50" s="11" t="s">
        <v>183</v>
      </c>
      <c r="B50" s="13">
        <v>11795</v>
      </c>
      <c r="C50" s="14">
        <f>(10071/B50*100)</f>
        <v>85.383637134378972</v>
      </c>
      <c r="D50" s="15">
        <v>1724</v>
      </c>
      <c r="E50" s="14">
        <v>87.179336570000004</v>
      </c>
      <c r="F50" s="16">
        <v>1.12311396</v>
      </c>
      <c r="G50" s="14">
        <v>12.82066343</v>
      </c>
      <c r="H50" s="16">
        <v>1.12311396</v>
      </c>
      <c r="I50" s="14" t="s">
        <v>139</v>
      </c>
      <c r="J50" s="16" t="s">
        <v>139</v>
      </c>
      <c r="K50" s="14">
        <v>0</v>
      </c>
      <c r="L50" s="16">
        <v>0</v>
      </c>
      <c r="M50" s="14">
        <v>0</v>
      </c>
      <c r="N50" s="16">
        <v>0</v>
      </c>
      <c r="O50" s="14">
        <v>0</v>
      </c>
      <c r="P50" s="16">
        <v>0</v>
      </c>
      <c r="Q50" s="14">
        <v>0</v>
      </c>
      <c r="R50" s="16">
        <v>0</v>
      </c>
    </row>
    <row r="51" spans="1:18" x14ac:dyDescent="0.25">
      <c r="A51" s="11" t="s">
        <v>184</v>
      </c>
      <c r="B51" s="13">
        <v>6866</v>
      </c>
      <c r="C51" s="14">
        <f>(5973/B51*100)</f>
        <v>86.993882901252547</v>
      </c>
      <c r="D51" s="15">
        <v>893</v>
      </c>
      <c r="E51" s="14">
        <v>85.857184430000004</v>
      </c>
      <c r="F51" s="16">
        <v>1.47270513</v>
      </c>
      <c r="G51" s="14">
        <v>14.14281557</v>
      </c>
      <c r="H51" s="16">
        <v>1.47270513</v>
      </c>
      <c r="I51" s="14" t="s">
        <v>139</v>
      </c>
      <c r="J51" s="16" t="s">
        <v>139</v>
      </c>
      <c r="K51" s="14">
        <v>0</v>
      </c>
      <c r="L51" s="16">
        <v>0</v>
      </c>
      <c r="M51" s="14">
        <v>0</v>
      </c>
      <c r="N51" s="16">
        <v>0</v>
      </c>
      <c r="O51" s="14">
        <v>0</v>
      </c>
      <c r="P51" s="16">
        <v>0</v>
      </c>
      <c r="Q51" s="14">
        <v>0</v>
      </c>
      <c r="R51" s="16">
        <v>0</v>
      </c>
    </row>
    <row r="52" spans="1:18" x14ac:dyDescent="0.25">
      <c r="A52" s="11" t="s">
        <v>185</v>
      </c>
      <c r="B52" s="13">
        <v>5809</v>
      </c>
      <c r="C52" s="14">
        <f>(4885/B52*100)</f>
        <v>84.093647787915302</v>
      </c>
      <c r="D52" s="15">
        <v>924</v>
      </c>
      <c r="E52" s="14">
        <v>86.177403670000004</v>
      </c>
      <c r="F52" s="16">
        <v>1.0883721200000001</v>
      </c>
      <c r="G52" s="14">
        <v>13.82259633</v>
      </c>
      <c r="H52" s="16">
        <v>1.0883721200000001</v>
      </c>
      <c r="I52" s="14" t="s">
        <v>139</v>
      </c>
      <c r="J52" s="16" t="s">
        <v>139</v>
      </c>
      <c r="K52" s="14">
        <v>0</v>
      </c>
      <c r="L52" s="16">
        <v>0</v>
      </c>
      <c r="M52" s="14">
        <v>0</v>
      </c>
      <c r="N52" s="16">
        <v>0</v>
      </c>
      <c r="O52" s="14">
        <v>0</v>
      </c>
      <c r="P52" s="16">
        <v>0</v>
      </c>
      <c r="Q52" s="14">
        <v>0</v>
      </c>
      <c r="R52" s="16">
        <v>0</v>
      </c>
    </row>
    <row r="53" spans="1:18" x14ac:dyDescent="0.25">
      <c r="A53" s="11" t="s">
        <v>186</v>
      </c>
      <c r="B53" s="13">
        <v>5571</v>
      </c>
      <c r="C53" s="14">
        <f>(4728/B53*100)</f>
        <v>84.86806677436725</v>
      </c>
      <c r="D53" s="15">
        <v>843</v>
      </c>
      <c r="E53" s="14">
        <v>77.863030960000003</v>
      </c>
      <c r="F53" s="16">
        <v>1.5366774299999999</v>
      </c>
      <c r="G53" s="14">
        <v>22.13696904</v>
      </c>
      <c r="H53" s="16">
        <v>1.5366774299999999</v>
      </c>
      <c r="I53" s="14" t="s">
        <v>139</v>
      </c>
      <c r="J53" s="16" t="s">
        <v>139</v>
      </c>
      <c r="K53" s="14">
        <v>0</v>
      </c>
      <c r="L53" s="16">
        <v>0</v>
      </c>
      <c r="M53" s="14">
        <v>0</v>
      </c>
      <c r="N53" s="16">
        <v>0</v>
      </c>
      <c r="O53" s="14">
        <v>0</v>
      </c>
      <c r="P53" s="16">
        <v>0</v>
      </c>
      <c r="Q53" s="14">
        <v>0</v>
      </c>
      <c r="R53" s="16">
        <v>0</v>
      </c>
    </row>
    <row r="54" spans="1:18" x14ac:dyDescent="0.25">
      <c r="A54" s="11" t="s">
        <v>187</v>
      </c>
      <c r="B54" s="17" t="s">
        <v>154</v>
      </c>
      <c r="C54" s="17" t="s">
        <v>154</v>
      </c>
      <c r="D54" s="18" t="s">
        <v>154</v>
      </c>
      <c r="E54" s="17" t="s">
        <v>154</v>
      </c>
      <c r="F54" s="18" t="s">
        <v>154</v>
      </c>
      <c r="G54" s="17" t="s">
        <v>154</v>
      </c>
      <c r="H54" s="18" t="s">
        <v>154</v>
      </c>
      <c r="I54" s="17" t="s">
        <v>154</v>
      </c>
      <c r="J54" s="18" t="s">
        <v>154</v>
      </c>
      <c r="K54" s="17" t="s">
        <v>154</v>
      </c>
      <c r="L54" s="18" t="s">
        <v>154</v>
      </c>
      <c r="M54" s="17" t="s">
        <v>154</v>
      </c>
      <c r="N54" s="18" t="s">
        <v>154</v>
      </c>
      <c r="O54" s="17" t="s">
        <v>154</v>
      </c>
      <c r="P54" s="18" t="s">
        <v>154</v>
      </c>
      <c r="Q54" s="17" t="s">
        <v>154</v>
      </c>
      <c r="R54" s="18" t="s">
        <v>154</v>
      </c>
    </row>
    <row r="55" spans="1:18" x14ac:dyDescent="0.25">
      <c r="A55" s="11" t="s">
        <v>188</v>
      </c>
      <c r="B55" s="17" t="s">
        <v>154</v>
      </c>
      <c r="C55" s="17" t="s">
        <v>154</v>
      </c>
      <c r="D55" s="18" t="s">
        <v>154</v>
      </c>
      <c r="E55" s="17" t="s">
        <v>154</v>
      </c>
      <c r="F55" s="18" t="s">
        <v>154</v>
      </c>
      <c r="G55" s="17" t="s">
        <v>154</v>
      </c>
      <c r="H55" s="18" t="s">
        <v>154</v>
      </c>
      <c r="I55" s="17" t="s">
        <v>154</v>
      </c>
      <c r="J55" s="18" t="s">
        <v>154</v>
      </c>
      <c r="K55" s="17" t="s">
        <v>154</v>
      </c>
      <c r="L55" s="18" t="s">
        <v>154</v>
      </c>
      <c r="M55" s="17" t="s">
        <v>154</v>
      </c>
      <c r="N55" s="18" t="s">
        <v>154</v>
      </c>
      <c r="O55" s="17" t="s">
        <v>154</v>
      </c>
      <c r="P55" s="18" t="s">
        <v>154</v>
      </c>
      <c r="Q55" s="17" t="s">
        <v>154</v>
      </c>
      <c r="R55" s="18" t="s">
        <v>154</v>
      </c>
    </row>
    <row r="56" spans="1:18" x14ac:dyDescent="0.25">
      <c r="A56" s="11" t="s">
        <v>189</v>
      </c>
      <c r="B56" s="13">
        <v>5359</v>
      </c>
      <c r="C56" s="14">
        <f>(4464/B56*100)</f>
        <v>83.299122970703493</v>
      </c>
      <c r="D56" s="15">
        <v>895</v>
      </c>
      <c r="E56" s="14">
        <v>0</v>
      </c>
      <c r="F56" s="16">
        <v>0</v>
      </c>
      <c r="G56" s="14">
        <v>0</v>
      </c>
      <c r="H56" s="16">
        <v>0</v>
      </c>
      <c r="I56" s="14" t="s">
        <v>139</v>
      </c>
      <c r="J56" s="16" t="s">
        <v>139</v>
      </c>
      <c r="K56" s="14">
        <v>0</v>
      </c>
      <c r="L56" s="16">
        <v>0</v>
      </c>
      <c r="M56" s="14">
        <v>100</v>
      </c>
      <c r="N56" s="16">
        <v>0</v>
      </c>
      <c r="O56" s="14">
        <v>0</v>
      </c>
      <c r="P56" s="16">
        <v>0</v>
      </c>
      <c r="Q56" s="14">
        <v>0</v>
      </c>
      <c r="R56" s="16">
        <v>0</v>
      </c>
    </row>
    <row r="57" spans="1:18" x14ac:dyDescent="0.25">
      <c r="A57" s="11" t="s">
        <v>190</v>
      </c>
      <c r="B57" s="17" t="s">
        <v>154</v>
      </c>
      <c r="C57" s="17" t="s">
        <v>154</v>
      </c>
      <c r="D57" s="18" t="s">
        <v>154</v>
      </c>
      <c r="E57" s="17" t="s">
        <v>154</v>
      </c>
      <c r="F57" s="18" t="s">
        <v>154</v>
      </c>
      <c r="G57" s="17" t="s">
        <v>154</v>
      </c>
      <c r="H57" s="18" t="s">
        <v>154</v>
      </c>
      <c r="I57" s="17" t="s">
        <v>154</v>
      </c>
      <c r="J57" s="18" t="s">
        <v>154</v>
      </c>
      <c r="K57" s="17" t="s">
        <v>154</v>
      </c>
      <c r="L57" s="18" t="s">
        <v>154</v>
      </c>
      <c r="M57" s="17" t="s">
        <v>154</v>
      </c>
      <c r="N57" s="18" t="s">
        <v>154</v>
      </c>
      <c r="O57" s="17" t="s">
        <v>154</v>
      </c>
      <c r="P57" s="18" t="s">
        <v>154</v>
      </c>
      <c r="Q57" s="17" t="s">
        <v>154</v>
      </c>
      <c r="R57" s="18" t="s">
        <v>154</v>
      </c>
    </row>
    <row r="58" spans="1:18" x14ac:dyDescent="0.25">
      <c r="A58" s="11" t="s">
        <v>191</v>
      </c>
      <c r="B58" s="17" t="s">
        <v>154</v>
      </c>
      <c r="C58" s="17" t="s">
        <v>154</v>
      </c>
      <c r="D58" s="18" t="s">
        <v>154</v>
      </c>
      <c r="E58" s="17" t="s">
        <v>154</v>
      </c>
      <c r="F58" s="18" t="s">
        <v>154</v>
      </c>
      <c r="G58" s="17" t="s">
        <v>154</v>
      </c>
      <c r="H58" s="18" t="s">
        <v>154</v>
      </c>
      <c r="I58" s="17" t="s">
        <v>154</v>
      </c>
      <c r="J58" s="18" t="s">
        <v>154</v>
      </c>
      <c r="K58" s="17" t="s">
        <v>154</v>
      </c>
      <c r="L58" s="18" t="s">
        <v>154</v>
      </c>
      <c r="M58" s="17" t="s">
        <v>154</v>
      </c>
      <c r="N58" s="18" t="s">
        <v>154</v>
      </c>
      <c r="O58" s="17" t="s">
        <v>154</v>
      </c>
      <c r="P58" s="18" t="s">
        <v>154</v>
      </c>
      <c r="Q58" s="17" t="s">
        <v>154</v>
      </c>
      <c r="R58" s="18" t="s">
        <v>154</v>
      </c>
    </row>
    <row r="59" spans="1:18" x14ac:dyDescent="0.25">
      <c r="A59" s="11" t="s">
        <v>192</v>
      </c>
      <c r="B59" s="17" t="s">
        <v>154</v>
      </c>
      <c r="C59" s="17" t="s">
        <v>154</v>
      </c>
      <c r="D59" s="18" t="s">
        <v>154</v>
      </c>
      <c r="E59" s="17" t="s">
        <v>154</v>
      </c>
      <c r="F59" s="18" t="s">
        <v>154</v>
      </c>
      <c r="G59" s="17" t="s">
        <v>154</v>
      </c>
      <c r="H59" s="18" t="s">
        <v>154</v>
      </c>
      <c r="I59" s="17" t="s">
        <v>154</v>
      </c>
      <c r="J59" s="18" t="s">
        <v>154</v>
      </c>
      <c r="K59" s="17" t="s">
        <v>154</v>
      </c>
      <c r="L59" s="18" t="s">
        <v>154</v>
      </c>
      <c r="M59" s="17" t="s">
        <v>154</v>
      </c>
      <c r="N59" s="18" t="s">
        <v>154</v>
      </c>
      <c r="O59" s="17" t="s">
        <v>154</v>
      </c>
      <c r="P59" s="18" t="s">
        <v>154</v>
      </c>
      <c r="Q59" s="17" t="s">
        <v>154</v>
      </c>
      <c r="R59" s="18" t="s">
        <v>154</v>
      </c>
    </row>
    <row r="60" spans="1:18" x14ac:dyDescent="0.25">
      <c r="A60" s="11" t="s">
        <v>193</v>
      </c>
      <c r="B60" s="17" t="s">
        <v>154</v>
      </c>
      <c r="C60" s="17" t="s">
        <v>154</v>
      </c>
      <c r="D60" s="18" t="s">
        <v>154</v>
      </c>
      <c r="E60" s="17" t="s">
        <v>154</v>
      </c>
      <c r="F60" s="18" t="s">
        <v>154</v>
      </c>
      <c r="G60" s="17" t="s">
        <v>154</v>
      </c>
      <c r="H60" s="18" t="s">
        <v>154</v>
      </c>
      <c r="I60" s="17" t="s">
        <v>154</v>
      </c>
      <c r="J60" s="18" t="s">
        <v>154</v>
      </c>
      <c r="K60" s="17" t="s">
        <v>154</v>
      </c>
      <c r="L60" s="18" t="s">
        <v>154</v>
      </c>
      <c r="M60" s="17" t="s">
        <v>154</v>
      </c>
      <c r="N60" s="18" t="s">
        <v>154</v>
      </c>
      <c r="O60" s="17" t="s">
        <v>154</v>
      </c>
      <c r="P60" s="18" t="s">
        <v>154</v>
      </c>
      <c r="Q60" s="17" t="s">
        <v>154</v>
      </c>
      <c r="R60" s="18" t="s">
        <v>154</v>
      </c>
    </row>
    <row r="61" spans="1:18" x14ac:dyDescent="0.25">
      <c r="A61" s="11" t="s">
        <v>194</v>
      </c>
      <c r="B61" s="13">
        <v>6525</v>
      </c>
      <c r="C61" s="14">
        <f>(5500/B61*100)</f>
        <v>84.291187739463595</v>
      </c>
      <c r="D61" s="15">
        <v>1025</v>
      </c>
      <c r="E61" s="14">
        <v>87.786305089999999</v>
      </c>
      <c r="F61" s="16">
        <v>1.0336997699999999</v>
      </c>
      <c r="G61" s="14">
        <v>12.213694909999999</v>
      </c>
      <c r="H61" s="16">
        <v>1.0336997699999999</v>
      </c>
      <c r="I61" s="14" t="s">
        <v>139</v>
      </c>
      <c r="J61" s="16" t="s">
        <v>139</v>
      </c>
      <c r="K61" s="14">
        <v>0</v>
      </c>
      <c r="L61" s="16">
        <v>0</v>
      </c>
      <c r="M61" s="14">
        <v>0</v>
      </c>
      <c r="N61" s="16">
        <v>0</v>
      </c>
      <c r="O61" s="14">
        <v>0</v>
      </c>
      <c r="P61" s="16">
        <v>0</v>
      </c>
      <c r="Q61" s="14">
        <v>0</v>
      </c>
      <c r="R61" s="16">
        <v>0</v>
      </c>
    </row>
    <row r="62" spans="1:18" x14ac:dyDescent="0.25">
      <c r="A62" s="11" t="s">
        <v>195</v>
      </c>
      <c r="B62" s="13">
        <v>4476</v>
      </c>
      <c r="C62" s="14">
        <f>(3758/B62*100)</f>
        <v>83.958891867739055</v>
      </c>
      <c r="D62" s="15">
        <v>718</v>
      </c>
      <c r="E62" s="14">
        <v>74.622195520000005</v>
      </c>
      <c r="F62" s="16">
        <v>1.5137139500000001</v>
      </c>
      <c r="G62" s="14">
        <v>25.377804480000002</v>
      </c>
      <c r="H62" s="16">
        <v>1.5137139500000001</v>
      </c>
      <c r="I62" s="14" t="s">
        <v>139</v>
      </c>
      <c r="J62" s="16" t="s">
        <v>139</v>
      </c>
      <c r="K62" s="14">
        <v>0</v>
      </c>
      <c r="L62" s="16">
        <v>0</v>
      </c>
      <c r="M62" s="14">
        <v>0</v>
      </c>
      <c r="N62" s="16">
        <v>0</v>
      </c>
      <c r="O62" s="14">
        <v>0</v>
      </c>
      <c r="P62" s="16">
        <v>0</v>
      </c>
      <c r="Q62" s="14">
        <v>0</v>
      </c>
      <c r="R62" s="16">
        <v>0</v>
      </c>
    </row>
    <row r="63" spans="1:18" x14ac:dyDescent="0.25">
      <c r="A63" s="11" t="s">
        <v>196</v>
      </c>
      <c r="B63" s="17" t="s">
        <v>154</v>
      </c>
      <c r="C63" s="17" t="s">
        <v>154</v>
      </c>
      <c r="D63" s="18" t="s">
        <v>154</v>
      </c>
      <c r="E63" s="17" t="s">
        <v>154</v>
      </c>
      <c r="F63" s="18" t="s">
        <v>154</v>
      </c>
      <c r="G63" s="17" t="s">
        <v>154</v>
      </c>
      <c r="H63" s="18" t="s">
        <v>154</v>
      </c>
      <c r="I63" s="17" t="s">
        <v>154</v>
      </c>
      <c r="J63" s="18" t="s">
        <v>154</v>
      </c>
      <c r="K63" s="17" t="s">
        <v>154</v>
      </c>
      <c r="L63" s="18" t="s">
        <v>154</v>
      </c>
      <c r="M63" s="17" t="s">
        <v>154</v>
      </c>
      <c r="N63" s="18" t="s">
        <v>154</v>
      </c>
      <c r="O63" s="17" t="s">
        <v>154</v>
      </c>
      <c r="P63" s="18" t="s">
        <v>154</v>
      </c>
      <c r="Q63" s="17" t="s">
        <v>154</v>
      </c>
      <c r="R63" s="18" t="s">
        <v>154</v>
      </c>
    </row>
    <row r="64" spans="1:18" x14ac:dyDescent="0.25">
      <c r="A64" s="11" t="s">
        <v>197</v>
      </c>
      <c r="B64" s="17" t="s">
        <v>154</v>
      </c>
      <c r="C64" s="17" t="s">
        <v>154</v>
      </c>
      <c r="D64" s="18" t="s">
        <v>154</v>
      </c>
      <c r="E64" s="17" t="s">
        <v>154</v>
      </c>
      <c r="F64" s="18" t="s">
        <v>154</v>
      </c>
      <c r="G64" s="17" t="s">
        <v>154</v>
      </c>
      <c r="H64" s="18" t="s">
        <v>154</v>
      </c>
      <c r="I64" s="17" t="s">
        <v>154</v>
      </c>
      <c r="J64" s="18" t="s">
        <v>154</v>
      </c>
      <c r="K64" s="17" t="s">
        <v>154</v>
      </c>
      <c r="L64" s="18" t="s">
        <v>154</v>
      </c>
      <c r="M64" s="17" t="s">
        <v>154</v>
      </c>
      <c r="N64" s="18" t="s">
        <v>154</v>
      </c>
      <c r="O64" s="17" t="s">
        <v>154</v>
      </c>
      <c r="P64" s="18" t="s">
        <v>154</v>
      </c>
      <c r="Q64" s="17" t="s">
        <v>154</v>
      </c>
      <c r="R64" s="18" t="s">
        <v>154</v>
      </c>
    </row>
    <row r="65" spans="1:18" x14ac:dyDescent="0.25">
      <c r="A65" s="11" t="s">
        <v>198</v>
      </c>
      <c r="B65" s="17" t="s">
        <v>154</v>
      </c>
      <c r="C65" s="17" t="s">
        <v>154</v>
      </c>
      <c r="D65" s="18" t="s">
        <v>154</v>
      </c>
      <c r="E65" s="17" t="s">
        <v>154</v>
      </c>
      <c r="F65" s="18" t="s">
        <v>154</v>
      </c>
      <c r="G65" s="17" t="s">
        <v>154</v>
      </c>
      <c r="H65" s="18" t="s">
        <v>154</v>
      </c>
      <c r="I65" s="17" t="s">
        <v>154</v>
      </c>
      <c r="J65" s="18" t="s">
        <v>154</v>
      </c>
      <c r="K65" s="17" t="s">
        <v>154</v>
      </c>
      <c r="L65" s="18" t="s">
        <v>154</v>
      </c>
      <c r="M65" s="17" t="s">
        <v>154</v>
      </c>
      <c r="N65" s="18" t="s">
        <v>154</v>
      </c>
      <c r="O65" s="17" t="s">
        <v>154</v>
      </c>
      <c r="P65" s="18" t="s">
        <v>154</v>
      </c>
      <c r="Q65" s="17" t="s">
        <v>154</v>
      </c>
      <c r="R65" s="18" t="s">
        <v>154</v>
      </c>
    </row>
    <row r="66" spans="1:18" x14ac:dyDescent="0.25">
      <c r="A66" s="11" t="s">
        <v>199</v>
      </c>
      <c r="B66" s="13">
        <v>5665</v>
      </c>
      <c r="C66" s="14">
        <f>(4808/B66*100)</f>
        <v>84.872021182700792</v>
      </c>
      <c r="D66" s="15">
        <v>857</v>
      </c>
      <c r="E66" s="14">
        <v>87.457333939999998</v>
      </c>
      <c r="F66" s="16">
        <v>1.1430132500000001</v>
      </c>
      <c r="G66" s="14">
        <v>12.54266606</v>
      </c>
      <c r="H66" s="16">
        <v>1.1430132500000001</v>
      </c>
      <c r="I66" s="14" t="s">
        <v>139</v>
      </c>
      <c r="J66" s="16" t="s">
        <v>139</v>
      </c>
      <c r="K66" s="14">
        <v>0</v>
      </c>
      <c r="L66" s="16">
        <v>0</v>
      </c>
      <c r="M66" s="14">
        <v>0</v>
      </c>
      <c r="N66" s="16">
        <v>0</v>
      </c>
      <c r="O66" s="14">
        <v>0</v>
      </c>
      <c r="P66" s="16">
        <v>0</v>
      </c>
      <c r="Q66" s="14">
        <v>0</v>
      </c>
      <c r="R66" s="16">
        <v>0</v>
      </c>
    </row>
    <row r="67" spans="1:18" x14ac:dyDescent="0.25">
      <c r="A67" s="11" t="s">
        <v>200</v>
      </c>
      <c r="B67" s="13">
        <v>6971</v>
      </c>
      <c r="C67" s="14">
        <f>(6104/B67*100)</f>
        <v>87.562760005738056</v>
      </c>
      <c r="D67" s="15">
        <v>867</v>
      </c>
      <c r="E67" s="14">
        <v>87.224007189999995</v>
      </c>
      <c r="F67" s="16">
        <v>1.2019954500000001</v>
      </c>
      <c r="G67" s="14">
        <v>12.77599281</v>
      </c>
      <c r="H67" s="16">
        <v>1.2019954500000001</v>
      </c>
      <c r="I67" s="14" t="s">
        <v>139</v>
      </c>
      <c r="J67" s="16" t="s">
        <v>139</v>
      </c>
      <c r="K67" s="14">
        <v>0</v>
      </c>
      <c r="L67" s="16">
        <v>0</v>
      </c>
      <c r="M67" s="14">
        <v>0</v>
      </c>
      <c r="N67" s="16">
        <v>0</v>
      </c>
      <c r="O67" s="14">
        <v>0</v>
      </c>
      <c r="P67" s="16">
        <v>0</v>
      </c>
      <c r="Q67" s="14">
        <v>0</v>
      </c>
      <c r="R67" s="16">
        <v>0</v>
      </c>
    </row>
    <row r="68" spans="1:18" x14ac:dyDescent="0.25">
      <c r="A68" s="11" t="s">
        <v>201</v>
      </c>
      <c r="B68" s="17" t="s">
        <v>154</v>
      </c>
      <c r="C68" s="17" t="s">
        <v>154</v>
      </c>
      <c r="D68" s="18" t="s">
        <v>154</v>
      </c>
      <c r="E68" s="17" t="s">
        <v>154</v>
      </c>
      <c r="F68" s="18" t="s">
        <v>154</v>
      </c>
      <c r="G68" s="17" t="s">
        <v>154</v>
      </c>
      <c r="H68" s="18" t="s">
        <v>154</v>
      </c>
      <c r="I68" s="17" t="s">
        <v>154</v>
      </c>
      <c r="J68" s="18" t="s">
        <v>154</v>
      </c>
      <c r="K68" s="17" t="s">
        <v>154</v>
      </c>
      <c r="L68" s="18" t="s">
        <v>154</v>
      </c>
      <c r="M68" s="17" t="s">
        <v>154</v>
      </c>
      <c r="N68" s="18" t="s">
        <v>154</v>
      </c>
      <c r="O68" s="17" t="s">
        <v>154</v>
      </c>
      <c r="P68" s="18" t="s">
        <v>154</v>
      </c>
      <c r="Q68" s="17" t="s">
        <v>154</v>
      </c>
      <c r="R68" s="18" t="s">
        <v>154</v>
      </c>
    </row>
    <row r="69" spans="1:18" x14ac:dyDescent="0.25">
      <c r="A69" s="11" t="s">
        <v>202</v>
      </c>
      <c r="B69" s="17" t="s">
        <v>154</v>
      </c>
      <c r="C69" s="17" t="s">
        <v>154</v>
      </c>
      <c r="D69" s="18" t="s">
        <v>154</v>
      </c>
      <c r="E69" s="17" t="s">
        <v>154</v>
      </c>
      <c r="F69" s="18" t="s">
        <v>154</v>
      </c>
      <c r="G69" s="17" t="s">
        <v>154</v>
      </c>
      <c r="H69" s="18" t="s">
        <v>154</v>
      </c>
      <c r="I69" s="17" t="s">
        <v>154</v>
      </c>
      <c r="J69" s="18" t="s">
        <v>154</v>
      </c>
      <c r="K69" s="17" t="s">
        <v>154</v>
      </c>
      <c r="L69" s="18" t="s">
        <v>154</v>
      </c>
      <c r="M69" s="17" t="s">
        <v>154</v>
      </c>
      <c r="N69" s="18" t="s">
        <v>154</v>
      </c>
      <c r="O69" s="17" t="s">
        <v>154</v>
      </c>
      <c r="P69" s="18" t="s">
        <v>154</v>
      </c>
      <c r="Q69" s="17" t="s">
        <v>154</v>
      </c>
      <c r="R69" s="18" t="s">
        <v>154</v>
      </c>
    </row>
    <row r="70" spans="1:18" x14ac:dyDescent="0.25">
      <c r="A70" s="11" t="s">
        <v>203</v>
      </c>
      <c r="B70" s="13">
        <v>6036</v>
      </c>
      <c r="C70" s="14">
        <f>(5098/B70*100)</f>
        <v>84.459907223326695</v>
      </c>
      <c r="D70" s="15">
        <v>938</v>
      </c>
      <c r="E70" s="14">
        <v>85.998796569999996</v>
      </c>
      <c r="F70" s="16">
        <v>1.21195583</v>
      </c>
      <c r="G70" s="14">
        <v>14.00120343</v>
      </c>
      <c r="H70" s="16">
        <v>1.21195583</v>
      </c>
      <c r="I70" s="14" t="s">
        <v>139</v>
      </c>
      <c r="J70" s="16" t="s">
        <v>139</v>
      </c>
      <c r="K70" s="14">
        <v>0</v>
      </c>
      <c r="L70" s="16">
        <v>0</v>
      </c>
      <c r="M70" s="14">
        <v>0</v>
      </c>
      <c r="N70" s="16">
        <v>0</v>
      </c>
      <c r="O70" s="14">
        <v>0</v>
      </c>
      <c r="P70" s="16">
        <v>0</v>
      </c>
      <c r="Q70" s="14">
        <v>0</v>
      </c>
      <c r="R70" s="16">
        <v>0</v>
      </c>
    </row>
    <row r="71" spans="1:18" x14ac:dyDescent="0.25">
      <c r="A71" s="11" t="s">
        <v>204</v>
      </c>
      <c r="B71" s="17" t="s">
        <v>154</v>
      </c>
      <c r="C71" s="17" t="s">
        <v>154</v>
      </c>
      <c r="D71" s="18" t="s">
        <v>154</v>
      </c>
      <c r="E71" s="17" t="s">
        <v>154</v>
      </c>
      <c r="F71" s="18" t="s">
        <v>154</v>
      </c>
      <c r="G71" s="17" t="s">
        <v>154</v>
      </c>
      <c r="H71" s="18" t="s">
        <v>154</v>
      </c>
      <c r="I71" s="17" t="s">
        <v>154</v>
      </c>
      <c r="J71" s="18" t="s">
        <v>154</v>
      </c>
      <c r="K71" s="17" t="s">
        <v>154</v>
      </c>
      <c r="L71" s="18" t="s">
        <v>154</v>
      </c>
      <c r="M71" s="17" t="s">
        <v>154</v>
      </c>
      <c r="N71" s="18" t="s">
        <v>154</v>
      </c>
      <c r="O71" s="17" t="s">
        <v>154</v>
      </c>
      <c r="P71" s="18" t="s">
        <v>154</v>
      </c>
      <c r="Q71" s="17" t="s">
        <v>154</v>
      </c>
      <c r="R71" s="18" t="s">
        <v>154</v>
      </c>
    </row>
    <row r="72" spans="1:18" x14ac:dyDescent="0.25">
      <c r="A72" s="11" t="s">
        <v>205</v>
      </c>
      <c r="B72" s="13">
        <v>7708</v>
      </c>
      <c r="C72" s="14">
        <f>(6380/B72*100)</f>
        <v>82.77114686040477</v>
      </c>
      <c r="D72" s="15">
        <v>1328</v>
      </c>
      <c r="E72" s="14">
        <v>80.659820300000007</v>
      </c>
      <c r="F72" s="16">
        <v>0.95733084000000002</v>
      </c>
      <c r="G72" s="14">
        <v>19.3401797</v>
      </c>
      <c r="H72" s="16">
        <v>0.95733084000000002</v>
      </c>
      <c r="I72" s="14" t="s">
        <v>139</v>
      </c>
      <c r="J72" s="16" t="s">
        <v>139</v>
      </c>
      <c r="K72" s="14">
        <v>0</v>
      </c>
      <c r="L72" s="16">
        <v>0</v>
      </c>
      <c r="M72" s="14">
        <v>0</v>
      </c>
      <c r="N72" s="16">
        <v>0</v>
      </c>
      <c r="O72" s="14">
        <v>0</v>
      </c>
      <c r="P72" s="16">
        <v>0</v>
      </c>
      <c r="Q72" s="14">
        <v>0</v>
      </c>
      <c r="R72" s="16">
        <v>0</v>
      </c>
    </row>
    <row r="73" spans="1:18" x14ac:dyDescent="0.25">
      <c r="A73" s="11" t="s">
        <v>206</v>
      </c>
      <c r="B73" s="13">
        <v>8249</v>
      </c>
      <c r="C73" s="14">
        <f>(7058/B73*100)</f>
        <v>85.561886289247184</v>
      </c>
      <c r="D73" s="15">
        <v>1191</v>
      </c>
      <c r="E73" s="14">
        <v>0</v>
      </c>
      <c r="F73" s="16">
        <v>0</v>
      </c>
      <c r="G73" s="14">
        <v>0</v>
      </c>
      <c r="H73" s="16">
        <v>0</v>
      </c>
      <c r="I73" s="14" t="s">
        <v>139</v>
      </c>
      <c r="J73" s="16" t="s">
        <v>139</v>
      </c>
      <c r="K73" s="14">
        <v>0</v>
      </c>
      <c r="L73" s="16">
        <v>0</v>
      </c>
      <c r="M73" s="14">
        <v>100</v>
      </c>
      <c r="N73" s="16">
        <v>0</v>
      </c>
      <c r="O73" s="14">
        <v>0</v>
      </c>
      <c r="P73" s="16">
        <v>0</v>
      </c>
      <c r="Q73" s="14">
        <v>0</v>
      </c>
      <c r="R73" s="16">
        <v>0</v>
      </c>
    </row>
    <row r="74" spans="1:18" x14ac:dyDescent="0.25">
      <c r="A74" s="11" t="s">
        <v>207</v>
      </c>
      <c r="B74" s="17" t="s">
        <v>154</v>
      </c>
      <c r="C74" s="17" t="s">
        <v>154</v>
      </c>
      <c r="D74" s="18" t="s">
        <v>154</v>
      </c>
      <c r="E74" s="17" t="s">
        <v>154</v>
      </c>
      <c r="F74" s="18" t="s">
        <v>154</v>
      </c>
      <c r="G74" s="17" t="s">
        <v>154</v>
      </c>
      <c r="H74" s="18" t="s">
        <v>154</v>
      </c>
      <c r="I74" s="17" t="s">
        <v>154</v>
      </c>
      <c r="J74" s="18" t="s">
        <v>154</v>
      </c>
      <c r="K74" s="17" t="s">
        <v>154</v>
      </c>
      <c r="L74" s="18" t="s">
        <v>154</v>
      </c>
      <c r="M74" s="17" t="s">
        <v>154</v>
      </c>
      <c r="N74" s="18" t="s">
        <v>154</v>
      </c>
      <c r="O74" s="17" t="s">
        <v>154</v>
      </c>
      <c r="P74" s="18" t="s">
        <v>154</v>
      </c>
      <c r="Q74" s="17" t="s">
        <v>154</v>
      </c>
      <c r="R74" s="18" t="s">
        <v>154</v>
      </c>
    </row>
    <row r="75" spans="1:18" x14ac:dyDescent="0.25">
      <c r="A75" s="11" t="s">
        <v>208</v>
      </c>
      <c r="B75" s="13">
        <v>5375</v>
      </c>
      <c r="C75" s="14">
        <f>(4623/B75*100)</f>
        <v>86.009302325581388</v>
      </c>
      <c r="D75" s="15">
        <v>752</v>
      </c>
      <c r="E75" s="14">
        <v>85.344976259999996</v>
      </c>
      <c r="F75" s="16">
        <v>1.50086217</v>
      </c>
      <c r="G75" s="14">
        <v>14.655023740000001</v>
      </c>
      <c r="H75" s="16">
        <v>1.50086217</v>
      </c>
      <c r="I75" s="14" t="s">
        <v>139</v>
      </c>
      <c r="J75" s="16" t="s">
        <v>139</v>
      </c>
      <c r="K75" s="14">
        <v>0</v>
      </c>
      <c r="L75" s="16">
        <v>0</v>
      </c>
      <c r="M75" s="14">
        <v>0</v>
      </c>
      <c r="N75" s="16">
        <v>0</v>
      </c>
      <c r="O75" s="14">
        <v>0</v>
      </c>
      <c r="P75" s="16">
        <v>0</v>
      </c>
      <c r="Q75" s="14">
        <v>0</v>
      </c>
      <c r="R75" s="16">
        <v>0</v>
      </c>
    </row>
    <row r="76" spans="1:18" x14ac:dyDescent="0.25">
      <c r="A76" s="11" t="s">
        <v>209</v>
      </c>
      <c r="B76" s="13">
        <v>14167</v>
      </c>
      <c r="C76" s="14">
        <f>(11813/B76*100)</f>
        <v>83.38392037834403</v>
      </c>
      <c r="D76" s="15">
        <v>2354</v>
      </c>
      <c r="E76" s="14">
        <v>84.238574150000005</v>
      </c>
      <c r="F76" s="16">
        <v>0.97345320000000002</v>
      </c>
      <c r="G76" s="14">
        <v>15.76142585</v>
      </c>
      <c r="H76" s="16">
        <v>0.97345320000000002</v>
      </c>
      <c r="I76" s="14" t="s">
        <v>139</v>
      </c>
      <c r="J76" s="16" t="s">
        <v>139</v>
      </c>
      <c r="K76" s="14">
        <v>0</v>
      </c>
      <c r="L76" s="16">
        <v>0</v>
      </c>
      <c r="M76" s="14">
        <v>0</v>
      </c>
      <c r="N76" s="16">
        <v>0</v>
      </c>
      <c r="O76" s="14">
        <v>0</v>
      </c>
      <c r="P76" s="16">
        <v>0</v>
      </c>
      <c r="Q76" s="14">
        <v>0</v>
      </c>
      <c r="R76" s="16">
        <v>0</v>
      </c>
    </row>
    <row r="77" spans="1:18" x14ac:dyDescent="0.25">
      <c r="A77" s="11" t="s">
        <v>210</v>
      </c>
      <c r="B77" s="13">
        <v>6062</v>
      </c>
      <c r="C77" s="14">
        <f>(5206/B77*100)</f>
        <v>85.879247773012196</v>
      </c>
      <c r="D77" s="15">
        <v>856</v>
      </c>
      <c r="E77" s="14">
        <v>84.306743310000002</v>
      </c>
      <c r="F77" s="16">
        <v>1.4280107399999999</v>
      </c>
      <c r="G77" s="14">
        <v>15.69325669</v>
      </c>
      <c r="H77" s="16">
        <v>1.4280107399999999</v>
      </c>
      <c r="I77" s="14" t="s">
        <v>139</v>
      </c>
      <c r="J77" s="16" t="s">
        <v>139</v>
      </c>
      <c r="K77" s="14">
        <v>0</v>
      </c>
      <c r="L77" s="16">
        <v>0</v>
      </c>
      <c r="M77" s="14">
        <v>0</v>
      </c>
      <c r="N77" s="16">
        <v>0</v>
      </c>
      <c r="O77" s="14">
        <v>0</v>
      </c>
      <c r="P77" s="16">
        <v>0</v>
      </c>
      <c r="Q77" s="14">
        <v>0</v>
      </c>
      <c r="R77" s="16">
        <v>0</v>
      </c>
    </row>
    <row r="78" spans="1:18" x14ac:dyDescent="0.25">
      <c r="A78" s="11" t="s">
        <v>211</v>
      </c>
      <c r="B78" s="17" t="s">
        <v>154</v>
      </c>
      <c r="C78" s="17" t="s">
        <v>154</v>
      </c>
      <c r="D78" s="18" t="s">
        <v>154</v>
      </c>
      <c r="E78" s="17" t="s">
        <v>154</v>
      </c>
      <c r="F78" s="18" t="s">
        <v>154</v>
      </c>
      <c r="G78" s="17" t="s">
        <v>154</v>
      </c>
      <c r="H78" s="18" t="s">
        <v>154</v>
      </c>
      <c r="I78" s="17" t="s">
        <v>154</v>
      </c>
      <c r="J78" s="18" t="s">
        <v>154</v>
      </c>
      <c r="K78" s="17" t="s">
        <v>154</v>
      </c>
      <c r="L78" s="18" t="s">
        <v>154</v>
      </c>
      <c r="M78" s="17" t="s">
        <v>154</v>
      </c>
      <c r="N78" s="18" t="s">
        <v>154</v>
      </c>
      <c r="O78" s="17" t="s">
        <v>154</v>
      </c>
      <c r="P78" s="18" t="s">
        <v>154</v>
      </c>
      <c r="Q78" s="17" t="s">
        <v>154</v>
      </c>
      <c r="R78" s="18" t="s">
        <v>154</v>
      </c>
    </row>
    <row r="79" spans="1:18" ht="24.95" customHeight="1" x14ac:dyDescent="0.25">
      <c r="A79" s="11" t="s">
        <v>212</v>
      </c>
      <c r="B79" s="17" t="s">
        <v>154</v>
      </c>
      <c r="C79" s="17" t="s">
        <v>154</v>
      </c>
      <c r="D79" s="18" t="s">
        <v>154</v>
      </c>
      <c r="E79" s="17" t="s">
        <v>154</v>
      </c>
      <c r="F79" s="18" t="s">
        <v>154</v>
      </c>
      <c r="G79" s="17" t="s">
        <v>154</v>
      </c>
      <c r="H79" s="18" t="s">
        <v>154</v>
      </c>
      <c r="I79" s="17" t="s">
        <v>154</v>
      </c>
      <c r="J79" s="18" t="s">
        <v>154</v>
      </c>
      <c r="K79" s="17" t="s">
        <v>154</v>
      </c>
      <c r="L79" s="18" t="s">
        <v>154</v>
      </c>
      <c r="M79" s="17" t="s">
        <v>154</v>
      </c>
      <c r="N79" s="18" t="s">
        <v>154</v>
      </c>
      <c r="O79" s="17" t="s">
        <v>154</v>
      </c>
      <c r="P79" s="18" t="s">
        <v>154</v>
      </c>
      <c r="Q79" s="17" t="s">
        <v>154</v>
      </c>
      <c r="R79" s="18" t="s">
        <v>154</v>
      </c>
    </row>
    <row r="80" spans="1:18" x14ac:dyDescent="0.25">
      <c r="A80" s="11" t="s">
        <v>213</v>
      </c>
      <c r="B80" s="17" t="s">
        <v>154</v>
      </c>
      <c r="C80" s="17" t="s">
        <v>154</v>
      </c>
      <c r="D80" s="18" t="s">
        <v>154</v>
      </c>
      <c r="E80" s="17" t="s">
        <v>154</v>
      </c>
      <c r="F80" s="18" t="s">
        <v>154</v>
      </c>
      <c r="G80" s="17" t="s">
        <v>154</v>
      </c>
      <c r="H80" s="18" t="s">
        <v>154</v>
      </c>
      <c r="I80" s="17" t="s">
        <v>154</v>
      </c>
      <c r="J80" s="18" t="s">
        <v>154</v>
      </c>
      <c r="K80" s="17" t="s">
        <v>154</v>
      </c>
      <c r="L80" s="18" t="s">
        <v>154</v>
      </c>
      <c r="M80" s="17" t="s">
        <v>154</v>
      </c>
      <c r="N80" s="18" t="s">
        <v>154</v>
      </c>
      <c r="O80" s="17" t="s">
        <v>154</v>
      </c>
      <c r="P80" s="18" t="s">
        <v>154</v>
      </c>
      <c r="Q80" s="17" t="s">
        <v>154</v>
      </c>
      <c r="R80" s="18" t="s">
        <v>154</v>
      </c>
    </row>
    <row r="81" spans="1:18" x14ac:dyDescent="0.25">
      <c r="A81" s="19" t="s">
        <v>214</v>
      </c>
      <c r="B81" s="13">
        <v>8861</v>
      </c>
      <c r="C81" s="14">
        <f>(7407/B81*100)</f>
        <v>83.591016815257873</v>
      </c>
      <c r="D81" s="15">
        <v>1454</v>
      </c>
      <c r="E81" s="14">
        <v>73.66762387</v>
      </c>
      <c r="F81" s="16">
        <v>1.44038165</v>
      </c>
      <c r="G81" s="14">
        <v>26.33237613</v>
      </c>
      <c r="H81" s="16">
        <v>1.44038165</v>
      </c>
      <c r="I81" s="14" t="s">
        <v>139</v>
      </c>
      <c r="J81" s="16" t="s">
        <v>139</v>
      </c>
      <c r="K81" s="14">
        <v>0</v>
      </c>
      <c r="L81" s="16">
        <v>0</v>
      </c>
      <c r="M81" s="14">
        <v>0</v>
      </c>
      <c r="N81" s="16">
        <v>0</v>
      </c>
      <c r="O81" s="14">
        <v>0</v>
      </c>
      <c r="P81" s="16">
        <v>0</v>
      </c>
      <c r="Q81" s="14">
        <v>0</v>
      </c>
      <c r="R81" s="16">
        <v>0</v>
      </c>
    </row>
    <row r="82" spans="1:18" x14ac:dyDescent="0.25">
      <c r="A82" s="20"/>
      <c r="B82" s="20" t="s">
        <v>215</v>
      </c>
      <c r="C82" s="20" t="s">
        <v>215</v>
      </c>
      <c r="D82" s="20" t="s">
        <v>215</v>
      </c>
      <c r="E82" s="20" t="s">
        <v>215</v>
      </c>
      <c r="F82" s="20" t="s">
        <v>215</v>
      </c>
      <c r="G82" s="20" t="s">
        <v>215</v>
      </c>
      <c r="H82" s="20" t="s">
        <v>215</v>
      </c>
      <c r="I82" s="20" t="s">
        <v>215</v>
      </c>
      <c r="J82" s="20" t="s">
        <v>215</v>
      </c>
      <c r="K82" s="20" t="s">
        <v>215</v>
      </c>
      <c r="L82" s="20" t="s">
        <v>215</v>
      </c>
      <c r="M82" s="20" t="s">
        <v>215</v>
      </c>
      <c r="N82" s="20" t="s">
        <v>215</v>
      </c>
      <c r="O82" s="20" t="s">
        <v>215</v>
      </c>
      <c r="P82" s="20" t="s">
        <v>215</v>
      </c>
      <c r="Q82" s="20" t="s">
        <v>215</v>
      </c>
      <c r="R82" s="20" t="s">
        <v>215</v>
      </c>
    </row>
    <row r="83" spans="1:18" x14ac:dyDescent="0.25">
      <c r="A83" s="3" t="s">
        <v>216</v>
      </c>
    </row>
    <row r="84" spans="1:18" x14ac:dyDescent="0.25">
      <c r="A84" s="22" t="s">
        <v>217</v>
      </c>
      <c r="B84" s="23"/>
      <c r="C84" s="23"/>
      <c r="D84" s="23"/>
      <c r="E84" s="23"/>
      <c r="F84" s="23"/>
      <c r="G84" s="23"/>
      <c r="H84" s="23"/>
      <c r="I84" s="23"/>
      <c r="J84" s="23"/>
      <c r="K84" s="23"/>
      <c r="L84" s="23"/>
      <c r="M84" s="23"/>
      <c r="N84" s="23"/>
      <c r="O84" s="23"/>
      <c r="P84" s="23"/>
      <c r="Q84" s="23"/>
      <c r="R84" s="23"/>
    </row>
    <row r="85" spans="1:18" x14ac:dyDescent="0.25">
      <c r="A85" s="22" t="s">
        <v>218</v>
      </c>
      <c r="B85" s="23"/>
      <c r="C85" s="23"/>
      <c r="D85" s="23"/>
      <c r="E85" s="23"/>
      <c r="F85" s="23"/>
      <c r="G85" s="23"/>
      <c r="H85" s="23"/>
      <c r="I85" s="23"/>
      <c r="J85" s="23"/>
      <c r="K85" s="23"/>
      <c r="L85" s="23"/>
      <c r="M85" s="23"/>
      <c r="N85" s="23"/>
      <c r="O85" s="23"/>
      <c r="P85" s="23"/>
      <c r="Q85" s="23"/>
      <c r="R85" s="23"/>
    </row>
    <row r="86" spans="1:18" ht="30" customHeight="1" x14ac:dyDescent="0.25">
      <c r="A86" s="22" t="s">
        <v>219</v>
      </c>
      <c r="B86" s="23"/>
      <c r="C86" s="23"/>
      <c r="D86" s="23"/>
      <c r="E86" s="23"/>
      <c r="F86" s="23"/>
      <c r="G86" s="23"/>
      <c r="H86" s="23"/>
      <c r="I86" s="23"/>
      <c r="J86" s="23"/>
      <c r="K86" s="23"/>
      <c r="L86" s="23"/>
      <c r="M86" s="23"/>
      <c r="N86" s="23"/>
      <c r="O86" s="23"/>
      <c r="P86" s="23"/>
      <c r="Q86" s="23"/>
      <c r="R86" s="23"/>
    </row>
    <row r="87" spans="1:18" ht="30" customHeight="1" x14ac:dyDescent="0.25">
      <c r="A87" s="22" t="s">
        <v>215</v>
      </c>
      <c r="B87" s="23"/>
      <c r="C87" s="23"/>
      <c r="D87" s="23"/>
      <c r="E87" s="23"/>
      <c r="F87" s="23"/>
      <c r="G87" s="23"/>
      <c r="H87" s="23"/>
      <c r="I87" s="23"/>
      <c r="J87" s="23"/>
      <c r="K87" s="23"/>
      <c r="L87" s="23"/>
      <c r="M87" s="23"/>
      <c r="N87" s="23"/>
      <c r="O87" s="23"/>
      <c r="P87" s="23"/>
      <c r="Q87" s="23"/>
      <c r="R87" s="23"/>
    </row>
    <row r="88" spans="1:18" ht="30" customHeight="1" x14ac:dyDescent="0.25">
      <c r="A88" s="22" t="s">
        <v>220</v>
      </c>
      <c r="B88" s="23"/>
      <c r="C88" s="23"/>
      <c r="D88" s="23"/>
      <c r="E88" s="23"/>
      <c r="F88" s="23"/>
      <c r="G88" s="23"/>
      <c r="H88" s="23"/>
      <c r="I88" s="23"/>
      <c r="J88" s="23"/>
      <c r="K88" s="23"/>
      <c r="L88" s="23"/>
      <c r="M88" s="23"/>
      <c r="N88" s="23"/>
      <c r="O88" s="23"/>
      <c r="P88" s="23"/>
      <c r="Q88" s="23"/>
      <c r="R88" s="23"/>
    </row>
    <row r="89" spans="1:18" ht="30" customHeight="1" x14ac:dyDescent="0.25">
      <c r="A89" s="22" t="s">
        <v>221</v>
      </c>
      <c r="B89" s="23"/>
      <c r="C89" s="23"/>
      <c r="D89" s="23"/>
      <c r="E89" s="23"/>
      <c r="F89" s="23"/>
      <c r="G89" s="23"/>
      <c r="H89" s="23"/>
      <c r="I89" s="23"/>
      <c r="J89" s="23"/>
      <c r="K89" s="23"/>
      <c r="L89" s="23"/>
      <c r="M89" s="23"/>
      <c r="N89" s="23"/>
      <c r="O89" s="23"/>
      <c r="P89" s="23"/>
      <c r="Q89" s="23"/>
      <c r="R89" s="23"/>
    </row>
    <row r="90" spans="1:18" ht="30" customHeight="1" x14ac:dyDescent="0.25">
      <c r="A90" s="22" t="s">
        <v>222</v>
      </c>
      <c r="B90" s="23"/>
      <c r="C90" s="23"/>
      <c r="D90" s="23"/>
      <c r="E90" s="23"/>
      <c r="F90" s="23"/>
      <c r="G90" s="23"/>
      <c r="H90" s="23"/>
      <c r="I90" s="23"/>
      <c r="J90" s="23"/>
      <c r="K90" s="23"/>
      <c r="L90" s="23"/>
      <c r="M90" s="23"/>
      <c r="N90" s="23"/>
      <c r="O90" s="23"/>
      <c r="P90" s="23"/>
      <c r="Q90" s="23"/>
      <c r="R90" s="23"/>
    </row>
    <row r="91" spans="1:18" ht="30" customHeight="1" x14ac:dyDescent="0.25">
      <c r="A91" s="22" t="s">
        <v>223</v>
      </c>
      <c r="B91" s="23"/>
      <c r="C91" s="23"/>
      <c r="D91" s="23"/>
      <c r="E91" s="23"/>
      <c r="F91" s="23"/>
      <c r="G91" s="23"/>
      <c r="H91" s="23"/>
      <c r="I91" s="23"/>
      <c r="J91" s="23"/>
      <c r="K91" s="23"/>
      <c r="L91" s="23"/>
      <c r="M91" s="23"/>
      <c r="N91" s="23"/>
      <c r="O91" s="23"/>
      <c r="P91" s="23"/>
      <c r="Q91" s="23"/>
      <c r="R91" s="23"/>
    </row>
    <row r="92" spans="1:18" ht="30" customHeight="1" x14ac:dyDescent="0.25">
      <c r="A92" s="22" t="s">
        <v>224</v>
      </c>
      <c r="B92" s="23"/>
      <c r="C92" s="23"/>
      <c r="D92" s="23"/>
      <c r="E92" s="23"/>
      <c r="F92" s="23"/>
      <c r="G92" s="23"/>
      <c r="H92" s="23"/>
      <c r="I92" s="23"/>
      <c r="J92" s="23"/>
      <c r="K92" s="23"/>
      <c r="L92" s="23"/>
      <c r="M92" s="23"/>
      <c r="N92" s="23"/>
      <c r="O92" s="23"/>
      <c r="P92" s="23"/>
      <c r="Q92" s="23"/>
      <c r="R92" s="23"/>
    </row>
    <row r="93" spans="1:18" ht="30" customHeight="1" x14ac:dyDescent="0.25">
      <c r="A93" s="22" t="s">
        <v>225</v>
      </c>
      <c r="B93" s="23"/>
      <c r="C93" s="23"/>
      <c r="D93" s="23"/>
      <c r="E93" s="23"/>
      <c r="F93" s="23"/>
      <c r="G93" s="23"/>
      <c r="H93" s="23"/>
      <c r="I93" s="23"/>
      <c r="J93" s="23"/>
      <c r="K93" s="23"/>
      <c r="L93" s="23"/>
      <c r="M93" s="23"/>
      <c r="N93" s="23"/>
      <c r="O93" s="23"/>
      <c r="P93" s="23"/>
      <c r="Q93" s="23"/>
      <c r="R93" s="23"/>
    </row>
    <row r="94" spans="1:18" ht="30" customHeight="1" x14ac:dyDescent="0.25">
      <c r="A94" s="22" t="s">
        <v>226</v>
      </c>
      <c r="B94" s="23"/>
      <c r="C94" s="23"/>
      <c r="D94" s="23"/>
      <c r="E94" s="23"/>
      <c r="F94" s="23"/>
      <c r="G94" s="23"/>
      <c r="H94" s="23"/>
      <c r="I94" s="23"/>
      <c r="J94" s="23"/>
      <c r="K94" s="23"/>
      <c r="L94" s="23"/>
      <c r="M94" s="23"/>
      <c r="N94" s="23"/>
      <c r="O94" s="23"/>
      <c r="P94" s="23"/>
      <c r="Q94" s="23"/>
      <c r="R94" s="23"/>
    </row>
    <row r="95" spans="1:18" ht="30" customHeight="1" x14ac:dyDescent="0.25">
      <c r="A95" s="22" t="s">
        <v>227</v>
      </c>
      <c r="B95" s="23"/>
      <c r="C95" s="23"/>
      <c r="D95" s="23"/>
      <c r="E95" s="23"/>
      <c r="F95" s="23"/>
      <c r="G95" s="23"/>
      <c r="H95" s="23"/>
      <c r="I95" s="23"/>
      <c r="J95" s="23"/>
      <c r="K95" s="23"/>
      <c r="L95" s="23"/>
      <c r="M95" s="23"/>
      <c r="N95" s="23"/>
      <c r="O95" s="23"/>
      <c r="P95" s="23"/>
      <c r="Q95" s="23"/>
      <c r="R95" s="23"/>
    </row>
    <row r="96" spans="1:18" ht="30" customHeight="1" x14ac:dyDescent="0.25">
      <c r="A96" s="22" t="s">
        <v>228</v>
      </c>
      <c r="B96" s="23"/>
      <c r="C96" s="23"/>
      <c r="D96" s="23"/>
      <c r="E96" s="23"/>
      <c r="F96" s="23"/>
      <c r="G96" s="23"/>
      <c r="H96" s="23"/>
      <c r="I96" s="23"/>
      <c r="J96" s="23"/>
      <c r="K96" s="23"/>
      <c r="L96" s="23"/>
      <c r="M96" s="23"/>
      <c r="N96" s="23"/>
      <c r="O96" s="23"/>
      <c r="P96" s="23"/>
      <c r="Q96" s="23"/>
      <c r="R96" s="23"/>
    </row>
  </sheetData>
  <mergeCells count="22">
    <mergeCell ref="O4:P4"/>
    <mergeCell ref="Q4:R4"/>
    <mergeCell ref="A1:R1"/>
    <mergeCell ref="A2:R2"/>
    <mergeCell ref="A84:R84"/>
    <mergeCell ref="E4:F4"/>
    <mergeCell ref="G4:H4"/>
    <mergeCell ref="I4:J4"/>
    <mergeCell ref="K4:L4"/>
    <mergeCell ref="M4:N4"/>
    <mergeCell ref="A85:R85"/>
    <mergeCell ref="A86:R86"/>
    <mergeCell ref="A87:R87"/>
    <mergeCell ref="A88:R88"/>
    <mergeCell ref="A89:R89"/>
    <mergeCell ref="A95:R95"/>
    <mergeCell ref="A96:R96"/>
    <mergeCell ref="A90:R90"/>
    <mergeCell ref="A91:R91"/>
    <mergeCell ref="A92:R92"/>
    <mergeCell ref="A93:R93"/>
    <mergeCell ref="A94:R94"/>
  </mergeCells>
  <pageMargins left="0.75" right="0.75" top="1" bottom="1" header="0.5" footer="0.5"/>
</worksheet>
</file>

<file path=xl/worksheets/sheet1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8"/>
  <dimension ref="A1:R96"/>
  <sheetViews>
    <sheetView zoomScale="80" workbookViewId="0">
      <pane xSplit="4" topLeftCell="E1" activePane="topRight" state="frozen"/>
      <selection sqref="A1:R1"/>
      <selection pane="topRight" sqref="A1:R1"/>
    </sheetView>
  </sheetViews>
  <sheetFormatPr defaultColWidth="11.42578125" defaultRowHeight="15" x14ac:dyDescent="0.25"/>
  <cols>
    <col min="1" max="1" width="50" customWidth="1"/>
  </cols>
  <sheetData>
    <row r="1" spans="1:18" x14ac:dyDescent="0.25">
      <c r="A1" s="26" t="s">
        <v>122</v>
      </c>
      <c r="B1" s="23"/>
      <c r="C1" s="23"/>
      <c r="D1" s="23"/>
      <c r="E1" s="23"/>
      <c r="F1" s="23"/>
      <c r="G1" s="23"/>
      <c r="H1" s="23"/>
      <c r="I1" s="23"/>
      <c r="J1" s="23"/>
      <c r="K1" s="23"/>
      <c r="L1" s="23"/>
      <c r="M1" s="23"/>
      <c r="N1" s="23"/>
      <c r="O1" s="23"/>
      <c r="P1" s="23"/>
      <c r="Q1" s="23"/>
      <c r="R1" s="23"/>
    </row>
    <row r="2" spans="1:18" x14ac:dyDescent="0.25">
      <c r="A2" s="27" t="s">
        <v>354</v>
      </c>
      <c r="B2" s="23"/>
      <c r="C2" s="23"/>
      <c r="D2" s="23"/>
      <c r="E2" s="23"/>
      <c r="F2" s="23"/>
      <c r="G2" s="23"/>
      <c r="H2" s="23"/>
      <c r="I2" s="23"/>
      <c r="J2" s="23"/>
      <c r="K2" s="23"/>
      <c r="L2" s="23"/>
      <c r="M2" s="23"/>
      <c r="N2" s="23"/>
      <c r="O2" s="23"/>
      <c r="P2" s="23"/>
      <c r="Q2" s="23"/>
      <c r="R2" s="23"/>
    </row>
    <row r="4" spans="1:18" ht="30" customHeight="1" x14ac:dyDescent="0.25">
      <c r="A4" s="4"/>
      <c r="B4" s="5" t="s">
        <v>123</v>
      </c>
      <c r="C4" s="5" t="s">
        <v>124</v>
      </c>
      <c r="D4" s="6" t="s">
        <v>123</v>
      </c>
      <c r="E4" s="24" t="s">
        <v>125</v>
      </c>
      <c r="F4" s="25"/>
      <c r="G4" s="24" t="s">
        <v>126</v>
      </c>
      <c r="H4" s="25"/>
      <c r="I4" s="24" t="s">
        <v>127</v>
      </c>
      <c r="J4" s="25"/>
      <c r="K4" s="24" t="s">
        <v>128</v>
      </c>
      <c r="L4" s="25"/>
      <c r="M4" s="24" t="s">
        <v>129</v>
      </c>
      <c r="N4" s="25"/>
      <c r="O4" s="24" t="s">
        <v>130</v>
      </c>
      <c r="P4" s="25"/>
      <c r="Q4" s="24" t="s">
        <v>131</v>
      </c>
      <c r="R4" s="25"/>
    </row>
    <row r="5" spans="1:18" x14ac:dyDescent="0.25">
      <c r="A5" s="7"/>
      <c r="B5" s="8" t="s">
        <v>132</v>
      </c>
      <c r="C5" s="8" t="s">
        <v>133</v>
      </c>
      <c r="D5" s="7" t="s">
        <v>134</v>
      </c>
      <c r="E5" s="8" t="s">
        <v>135</v>
      </c>
      <c r="F5" s="7" t="s">
        <v>136</v>
      </c>
      <c r="G5" s="8" t="s">
        <v>135</v>
      </c>
      <c r="H5" s="7" t="s">
        <v>136</v>
      </c>
      <c r="I5" s="8" t="s">
        <v>135</v>
      </c>
      <c r="J5" s="7" t="s">
        <v>136</v>
      </c>
      <c r="K5" s="8" t="s">
        <v>135</v>
      </c>
      <c r="L5" s="7" t="s">
        <v>136</v>
      </c>
      <c r="M5" s="8" t="s">
        <v>135</v>
      </c>
      <c r="N5" s="7" t="s">
        <v>136</v>
      </c>
      <c r="O5" s="8" t="s">
        <v>135</v>
      </c>
      <c r="P5" s="7" t="s">
        <v>136</v>
      </c>
      <c r="Q5" s="8" t="s">
        <v>135</v>
      </c>
      <c r="R5" s="7" t="s">
        <v>136</v>
      </c>
    </row>
    <row r="6" spans="1:18" x14ac:dyDescent="0.25">
      <c r="A6" s="9" t="s">
        <v>137</v>
      </c>
      <c r="B6" s="10"/>
      <c r="C6" s="10"/>
      <c r="D6" s="11"/>
      <c r="E6" s="10"/>
      <c r="F6" s="11"/>
      <c r="G6" s="10"/>
      <c r="H6" s="11"/>
      <c r="I6" s="10"/>
      <c r="J6" s="11"/>
      <c r="K6" s="10"/>
      <c r="L6" s="11"/>
      <c r="M6" s="10"/>
      <c r="N6" s="11"/>
      <c r="O6" s="10"/>
      <c r="P6" s="11"/>
      <c r="Q6" s="10"/>
      <c r="R6" s="12"/>
    </row>
    <row r="7" spans="1:18" x14ac:dyDescent="0.25">
      <c r="A7" s="11" t="s">
        <v>138</v>
      </c>
      <c r="B7" s="13">
        <v>14530</v>
      </c>
      <c r="C7" s="14">
        <f>(12302/B7*100)</f>
        <v>84.666207845836212</v>
      </c>
      <c r="D7" s="15">
        <v>2228</v>
      </c>
      <c r="E7" s="14">
        <v>25.883390850000001</v>
      </c>
      <c r="F7" s="16">
        <v>1.16193876</v>
      </c>
      <c r="G7" s="14">
        <v>74.116609150000002</v>
      </c>
      <c r="H7" s="16">
        <v>1.16193876</v>
      </c>
      <c r="I7" s="14" t="s">
        <v>139</v>
      </c>
      <c r="J7" s="16" t="s">
        <v>139</v>
      </c>
      <c r="K7" s="14">
        <v>0</v>
      </c>
      <c r="L7" s="16">
        <v>0</v>
      </c>
      <c r="M7" s="14">
        <v>0</v>
      </c>
      <c r="N7" s="16">
        <v>0</v>
      </c>
      <c r="O7" s="14">
        <v>0</v>
      </c>
      <c r="P7" s="16">
        <v>0</v>
      </c>
      <c r="Q7" s="14">
        <v>0</v>
      </c>
      <c r="R7" s="16">
        <v>0</v>
      </c>
    </row>
    <row r="8" spans="1:18" x14ac:dyDescent="0.25">
      <c r="A8" s="11" t="s">
        <v>140</v>
      </c>
      <c r="B8" s="13">
        <v>7007</v>
      </c>
      <c r="C8" s="14">
        <f>(5878/B8*100)</f>
        <v>83.887541030398168</v>
      </c>
      <c r="D8" s="15">
        <v>1129</v>
      </c>
      <c r="E8" s="14">
        <v>30.477537420000001</v>
      </c>
      <c r="F8" s="16">
        <v>1.56362402</v>
      </c>
      <c r="G8" s="14">
        <v>69.522462579999996</v>
      </c>
      <c r="H8" s="16">
        <v>1.56362402</v>
      </c>
      <c r="I8" s="14" t="s">
        <v>139</v>
      </c>
      <c r="J8" s="16" t="s">
        <v>139</v>
      </c>
      <c r="K8" s="14">
        <v>0</v>
      </c>
      <c r="L8" s="16">
        <v>0</v>
      </c>
      <c r="M8" s="14">
        <v>0</v>
      </c>
      <c r="N8" s="16">
        <v>0</v>
      </c>
      <c r="O8" s="14">
        <v>0</v>
      </c>
      <c r="P8" s="16">
        <v>0</v>
      </c>
      <c r="Q8" s="14">
        <v>0</v>
      </c>
      <c r="R8" s="16">
        <v>0</v>
      </c>
    </row>
    <row r="9" spans="1:18" x14ac:dyDescent="0.25">
      <c r="A9" s="11" t="s">
        <v>141</v>
      </c>
      <c r="B9" s="13">
        <v>9651</v>
      </c>
      <c r="C9" s="14">
        <f>(8234/B9*100)</f>
        <v>85.317583670086009</v>
      </c>
      <c r="D9" s="15">
        <v>1417</v>
      </c>
      <c r="E9" s="14">
        <v>32.649408749999999</v>
      </c>
      <c r="F9" s="16">
        <v>1.2417304</v>
      </c>
      <c r="G9" s="14">
        <v>67.350591249999994</v>
      </c>
      <c r="H9" s="16">
        <v>1.2417304</v>
      </c>
      <c r="I9" s="14" t="s">
        <v>139</v>
      </c>
      <c r="J9" s="16" t="s">
        <v>139</v>
      </c>
      <c r="K9" s="14">
        <v>0</v>
      </c>
      <c r="L9" s="16">
        <v>0</v>
      </c>
      <c r="M9" s="14">
        <v>0</v>
      </c>
      <c r="N9" s="16">
        <v>0</v>
      </c>
      <c r="O9" s="14">
        <v>0</v>
      </c>
      <c r="P9" s="16">
        <v>0</v>
      </c>
      <c r="Q9" s="14">
        <v>0</v>
      </c>
      <c r="R9" s="16">
        <v>0</v>
      </c>
    </row>
    <row r="10" spans="1:18" x14ac:dyDescent="0.25">
      <c r="A10" s="11" t="s">
        <v>142</v>
      </c>
      <c r="B10" s="13">
        <v>20058</v>
      </c>
      <c r="C10" s="14">
        <f>(16791/B10*100)</f>
        <v>83.71223451989232</v>
      </c>
      <c r="D10" s="15">
        <v>3267</v>
      </c>
      <c r="E10" s="14">
        <v>24.109409400000001</v>
      </c>
      <c r="F10" s="16">
        <v>1.00477006</v>
      </c>
      <c r="G10" s="14">
        <v>75.890590599999996</v>
      </c>
      <c r="H10" s="16">
        <v>1.00477006</v>
      </c>
      <c r="I10" s="14" t="s">
        <v>139</v>
      </c>
      <c r="J10" s="16" t="s">
        <v>139</v>
      </c>
      <c r="K10" s="14">
        <v>0</v>
      </c>
      <c r="L10" s="16">
        <v>0</v>
      </c>
      <c r="M10" s="14">
        <v>0</v>
      </c>
      <c r="N10" s="16">
        <v>0</v>
      </c>
      <c r="O10" s="14">
        <v>0</v>
      </c>
      <c r="P10" s="16">
        <v>0</v>
      </c>
      <c r="Q10" s="14">
        <v>0</v>
      </c>
      <c r="R10" s="16">
        <v>0</v>
      </c>
    </row>
    <row r="11" spans="1:18" x14ac:dyDescent="0.25">
      <c r="A11" s="11" t="s">
        <v>143</v>
      </c>
      <c r="B11" s="13">
        <v>7053</v>
      </c>
      <c r="C11" s="14">
        <f>(6000/B11*100)</f>
        <v>85.070182900893229</v>
      </c>
      <c r="D11" s="15">
        <v>1053</v>
      </c>
      <c r="E11" s="14">
        <v>39.430428800000001</v>
      </c>
      <c r="F11" s="16">
        <v>2.0366368399999999</v>
      </c>
      <c r="G11" s="14">
        <v>60.569571199999999</v>
      </c>
      <c r="H11" s="16">
        <v>2.0366368399999999</v>
      </c>
      <c r="I11" s="14" t="s">
        <v>139</v>
      </c>
      <c r="J11" s="16" t="s">
        <v>139</v>
      </c>
      <c r="K11" s="14">
        <v>0</v>
      </c>
      <c r="L11" s="16">
        <v>0</v>
      </c>
      <c r="M11" s="14">
        <v>0</v>
      </c>
      <c r="N11" s="16">
        <v>0</v>
      </c>
      <c r="O11" s="14">
        <v>0</v>
      </c>
      <c r="P11" s="16">
        <v>0</v>
      </c>
      <c r="Q11" s="14">
        <v>0</v>
      </c>
      <c r="R11" s="16">
        <v>0</v>
      </c>
    </row>
    <row r="12" spans="1:18" x14ac:dyDescent="0.25">
      <c r="A12" s="11" t="s">
        <v>144</v>
      </c>
      <c r="B12" s="13">
        <v>6894</v>
      </c>
      <c r="C12" s="14">
        <f>(5829/B12*100)</f>
        <v>84.551784160139249</v>
      </c>
      <c r="D12" s="15">
        <v>1065</v>
      </c>
      <c r="E12" s="14">
        <v>23.468273029999999</v>
      </c>
      <c r="F12" s="16">
        <v>1.6392587700000001</v>
      </c>
      <c r="G12" s="14">
        <v>76.531726969999994</v>
      </c>
      <c r="H12" s="16">
        <v>1.6392587700000001</v>
      </c>
      <c r="I12" s="14" t="s">
        <v>139</v>
      </c>
      <c r="J12" s="16" t="s">
        <v>139</v>
      </c>
      <c r="K12" s="14">
        <v>0</v>
      </c>
      <c r="L12" s="16">
        <v>0</v>
      </c>
      <c r="M12" s="14">
        <v>0</v>
      </c>
      <c r="N12" s="16">
        <v>0</v>
      </c>
      <c r="O12" s="14">
        <v>0</v>
      </c>
      <c r="P12" s="16">
        <v>0</v>
      </c>
      <c r="Q12" s="14">
        <v>0</v>
      </c>
      <c r="R12" s="16">
        <v>0</v>
      </c>
    </row>
    <row r="13" spans="1:18" x14ac:dyDescent="0.25">
      <c r="A13" s="11" t="s">
        <v>145</v>
      </c>
      <c r="B13" s="13">
        <v>7161</v>
      </c>
      <c r="C13" s="14">
        <f>(6103/B13*100)</f>
        <v>85.22552716101103</v>
      </c>
      <c r="D13" s="15">
        <v>1058</v>
      </c>
      <c r="E13" s="14">
        <v>25.677536230000001</v>
      </c>
      <c r="F13" s="16">
        <v>1.61436289</v>
      </c>
      <c r="G13" s="14">
        <v>74.322463769999999</v>
      </c>
      <c r="H13" s="16">
        <v>1.61436289</v>
      </c>
      <c r="I13" s="14" t="s">
        <v>139</v>
      </c>
      <c r="J13" s="16" t="s">
        <v>139</v>
      </c>
      <c r="K13" s="14">
        <v>0</v>
      </c>
      <c r="L13" s="16">
        <v>0</v>
      </c>
      <c r="M13" s="14">
        <v>0</v>
      </c>
      <c r="N13" s="16">
        <v>0</v>
      </c>
      <c r="O13" s="14">
        <v>0</v>
      </c>
      <c r="P13" s="16">
        <v>0</v>
      </c>
      <c r="Q13" s="14">
        <v>0</v>
      </c>
      <c r="R13" s="16">
        <v>0</v>
      </c>
    </row>
    <row r="14" spans="1:18" x14ac:dyDescent="0.25">
      <c r="A14" s="11" t="s">
        <v>146</v>
      </c>
      <c r="B14" s="13">
        <v>5587</v>
      </c>
      <c r="C14" s="14">
        <f>(4677/B14*100)</f>
        <v>83.712189010202252</v>
      </c>
      <c r="D14" s="15">
        <v>910</v>
      </c>
      <c r="E14" s="14">
        <v>27.669976460000001</v>
      </c>
      <c r="F14" s="16">
        <v>1.4403669400000001</v>
      </c>
      <c r="G14" s="14">
        <v>72.330023539999999</v>
      </c>
      <c r="H14" s="16">
        <v>1.4403669400000001</v>
      </c>
      <c r="I14" s="14" t="s">
        <v>139</v>
      </c>
      <c r="J14" s="16" t="s">
        <v>139</v>
      </c>
      <c r="K14" s="14">
        <v>0</v>
      </c>
      <c r="L14" s="16">
        <v>0</v>
      </c>
      <c r="M14" s="14">
        <v>0</v>
      </c>
      <c r="N14" s="16">
        <v>0</v>
      </c>
      <c r="O14" s="14">
        <v>0</v>
      </c>
      <c r="P14" s="16">
        <v>0</v>
      </c>
      <c r="Q14" s="14">
        <v>0</v>
      </c>
      <c r="R14" s="16">
        <v>0</v>
      </c>
    </row>
    <row r="15" spans="1:18" x14ac:dyDescent="0.25">
      <c r="A15" s="11" t="s">
        <v>147</v>
      </c>
      <c r="B15" s="13">
        <v>5882</v>
      </c>
      <c r="C15" s="14">
        <f>(4928/B15*100)</f>
        <v>83.781026861611693</v>
      </c>
      <c r="D15" s="15">
        <v>954</v>
      </c>
      <c r="E15" s="14">
        <v>21.509260529999999</v>
      </c>
      <c r="F15" s="16">
        <v>1.6690451399999999</v>
      </c>
      <c r="G15" s="14">
        <v>78.490739469999994</v>
      </c>
      <c r="H15" s="16">
        <v>1.6690451399999999</v>
      </c>
      <c r="I15" s="14" t="s">
        <v>139</v>
      </c>
      <c r="J15" s="16" t="s">
        <v>139</v>
      </c>
      <c r="K15" s="14">
        <v>0</v>
      </c>
      <c r="L15" s="16">
        <v>0</v>
      </c>
      <c r="M15" s="14">
        <v>0</v>
      </c>
      <c r="N15" s="16">
        <v>0</v>
      </c>
      <c r="O15" s="14">
        <v>0</v>
      </c>
      <c r="P15" s="16">
        <v>0</v>
      </c>
      <c r="Q15" s="14">
        <v>0</v>
      </c>
      <c r="R15" s="16">
        <v>0</v>
      </c>
    </row>
    <row r="16" spans="1:18" x14ac:dyDescent="0.25">
      <c r="A16" s="11" t="s">
        <v>148</v>
      </c>
      <c r="B16" s="13">
        <v>6108</v>
      </c>
      <c r="C16" s="14">
        <f>(5161/B16*100)</f>
        <v>84.495743287491806</v>
      </c>
      <c r="D16" s="15">
        <v>947</v>
      </c>
      <c r="E16" s="14">
        <v>38.101199489999999</v>
      </c>
      <c r="F16" s="16">
        <v>1.41544398</v>
      </c>
      <c r="G16" s="14">
        <v>61.898800510000001</v>
      </c>
      <c r="H16" s="16">
        <v>1.41544398</v>
      </c>
      <c r="I16" s="14" t="s">
        <v>139</v>
      </c>
      <c r="J16" s="16" t="s">
        <v>139</v>
      </c>
      <c r="K16" s="14">
        <v>0</v>
      </c>
      <c r="L16" s="16">
        <v>0</v>
      </c>
      <c r="M16" s="14">
        <v>0</v>
      </c>
      <c r="N16" s="16">
        <v>0</v>
      </c>
      <c r="O16" s="14">
        <v>0</v>
      </c>
      <c r="P16" s="16">
        <v>0</v>
      </c>
      <c r="Q16" s="14">
        <v>0</v>
      </c>
      <c r="R16" s="16">
        <v>0</v>
      </c>
    </row>
    <row r="17" spans="1:18" x14ac:dyDescent="0.25">
      <c r="A17" s="11" t="s">
        <v>149</v>
      </c>
      <c r="B17" s="13">
        <v>6504</v>
      </c>
      <c r="C17" s="14">
        <f>(5506/B17*100)</f>
        <v>84.655596555965559</v>
      </c>
      <c r="D17" s="15">
        <v>998</v>
      </c>
      <c r="E17" s="14">
        <v>30.391714820000001</v>
      </c>
      <c r="F17" s="16">
        <v>1.7074743800000001</v>
      </c>
      <c r="G17" s="14">
        <v>69.608285179999996</v>
      </c>
      <c r="H17" s="16">
        <v>1.7074743800000001</v>
      </c>
      <c r="I17" s="14" t="s">
        <v>139</v>
      </c>
      <c r="J17" s="16" t="s">
        <v>139</v>
      </c>
      <c r="K17" s="14">
        <v>0</v>
      </c>
      <c r="L17" s="16">
        <v>0</v>
      </c>
      <c r="M17" s="14">
        <v>0</v>
      </c>
      <c r="N17" s="16">
        <v>0</v>
      </c>
      <c r="O17" s="14">
        <v>0</v>
      </c>
      <c r="P17" s="16">
        <v>0</v>
      </c>
      <c r="Q17" s="14">
        <v>0</v>
      </c>
      <c r="R17" s="16">
        <v>0</v>
      </c>
    </row>
    <row r="18" spans="1:18" x14ac:dyDescent="0.25">
      <c r="A18" s="11" t="s">
        <v>150</v>
      </c>
      <c r="B18" s="13">
        <v>5532</v>
      </c>
      <c r="C18" s="14">
        <f>(4616/B18*100)</f>
        <v>83.44179320318149</v>
      </c>
      <c r="D18" s="15">
        <v>916</v>
      </c>
      <c r="E18" s="14">
        <v>41.004809680000001</v>
      </c>
      <c r="F18" s="16">
        <v>1.75184154</v>
      </c>
      <c r="G18" s="14">
        <v>58.995190319999999</v>
      </c>
      <c r="H18" s="16">
        <v>1.75184154</v>
      </c>
      <c r="I18" s="14" t="s">
        <v>139</v>
      </c>
      <c r="J18" s="16" t="s">
        <v>139</v>
      </c>
      <c r="K18" s="14">
        <v>0</v>
      </c>
      <c r="L18" s="16">
        <v>0</v>
      </c>
      <c r="M18" s="14">
        <v>0</v>
      </c>
      <c r="N18" s="16">
        <v>0</v>
      </c>
      <c r="O18" s="14">
        <v>0</v>
      </c>
      <c r="P18" s="16">
        <v>0</v>
      </c>
      <c r="Q18" s="14">
        <v>0</v>
      </c>
      <c r="R18" s="16">
        <v>0</v>
      </c>
    </row>
    <row r="19" spans="1:18" x14ac:dyDescent="0.25">
      <c r="A19" s="11" t="s">
        <v>151</v>
      </c>
      <c r="B19" s="13">
        <v>5658</v>
      </c>
      <c r="C19" s="14">
        <f>(4798/B19*100)</f>
        <v>84.800282785436551</v>
      </c>
      <c r="D19" s="15">
        <v>860</v>
      </c>
      <c r="E19" s="14">
        <v>36.551876069999999</v>
      </c>
      <c r="F19" s="16">
        <v>1.8952531399999999</v>
      </c>
      <c r="G19" s="14">
        <v>63.448123930000001</v>
      </c>
      <c r="H19" s="16">
        <v>1.8952531399999999</v>
      </c>
      <c r="I19" s="14" t="s">
        <v>139</v>
      </c>
      <c r="J19" s="16" t="s">
        <v>139</v>
      </c>
      <c r="K19" s="14">
        <v>0</v>
      </c>
      <c r="L19" s="16">
        <v>0</v>
      </c>
      <c r="M19" s="14">
        <v>0</v>
      </c>
      <c r="N19" s="16">
        <v>0</v>
      </c>
      <c r="O19" s="14">
        <v>0</v>
      </c>
      <c r="P19" s="16">
        <v>0</v>
      </c>
      <c r="Q19" s="14">
        <v>0</v>
      </c>
      <c r="R19" s="16">
        <v>0</v>
      </c>
    </row>
    <row r="20" spans="1:18" x14ac:dyDescent="0.25">
      <c r="A20" s="11" t="s">
        <v>152</v>
      </c>
      <c r="B20" s="13">
        <v>3371</v>
      </c>
      <c r="C20" s="14">
        <f>(2844/B20*100)</f>
        <v>84.366656778404035</v>
      </c>
      <c r="D20" s="15">
        <v>527</v>
      </c>
      <c r="E20" s="14">
        <v>32.409350189999998</v>
      </c>
      <c r="F20" s="16">
        <v>2.2625711499999999</v>
      </c>
      <c r="G20" s="14">
        <v>67.590649810000002</v>
      </c>
      <c r="H20" s="16">
        <v>2.2625711499999999</v>
      </c>
      <c r="I20" s="14" t="s">
        <v>139</v>
      </c>
      <c r="J20" s="16" t="s">
        <v>139</v>
      </c>
      <c r="K20" s="14">
        <v>0</v>
      </c>
      <c r="L20" s="16">
        <v>0</v>
      </c>
      <c r="M20" s="14">
        <v>0</v>
      </c>
      <c r="N20" s="16">
        <v>0</v>
      </c>
      <c r="O20" s="14">
        <v>0</v>
      </c>
      <c r="P20" s="16">
        <v>0</v>
      </c>
      <c r="Q20" s="14">
        <v>0</v>
      </c>
      <c r="R20" s="16">
        <v>0</v>
      </c>
    </row>
    <row r="21" spans="1:18" x14ac:dyDescent="0.25">
      <c r="A21" s="11" t="s">
        <v>153</v>
      </c>
      <c r="B21" s="17" t="s">
        <v>154</v>
      </c>
      <c r="C21" s="17" t="s">
        <v>154</v>
      </c>
      <c r="D21" s="18" t="s">
        <v>154</v>
      </c>
      <c r="E21" s="17" t="s">
        <v>154</v>
      </c>
      <c r="F21" s="18" t="s">
        <v>154</v>
      </c>
      <c r="G21" s="17" t="s">
        <v>154</v>
      </c>
      <c r="H21" s="18" t="s">
        <v>154</v>
      </c>
      <c r="I21" s="17" t="s">
        <v>154</v>
      </c>
      <c r="J21" s="18" t="s">
        <v>154</v>
      </c>
      <c r="K21" s="17" t="s">
        <v>154</v>
      </c>
      <c r="L21" s="18" t="s">
        <v>154</v>
      </c>
      <c r="M21" s="17" t="s">
        <v>154</v>
      </c>
      <c r="N21" s="18" t="s">
        <v>154</v>
      </c>
      <c r="O21" s="17" t="s">
        <v>154</v>
      </c>
      <c r="P21" s="18" t="s">
        <v>154</v>
      </c>
      <c r="Q21" s="17" t="s">
        <v>154</v>
      </c>
      <c r="R21" s="18" t="s">
        <v>154</v>
      </c>
    </row>
    <row r="22" spans="1:18" x14ac:dyDescent="0.25">
      <c r="A22" s="11" t="s">
        <v>155</v>
      </c>
      <c r="B22" s="13">
        <v>6598</v>
      </c>
      <c r="C22" s="14">
        <f>(5643/B22*100)</f>
        <v>85.525916944528646</v>
      </c>
      <c r="D22" s="15">
        <v>955</v>
      </c>
      <c r="E22" s="14">
        <v>40.238029439999998</v>
      </c>
      <c r="F22" s="16">
        <v>1.7629391299999999</v>
      </c>
      <c r="G22" s="14">
        <v>59.761970560000002</v>
      </c>
      <c r="H22" s="16">
        <v>1.7629391299999999</v>
      </c>
      <c r="I22" s="14" t="s">
        <v>139</v>
      </c>
      <c r="J22" s="16" t="s">
        <v>139</v>
      </c>
      <c r="K22" s="14">
        <v>0</v>
      </c>
      <c r="L22" s="16">
        <v>0</v>
      </c>
      <c r="M22" s="14">
        <v>0</v>
      </c>
      <c r="N22" s="16">
        <v>0</v>
      </c>
      <c r="O22" s="14">
        <v>0</v>
      </c>
      <c r="P22" s="16">
        <v>0</v>
      </c>
      <c r="Q22" s="14">
        <v>0</v>
      </c>
      <c r="R22" s="16">
        <v>0</v>
      </c>
    </row>
    <row r="23" spans="1:18" x14ac:dyDescent="0.25">
      <c r="A23" s="11" t="s">
        <v>156</v>
      </c>
      <c r="B23" s="13">
        <v>11583</v>
      </c>
      <c r="C23" s="14">
        <f>(9693/B23*100)</f>
        <v>83.682983682983675</v>
      </c>
      <c r="D23" s="15">
        <v>1890</v>
      </c>
      <c r="E23" s="14">
        <v>43.002472009999998</v>
      </c>
      <c r="F23" s="16">
        <v>1.7343883</v>
      </c>
      <c r="G23" s="14">
        <v>56.997527990000002</v>
      </c>
      <c r="H23" s="16">
        <v>1.7343883</v>
      </c>
      <c r="I23" s="14" t="s">
        <v>139</v>
      </c>
      <c r="J23" s="16" t="s">
        <v>139</v>
      </c>
      <c r="K23" s="14">
        <v>0</v>
      </c>
      <c r="L23" s="16">
        <v>0</v>
      </c>
      <c r="M23" s="14">
        <v>0</v>
      </c>
      <c r="N23" s="16">
        <v>0</v>
      </c>
      <c r="O23" s="14">
        <v>0</v>
      </c>
      <c r="P23" s="16">
        <v>0</v>
      </c>
      <c r="Q23" s="14">
        <v>0</v>
      </c>
      <c r="R23" s="16">
        <v>0</v>
      </c>
    </row>
    <row r="24" spans="1:18" x14ac:dyDescent="0.25">
      <c r="A24" s="11" t="s">
        <v>157</v>
      </c>
      <c r="B24" s="13">
        <v>6647</v>
      </c>
      <c r="C24" s="14">
        <f>(5552/B24*100)</f>
        <v>83.526402888521133</v>
      </c>
      <c r="D24" s="15">
        <v>1095</v>
      </c>
      <c r="E24" s="14">
        <v>9.7264882700000008</v>
      </c>
      <c r="F24" s="16">
        <v>1.0881448499999999</v>
      </c>
      <c r="G24" s="14">
        <v>90.273511729999996</v>
      </c>
      <c r="H24" s="16">
        <v>1.0881448499999999</v>
      </c>
      <c r="I24" s="14" t="s">
        <v>139</v>
      </c>
      <c r="J24" s="16" t="s">
        <v>139</v>
      </c>
      <c r="K24" s="14">
        <v>0</v>
      </c>
      <c r="L24" s="16">
        <v>0</v>
      </c>
      <c r="M24" s="14">
        <v>0</v>
      </c>
      <c r="N24" s="16">
        <v>0</v>
      </c>
      <c r="O24" s="14">
        <v>0</v>
      </c>
      <c r="P24" s="16">
        <v>0</v>
      </c>
      <c r="Q24" s="14">
        <v>0</v>
      </c>
      <c r="R24" s="16">
        <v>0</v>
      </c>
    </row>
    <row r="25" spans="1:18" x14ac:dyDescent="0.25">
      <c r="A25" s="11" t="s">
        <v>158</v>
      </c>
      <c r="B25" s="13">
        <v>5581</v>
      </c>
      <c r="C25" s="14">
        <f>(4623/B25*100)</f>
        <v>82.834617452069523</v>
      </c>
      <c r="D25" s="15">
        <v>958</v>
      </c>
      <c r="E25" s="14">
        <v>21.076253789999999</v>
      </c>
      <c r="F25" s="16">
        <v>1.1638640099999999</v>
      </c>
      <c r="G25" s="14">
        <v>78.923746210000004</v>
      </c>
      <c r="H25" s="16">
        <v>1.1638640099999999</v>
      </c>
      <c r="I25" s="14" t="s">
        <v>139</v>
      </c>
      <c r="J25" s="16" t="s">
        <v>139</v>
      </c>
      <c r="K25" s="14">
        <v>0</v>
      </c>
      <c r="L25" s="16">
        <v>0</v>
      </c>
      <c r="M25" s="14">
        <v>0</v>
      </c>
      <c r="N25" s="16">
        <v>0</v>
      </c>
      <c r="O25" s="14">
        <v>0</v>
      </c>
      <c r="P25" s="16">
        <v>0</v>
      </c>
      <c r="Q25" s="14">
        <v>0</v>
      </c>
      <c r="R25" s="16">
        <v>0</v>
      </c>
    </row>
    <row r="26" spans="1:18" x14ac:dyDescent="0.25">
      <c r="A26" s="11" t="s">
        <v>159</v>
      </c>
      <c r="B26" s="13">
        <v>4869</v>
      </c>
      <c r="C26" s="14">
        <f>(4068/B26*100)</f>
        <v>83.548983364140483</v>
      </c>
      <c r="D26" s="15">
        <v>801</v>
      </c>
      <c r="E26" s="14">
        <v>41.656500819999998</v>
      </c>
      <c r="F26" s="16">
        <v>1.7478692199999999</v>
      </c>
      <c r="G26" s="14">
        <v>58.343499180000002</v>
      </c>
      <c r="H26" s="16">
        <v>1.7478692199999999</v>
      </c>
      <c r="I26" s="14" t="s">
        <v>139</v>
      </c>
      <c r="J26" s="16" t="s">
        <v>139</v>
      </c>
      <c r="K26" s="14">
        <v>0</v>
      </c>
      <c r="L26" s="16">
        <v>0</v>
      </c>
      <c r="M26" s="14">
        <v>0</v>
      </c>
      <c r="N26" s="16">
        <v>0</v>
      </c>
      <c r="O26" s="14">
        <v>0</v>
      </c>
      <c r="P26" s="16">
        <v>0</v>
      </c>
      <c r="Q26" s="14">
        <v>0</v>
      </c>
      <c r="R26" s="16">
        <v>0</v>
      </c>
    </row>
    <row r="27" spans="1:18" x14ac:dyDescent="0.25">
      <c r="A27" s="11" t="s">
        <v>160</v>
      </c>
      <c r="B27" s="13">
        <v>5299</v>
      </c>
      <c r="C27" s="14">
        <f>(4502/B27*100)</f>
        <v>84.959426306850347</v>
      </c>
      <c r="D27" s="15">
        <v>797</v>
      </c>
      <c r="E27" s="14">
        <v>33.70866221</v>
      </c>
      <c r="F27" s="16">
        <v>1.96593478</v>
      </c>
      <c r="G27" s="14">
        <v>66.29133779</v>
      </c>
      <c r="H27" s="16">
        <v>1.96593478</v>
      </c>
      <c r="I27" s="14" t="s">
        <v>139</v>
      </c>
      <c r="J27" s="16" t="s">
        <v>139</v>
      </c>
      <c r="K27" s="14">
        <v>0</v>
      </c>
      <c r="L27" s="16">
        <v>0</v>
      </c>
      <c r="M27" s="14">
        <v>0</v>
      </c>
      <c r="N27" s="16">
        <v>0</v>
      </c>
      <c r="O27" s="14">
        <v>0</v>
      </c>
      <c r="P27" s="16">
        <v>0</v>
      </c>
      <c r="Q27" s="14">
        <v>0</v>
      </c>
      <c r="R27" s="16">
        <v>0</v>
      </c>
    </row>
    <row r="28" spans="1:18" x14ac:dyDescent="0.25">
      <c r="A28" s="11" t="s">
        <v>161</v>
      </c>
      <c r="B28" s="13">
        <v>7568</v>
      </c>
      <c r="C28" s="14">
        <f>(6518/B28*100)</f>
        <v>86.125792811839318</v>
      </c>
      <c r="D28" s="15">
        <v>1050</v>
      </c>
      <c r="E28" s="14">
        <v>41.338067430000002</v>
      </c>
      <c r="F28" s="16">
        <v>1.6349121</v>
      </c>
      <c r="G28" s="14">
        <v>58.661932569999998</v>
      </c>
      <c r="H28" s="16">
        <v>1.6349121</v>
      </c>
      <c r="I28" s="14" t="s">
        <v>139</v>
      </c>
      <c r="J28" s="16" t="s">
        <v>139</v>
      </c>
      <c r="K28" s="14">
        <v>0</v>
      </c>
      <c r="L28" s="16">
        <v>0</v>
      </c>
      <c r="M28" s="14">
        <v>0</v>
      </c>
      <c r="N28" s="16">
        <v>0</v>
      </c>
      <c r="O28" s="14">
        <v>0</v>
      </c>
      <c r="P28" s="16">
        <v>0</v>
      </c>
      <c r="Q28" s="14">
        <v>0</v>
      </c>
      <c r="R28" s="16">
        <v>0</v>
      </c>
    </row>
    <row r="29" spans="1:18" x14ac:dyDescent="0.25">
      <c r="A29" s="11" t="s">
        <v>162</v>
      </c>
      <c r="B29" s="13">
        <v>5385</v>
      </c>
      <c r="C29" s="14">
        <f>(4502/B29*100)</f>
        <v>83.602599814298983</v>
      </c>
      <c r="D29" s="15">
        <v>883</v>
      </c>
      <c r="E29" s="14">
        <v>29.393975510000001</v>
      </c>
      <c r="F29" s="16">
        <v>1.44888566</v>
      </c>
      <c r="G29" s="14">
        <v>70.606024489999996</v>
      </c>
      <c r="H29" s="16">
        <v>1.44888566</v>
      </c>
      <c r="I29" s="14" t="s">
        <v>139</v>
      </c>
      <c r="J29" s="16" t="s">
        <v>139</v>
      </c>
      <c r="K29" s="14">
        <v>0</v>
      </c>
      <c r="L29" s="16">
        <v>0</v>
      </c>
      <c r="M29" s="14">
        <v>0</v>
      </c>
      <c r="N29" s="16">
        <v>0</v>
      </c>
      <c r="O29" s="14">
        <v>0</v>
      </c>
      <c r="P29" s="16">
        <v>0</v>
      </c>
      <c r="Q29" s="14">
        <v>0</v>
      </c>
      <c r="R29" s="16">
        <v>0</v>
      </c>
    </row>
    <row r="30" spans="1:18" x14ac:dyDescent="0.25">
      <c r="A30" s="11" t="s">
        <v>163</v>
      </c>
      <c r="B30" s="13">
        <v>4520</v>
      </c>
      <c r="C30" s="14">
        <f>(3869/B30*100)</f>
        <v>85.597345132743357</v>
      </c>
      <c r="D30" s="15">
        <v>651</v>
      </c>
      <c r="E30" s="14">
        <v>26.54878635</v>
      </c>
      <c r="F30" s="16">
        <v>1.7855345499999999</v>
      </c>
      <c r="G30" s="14">
        <v>73.45121365</v>
      </c>
      <c r="H30" s="16">
        <v>1.7855345499999999</v>
      </c>
      <c r="I30" s="14" t="s">
        <v>139</v>
      </c>
      <c r="J30" s="16" t="s">
        <v>139</v>
      </c>
      <c r="K30" s="14">
        <v>0</v>
      </c>
      <c r="L30" s="16">
        <v>0</v>
      </c>
      <c r="M30" s="14">
        <v>0</v>
      </c>
      <c r="N30" s="16">
        <v>0</v>
      </c>
      <c r="O30" s="14">
        <v>0</v>
      </c>
      <c r="P30" s="16">
        <v>0</v>
      </c>
      <c r="Q30" s="14">
        <v>0</v>
      </c>
      <c r="R30" s="16">
        <v>0</v>
      </c>
    </row>
    <row r="31" spans="1:18" x14ac:dyDescent="0.25">
      <c r="A31" s="11" t="s">
        <v>164</v>
      </c>
      <c r="B31" s="13">
        <v>5456</v>
      </c>
      <c r="C31" s="14">
        <f>(4597/B31*100)</f>
        <v>84.255865102639291</v>
      </c>
      <c r="D31" s="15">
        <v>859</v>
      </c>
      <c r="E31" s="14">
        <v>35.432681850000002</v>
      </c>
      <c r="F31" s="16">
        <v>1.71675139</v>
      </c>
      <c r="G31" s="14">
        <v>64.567318150000006</v>
      </c>
      <c r="H31" s="16">
        <v>1.71675139</v>
      </c>
      <c r="I31" s="14" t="s">
        <v>139</v>
      </c>
      <c r="J31" s="16" t="s">
        <v>139</v>
      </c>
      <c r="K31" s="14">
        <v>0</v>
      </c>
      <c r="L31" s="16">
        <v>0</v>
      </c>
      <c r="M31" s="14">
        <v>0</v>
      </c>
      <c r="N31" s="16">
        <v>0</v>
      </c>
      <c r="O31" s="14">
        <v>0</v>
      </c>
      <c r="P31" s="16">
        <v>0</v>
      </c>
      <c r="Q31" s="14">
        <v>0</v>
      </c>
      <c r="R31" s="16">
        <v>0</v>
      </c>
    </row>
    <row r="32" spans="1:18" x14ac:dyDescent="0.25">
      <c r="A32" s="11" t="s">
        <v>165</v>
      </c>
      <c r="B32" s="17" t="s">
        <v>154</v>
      </c>
      <c r="C32" s="17" t="s">
        <v>154</v>
      </c>
      <c r="D32" s="18" t="s">
        <v>154</v>
      </c>
      <c r="E32" s="17" t="s">
        <v>154</v>
      </c>
      <c r="F32" s="18" t="s">
        <v>154</v>
      </c>
      <c r="G32" s="17" t="s">
        <v>154</v>
      </c>
      <c r="H32" s="18" t="s">
        <v>154</v>
      </c>
      <c r="I32" s="17" t="s">
        <v>154</v>
      </c>
      <c r="J32" s="18" t="s">
        <v>154</v>
      </c>
      <c r="K32" s="17" t="s">
        <v>154</v>
      </c>
      <c r="L32" s="18" t="s">
        <v>154</v>
      </c>
      <c r="M32" s="17" t="s">
        <v>154</v>
      </c>
      <c r="N32" s="18" t="s">
        <v>154</v>
      </c>
      <c r="O32" s="17" t="s">
        <v>154</v>
      </c>
      <c r="P32" s="18" t="s">
        <v>154</v>
      </c>
      <c r="Q32" s="17" t="s">
        <v>154</v>
      </c>
      <c r="R32" s="18" t="s">
        <v>154</v>
      </c>
    </row>
    <row r="33" spans="1:18" x14ac:dyDescent="0.25">
      <c r="A33" s="11" t="s">
        <v>166</v>
      </c>
      <c r="B33" s="13">
        <v>7325</v>
      </c>
      <c r="C33" s="14">
        <f>(6246/B33*100)</f>
        <v>85.269624573378849</v>
      </c>
      <c r="D33" s="15">
        <v>1079</v>
      </c>
      <c r="E33" s="14">
        <v>30.203843890000002</v>
      </c>
      <c r="F33" s="16">
        <v>1.79410337</v>
      </c>
      <c r="G33" s="14">
        <v>69.796156109999998</v>
      </c>
      <c r="H33" s="16">
        <v>1.79410337</v>
      </c>
      <c r="I33" s="14" t="s">
        <v>139</v>
      </c>
      <c r="J33" s="16" t="s">
        <v>139</v>
      </c>
      <c r="K33" s="14">
        <v>0</v>
      </c>
      <c r="L33" s="16">
        <v>0</v>
      </c>
      <c r="M33" s="14">
        <v>0</v>
      </c>
      <c r="N33" s="16">
        <v>0</v>
      </c>
      <c r="O33" s="14">
        <v>0</v>
      </c>
      <c r="P33" s="16">
        <v>0</v>
      </c>
      <c r="Q33" s="14">
        <v>0</v>
      </c>
      <c r="R33" s="16">
        <v>0</v>
      </c>
    </row>
    <row r="34" spans="1:18" x14ac:dyDescent="0.25">
      <c r="A34" s="11" t="s">
        <v>167</v>
      </c>
      <c r="B34" s="13">
        <v>6350</v>
      </c>
      <c r="C34" s="14">
        <f>(5413/B34*100)</f>
        <v>85.244094488188978</v>
      </c>
      <c r="D34" s="15">
        <v>937</v>
      </c>
      <c r="E34" s="14">
        <v>45.848367279999998</v>
      </c>
      <c r="F34" s="16">
        <v>1.72945075</v>
      </c>
      <c r="G34" s="14">
        <v>54.151632720000002</v>
      </c>
      <c r="H34" s="16">
        <v>1.72945075</v>
      </c>
      <c r="I34" s="14" t="s">
        <v>139</v>
      </c>
      <c r="J34" s="16" t="s">
        <v>139</v>
      </c>
      <c r="K34" s="14">
        <v>0</v>
      </c>
      <c r="L34" s="16">
        <v>0</v>
      </c>
      <c r="M34" s="14">
        <v>0</v>
      </c>
      <c r="N34" s="16">
        <v>0</v>
      </c>
      <c r="O34" s="14">
        <v>0</v>
      </c>
      <c r="P34" s="16">
        <v>0</v>
      </c>
      <c r="Q34" s="14">
        <v>0</v>
      </c>
      <c r="R34" s="16">
        <v>0</v>
      </c>
    </row>
    <row r="35" spans="1:18" x14ac:dyDescent="0.25">
      <c r="A35" s="11" t="s">
        <v>168</v>
      </c>
      <c r="B35" s="13">
        <v>6406</v>
      </c>
      <c r="C35" s="14">
        <f>(5386/B35*100)</f>
        <v>84.077427411801438</v>
      </c>
      <c r="D35" s="15">
        <v>1020</v>
      </c>
      <c r="E35" s="14">
        <v>31.842710069999999</v>
      </c>
      <c r="F35" s="16">
        <v>1.67826341</v>
      </c>
      <c r="G35" s="14">
        <v>68.157289930000005</v>
      </c>
      <c r="H35" s="16">
        <v>1.67826341</v>
      </c>
      <c r="I35" s="14" t="s">
        <v>139</v>
      </c>
      <c r="J35" s="16" t="s">
        <v>139</v>
      </c>
      <c r="K35" s="14">
        <v>0</v>
      </c>
      <c r="L35" s="16">
        <v>0</v>
      </c>
      <c r="M35" s="14">
        <v>0</v>
      </c>
      <c r="N35" s="16">
        <v>0</v>
      </c>
      <c r="O35" s="14">
        <v>0</v>
      </c>
      <c r="P35" s="16">
        <v>0</v>
      </c>
      <c r="Q35" s="14">
        <v>0</v>
      </c>
      <c r="R35" s="16">
        <v>0</v>
      </c>
    </row>
    <row r="36" spans="1:18" x14ac:dyDescent="0.25">
      <c r="A36" s="11" t="s">
        <v>169</v>
      </c>
      <c r="B36" s="13">
        <v>6736</v>
      </c>
      <c r="C36" s="14">
        <f>(5713/B36*100)</f>
        <v>84.812945368171029</v>
      </c>
      <c r="D36" s="15">
        <v>1023</v>
      </c>
      <c r="E36" s="14">
        <v>32.497587099999997</v>
      </c>
      <c r="F36" s="16">
        <v>1.4630721200000001</v>
      </c>
      <c r="G36" s="14">
        <v>67.502412899999996</v>
      </c>
      <c r="H36" s="16">
        <v>1.4630721200000001</v>
      </c>
      <c r="I36" s="14" t="s">
        <v>139</v>
      </c>
      <c r="J36" s="16" t="s">
        <v>139</v>
      </c>
      <c r="K36" s="14">
        <v>0</v>
      </c>
      <c r="L36" s="16">
        <v>0</v>
      </c>
      <c r="M36" s="14">
        <v>0</v>
      </c>
      <c r="N36" s="16">
        <v>0</v>
      </c>
      <c r="O36" s="14">
        <v>0</v>
      </c>
      <c r="P36" s="16">
        <v>0</v>
      </c>
      <c r="Q36" s="14">
        <v>0</v>
      </c>
      <c r="R36" s="16">
        <v>0</v>
      </c>
    </row>
    <row r="37" spans="1:18" x14ac:dyDescent="0.25">
      <c r="A37" s="11" t="s">
        <v>170</v>
      </c>
      <c r="B37" s="13">
        <v>5458</v>
      </c>
      <c r="C37" s="14">
        <f>(4658/B37*100)</f>
        <v>85.34261634298278</v>
      </c>
      <c r="D37" s="15">
        <v>800</v>
      </c>
      <c r="E37" s="14">
        <v>26.93087525</v>
      </c>
      <c r="F37" s="16">
        <v>1.6729301299999999</v>
      </c>
      <c r="G37" s="14">
        <v>73.06912475</v>
      </c>
      <c r="H37" s="16">
        <v>1.6729301299999999</v>
      </c>
      <c r="I37" s="14" t="s">
        <v>139</v>
      </c>
      <c r="J37" s="16" t="s">
        <v>139</v>
      </c>
      <c r="K37" s="14">
        <v>0</v>
      </c>
      <c r="L37" s="16">
        <v>0</v>
      </c>
      <c r="M37" s="14">
        <v>0</v>
      </c>
      <c r="N37" s="16">
        <v>0</v>
      </c>
      <c r="O37" s="14">
        <v>0</v>
      </c>
      <c r="P37" s="16">
        <v>0</v>
      </c>
      <c r="Q37" s="14">
        <v>0</v>
      </c>
      <c r="R37" s="16">
        <v>0</v>
      </c>
    </row>
    <row r="38" spans="1:18" x14ac:dyDescent="0.25">
      <c r="A38" s="11" t="s">
        <v>171</v>
      </c>
      <c r="B38" s="17" t="s">
        <v>154</v>
      </c>
      <c r="C38" s="17" t="s">
        <v>154</v>
      </c>
      <c r="D38" s="18" t="s">
        <v>154</v>
      </c>
      <c r="E38" s="17" t="s">
        <v>154</v>
      </c>
      <c r="F38" s="18" t="s">
        <v>154</v>
      </c>
      <c r="G38" s="17" t="s">
        <v>154</v>
      </c>
      <c r="H38" s="18" t="s">
        <v>154</v>
      </c>
      <c r="I38" s="17" t="s">
        <v>154</v>
      </c>
      <c r="J38" s="18" t="s">
        <v>154</v>
      </c>
      <c r="K38" s="17" t="s">
        <v>154</v>
      </c>
      <c r="L38" s="18" t="s">
        <v>154</v>
      </c>
      <c r="M38" s="17" t="s">
        <v>154</v>
      </c>
      <c r="N38" s="18" t="s">
        <v>154</v>
      </c>
      <c r="O38" s="17" t="s">
        <v>154</v>
      </c>
      <c r="P38" s="18" t="s">
        <v>154</v>
      </c>
      <c r="Q38" s="17" t="s">
        <v>154</v>
      </c>
      <c r="R38" s="18" t="s">
        <v>154</v>
      </c>
    </row>
    <row r="39" spans="1:18" x14ac:dyDescent="0.25">
      <c r="A39" s="11" t="s">
        <v>172</v>
      </c>
      <c r="B39" s="13">
        <v>5895</v>
      </c>
      <c r="C39" s="14">
        <f>(4872/B39*100)</f>
        <v>82.646310432569976</v>
      </c>
      <c r="D39" s="15">
        <v>1023</v>
      </c>
      <c r="E39" s="14">
        <v>33.567391110000003</v>
      </c>
      <c r="F39" s="16">
        <v>1.8183541299999999</v>
      </c>
      <c r="G39" s="14">
        <v>66.432608889999997</v>
      </c>
      <c r="H39" s="16">
        <v>1.8183541299999999</v>
      </c>
      <c r="I39" s="14" t="s">
        <v>139</v>
      </c>
      <c r="J39" s="16" t="s">
        <v>139</v>
      </c>
      <c r="K39" s="14">
        <v>0</v>
      </c>
      <c r="L39" s="16">
        <v>0</v>
      </c>
      <c r="M39" s="14">
        <v>0</v>
      </c>
      <c r="N39" s="16">
        <v>0</v>
      </c>
      <c r="O39" s="14">
        <v>0</v>
      </c>
      <c r="P39" s="16">
        <v>0</v>
      </c>
      <c r="Q39" s="14">
        <v>0</v>
      </c>
      <c r="R39" s="16">
        <v>0</v>
      </c>
    </row>
    <row r="40" spans="1:18" x14ac:dyDescent="0.25">
      <c r="A40" s="11" t="s">
        <v>173</v>
      </c>
      <c r="B40" s="13">
        <v>14157</v>
      </c>
      <c r="C40" s="14">
        <f>(11829/B40*100)</f>
        <v>83.55583810129265</v>
      </c>
      <c r="D40" s="15">
        <v>2328</v>
      </c>
      <c r="E40" s="14">
        <v>29.0561124</v>
      </c>
      <c r="F40" s="16">
        <v>1.5865741200000001</v>
      </c>
      <c r="G40" s="14">
        <v>70.943887599999996</v>
      </c>
      <c r="H40" s="16">
        <v>1.5865741200000001</v>
      </c>
      <c r="I40" s="14" t="s">
        <v>139</v>
      </c>
      <c r="J40" s="16" t="s">
        <v>139</v>
      </c>
      <c r="K40" s="14">
        <v>0</v>
      </c>
      <c r="L40" s="16">
        <v>0</v>
      </c>
      <c r="M40" s="14">
        <v>0</v>
      </c>
      <c r="N40" s="16">
        <v>0</v>
      </c>
      <c r="O40" s="14">
        <v>0</v>
      </c>
      <c r="P40" s="16">
        <v>0</v>
      </c>
      <c r="Q40" s="14">
        <v>0</v>
      </c>
      <c r="R40" s="16">
        <v>0</v>
      </c>
    </row>
    <row r="41" spans="1:18" x14ac:dyDescent="0.25">
      <c r="A41" s="11" t="s">
        <v>174</v>
      </c>
      <c r="B41" s="13">
        <v>5712</v>
      </c>
      <c r="C41" s="14">
        <f>(4810/B41*100)</f>
        <v>84.208683473389357</v>
      </c>
      <c r="D41" s="15">
        <v>902</v>
      </c>
      <c r="E41" s="14">
        <v>25.015387560000001</v>
      </c>
      <c r="F41" s="16">
        <v>1.6275692399999999</v>
      </c>
      <c r="G41" s="14">
        <v>74.984612440000006</v>
      </c>
      <c r="H41" s="16">
        <v>1.6275692399999999</v>
      </c>
      <c r="I41" s="14" t="s">
        <v>139</v>
      </c>
      <c r="J41" s="16" t="s">
        <v>139</v>
      </c>
      <c r="K41" s="14">
        <v>0</v>
      </c>
      <c r="L41" s="16">
        <v>0</v>
      </c>
      <c r="M41" s="14">
        <v>0</v>
      </c>
      <c r="N41" s="16">
        <v>0</v>
      </c>
      <c r="O41" s="14">
        <v>0</v>
      </c>
      <c r="P41" s="16">
        <v>0</v>
      </c>
      <c r="Q41" s="14">
        <v>0</v>
      </c>
      <c r="R41" s="16">
        <v>0</v>
      </c>
    </row>
    <row r="42" spans="1:18" x14ac:dyDescent="0.25">
      <c r="A42" s="11" t="s">
        <v>175</v>
      </c>
      <c r="B42" s="13">
        <f>IF(COUNT(B7:B41) &gt; 0, AVERAGE(B7:B41), "\u2014")</f>
        <v>7266.90625</v>
      </c>
      <c r="C42" s="14">
        <f>IF(COUNT(C7:C41) &gt; 0, AVERAGE(C7:C41), "—")</f>
        <v>84.390681983216851</v>
      </c>
      <c r="D42" s="15">
        <f>IF(COUNT(D7:D41) &gt; 0, AVERAGE(D7:D41), "—")</f>
        <v>1136.875</v>
      </c>
      <c r="E42" s="14">
        <f>IF(COUNT(E7:E41) &gt; 0, AVERAGE(E7:E41), "—")</f>
        <v>31.450573876875005</v>
      </c>
      <c r="F42" s="16">
        <f>IF(COUNT(F7:F41) &gt; 0, SQRT(SUMSQ(F7:F41)/(COUNT(F7:F41)*COUNT(F7:F41)) ), "—")</f>
        <v>0.29025121336049364</v>
      </c>
      <c r="G42" s="14">
        <f>IF(COUNT(G7:G41) &gt; 0, AVERAGE(G7:G41), "—")</f>
        <v>68.549426123125002</v>
      </c>
      <c r="H42" s="16">
        <f>IF(COUNT(H7:H41) &gt; 0, SQRT(SUMSQ(H7:H41)/(COUNT(H7:H41)*COUNT(H7:H41)) ), "—")</f>
        <v>0.29025121336049364</v>
      </c>
      <c r="I42" s="14" t="str">
        <f>IF(COUNT(I7:I41) &gt; 0, AVERAGE(I7:I41), "—")</f>
        <v>—</v>
      </c>
      <c r="J42" s="16" t="str">
        <f>IF(COUNT(J7:J41) &gt; 0, SQRT(SUMSQ(J7:J41)/(COUNT(J7:J41)*COUNT(J7:J41)) ), "—")</f>
        <v>—</v>
      </c>
      <c r="K42" s="14">
        <f>IF(COUNT(K7:K41) &gt; 0, AVERAGE(K7:K41), "—")</f>
        <v>0</v>
      </c>
      <c r="L42" s="16">
        <f>IF(COUNT(L7:L41) &gt; 0, SQRT(SUMSQ(L7:L41)/(COUNT(L7:L41)*COUNT(L7:L41)) ), "—")</f>
        <v>0</v>
      </c>
      <c r="M42" s="14">
        <f>IF(COUNT(M7:M41) &gt; 0, AVERAGE(M7:M41), "—")</f>
        <v>0</v>
      </c>
      <c r="N42" s="16">
        <f>IF(COUNT(N7:N41) &gt; 0, SQRT(SUMSQ(N7:N41)/(COUNT(N7:N41)*COUNT(N7:N41)) ), "—")</f>
        <v>0</v>
      </c>
      <c r="O42" s="14">
        <f>IF(COUNT(O7:O41) &gt; 0, AVERAGE(O7:O41), "—")</f>
        <v>0</v>
      </c>
      <c r="P42" s="16">
        <f>IF(COUNT(P7:P41) &gt; 0, SQRT(SUMSQ(P7:P41)/(COUNT(P7:P41)*COUNT(P7:P41)) ), "—")</f>
        <v>0</v>
      </c>
      <c r="Q42" s="14">
        <f>IF(COUNT(Q7:Q41) &gt; 0, AVERAGE(Q7:Q41), "—")</f>
        <v>0</v>
      </c>
      <c r="R42" s="16">
        <f>IF(COUNT(R7:R41) &gt; 0, SQRT(SUMSQ(R7:R41)/(COUNT(R7:R41)*COUNT(R7:R41)) ), "—")</f>
        <v>0</v>
      </c>
    </row>
    <row r="43" spans="1:18" x14ac:dyDescent="0.25">
      <c r="A43" s="9" t="s">
        <v>176</v>
      </c>
      <c r="B43" s="10"/>
      <c r="C43" s="10"/>
      <c r="D43" s="11"/>
      <c r="E43" s="10"/>
      <c r="F43" s="11"/>
      <c r="G43" s="10"/>
      <c r="H43" s="11"/>
      <c r="I43" s="10"/>
      <c r="J43" s="11"/>
      <c r="K43" s="10"/>
      <c r="L43" s="11"/>
      <c r="M43" s="10"/>
      <c r="N43" s="11"/>
      <c r="O43" s="10"/>
      <c r="P43" s="11"/>
      <c r="Q43" s="10"/>
      <c r="R43" s="12"/>
    </row>
    <row r="44" spans="1:18" x14ac:dyDescent="0.25">
      <c r="A44" s="11" t="s">
        <v>177</v>
      </c>
      <c r="B44" s="17" t="s">
        <v>154</v>
      </c>
      <c r="C44" s="17" t="s">
        <v>154</v>
      </c>
      <c r="D44" s="18" t="s">
        <v>154</v>
      </c>
      <c r="E44" s="17" t="s">
        <v>154</v>
      </c>
      <c r="F44" s="18" t="s">
        <v>154</v>
      </c>
      <c r="G44" s="17" t="s">
        <v>154</v>
      </c>
      <c r="H44" s="18" t="s">
        <v>154</v>
      </c>
      <c r="I44" s="17" t="s">
        <v>154</v>
      </c>
      <c r="J44" s="18" t="s">
        <v>154</v>
      </c>
      <c r="K44" s="17" t="s">
        <v>154</v>
      </c>
      <c r="L44" s="18" t="s">
        <v>154</v>
      </c>
      <c r="M44" s="17" t="s">
        <v>154</v>
      </c>
      <c r="N44" s="18" t="s">
        <v>154</v>
      </c>
      <c r="O44" s="17" t="s">
        <v>154</v>
      </c>
      <c r="P44" s="18" t="s">
        <v>154</v>
      </c>
      <c r="Q44" s="17" t="s">
        <v>154</v>
      </c>
      <c r="R44" s="18" t="s">
        <v>154</v>
      </c>
    </row>
    <row r="45" spans="1:18" x14ac:dyDescent="0.25">
      <c r="A45" s="11" t="s">
        <v>178</v>
      </c>
      <c r="B45" s="17" t="s">
        <v>154</v>
      </c>
      <c r="C45" s="17" t="s">
        <v>154</v>
      </c>
      <c r="D45" s="18" t="s">
        <v>154</v>
      </c>
      <c r="E45" s="17" t="s">
        <v>154</v>
      </c>
      <c r="F45" s="18" t="s">
        <v>154</v>
      </c>
      <c r="G45" s="17" t="s">
        <v>154</v>
      </c>
      <c r="H45" s="18" t="s">
        <v>154</v>
      </c>
      <c r="I45" s="17" t="s">
        <v>154</v>
      </c>
      <c r="J45" s="18" t="s">
        <v>154</v>
      </c>
      <c r="K45" s="17" t="s">
        <v>154</v>
      </c>
      <c r="L45" s="18" t="s">
        <v>154</v>
      </c>
      <c r="M45" s="17" t="s">
        <v>154</v>
      </c>
      <c r="N45" s="18" t="s">
        <v>154</v>
      </c>
      <c r="O45" s="17" t="s">
        <v>154</v>
      </c>
      <c r="P45" s="18" t="s">
        <v>154</v>
      </c>
      <c r="Q45" s="17" t="s">
        <v>154</v>
      </c>
      <c r="R45" s="18" t="s">
        <v>154</v>
      </c>
    </row>
    <row r="46" spans="1:18" x14ac:dyDescent="0.25">
      <c r="A46" s="11" t="s">
        <v>179</v>
      </c>
      <c r="B46" s="13">
        <v>23141</v>
      </c>
      <c r="C46" s="14">
        <f>(20770/B46*100)</f>
        <v>89.754116071042731</v>
      </c>
      <c r="D46" s="15">
        <v>2371</v>
      </c>
      <c r="E46" s="14">
        <v>48.79262576</v>
      </c>
      <c r="F46" s="16">
        <v>1.1778626999999999</v>
      </c>
      <c r="G46" s="14">
        <v>51.20737424</v>
      </c>
      <c r="H46" s="16">
        <v>1.1778626999999999</v>
      </c>
      <c r="I46" s="14" t="s">
        <v>139</v>
      </c>
      <c r="J46" s="16" t="s">
        <v>139</v>
      </c>
      <c r="K46" s="14">
        <v>0</v>
      </c>
      <c r="L46" s="16">
        <v>0</v>
      </c>
      <c r="M46" s="14">
        <v>0</v>
      </c>
      <c r="N46" s="16">
        <v>0</v>
      </c>
      <c r="O46" s="14">
        <v>0</v>
      </c>
      <c r="P46" s="16">
        <v>0</v>
      </c>
      <c r="Q46" s="14">
        <v>0</v>
      </c>
      <c r="R46" s="16">
        <v>0</v>
      </c>
    </row>
    <row r="47" spans="1:18" x14ac:dyDescent="0.25">
      <c r="A47" s="11" t="s">
        <v>180</v>
      </c>
      <c r="B47" s="13">
        <v>5928</v>
      </c>
      <c r="C47" s="14">
        <f>(5040/B47*100)</f>
        <v>85.020242914979761</v>
      </c>
      <c r="D47" s="15">
        <v>888</v>
      </c>
      <c r="E47" s="14">
        <v>39.824801360000002</v>
      </c>
      <c r="F47" s="16">
        <v>2.1874338600000001</v>
      </c>
      <c r="G47" s="14">
        <v>60.175198639999998</v>
      </c>
      <c r="H47" s="16">
        <v>2.1874338600000001</v>
      </c>
      <c r="I47" s="14" t="s">
        <v>139</v>
      </c>
      <c r="J47" s="16" t="s">
        <v>139</v>
      </c>
      <c r="K47" s="14">
        <v>0</v>
      </c>
      <c r="L47" s="16">
        <v>0</v>
      </c>
      <c r="M47" s="14">
        <v>0</v>
      </c>
      <c r="N47" s="16">
        <v>0</v>
      </c>
      <c r="O47" s="14">
        <v>0</v>
      </c>
      <c r="P47" s="16">
        <v>0</v>
      </c>
      <c r="Q47" s="14">
        <v>0</v>
      </c>
      <c r="R47" s="16">
        <v>0</v>
      </c>
    </row>
    <row r="48" spans="1:18" x14ac:dyDescent="0.25">
      <c r="A48" s="11" t="s">
        <v>181</v>
      </c>
      <c r="B48" s="13">
        <v>9841</v>
      </c>
      <c r="C48" s="14">
        <f>(8220/B48*100)</f>
        <v>83.528096738136369</v>
      </c>
      <c r="D48" s="15">
        <v>1621</v>
      </c>
      <c r="E48" s="14">
        <v>34.146414489999998</v>
      </c>
      <c r="F48" s="16">
        <v>1.67347387</v>
      </c>
      <c r="G48" s="14">
        <v>65.853585510000002</v>
      </c>
      <c r="H48" s="16">
        <v>1.67347387</v>
      </c>
      <c r="I48" s="14" t="s">
        <v>139</v>
      </c>
      <c r="J48" s="16" t="s">
        <v>139</v>
      </c>
      <c r="K48" s="14">
        <v>0</v>
      </c>
      <c r="L48" s="16">
        <v>0</v>
      </c>
      <c r="M48" s="14">
        <v>0</v>
      </c>
      <c r="N48" s="16">
        <v>0</v>
      </c>
      <c r="O48" s="14">
        <v>0</v>
      </c>
      <c r="P48" s="16">
        <v>0</v>
      </c>
      <c r="Q48" s="14">
        <v>0</v>
      </c>
      <c r="R48" s="16">
        <v>0</v>
      </c>
    </row>
    <row r="49" spans="1:18" x14ac:dyDescent="0.25">
      <c r="A49" s="11" t="s">
        <v>182</v>
      </c>
      <c r="B49" s="17" t="s">
        <v>154</v>
      </c>
      <c r="C49" s="17" t="s">
        <v>154</v>
      </c>
      <c r="D49" s="18" t="s">
        <v>154</v>
      </c>
      <c r="E49" s="17" t="s">
        <v>154</v>
      </c>
      <c r="F49" s="18" t="s">
        <v>154</v>
      </c>
      <c r="G49" s="17" t="s">
        <v>154</v>
      </c>
      <c r="H49" s="18" t="s">
        <v>154</v>
      </c>
      <c r="I49" s="17" t="s">
        <v>154</v>
      </c>
      <c r="J49" s="18" t="s">
        <v>154</v>
      </c>
      <c r="K49" s="17" t="s">
        <v>154</v>
      </c>
      <c r="L49" s="18" t="s">
        <v>154</v>
      </c>
      <c r="M49" s="17" t="s">
        <v>154</v>
      </c>
      <c r="N49" s="18" t="s">
        <v>154</v>
      </c>
      <c r="O49" s="17" t="s">
        <v>154</v>
      </c>
      <c r="P49" s="18" t="s">
        <v>154</v>
      </c>
      <c r="Q49" s="17" t="s">
        <v>154</v>
      </c>
      <c r="R49" s="18" t="s">
        <v>154</v>
      </c>
    </row>
    <row r="50" spans="1:18" x14ac:dyDescent="0.25">
      <c r="A50" s="11" t="s">
        <v>183</v>
      </c>
      <c r="B50" s="13">
        <v>11795</v>
      </c>
      <c r="C50" s="14">
        <f>(10071/B50*100)</f>
        <v>85.383637134378972</v>
      </c>
      <c r="D50" s="15">
        <v>1724</v>
      </c>
      <c r="E50" s="14">
        <v>42.94895185</v>
      </c>
      <c r="F50" s="16">
        <v>1.53464713</v>
      </c>
      <c r="G50" s="14">
        <v>57.05104815</v>
      </c>
      <c r="H50" s="16">
        <v>1.53464713</v>
      </c>
      <c r="I50" s="14" t="s">
        <v>139</v>
      </c>
      <c r="J50" s="16" t="s">
        <v>139</v>
      </c>
      <c r="K50" s="14">
        <v>0</v>
      </c>
      <c r="L50" s="16">
        <v>0</v>
      </c>
      <c r="M50" s="14">
        <v>0</v>
      </c>
      <c r="N50" s="16">
        <v>0</v>
      </c>
      <c r="O50" s="14">
        <v>0</v>
      </c>
      <c r="P50" s="16">
        <v>0</v>
      </c>
      <c r="Q50" s="14">
        <v>0</v>
      </c>
      <c r="R50" s="16">
        <v>0</v>
      </c>
    </row>
    <row r="51" spans="1:18" x14ac:dyDescent="0.25">
      <c r="A51" s="11" t="s">
        <v>184</v>
      </c>
      <c r="B51" s="13">
        <v>6866</v>
      </c>
      <c r="C51" s="14">
        <f>(5973/B51*100)</f>
        <v>86.993882901252547</v>
      </c>
      <c r="D51" s="15">
        <v>893</v>
      </c>
      <c r="E51" s="14">
        <v>45.168855780000001</v>
      </c>
      <c r="F51" s="16">
        <v>1.8613416700000001</v>
      </c>
      <c r="G51" s="14">
        <v>54.831144219999999</v>
      </c>
      <c r="H51" s="16">
        <v>1.8613416700000001</v>
      </c>
      <c r="I51" s="14" t="s">
        <v>139</v>
      </c>
      <c r="J51" s="16" t="s">
        <v>139</v>
      </c>
      <c r="K51" s="14">
        <v>0</v>
      </c>
      <c r="L51" s="16">
        <v>0</v>
      </c>
      <c r="M51" s="14">
        <v>0</v>
      </c>
      <c r="N51" s="16">
        <v>0</v>
      </c>
      <c r="O51" s="14">
        <v>0</v>
      </c>
      <c r="P51" s="16">
        <v>0</v>
      </c>
      <c r="Q51" s="14">
        <v>0</v>
      </c>
      <c r="R51" s="16">
        <v>0</v>
      </c>
    </row>
    <row r="52" spans="1:18" x14ac:dyDescent="0.25">
      <c r="A52" s="11" t="s">
        <v>185</v>
      </c>
      <c r="B52" s="13">
        <v>5809</v>
      </c>
      <c r="C52" s="14">
        <f>(4885/B52*100)</f>
        <v>84.093647787915302</v>
      </c>
      <c r="D52" s="15">
        <v>924</v>
      </c>
      <c r="E52" s="14">
        <v>34.111798810000003</v>
      </c>
      <c r="F52" s="16">
        <v>1.79371455</v>
      </c>
      <c r="G52" s="14">
        <v>65.888201190000004</v>
      </c>
      <c r="H52" s="16">
        <v>1.79371455</v>
      </c>
      <c r="I52" s="14" t="s">
        <v>139</v>
      </c>
      <c r="J52" s="16" t="s">
        <v>139</v>
      </c>
      <c r="K52" s="14">
        <v>0</v>
      </c>
      <c r="L52" s="16">
        <v>0</v>
      </c>
      <c r="M52" s="14">
        <v>0</v>
      </c>
      <c r="N52" s="16">
        <v>0</v>
      </c>
      <c r="O52" s="14">
        <v>0</v>
      </c>
      <c r="P52" s="16">
        <v>0</v>
      </c>
      <c r="Q52" s="14">
        <v>0</v>
      </c>
      <c r="R52" s="16">
        <v>0</v>
      </c>
    </row>
    <row r="53" spans="1:18" x14ac:dyDescent="0.25">
      <c r="A53" s="11" t="s">
        <v>186</v>
      </c>
      <c r="B53" s="13">
        <v>5571</v>
      </c>
      <c r="C53" s="14">
        <f>(4728/B53*100)</f>
        <v>84.86806677436725</v>
      </c>
      <c r="D53" s="15">
        <v>843</v>
      </c>
      <c r="E53" s="14">
        <v>44.103029820000003</v>
      </c>
      <c r="F53" s="16">
        <v>1.8570305199999999</v>
      </c>
      <c r="G53" s="14">
        <v>55.896970179999997</v>
      </c>
      <c r="H53" s="16">
        <v>1.8570305199999999</v>
      </c>
      <c r="I53" s="14" t="s">
        <v>139</v>
      </c>
      <c r="J53" s="16" t="s">
        <v>139</v>
      </c>
      <c r="K53" s="14">
        <v>0</v>
      </c>
      <c r="L53" s="16">
        <v>0</v>
      </c>
      <c r="M53" s="14">
        <v>0</v>
      </c>
      <c r="N53" s="16">
        <v>0</v>
      </c>
      <c r="O53" s="14">
        <v>0</v>
      </c>
      <c r="P53" s="16">
        <v>0</v>
      </c>
      <c r="Q53" s="14">
        <v>0</v>
      </c>
      <c r="R53" s="16">
        <v>0</v>
      </c>
    </row>
    <row r="54" spans="1:18" x14ac:dyDescent="0.25">
      <c r="A54" s="11" t="s">
        <v>187</v>
      </c>
      <c r="B54" s="17" t="s">
        <v>154</v>
      </c>
      <c r="C54" s="17" t="s">
        <v>154</v>
      </c>
      <c r="D54" s="18" t="s">
        <v>154</v>
      </c>
      <c r="E54" s="17" t="s">
        <v>154</v>
      </c>
      <c r="F54" s="18" t="s">
        <v>154</v>
      </c>
      <c r="G54" s="17" t="s">
        <v>154</v>
      </c>
      <c r="H54" s="18" t="s">
        <v>154</v>
      </c>
      <c r="I54" s="17" t="s">
        <v>154</v>
      </c>
      <c r="J54" s="18" t="s">
        <v>154</v>
      </c>
      <c r="K54" s="17" t="s">
        <v>154</v>
      </c>
      <c r="L54" s="18" t="s">
        <v>154</v>
      </c>
      <c r="M54" s="17" t="s">
        <v>154</v>
      </c>
      <c r="N54" s="18" t="s">
        <v>154</v>
      </c>
      <c r="O54" s="17" t="s">
        <v>154</v>
      </c>
      <c r="P54" s="18" t="s">
        <v>154</v>
      </c>
      <c r="Q54" s="17" t="s">
        <v>154</v>
      </c>
      <c r="R54" s="18" t="s">
        <v>154</v>
      </c>
    </row>
    <row r="55" spans="1:18" x14ac:dyDescent="0.25">
      <c r="A55" s="11" t="s">
        <v>188</v>
      </c>
      <c r="B55" s="17" t="s">
        <v>154</v>
      </c>
      <c r="C55" s="17" t="s">
        <v>154</v>
      </c>
      <c r="D55" s="18" t="s">
        <v>154</v>
      </c>
      <c r="E55" s="17" t="s">
        <v>154</v>
      </c>
      <c r="F55" s="18" t="s">
        <v>154</v>
      </c>
      <c r="G55" s="17" t="s">
        <v>154</v>
      </c>
      <c r="H55" s="18" t="s">
        <v>154</v>
      </c>
      <c r="I55" s="17" t="s">
        <v>154</v>
      </c>
      <c r="J55" s="18" t="s">
        <v>154</v>
      </c>
      <c r="K55" s="17" t="s">
        <v>154</v>
      </c>
      <c r="L55" s="18" t="s">
        <v>154</v>
      </c>
      <c r="M55" s="17" t="s">
        <v>154</v>
      </c>
      <c r="N55" s="18" t="s">
        <v>154</v>
      </c>
      <c r="O55" s="17" t="s">
        <v>154</v>
      </c>
      <c r="P55" s="18" t="s">
        <v>154</v>
      </c>
      <c r="Q55" s="17" t="s">
        <v>154</v>
      </c>
      <c r="R55" s="18" t="s">
        <v>154</v>
      </c>
    </row>
    <row r="56" spans="1:18" x14ac:dyDescent="0.25">
      <c r="A56" s="11" t="s">
        <v>189</v>
      </c>
      <c r="B56" s="13">
        <v>5359</v>
      </c>
      <c r="C56" s="14">
        <f>(4464/B56*100)</f>
        <v>83.299122970703493</v>
      </c>
      <c r="D56" s="15">
        <v>895</v>
      </c>
      <c r="E56" s="14">
        <v>14.585427190000001</v>
      </c>
      <c r="F56" s="16">
        <v>1.5700933699999999</v>
      </c>
      <c r="G56" s="14">
        <v>85.414572809999996</v>
      </c>
      <c r="H56" s="16">
        <v>1.5700933699999999</v>
      </c>
      <c r="I56" s="14" t="s">
        <v>139</v>
      </c>
      <c r="J56" s="16" t="s">
        <v>139</v>
      </c>
      <c r="K56" s="14">
        <v>0</v>
      </c>
      <c r="L56" s="16">
        <v>0</v>
      </c>
      <c r="M56" s="14">
        <v>0</v>
      </c>
      <c r="N56" s="16">
        <v>0</v>
      </c>
      <c r="O56" s="14">
        <v>0</v>
      </c>
      <c r="P56" s="16">
        <v>0</v>
      </c>
      <c r="Q56" s="14">
        <v>0</v>
      </c>
      <c r="R56" s="16">
        <v>0</v>
      </c>
    </row>
    <row r="57" spans="1:18" x14ac:dyDescent="0.25">
      <c r="A57" s="11" t="s">
        <v>190</v>
      </c>
      <c r="B57" s="17" t="s">
        <v>154</v>
      </c>
      <c r="C57" s="17" t="s">
        <v>154</v>
      </c>
      <c r="D57" s="18" t="s">
        <v>154</v>
      </c>
      <c r="E57" s="17" t="s">
        <v>154</v>
      </c>
      <c r="F57" s="18" t="s">
        <v>154</v>
      </c>
      <c r="G57" s="17" t="s">
        <v>154</v>
      </c>
      <c r="H57" s="18" t="s">
        <v>154</v>
      </c>
      <c r="I57" s="17" t="s">
        <v>154</v>
      </c>
      <c r="J57" s="18" t="s">
        <v>154</v>
      </c>
      <c r="K57" s="17" t="s">
        <v>154</v>
      </c>
      <c r="L57" s="18" t="s">
        <v>154</v>
      </c>
      <c r="M57" s="17" t="s">
        <v>154</v>
      </c>
      <c r="N57" s="18" t="s">
        <v>154</v>
      </c>
      <c r="O57" s="17" t="s">
        <v>154</v>
      </c>
      <c r="P57" s="18" t="s">
        <v>154</v>
      </c>
      <c r="Q57" s="17" t="s">
        <v>154</v>
      </c>
      <c r="R57" s="18" t="s">
        <v>154</v>
      </c>
    </row>
    <row r="58" spans="1:18" x14ac:dyDescent="0.25">
      <c r="A58" s="11" t="s">
        <v>191</v>
      </c>
      <c r="B58" s="17" t="s">
        <v>154</v>
      </c>
      <c r="C58" s="17" t="s">
        <v>154</v>
      </c>
      <c r="D58" s="18" t="s">
        <v>154</v>
      </c>
      <c r="E58" s="17" t="s">
        <v>154</v>
      </c>
      <c r="F58" s="18" t="s">
        <v>154</v>
      </c>
      <c r="G58" s="17" t="s">
        <v>154</v>
      </c>
      <c r="H58" s="18" t="s">
        <v>154</v>
      </c>
      <c r="I58" s="17" t="s">
        <v>154</v>
      </c>
      <c r="J58" s="18" t="s">
        <v>154</v>
      </c>
      <c r="K58" s="17" t="s">
        <v>154</v>
      </c>
      <c r="L58" s="18" t="s">
        <v>154</v>
      </c>
      <c r="M58" s="17" t="s">
        <v>154</v>
      </c>
      <c r="N58" s="18" t="s">
        <v>154</v>
      </c>
      <c r="O58" s="17" t="s">
        <v>154</v>
      </c>
      <c r="P58" s="18" t="s">
        <v>154</v>
      </c>
      <c r="Q58" s="17" t="s">
        <v>154</v>
      </c>
      <c r="R58" s="18" t="s">
        <v>154</v>
      </c>
    </row>
    <row r="59" spans="1:18" x14ac:dyDescent="0.25">
      <c r="A59" s="11" t="s">
        <v>192</v>
      </c>
      <c r="B59" s="17" t="s">
        <v>154</v>
      </c>
      <c r="C59" s="17" t="s">
        <v>154</v>
      </c>
      <c r="D59" s="18" t="s">
        <v>154</v>
      </c>
      <c r="E59" s="17" t="s">
        <v>154</v>
      </c>
      <c r="F59" s="18" t="s">
        <v>154</v>
      </c>
      <c r="G59" s="17" t="s">
        <v>154</v>
      </c>
      <c r="H59" s="18" t="s">
        <v>154</v>
      </c>
      <c r="I59" s="17" t="s">
        <v>154</v>
      </c>
      <c r="J59" s="18" t="s">
        <v>154</v>
      </c>
      <c r="K59" s="17" t="s">
        <v>154</v>
      </c>
      <c r="L59" s="18" t="s">
        <v>154</v>
      </c>
      <c r="M59" s="17" t="s">
        <v>154</v>
      </c>
      <c r="N59" s="18" t="s">
        <v>154</v>
      </c>
      <c r="O59" s="17" t="s">
        <v>154</v>
      </c>
      <c r="P59" s="18" t="s">
        <v>154</v>
      </c>
      <c r="Q59" s="17" t="s">
        <v>154</v>
      </c>
      <c r="R59" s="18" t="s">
        <v>154</v>
      </c>
    </row>
    <row r="60" spans="1:18" x14ac:dyDescent="0.25">
      <c r="A60" s="11" t="s">
        <v>193</v>
      </c>
      <c r="B60" s="17" t="s">
        <v>154</v>
      </c>
      <c r="C60" s="17" t="s">
        <v>154</v>
      </c>
      <c r="D60" s="18" t="s">
        <v>154</v>
      </c>
      <c r="E60" s="17" t="s">
        <v>154</v>
      </c>
      <c r="F60" s="18" t="s">
        <v>154</v>
      </c>
      <c r="G60" s="17" t="s">
        <v>154</v>
      </c>
      <c r="H60" s="18" t="s">
        <v>154</v>
      </c>
      <c r="I60" s="17" t="s">
        <v>154</v>
      </c>
      <c r="J60" s="18" t="s">
        <v>154</v>
      </c>
      <c r="K60" s="17" t="s">
        <v>154</v>
      </c>
      <c r="L60" s="18" t="s">
        <v>154</v>
      </c>
      <c r="M60" s="17" t="s">
        <v>154</v>
      </c>
      <c r="N60" s="18" t="s">
        <v>154</v>
      </c>
      <c r="O60" s="17" t="s">
        <v>154</v>
      </c>
      <c r="P60" s="18" t="s">
        <v>154</v>
      </c>
      <c r="Q60" s="17" t="s">
        <v>154</v>
      </c>
      <c r="R60" s="18" t="s">
        <v>154</v>
      </c>
    </row>
    <row r="61" spans="1:18" x14ac:dyDescent="0.25">
      <c r="A61" s="11" t="s">
        <v>194</v>
      </c>
      <c r="B61" s="13">
        <v>6525</v>
      </c>
      <c r="C61" s="14">
        <f>(5500/B61*100)</f>
        <v>84.291187739463595</v>
      </c>
      <c r="D61" s="15">
        <v>1025</v>
      </c>
      <c r="E61" s="14">
        <v>31.647630020000001</v>
      </c>
      <c r="F61" s="16">
        <v>1.84197104</v>
      </c>
      <c r="G61" s="14">
        <v>68.352369980000006</v>
      </c>
      <c r="H61" s="16">
        <v>1.84197104</v>
      </c>
      <c r="I61" s="14" t="s">
        <v>139</v>
      </c>
      <c r="J61" s="16" t="s">
        <v>139</v>
      </c>
      <c r="K61" s="14">
        <v>0</v>
      </c>
      <c r="L61" s="16">
        <v>0</v>
      </c>
      <c r="M61" s="14">
        <v>0</v>
      </c>
      <c r="N61" s="16">
        <v>0</v>
      </c>
      <c r="O61" s="14">
        <v>0</v>
      </c>
      <c r="P61" s="16">
        <v>0</v>
      </c>
      <c r="Q61" s="14">
        <v>0</v>
      </c>
      <c r="R61" s="16">
        <v>0</v>
      </c>
    </row>
    <row r="62" spans="1:18" x14ac:dyDescent="0.25">
      <c r="A62" s="11" t="s">
        <v>195</v>
      </c>
      <c r="B62" s="13">
        <v>4476</v>
      </c>
      <c r="C62" s="14">
        <f>(3758/B62*100)</f>
        <v>83.958891867739055</v>
      </c>
      <c r="D62" s="15">
        <v>718</v>
      </c>
      <c r="E62" s="14">
        <v>31.844289969999998</v>
      </c>
      <c r="F62" s="16">
        <v>1.8874783500000001</v>
      </c>
      <c r="G62" s="14">
        <v>68.155710029999995</v>
      </c>
      <c r="H62" s="16">
        <v>1.8874783500000001</v>
      </c>
      <c r="I62" s="14" t="s">
        <v>139</v>
      </c>
      <c r="J62" s="16" t="s">
        <v>139</v>
      </c>
      <c r="K62" s="14">
        <v>0</v>
      </c>
      <c r="L62" s="16">
        <v>0</v>
      </c>
      <c r="M62" s="14">
        <v>0</v>
      </c>
      <c r="N62" s="16">
        <v>0</v>
      </c>
      <c r="O62" s="14">
        <v>0</v>
      </c>
      <c r="P62" s="16">
        <v>0</v>
      </c>
      <c r="Q62" s="14">
        <v>0</v>
      </c>
      <c r="R62" s="16">
        <v>0</v>
      </c>
    </row>
    <row r="63" spans="1:18" x14ac:dyDescent="0.25">
      <c r="A63" s="11" t="s">
        <v>196</v>
      </c>
      <c r="B63" s="17" t="s">
        <v>154</v>
      </c>
      <c r="C63" s="17" t="s">
        <v>154</v>
      </c>
      <c r="D63" s="18" t="s">
        <v>154</v>
      </c>
      <c r="E63" s="17" t="s">
        <v>154</v>
      </c>
      <c r="F63" s="18" t="s">
        <v>154</v>
      </c>
      <c r="G63" s="17" t="s">
        <v>154</v>
      </c>
      <c r="H63" s="18" t="s">
        <v>154</v>
      </c>
      <c r="I63" s="17" t="s">
        <v>154</v>
      </c>
      <c r="J63" s="18" t="s">
        <v>154</v>
      </c>
      <c r="K63" s="17" t="s">
        <v>154</v>
      </c>
      <c r="L63" s="18" t="s">
        <v>154</v>
      </c>
      <c r="M63" s="17" t="s">
        <v>154</v>
      </c>
      <c r="N63" s="18" t="s">
        <v>154</v>
      </c>
      <c r="O63" s="17" t="s">
        <v>154</v>
      </c>
      <c r="P63" s="18" t="s">
        <v>154</v>
      </c>
      <c r="Q63" s="17" t="s">
        <v>154</v>
      </c>
      <c r="R63" s="18" t="s">
        <v>154</v>
      </c>
    </row>
    <row r="64" spans="1:18" x14ac:dyDescent="0.25">
      <c r="A64" s="11" t="s">
        <v>197</v>
      </c>
      <c r="B64" s="17" t="s">
        <v>154</v>
      </c>
      <c r="C64" s="17" t="s">
        <v>154</v>
      </c>
      <c r="D64" s="18" t="s">
        <v>154</v>
      </c>
      <c r="E64" s="17" t="s">
        <v>154</v>
      </c>
      <c r="F64" s="18" t="s">
        <v>154</v>
      </c>
      <c r="G64" s="17" t="s">
        <v>154</v>
      </c>
      <c r="H64" s="18" t="s">
        <v>154</v>
      </c>
      <c r="I64" s="17" t="s">
        <v>154</v>
      </c>
      <c r="J64" s="18" t="s">
        <v>154</v>
      </c>
      <c r="K64" s="17" t="s">
        <v>154</v>
      </c>
      <c r="L64" s="18" t="s">
        <v>154</v>
      </c>
      <c r="M64" s="17" t="s">
        <v>154</v>
      </c>
      <c r="N64" s="18" t="s">
        <v>154</v>
      </c>
      <c r="O64" s="17" t="s">
        <v>154</v>
      </c>
      <c r="P64" s="18" t="s">
        <v>154</v>
      </c>
      <c r="Q64" s="17" t="s">
        <v>154</v>
      </c>
      <c r="R64" s="18" t="s">
        <v>154</v>
      </c>
    </row>
    <row r="65" spans="1:18" x14ac:dyDescent="0.25">
      <c r="A65" s="11" t="s">
        <v>198</v>
      </c>
      <c r="B65" s="17" t="s">
        <v>154</v>
      </c>
      <c r="C65" s="17" t="s">
        <v>154</v>
      </c>
      <c r="D65" s="18" t="s">
        <v>154</v>
      </c>
      <c r="E65" s="17" t="s">
        <v>154</v>
      </c>
      <c r="F65" s="18" t="s">
        <v>154</v>
      </c>
      <c r="G65" s="17" t="s">
        <v>154</v>
      </c>
      <c r="H65" s="18" t="s">
        <v>154</v>
      </c>
      <c r="I65" s="17" t="s">
        <v>154</v>
      </c>
      <c r="J65" s="18" t="s">
        <v>154</v>
      </c>
      <c r="K65" s="17" t="s">
        <v>154</v>
      </c>
      <c r="L65" s="18" t="s">
        <v>154</v>
      </c>
      <c r="M65" s="17" t="s">
        <v>154</v>
      </c>
      <c r="N65" s="18" t="s">
        <v>154</v>
      </c>
      <c r="O65" s="17" t="s">
        <v>154</v>
      </c>
      <c r="P65" s="18" t="s">
        <v>154</v>
      </c>
      <c r="Q65" s="17" t="s">
        <v>154</v>
      </c>
      <c r="R65" s="18" t="s">
        <v>154</v>
      </c>
    </row>
    <row r="66" spans="1:18" x14ac:dyDescent="0.25">
      <c r="A66" s="11" t="s">
        <v>199</v>
      </c>
      <c r="B66" s="13">
        <v>5665</v>
      </c>
      <c r="C66" s="14">
        <f>(4808/B66*100)</f>
        <v>84.872021182700792</v>
      </c>
      <c r="D66" s="15">
        <v>857</v>
      </c>
      <c r="E66" s="14">
        <v>50.377005660000002</v>
      </c>
      <c r="F66" s="16">
        <v>1.7903236600000001</v>
      </c>
      <c r="G66" s="14">
        <v>49.622994339999998</v>
      </c>
      <c r="H66" s="16">
        <v>1.7903236600000001</v>
      </c>
      <c r="I66" s="14" t="s">
        <v>139</v>
      </c>
      <c r="J66" s="16" t="s">
        <v>139</v>
      </c>
      <c r="K66" s="14">
        <v>0</v>
      </c>
      <c r="L66" s="16">
        <v>0</v>
      </c>
      <c r="M66" s="14">
        <v>0</v>
      </c>
      <c r="N66" s="16">
        <v>0</v>
      </c>
      <c r="O66" s="14">
        <v>0</v>
      </c>
      <c r="P66" s="16">
        <v>0</v>
      </c>
      <c r="Q66" s="14">
        <v>0</v>
      </c>
      <c r="R66" s="16">
        <v>0</v>
      </c>
    </row>
    <row r="67" spans="1:18" x14ac:dyDescent="0.25">
      <c r="A67" s="11" t="s">
        <v>200</v>
      </c>
      <c r="B67" s="13">
        <v>6971</v>
      </c>
      <c r="C67" s="14">
        <f>(6104/B67*100)</f>
        <v>87.562760005738056</v>
      </c>
      <c r="D67" s="15">
        <v>867</v>
      </c>
      <c r="E67" s="14">
        <v>73.688602849999995</v>
      </c>
      <c r="F67" s="16">
        <v>1.5461513899999999</v>
      </c>
      <c r="G67" s="14">
        <v>26.311397150000001</v>
      </c>
      <c r="H67" s="16">
        <v>1.5461513899999999</v>
      </c>
      <c r="I67" s="14" t="s">
        <v>139</v>
      </c>
      <c r="J67" s="16" t="s">
        <v>139</v>
      </c>
      <c r="K67" s="14">
        <v>0</v>
      </c>
      <c r="L67" s="16">
        <v>0</v>
      </c>
      <c r="M67" s="14">
        <v>0</v>
      </c>
      <c r="N67" s="16">
        <v>0</v>
      </c>
      <c r="O67" s="14">
        <v>0</v>
      </c>
      <c r="P67" s="16">
        <v>0</v>
      </c>
      <c r="Q67" s="14">
        <v>0</v>
      </c>
      <c r="R67" s="16">
        <v>0</v>
      </c>
    </row>
    <row r="68" spans="1:18" x14ac:dyDescent="0.25">
      <c r="A68" s="11" t="s">
        <v>201</v>
      </c>
      <c r="B68" s="17" t="s">
        <v>154</v>
      </c>
      <c r="C68" s="17" t="s">
        <v>154</v>
      </c>
      <c r="D68" s="18" t="s">
        <v>154</v>
      </c>
      <c r="E68" s="17" t="s">
        <v>154</v>
      </c>
      <c r="F68" s="18" t="s">
        <v>154</v>
      </c>
      <c r="G68" s="17" t="s">
        <v>154</v>
      </c>
      <c r="H68" s="18" t="s">
        <v>154</v>
      </c>
      <c r="I68" s="17" t="s">
        <v>154</v>
      </c>
      <c r="J68" s="18" t="s">
        <v>154</v>
      </c>
      <c r="K68" s="17" t="s">
        <v>154</v>
      </c>
      <c r="L68" s="18" t="s">
        <v>154</v>
      </c>
      <c r="M68" s="17" t="s">
        <v>154</v>
      </c>
      <c r="N68" s="18" t="s">
        <v>154</v>
      </c>
      <c r="O68" s="17" t="s">
        <v>154</v>
      </c>
      <c r="P68" s="18" t="s">
        <v>154</v>
      </c>
      <c r="Q68" s="17" t="s">
        <v>154</v>
      </c>
      <c r="R68" s="18" t="s">
        <v>154</v>
      </c>
    </row>
    <row r="69" spans="1:18" x14ac:dyDescent="0.25">
      <c r="A69" s="11" t="s">
        <v>202</v>
      </c>
      <c r="B69" s="17" t="s">
        <v>154</v>
      </c>
      <c r="C69" s="17" t="s">
        <v>154</v>
      </c>
      <c r="D69" s="18" t="s">
        <v>154</v>
      </c>
      <c r="E69" s="17" t="s">
        <v>154</v>
      </c>
      <c r="F69" s="18" t="s">
        <v>154</v>
      </c>
      <c r="G69" s="17" t="s">
        <v>154</v>
      </c>
      <c r="H69" s="18" t="s">
        <v>154</v>
      </c>
      <c r="I69" s="17" t="s">
        <v>154</v>
      </c>
      <c r="J69" s="18" t="s">
        <v>154</v>
      </c>
      <c r="K69" s="17" t="s">
        <v>154</v>
      </c>
      <c r="L69" s="18" t="s">
        <v>154</v>
      </c>
      <c r="M69" s="17" t="s">
        <v>154</v>
      </c>
      <c r="N69" s="18" t="s">
        <v>154</v>
      </c>
      <c r="O69" s="17" t="s">
        <v>154</v>
      </c>
      <c r="P69" s="18" t="s">
        <v>154</v>
      </c>
      <c r="Q69" s="17" t="s">
        <v>154</v>
      </c>
      <c r="R69" s="18" t="s">
        <v>154</v>
      </c>
    </row>
    <row r="70" spans="1:18" x14ac:dyDescent="0.25">
      <c r="A70" s="11" t="s">
        <v>203</v>
      </c>
      <c r="B70" s="13">
        <v>6036</v>
      </c>
      <c r="C70" s="14">
        <f>(5098/B70*100)</f>
        <v>84.459907223326695</v>
      </c>
      <c r="D70" s="15">
        <v>938</v>
      </c>
      <c r="E70" s="14">
        <v>47.592751550000003</v>
      </c>
      <c r="F70" s="16">
        <v>2.3201171700000001</v>
      </c>
      <c r="G70" s="14">
        <v>52.407248449999997</v>
      </c>
      <c r="H70" s="16">
        <v>2.3201171700000001</v>
      </c>
      <c r="I70" s="14" t="s">
        <v>139</v>
      </c>
      <c r="J70" s="16" t="s">
        <v>139</v>
      </c>
      <c r="K70" s="14">
        <v>0</v>
      </c>
      <c r="L70" s="16">
        <v>0</v>
      </c>
      <c r="M70" s="14">
        <v>0</v>
      </c>
      <c r="N70" s="16">
        <v>0</v>
      </c>
      <c r="O70" s="14">
        <v>0</v>
      </c>
      <c r="P70" s="16">
        <v>0</v>
      </c>
      <c r="Q70" s="14">
        <v>0</v>
      </c>
      <c r="R70" s="16">
        <v>0</v>
      </c>
    </row>
    <row r="71" spans="1:18" x14ac:dyDescent="0.25">
      <c r="A71" s="11" t="s">
        <v>204</v>
      </c>
      <c r="B71" s="17" t="s">
        <v>154</v>
      </c>
      <c r="C71" s="17" t="s">
        <v>154</v>
      </c>
      <c r="D71" s="18" t="s">
        <v>154</v>
      </c>
      <c r="E71" s="17" t="s">
        <v>154</v>
      </c>
      <c r="F71" s="18" t="s">
        <v>154</v>
      </c>
      <c r="G71" s="17" t="s">
        <v>154</v>
      </c>
      <c r="H71" s="18" t="s">
        <v>154</v>
      </c>
      <c r="I71" s="17" t="s">
        <v>154</v>
      </c>
      <c r="J71" s="18" t="s">
        <v>154</v>
      </c>
      <c r="K71" s="17" t="s">
        <v>154</v>
      </c>
      <c r="L71" s="18" t="s">
        <v>154</v>
      </c>
      <c r="M71" s="17" t="s">
        <v>154</v>
      </c>
      <c r="N71" s="18" t="s">
        <v>154</v>
      </c>
      <c r="O71" s="17" t="s">
        <v>154</v>
      </c>
      <c r="P71" s="18" t="s">
        <v>154</v>
      </c>
      <c r="Q71" s="17" t="s">
        <v>154</v>
      </c>
      <c r="R71" s="18" t="s">
        <v>154</v>
      </c>
    </row>
    <row r="72" spans="1:18" x14ac:dyDescent="0.25">
      <c r="A72" s="11" t="s">
        <v>205</v>
      </c>
      <c r="B72" s="13">
        <v>7708</v>
      </c>
      <c r="C72" s="14">
        <f>(6380/B72*100)</f>
        <v>82.77114686040477</v>
      </c>
      <c r="D72" s="15">
        <v>1328</v>
      </c>
      <c r="E72" s="14">
        <v>22.001925960000001</v>
      </c>
      <c r="F72" s="16">
        <v>1.30827172</v>
      </c>
      <c r="G72" s="14">
        <v>77.998074040000006</v>
      </c>
      <c r="H72" s="16">
        <v>1.30827172</v>
      </c>
      <c r="I72" s="14" t="s">
        <v>139</v>
      </c>
      <c r="J72" s="16" t="s">
        <v>139</v>
      </c>
      <c r="K72" s="14">
        <v>0</v>
      </c>
      <c r="L72" s="16">
        <v>0</v>
      </c>
      <c r="M72" s="14">
        <v>0</v>
      </c>
      <c r="N72" s="16">
        <v>0</v>
      </c>
      <c r="O72" s="14">
        <v>0</v>
      </c>
      <c r="P72" s="16">
        <v>0</v>
      </c>
      <c r="Q72" s="14">
        <v>0</v>
      </c>
      <c r="R72" s="16">
        <v>0</v>
      </c>
    </row>
    <row r="73" spans="1:18" x14ac:dyDescent="0.25">
      <c r="A73" s="11" t="s">
        <v>206</v>
      </c>
      <c r="B73" s="13">
        <v>8249</v>
      </c>
      <c r="C73" s="14">
        <f>(7058/B73*100)</f>
        <v>85.561886289247184</v>
      </c>
      <c r="D73" s="15">
        <v>1191</v>
      </c>
      <c r="E73" s="14">
        <v>34.938062309999999</v>
      </c>
      <c r="F73" s="16">
        <v>1.8287710500000001</v>
      </c>
      <c r="G73" s="14">
        <v>65.061937689999993</v>
      </c>
      <c r="H73" s="16">
        <v>1.8287710500000001</v>
      </c>
      <c r="I73" s="14" t="s">
        <v>139</v>
      </c>
      <c r="J73" s="16" t="s">
        <v>139</v>
      </c>
      <c r="K73" s="14">
        <v>0</v>
      </c>
      <c r="L73" s="16">
        <v>0</v>
      </c>
      <c r="M73" s="14">
        <v>0</v>
      </c>
      <c r="N73" s="16">
        <v>0</v>
      </c>
      <c r="O73" s="14">
        <v>0</v>
      </c>
      <c r="P73" s="16">
        <v>0</v>
      </c>
      <c r="Q73" s="14">
        <v>0</v>
      </c>
      <c r="R73" s="16">
        <v>0</v>
      </c>
    </row>
    <row r="74" spans="1:18" x14ac:dyDescent="0.25">
      <c r="A74" s="11" t="s">
        <v>207</v>
      </c>
      <c r="B74" s="17" t="s">
        <v>154</v>
      </c>
      <c r="C74" s="17" t="s">
        <v>154</v>
      </c>
      <c r="D74" s="18" t="s">
        <v>154</v>
      </c>
      <c r="E74" s="17" t="s">
        <v>154</v>
      </c>
      <c r="F74" s="18" t="s">
        <v>154</v>
      </c>
      <c r="G74" s="17" t="s">
        <v>154</v>
      </c>
      <c r="H74" s="18" t="s">
        <v>154</v>
      </c>
      <c r="I74" s="17" t="s">
        <v>154</v>
      </c>
      <c r="J74" s="18" t="s">
        <v>154</v>
      </c>
      <c r="K74" s="17" t="s">
        <v>154</v>
      </c>
      <c r="L74" s="18" t="s">
        <v>154</v>
      </c>
      <c r="M74" s="17" t="s">
        <v>154</v>
      </c>
      <c r="N74" s="18" t="s">
        <v>154</v>
      </c>
      <c r="O74" s="17" t="s">
        <v>154</v>
      </c>
      <c r="P74" s="18" t="s">
        <v>154</v>
      </c>
      <c r="Q74" s="17" t="s">
        <v>154</v>
      </c>
      <c r="R74" s="18" t="s">
        <v>154</v>
      </c>
    </row>
    <row r="75" spans="1:18" x14ac:dyDescent="0.25">
      <c r="A75" s="11" t="s">
        <v>208</v>
      </c>
      <c r="B75" s="13">
        <v>5375</v>
      </c>
      <c r="C75" s="14">
        <f>(4623/B75*100)</f>
        <v>86.009302325581388</v>
      </c>
      <c r="D75" s="15">
        <v>752</v>
      </c>
      <c r="E75" s="14">
        <v>50.454236639999998</v>
      </c>
      <c r="F75" s="16">
        <v>1.8087307800000001</v>
      </c>
      <c r="G75" s="14">
        <v>49.545763360000002</v>
      </c>
      <c r="H75" s="16">
        <v>1.8087307800000001</v>
      </c>
      <c r="I75" s="14" t="s">
        <v>139</v>
      </c>
      <c r="J75" s="16" t="s">
        <v>139</v>
      </c>
      <c r="K75" s="14">
        <v>0</v>
      </c>
      <c r="L75" s="16">
        <v>0</v>
      </c>
      <c r="M75" s="14">
        <v>0</v>
      </c>
      <c r="N75" s="16">
        <v>0</v>
      </c>
      <c r="O75" s="14">
        <v>0</v>
      </c>
      <c r="P75" s="16">
        <v>0</v>
      </c>
      <c r="Q75" s="14">
        <v>0</v>
      </c>
      <c r="R75" s="16">
        <v>0</v>
      </c>
    </row>
    <row r="76" spans="1:18" x14ac:dyDescent="0.25">
      <c r="A76" s="11" t="s">
        <v>209</v>
      </c>
      <c r="B76" s="13">
        <v>14167</v>
      </c>
      <c r="C76" s="14">
        <f>(11813/B76*100)</f>
        <v>83.38392037834403</v>
      </c>
      <c r="D76" s="15">
        <v>2354</v>
      </c>
      <c r="E76" s="14">
        <v>38.698816370000003</v>
      </c>
      <c r="F76" s="16">
        <v>1.1199858300000001</v>
      </c>
      <c r="G76" s="14">
        <v>61.301183629999997</v>
      </c>
      <c r="H76" s="16">
        <v>1.1199858300000001</v>
      </c>
      <c r="I76" s="14" t="s">
        <v>139</v>
      </c>
      <c r="J76" s="16" t="s">
        <v>139</v>
      </c>
      <c r="K76" s="14">
        <v>0</v>
      </c>
      <c r="L76" s="16">
        <v>0</v>
      </c>
      <c r="M76" s="14">
        <v>0</v>
      </c>
      <c r="N76" s="16">
        <v>0</v>
      </c>
      <c r="O76" s="14">
        <v>0</v>
      </c>
      <c r="P76" s="16">
        <v>0</v>
      </c>
      <c r="Q76" s="14">
        <v>0</v>
      </c>
      <c r="R76" s="16">
        <v>0</v>
      </c>
    </row>
    <row r="77" spans="1:18" x14ac:dyDescent="0.25">
      <c r="A77" s="11" t="s">
        <v>210</v>
      </c>
      <c r="B77" s="13">
        <v>6062</v>
      </c>
      <c r="C77" s="14">
        <f>(5206/B77*100)</f>
        <v>85.879247773012196</v>
      </c>
      <c r="D77" s="15">
        <v>856</v>
      </c>
      <c r="E77" s="14">
        <v>43.521826410000003</v>
      </c>
      <c r="F77" s="16">
        <v>1.82205572</v>
      </c>
      <c r="G77" s="14">
        <v>56.478173589999997</v>
      </c>
      <c r="H77" s="16">
        <v>1.82205572</v>
      </c>
      <c r="I77" s="14" t="s">
        <v>139</v>
      </c>
      <c r="J77" s="16" t="s">
        <v>139</v>
      </c>
      <c r="K77" s="14">
        <v>0</v>
      </c>
      <c r="L77" s="16">
        <v>0</v>
      </c>
      <c r="M77" s="14">
        <v>0</v>
      </c>
      <c r="N77" s="16">
        <v>0</v>
      </c>
      <c r="O77" s="14">
        <v>0</v>
      </c>
      <c r="P77" s="16">
        <v>0</v>
      </c>
      <c r="Q77" s="14">
        <v>0</v>
      </c>
      <c r="R77" s="16">
        <v>0</v>
      </c>
    </row>
    <row r="78" spans="1:18" x14ac:dyDescent="0.25">
      <c r="A78" s="11" t="s">
        <v>211</v>
      </c>
      <c r="B78" s="17" t="s">
        <v>154</v>
      </c>
      <c r="C78" s="17" t="s">
        <v>154</v>
      </c>
      <c r="D78" s="18" t="s">
        <v>154</v>
      </c>
      <c r="E78" s="17" t="s">
        <v>154</v>
      </c>
      <c r="F78" s="18" t="s">
        <v>154</v>
      </c>
      <c r="G78" s="17" t="s">
        <v>154</v>
      </c>
      <c r="H78" s="18" t="s">
        <v>154</v>
      </c>
      <c r="I78" s="17" t="s">
        <v>154</v>
      </c>
      <c r="J78" s="18" t="s">
        <v>154</v>
      </c>
      <c r="K78" s="17" t="s">
        <v>154</v>
      </c>
      <c r="L78" s="18" t="s">
        <v>154</v>
      </c>
      <c r="M78" s="17" t="s">
        <v>154</v>
      </c>
      <c r="N78" s="18" t="s">
        <v>154</v>
      </c>
      <c r="O78" s="17" t="s">
        <v>154</v>
      </c>
      <c r="P78" s="18" t="s">
        <v>154</v>
      </c>
      <c r="Q78" s="17" t="s">
        <v>154</v>
      </c>
      <c r="R78" s="18" t="s">
        <v>154</v>
      </c>
    </row>
    <row r="79" spans="1:18" ht="24.95" customHeight="1" x14ac:dyDescent="0.25">
      <c r="A79" s="11" t="s">
        <v>212</v>
      </c>
      <c r="B79" s="17" t="s">
        <v>154</v>
      </c>
      <c r="C79" s="17" t="s">
        <v>154</v>
      </c>
      <c r="D79" s="18" t="s">
        <v>154</v>
      </c>
      <c r="E79" s="17" t="s">
        <v>154</v>
      </c>
      <c r="F79" s="18" t="s">
        <v>154</v>
      </c>
      <c r="G79" s="17" t="s">
        <v>154</v>
      </c>
      <c r="H79" s="18" t="s">
        <v>154</v>
      </c>
      <c r="I79" s="17" t="s">
        <v>154</v>
      </c>
      <c r="J79" s="18" t="s">
        <v>154</v>
      </c>
      <c r="K79" s="17" t="s">
        <v>154</v>
      </c>
      <c r="L79" s="18" t="s">
        <v>154</v>
      </c>
      <c r="M79" s="17" t="s">
        <v>154</v>
      </c>
      <c r="N79" s="18" t="s">
        <v>154</v>
      </c>
      <c r="O79" s="17" t="s">
        <v>154</v>
      </c>
      <c r="P79" s="18" t="s">
        <v>154</v>
      </c>
      <c r="Q79" s="17" t="s">
        <v>154</v>
      </c>
      <c r="R79" s="18" t="s">
        <v>154</v>
      </c>
    </row>
    <row r="80" spans="1:18" x14ac:dyDescent="0.25">
      <c r="A80" s="11" t="s">
        <v>213</v>
      </c>
      <c r="B80" s="17" t="s">
        <v>154</v>
      </c>
      <c r="C80" s="17" t="s">
        <v>154</v>
      </c>
      <c r="D80" s="18" t="s">
        <v>154</v>
      </c>
      <c r="E80" s="17" t="s">
        <v>154</v>
      </c>
      <c r="F80" s="18" t="s">
        <v>154</v>
      </c>
      <c r="G80" s="17" t="s">
        <v>154</v>
      </c>
      <c r="H80" s="18" t="s">
        <v>154</v>
      </c>
      <c r="I80" s="17" t="s">
        <v>154</v>
      </c>
      <c r="J80" s="18" t="s">
        <v>154</v>
      </c>
      <c r="K80" s="17" t="s">
        <v>154</v>
      </c>
      <c r="L80" s="18" t="s">
        <v>154</v>
      </c>
      <c r="M80" s="17" t="s">
        <v>154</v>
      </c>
      <c r="N80" s="18" t="s">
        <v>154</v>
      </c>
      <c r="O80" s="17" t="s">
        <v>154</v>
      </c>
      <c r="P80" s="18" t="s">
        <v>154</v>
      </c>
      <c r="Q80" s="17" t="s">
        <v>154</v>
      </c>
      <c r="R80" s="18" t="s">
        <v>154</v>
      </c>
    </row>
    <row r="81" spans="1:18" x14ac:dyDescent="0.25">
      <c r="A81" s="19" t="s">
        <v>214</v>
      </c>
      <c r="B81" s="13">
        <v>8861</v>
      </c>
      <c r="C81" s="14">
        <f>(7407/B81*100)</f>
        <v>83.591016815257873</v>
      </c>
      <c r="D81" s="15">
        <v>1454</v>
      </c>
      <c r="E81" s="14">
        <v>33.050297919999998</v>
      </c>
      <c r="F81" s="16">
        <v>1.57668407</v>
      </c>
      <c r="G81" s="14">
        <v>66.949702079999994</v>
      </c>
      <c r="H81" s="16">
        <v>1.57668407</v>
      </c>
      <c r="I81" s="14" t="s">
        <v>139</v>
      </c>
      <c r="J81" s="16" t="s">
        <v>139</v>
      </c>
      <c r="K81" s="14">
        <v>0</v>
      </c>
      <c r="L81" s="16">
        <v>0</v>
      </c>
      <c r="M81" s="14">
        <v>0</v>
      </c>
      <c r="N81" s="16">
        <v>0</v>
      </c>
      <c r="O81" s="14">
        <v>0</v>
      </c>
      <c r="P81" s="16">
        <v>0</v>
      </c>
      <c r="Q81" s="14">
        <v>0</v>
      </c>
      <c r="R81" s="16">
        <v>0</v>
      </c>
    </row>
    <row r="82" spans="1:18" x14ac:dyDescent="0.25">
      <c r="A82" s="20"/>
      <c r="B82" s="20" t="s">
        <v>215</v>
      </c>
      <c r="C82" s="20" t="s">
        <v>215</v>
      </c>
      <c r="D82" s="20" t="s">
        <v>215</v>
      </c>
      <c r="E82" s="20" t="s">
        <v>215</v>
      </c>
      <c r="F82" s="20" t="s">
        <v>215</v>
      </c>
      <c r="G82" s="20" t="s">
        <v>215</v>
      </c>
      <c r="H82" s="20" t="s">
        <v>215</v>
      </c>
      <c r="I82" s="20" t="s">
        <v>215</v>
      </c>
      <c r="J82" s="20" t="s">
        <v>215</v>
      </c>
      <c r="K82" s="20" t="s">
        <v>215</v>
      </c>
      <c r="L82" s="20" t="s">
        <v>215</v>
      </c>
      <c r="M82" s="20" t="s">
        <v>215</v>
      </c>
      <c r="N82" s="20" t="s">
        <v>215</v>
      </c>
      <c r="O82" s="20" t="s">
        <v>215</v>
      </c>
      <c r="P82" s="20" t="s">
        <v>215</v>
      </c>
      <c r="Q82" s="20" t="s">
        <v>215</v>
      </c>
      <c r="R82" s="20" t="s">
        <v>215</v>
      </c>
    </row>
    <row r="83" spans="1:18" x14ac:dyDescent="0.25">
      <c r="A83" s="3" t="s">
        <v>216</v>
      </c>
    </row>
    <row r="84" spans="1:18" x14ac:dyDescent="0.25">
      <c r="A84" s="22" t="s">
        <v>217</v>
      </c>
      <c r="B84" s="23"/>
      <c r="C84" s="23"/>
      <c r="D84" s="23"/>
      <c r="E84" s="23"/>
      <c r="F84" s="23"/>
      <c r="G84" s="23"/>
      <c r="H84" s="23"/>
      <c r="I84" s="23"/>
      <c r="J84" s="23"/>
      <c r="K84" s="23"/>
      <c r="L84" s="23"/>
      <c r="M84" s="23"/>
      <c r="N84" s="23"/>
      <c r="O84" s="23"/>
      <c r="P84" s="23"/>
      <c r="Q84" s="23"/>
      <c r="R84" s="23"/>
    </row>
    <row r="85" spans="1:18" x14ac:dyDescent="0.25">
      <c r="A85" s="22" t="s">
        <v>218</v>
      </c>
      <c r="B85" s="23"/>
      <c r="C85" s="23"/>
      <c r="D85" s="23"/>
      <c r="E85" s="23"/>
      <c r="F85" s="23"/>
      <c r="G85" s="23"/>
      <c r="H85" s="23"/>
      <c r="I85" s="23"/>
      <c r="J85" s="23"/>
      <c r="K85" s="23"/>
      <c r="L85" s="23"/>
      <c r="M85" s="23"/>
      <c r="N85" s="23"/>
      <c r="O85" s="23"/>
      <c r="P85" s="23"/>
      <c r="Q85" s="23"/>
      <c r="R85" s="23"/>
    </row>
    <row r="86" spans="1:18" ht="30" customHeight="1" x14ac:dyDescent="0.25">
      <c r="A86" s="22" t="s">
        <v>219</v>
      </c>
      <c r="B86" s="23"/>
      <c r="C86" s="23"/>
      <c r="D86" s="23"/>
      <c r="E86" s="23"/>
      <c r="F86" s="23"/>
      <c r="G86" s="23"/>
      <c r="H86" s="23"/>
      <c r="I86" s="23"/>
      <c r="J86" s="23"/>
      <c r="K86" s="23"/>
      <c r="L86" s="23"/>
      <c r="M86" s="23"/>
      <c r="N86" s="23"/>
      <c r="O86" s="23"/>
      <c r="P86" s="23"/>
      <c r="Q86" s="23"/>
      <c r="R86" s="23"/>
    </row>
    <row r="87" spans="1:18" ht="30" customHeight="1" x14ac:dyDescent="0.25">
      <c r="A87" s="22" t="s">
        <v>215</v>
      </c>
      <c r="B87" s="23"/>
      <c r="C87" s="23"/>
      <c r="D87" s="23"/>
      <c r="E87" s="23"/>
      <c r="F87" s="23"/>
      <c r="G87" s="23"/>
      <c r="H87" s="23"/>
      <c r="I87" s="23"/>
      <c r="J87" s="23"/>
      <c r="K87" s="23"/>
      <c r="L87" s="23"/>
      <c r="M87" s="23"/>
      <c r="N87" s="23"/>
      <c r="O87" s="23"/>
      <c r="P87" s="23"/>
      <c r="Q87" s="23"/>
      <c r="R87" s="23"/>
    </row>
    <row r="88" spans="1:18" ht="30" customHeight="1" x14ac:dyDescent="0.25">
      <c r="A88" s="22" t="s">
        <v>220</v>
      </c>
      <c r="B88" s="23"/>
      <c r="C88" s="23"/>
      <c r="D88" s="23"/>
      <c r="E88" s="23"/>
      <c r="F88" s="23"/>
      <c r="G88" s="23"/>
      <c r="H88" s="23"/>
      <c r="I88" s="23"/>
      <c r="J88" s="23"/>
      <c r="K88" s="23"/>
      <c r="L88" s="23"/>
      <c r="M88" s="23"/>
      <c r="N88" s="23"/>
      <c r="O88" s="23"/>
      <c r="P88" s="23"/>
      <c r="Q88" s="23"/>
      <c r="R88" s="23"/>
    </row>
    <row r="89" spans="1:18" ht="30" customHeight="1" x14ac:dyDescent="0.25">
      <c r="A89" s="22" t="s">
        <v>221</v>
      </c>
      <c r="B89" s="23"/>
      <c r="C89" s="23"/>
      <c r="D89" s="23"/>
      <c r="E89" s="23"/>
      <c r="F89" s="23"/>
      <c r="G89" s="23"/>
      <c r="H89" s="23"/>
      <c r="I89" s="23"/>
      <c r="J89" s="23"/>
      <c r="K89" s="23"/>
      <c r="L89" s="23"/>
      <c r="M89" s="23"/>
      <c r="N89" s="23"/>
      <c r="O89" s="23"/>
      <c r="P89" s="23"/>
      <c r="Q89" s="23"/>
      <c r="R89" s="23"/>
    </row>
    <row r="90" spans="1:18" ht="30" customHeight="1" x14ac:dyDescent="0.25">
      <c r="A90" s="22" t="s">
        <v>222</v>
      </c>
      <c r="B90" s="23"/>
      <c r="C90" s="23"/>
      <c r="D90" s="23"/>
      <c r="E90" s="23"/>
      <c r="F90" s="23"/>
      <c r="G90" s="23"/>
      <c r="H90" s="23"/>
      <c r="I90" s="23"/>
      <c r="J90" s="23"/>
      <c r="K90" s="23"/>
      <c r="L90" s="23"/>
      <c r="M90" s="23"/>
      <c r="N90" s="23"/>
      <c r="O90" s="23"/>
      <c r="P90" s="23"/>
      <c r="Q90" s="23"/>
      <c r="R90" s="23"/>
    </row>
    <row r="91" spans="1:18" ht="30" customHeight="1" x14ac:dyDescent="0.25">
      <c r="A91" s="22" t="s">
        <v>223</v>
      </c>
      <c r="B91" s="23"/>
      <c r="C91" s="23"/>
      <c r="D91" s="23"/>
      <c r="E91" s="23"/>
      <c r="F91" s="23"/>
      <c r="G91" s="23"/>
      <c r="H91" s="23"/>
      <c r="I91" s="23"/>
      <c r="J91" s="23"/>
      <c r="K91" s="23"/>
      <c r="L91" s="23"/>
      <c r="M91" s="23"/>
      <c r="N91" s="23"/>
      <c r="O91" s="23"/>
      <c r="P91" s="23"/>
      <c r="Q91" s="23"/>
      <c r="R91" s="23"/>
    </row>
    <row r="92" spans="1:18" ht="30" customHeight="1" x14ac:dyDescent="0.25">
      <c r="A92" s="22" t="s">
        <v>224</v>
      </c>
      <c r="B92" s="23"/>
      <c r="C92" s="23"/>
      <c r="D92" s="23"/>
      <c r="E92" s="23"/>
      <c r="F92" s="23"/>
      <c r="G92" s="23"/>
      <c r="H92" s="23"/>
      <c r="I92" s="23"/>
      <c r="J92" s="23"/>
      <c r="K92" s="23"/>
      <c r="L92" s="23"/>
      <c r="M92" s="23"/>
      <c r="N92" s="23"/>
      <c r="O92" s="23"/>
      <c r="P92" s="23"/>
      <c r="Q92" s="23"/>
      <c r="R92" s="23"/>
    </row>
    <row r="93" spans="1:18" ht="30" customHeight="1" x14ac:dyDescent="0.25">
      <c r="A93" s="22" t="s">
        <v>225</v>
      </c>
      <c r="B93" s="23"/>
      <c r="C93" s="23"/>
      <c r="D93" s="23"/>
      <c r="E93" s="23"/>
      <c r="F93" s="23"/>
      <c r="G93" s="23"/>
      <c r="H93" s="23"/>
      <c r="I93" s="23"/>
      <c r="J93" s="23"/>
      <c r="K93" s="23"/>
      <c r="L93" s="23"/>
      <c r="M93" s="23"/>
      <c r="N93" s="23"/>
      <c r="O93" s="23"/>
      <c r="P93" s="23"/>
      <c r="Q93" s="23"/>
      <c r="R93" s="23"/>
    </row>
    <row r="94" spans="1:18" ht="30" customHeight="1" x14ac:dyDescent="0.25">
      <c r="A94" s="22" t="s">
        <v>226</v>
      </c>
      <c r="B94" s="23"/>
      <c r="C94" s="23"/>
      <c r="D94" s="23"/>
      <c r="E94" s="23"/>
      <c r="F94" s="23"/>
      <c r="G94" s="23"/>
      <c r="H94" s="23"/>
      <c r="I94" s="23"/>
      <c r="J94" s="23"/>
      <c r="K94" s="23"/>
      <c r="L94" s="23"/>
      <c r="M94" s="23"/>
      <c r="N94" s="23"/>
      <c r="O94" s="23"/>
      <c r="P94" s="23"/>
      <c r="Q94" s="23"/>
      <c r="R94" s="23"/>
    </row>
    <row r="95" spans="1:18" ht="30" customHeight="1" x14ac:dyDescent="0.25">
      <c r="A95" s="22" t="s">
        <v>227</v>
      </c>
      <c r="B95" s="23"/>
      <c r="C95" s="23"/>
      <c r="D95" s="23"/>
      <c r="E95" s="23"/>
      <c r="F95" s="23"/>
      <c r="G95" s="23"/>
      <c r="H95" s="23"/>
      <c r="I95" s="23"/>
      <c r="J95" s="23"/>
      <c r="K95" s="23"/>
      <c r="L95" s="23"/>
      <c r="M95" s="23"/>
      <c r="N95" s="23"/>
      <c r="O95" s="23"/>
      <c r="P95" s="23"/>
      <c r="Q95" s="23"/>
      <c r="R95" s="23"/>
    </row>
    <row r="96" spans="1:18" ht="30" customHeight="1" x14ac:dyDescent="0.25">
      <c r="A96" s="22" t="s">
        <v>228</v>
      </c>
      <c r="B96" s="23"/>
      <c r="C96" s="23"/>
      <c r="D96" s="23"/>
      <c r="E96" s="23"/>
      <c r="F96" s="23"/>
      <c r="G96" s="23"/>
      <c r="H96" s="23"/>
      <c r="I96" s="23"/>
      <c r="J96" s="23"/>
      <c r="K96" s="23"/>
      <c r="L96" s="23"/>
      <c r="M96" s="23"/>
      <c r="N96" s="23"/>
      <c r="O96" s="23"/>
      <c r="P96" s="23"/>
      <c r="Q96" s="23"/>
      <c r="R96" s="23"/>
    </row>
  </sheetData>
  <mergeCells count="22">
    <mergeCell ref="O4:P4"/>
    <mergeCell ref="Q4:R4"/>
    <mergeCell ref="A1:R1"/>
    <mergeCell ref="A2:R2"/>
    <mergeCell ref="A84:R84"/>
    <mergeCell ref="E4:F4"/>
    <mergeCell ref="G4:H4"/>
    <mergeCell ref="I4:J4"/>
    <mergeCell ref="K4:L4"/>
    <mergeCell ref="M4:N4"/>
    <mergeCell ref="A85:R85"/>
    <mergeCell ref="A86:R86"/>
    <mergeCell ref="A87:R87"/>
    <mergeCell ref="A88:R88"/>
    <mergeCell ref="A89:R89"/>
    <mergeCell ref="A95:R95"/>
    <mergeCell ref="A96:R96"/>
    <mergeCell ref="A90:R90"/>
    <mergeCell ref="A91:R91"/>
    <mergeCell ref="A92:R92"/>
    <mergeCell ref="A93:R93"/>
    <mergeCell ref="A94:R94"/>
  </mergeCells>
  <pageMargins left="0.75" right="0.75" top="1" bottom="1" header="0.5" footer="0.5"/>
</worksheet>
</file>

<file path=xl/worksheets/sheet1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9"/>
  <dimension ref="A1:R96"/>
  <sheetViews>
    <sheetView zoomScale="80" workbookViewId="0">
      <pane xSplit="4" topLeftCell="E1" activePane="topRight" state="frozen"/>
      <selection sqref="A1:R1"/>
      <selection pane="topRight" sqref="A1:R1"/>
    </sheetView>
  </sheetViews>
  <sheetFormatPr defaultColWidth="11.42578125" defaultRowHeight="15" x14ac:dyDescent="0.25"/>
  <cols>
    <col min="1" max="1" width="50" customWidth="1"/>
  </cols>
  <sheetData>
    <row r="1" spans="1:18" x14ac:dyDescent="0.25">
      <c r="A1" s="26" t="s">
        <v>122</v>
      </c>
      <c r="B1" s="23"/>
      <c r="C1" s="23"/>
      <c r="D1" s="23"/>
      <c r="E1" s="23"/>
      <c r="F1" s="23"/>
      <c r="G1" s="23"/>
      <c r="H1" s="23"/>
      <c r="I1" s="23"/>
      <c r="J1" s="23"/>
      <c r="K1" s="23"/>
      <c r="L1" s="23"/>
      <c r="M1" s="23"/>
      <c r="N1" s="23"/>
      <c r="O1" s="23"/>
      <c r="P1" s="23"/>
      <c r="Q1" s="23"/>
      <c r="R1" s="23"/>
    </row>
    <row r="2" spans="1:18" x14ac:dyDescent="0.25">
      <c r="A2" s="27" t="s">
        <v>355</v>
      </c>
      <c r="B2" s="23"/>
      <c r="C2" s="23"/>
      <c r="D2" s="23"/>
      <c r="E2" s="23"/>
      <c r="F2" s="23"/>
      <c r="G2" s="23"/>
      <c r="H2" s="23"/>
      <c r="I2" s="23"/>
      <c r="J2" s="23"/>
      <c r="K2" s="23"/>
      <c r="L2" s="23"/>
      <c r="M2" s="23"/>
      <c r="N2" s="23"/>
      <c r="O2" s="23"/>
      <c r="P2" s="23"/>
      <c r="Q2" s="23"/>
      <c r="R2" s="23"/>
    </row>
    <row r="4" spans="1:18" ht="30" customHeight="1" x14ac:dyDescent="0.25">
      <c r="A4" s="4"/>
      <c r="B4" s="5" t="s">
        <v>123</v>
      </c>
      <c r="C4" s="5" t="s">
        <v>124</v>
      </c>
      <c r="D4" s="6" t="s">
        <v>123</v>
      </c>
      <c r="E4" s="24" t="s">
        <v>125</v>
      </c>
      <c r="F4" s="25"/>
      <c r="G4" s="24" t="s">
        <v>126</v>
      </c>
      <c r="H4" s="25"/>
      <c r="I4" s="24" t="s">
        <v>127</v>
      </c>
      <c r="J4" s="25"/>
      <c r="K4" s="24" t="s">
        <v>128</v>
      </c>
      <c r="L4" s="25"/>
      <c r="M4" s="24" t="s">
        <v>129</v>
      </c>
      <c r="N4" s="25"/>
      <c r="O4" s="24" t="s">
        <v>130</v>
      </c>
      <c r="P4" s="25"/>
      <c r="Q4" s="24" t="s">
        <v>131</v>
      </c>
      <c r="R4" s="25"/>
    </row>
    <row r="5" spans="1:18" x14ac:dyDescent="0.25">
      <c r="A5" s="7"/>
      <c r="B5" s="8" t="s">
        <v>132</v>
      </c>
      <c r="C5" s="8" t="s">
        <v>133</v>
      </c>
      <c r="D5" s="7" t="s">
        <v>134</v>
      </c>
      <c r="E5" s="8" t="s">
        <v>135</v>
      </c>
      <c r="F5" s="7" t="s">
        <v>136</v>
      </c>
      <c r="G5" s="8" t="s">
        <v>135</v>
      </c>
      <c r="H5" s="7" t="s">
        <v>136</v>
      </c>
      <c r="I5" s="8" t="s">
        <v>135</v>
      </c>
      <c r="J5" s="7" t="s">
        <v>136</v>
      </c>
      <c r="K5" s="8" t="s">
        <v>135</v>
      </c>
      <c r="L5" s="7" t="s">
        <v>136</v>
      </c>
      <c r="M5" s="8" t="s">
        <v>135</v>
      </c>
      <c r="N5" s="7" t="s">
        <v>136</v>
      </c>
      <c r="O5" s="8" t="s">
        <v>135</v>
      </c>
      <c r="P5" s="7" t="s">
        <v>136</v>
      </c>
      <c r="Q5" s="8" t="s">
        <v>135</v>
      </c>
      <c r="R5" s="7" t="s">
        <v>136</v>
      </c>
    </row>
    <row r="6" spans="1:18" x14ac:dyDescent="0.25">
      <c r="A6" s="9" t="s">
        <v>137</v>
      </c>
      <c r="B6" s="10"/>
      <c r="C6" s="10"/>
      <c r="D6" s="11"/>
      <c r="E6" s="10"/>
      <c r="F6" s="11"/>
      <c r="G6" s="10"/>
      <c r="H6" s="11"/>
      <c r="I6" s="10"/>
      <c r="J6" s="11"/>
      <c r="K6" s="10"/>
      <c r="L6" s="11"/>
      <c r="M6" s="10"/>
      <c r="N6" s="11"/>
      <c r="O6" s="10"/>
      <c r="P6" s="11"/>
      <c r="Q6" s="10"/>
      <c r="R6" s="12"/>
    </row>
    <row r="7" spans="1:18" x14ac:dyDescent="0.25">
      <c r="A7" s="11" t="s">
        <v>138</v>
      </c>
      <c r="B7" s="13">
        <v>14530</v>
      </c>
      <c r="C7" s="14">
        <f>(12302/B7*100)</f>
        <v>84.666207845836212</v>
      </c>
      <c r="D7" s="15">
        <v>2228</v>
      </c>
      <c r="E7" s="14">
        <v>0</v>
      </c>
      <c r="F7" s="16">
        <v>0</v>
      </c>
      <c r="G7" s="14">
        <v>0</v>
      </c>
      <c r="H7" s="16">
        <v>0</v>
      </c>
      <c r="I7" s="14" t="s">
        <v>139</v>
      </c>
      <c r="J7" s="16" t="s">
        <v>139</v>
      </c>
      <c r="K7" s="14">
        <v>0</v>
      </c>
      <c r="L7" s="16">
        <v>0</v>
      </c>
      <c r="M7" s="14">
        <v>100</v>
      </c>
      <c r="N7" s="16">
        <v>0</v>
      </c>
      <c r="O7" s="14">
        <v>0</v>
      </c>
      <c r="P7" s="16">
        <v>0</v>
      </c>
      <c r="Q7" s="14">
        <v>0</v>
      </c>
      <c r="R7" s="16">
        <v>0</v>
      </c>
    </row>
    <row r="8" spans="1:18" x14ac:dyDescent="0.25">
      <c r="A8" s="11" t="s">
        <v>140</v>
      </c>
      <c r="B8" s="13">
        <v>7007</v>
      </c>
      <c r="C8" s="14">
        <f>(5878/B8*100)</f>
        <v>83.887541030398168</v>
      </c>
      <c r="D8" s="15">
        <v>1129</v>
      </c>
      <c r="E8" s="14">
        <v>0</v>
      </c>
      <c r="F8" s="16">
        <v>0</v>
      </c>
      <c r="G8" s="14">
        <v>0</v>
      </c>
      <c r="H8" s="16">
        <v>0</v>
      </c>
      <c r="I8" s="14" t="s">
        <v>139</v>
      </c>
      <c r="J8" s="16" t="s">
        <v>139</v>
      </c>
      <c r="K8" s="14">
        <v>0</v>
      </c>
      <c r="L8" s="16">
        <v>0</v>
      </c>
      <c r="M8" s="14">
        <v>100</v>
      </c>
      <c r="N8" s="16">
        <v>0</v>
      </c>
      <c r="O8" s="14">
        <v>0</v>
      </c>
      <c r="P8" s="16">
        <v>0</v>
      </c>
      <c r="Q8" s="14">
        <v>0</v>
      </c>
      <c r="R8" s="16">
        <v>0</v>
      </c>
    </row>
    <row r="9" spans="1:18" x14ac:dyDescent="0.25">
      <c r="A9" s="11" t="s">
        <v>141</v>
      </c>
      <c r="B9" s="13">
        <v>9651</v>
      </c>
      <c r="C9" s="14">
        <f>(8234/B9*100)</f>
        <v>85.317583670086009</v>
      </c>
      <c r="D9" s="15">
        <v>1417</v>
      </c>
      <c r="E9" s="14">
        <v>0</v>
      </c>
      <c r="F9" s="16">
        <v>0</v>
      </c>
      <c r="G9" s="14">
        <v>0</v>
      </c>
      <c r="H9" s="16">
        <v>0</v>
      </c>
      <c r="I9" s="14" t="s">
        <v>139</v>
      </c>
      <c r="J9" s="16" t="s">
        <v>139</v>
      </c>
      <c r="K9" s="14">
        <v>0</v>
      </c>
      <c r="L9" s="16">
        <v>0</v>
      </c>
      <c r="M9" s="14">
        <v>100</v>
      </c>
      <c r="N9" s="16">
        <v>0</v>
      </c>
      <c r="O9" s="14">
        <v>0</v>
      </c>
      <c r="P9" s="16">
        <v>0</v>
      </c>
      <c r="Q9" s="14">
        <v>0</v>
      </c>
      <c r="R9" s="16">
        <v>0</v>
      </c>
    </row>
    <row r="10" spans="1:18" x14ac:dyDescent="0.25">
      <c r="A10" s="11" t="s">
        <v>142</v>
      </c>
      <c r="B10" s="13">
        <v>20058</v>
      </c>
      <c r="C10" s="14">
        <f>(16791/B10*100)</f>
        <v>83.71223451989232</v>
      </c>
      <c r="D10" s="15">
        <v>3267</v>
      </c>
      <c r="E10" s="14">
        <v>0</v>
      </c>
      <c r="F10" s="16">
        <v>0</v>
      </c>
      <c r="G10" s="14">
        <v>0</v>
      </c>
      <c r="H10" s="16">
        <v>0</v>
      </c>
      <c r="I10" s="14" t="s">
        <v>139</v>
      </c>
      <c r="J10" s="16" t="s">
        <v>139</v>
      </c>
      <c r="K10" s="14">
        <v>0</v>
      </c>
      <c r="L10" s="16">
        <v>0</v>
      </c>
      <c r="M10" s="14">
        <v>100</v>
      </c>
      <c r="N10" s="16">
        <v>0</v>
      </c>
      <c r="O10" s="14">
        <v>0</v>
      </c>
      <c r="P10" s="16">
        <v>0</v>
      </c>
      <c r="Q10" s="14">
        <v>0</v>
      </c>
      <c r="R10" s="16">
        <v>0</v>
      </c>
    </row>
    <row r="11" spans="1:18" x14ac:dyDescent="0.25">
      <c r="A11" s="11" t="s">
        <v>143</v>
      </c>
      <c r="B11" s="13">
        <v>7053</v>
      </c>
      <c r="C11" s="14">
        <f>(6000/B11*100)</f>
        <v>85.070182900893229</v>
      </c>
      <c r="D11" s="15">
        <v>1053</v>
      </c>
      <c r="E11" s="14">
        <v>0</v>
      </c>
      <c r="F11" s="16">
        <v>0</v>
      </c>
      <c r="G11" s="14">
        <v>0</v>
      </c>
      <c r="H11" s="16">
        <v>0</v>
      </c>
      <c r="I11" s="14" t="s">
        <v>139</v>
      </c>
      <c r="J11" s="16" t="s">
        <v>139</v>
      </c>
      <c r="K11" s="14">
        <v>0</v>
      </c>
      <c r="L11" s="16">
        <v>0</v>
      </c>
      <c r="M11" s="14">
        <v>100</v>
      </c>
      <c r="N11" s="16">
        <v>0</v>
      </c>
      <c r="O11" s="14">
        <v>0</v>
      </c>
      <c r="P11" s="16">
        <v>0</v>
      </c>
      <c r="Q11" s="14">
        <v>0</v>
      </c>
      <c r="R11" s="16">
        <v>0</v>
      </c>
    </row>
    <row r="12" spans="1:18" x14ac:dyDescent="0.25">
      <c r="A12" s="11" t="s">
        <v>144</v>
      </c>
      <c r="B12" s="13">
        <v>6894</v>
      </c>
      <c r="C12" s="14">
        <f>(5829/B12*100)</f>
        <v>84.551784160139249</v>
      </c>
      <c r="D12" s="15">
        <v>1065</v>
      </c>
      <c r="E12" s="14">
        <v>0</v>
      </c>
      <c r="F12" s="16">
        <v>0</v>
      </c>
      <c r="G12" s="14">
        <v>0</v>
      </c>
      <c r="H12" s="16">
        <v>0</v>
      </c>
      <c r="I12" s="14" t="s">
        <v>139</v>
      </c>
      <c r="J12" s="16" t="s">
        <v>139</v>
      </c>
      <c r="K12" s="14">
        <v>0</v>
      </c>
      <c r="L12" s="16">
        <v>0</v>
      </c>
      <c r="M12" s="14">
        <v>100</v>
      </c>
      <c r="N12" s="16">
        <v>0</v>
      </c>
      <c r="O12" s="14">
        <v>0</v>
      </c>
      <c r="P12" s="16">
        <v>0</v>
      </c>
      <c r="Q12" s="14">
        <v>0</v>
      </c>
      <c r="R12" s="16">
        <v>0</v>
      </c>
    </row>
    <row r="13" spans="1:18" x14ac:dyDescent="0.25">
      <c r="A13" s="11" t="s">
        <v>145</v>
      </c>
      <c r="B13" s="13">
        <v>7161</v>
      </c>
      <c r="C13" s="14">
        <f>(6103/B13*100)</f>
        <v>85.22552716101103</v>
      </c>
      <c r="D13" s="15">
        <v>1058</v>
      </c>
      <c r="E13" s="14">
        <v>0</v>
      </c>
      <c r="F13" s="16">
        <v>0</v>
      </c>
      <c r="G13" s="14">
        <v>0</v>
      </c>
      <c r="H13" s="16">
        <v>0</v>
      </c>
      <c r="I13" s="14" t="s">
        <v>139</v>
      </c>
      <c r="J13" s="16" t="s">
        <v>139</v>
      </c>
      <c r="K13" s="14">
        <v>0</v>
      </c>
      <c r="L13" s="16">
        <v>0</v>
      </c>
      <c r="M13" s="14">
        <v>100</v>
      </c>
      <c r="N13" s="16">
        <v>0</v>
      </c>
      <c r="O13" s="14">
        <v>0</v>
      </c>
      <c r="P13" s="16">
        <v>0</v>
      </c>
      <c r="Q13" s="14">
        <v>0</v>
      </c>
      <c r="R13" s="16">
        <v>0</v>
      </c>
    </row>
    <row r="14" spans="1:18" x14ac:dyDescent="0.25">
      <c r="A14" s="11" t="s">
        <v>146</v>
      </c>
      <c r="B14" s="13">
        <v>5587</v>
      </c>
      <c r="C14" s="14">
        <f>(4677/B14*100)</f>
        <v>83.712189010202252</v>
      </c>
      <c r="D14" s="15">
        <v>910</v>
      </c>
      <c r="E14" s="14">
        <v>0</v>
      </c>
      <c r="F14" s="16">
        <v>0</v>
      </c>
      <c r="G14" s="14">
        <v>0</v>
      </c>
      <c r="H14" s="16">
        <v>0</v>
      </c>
      <c r="I14" s="14" t="s">
        <v>139</v>
      </c>
      <c r="J14" s="16" t="s">
        <v>139</v>
      </c>
      <c r="K14" s="14">
        <v>0</v>
      </c>
      <c r="L14" s="16">
        <v>0</v>
      </c>
      <c r="M14" s="14">
        <v>100</v>
      </c>
      <c r="N14" s="16">
        <v>0</v>
      </c>
      <c r="O14" s="14">
        <v>0</v>
      </c>
      <c r="P14" s="16">
        <v>0</v>
      </c>
      <c r="Q14" s="14">
        <v>0</v>
      </c>
      <c r="R14" s="16">
        <v>0</v>
      </c>
    </row>
    <row r="15" spans="1:18" x14ac:dyDescent="0.25">
      <c r="A15" s="11" t="s">
        <v>147</v>
      </c>
      <c r="B15" s="13">
        <v>5882</v>
      </c>
      <c r="C15" s="14">
        <f>(4928/B15*100)</f>
        <v>83.781026861611693</v>
      </c>
      <c r="D15" s="15">
        <v>954</v>
      </c>
      <c r="E15" s="14">
        <v>0</v>
      </c>
      <c r="F15" s="16">
        <v>0</v>
      </c>
      <c r="G15" s="14">
        <v>0</v>
      </c>
      <c r="H15" s="16">
        <v>0</v>
      </c>
      <c r="I15" s="14" t="s">
        <v>139</v>
      </c>
      <c r="J15" s="16" t="s">
        <v>139</v>
      </c>
      <c r="K15" s="14">
        <v>0</v>
      </c>
      <c r="L15" s="16">
        <v>0</v>
      </c>
      <c r="M15" s="14">
        <v>100</v>
      </c>
      <c r="N15" s="16">
        <v>0</v>
      </c>
      <c r="O15" s="14">
        <v>0</v>
      </c>
      <c r="P15" s="16">
        <v>0</v>
      </c>
      <c r="Q15" s="14">
        <v>0</v>
      </c>
      <c r="R15" s="16">
        <v>0</v>
      </c>
    </row>
    <row r="16" spans="1:18" x14ac:dyDescent="0.25">
      <c r="A16" s="11" t="s">
        <v>148</v>
      </c>
      <c r="B16" s="13">
        <v>6108</v>
      </c>
      <c r="C16" s="14">
        <f>(5161/B16*100)</f>
        <v>84.495743287491806</v>
      </c>
      <c r="D16" s="15">
        <v>947</v>
      </c>
      <c r="E16" s="14">
        <v>0</v>
      </c>
      <c r="F16" s="16">
        <v>0</v>
      </c>
      <c r="G16" s="14">
        <v>0</v>
      </c>
      <c r="H16" s="16">
        <v>0</v>
      </c>
      <c r="I16" s="14" t="s">
        <v>139</v>
      </c>
      <c r="J16" s="16" t="s">
        <v>139</v>
      </c>
      <c r="K16" s="14">
        <v>0</v>
      </c>
      <c r="L16" s="16">
        <v>0</v>
      </c>
      <c r="M16" s="14">
        <v>100</v>
      </c>
      <c r="N16" s="16">
        <v>0</v>
      </c>
      <c r="O16" s="14">
        <v>0</v>
      </c>
      <c r="P16" s="16">
        <v>0</v>
      </c>
      <c r="Q16" s="14">
        <v>0</v>
      </c>
      <c r="R16" s="16">
        <v>0</v>
      </c>
    </row>
    <row r="17" spans="1:18" x14ac:dyDescent="0.25">
      <c r="A17" s="11" t="s">
        <v>149</v>
      </c>
      <c r="B17" s="13">
        <v>6504</v>
      </c>
      <c r="C17" s="14">
        <f>(5506/B17*100)</f>
        <v>84.655596555965559</v>
      </c>
      <c r="D17" s="15">
        <v>998</v>
      </c>
      <c r="E17" s="14">
        <v>0</v>
      </c>
      <c r="F17" s="16">
        <v>0</v>
      </c>
      <c r="G17" s="14">
        <v>0</v>
      </c>
      <c r="H17" s="16">
        <v>0</v>
      </c>
      <c r="I17" s="14" t="s">
        <v>139</v>
      </c>
      <c r="J17" s="16" t="s">
        <v>139</v>
      </c>
      <c r="K17" s="14">
        <v>0</v>
      </c>
      <c r="L17" s="16">
        <v>0</v>
      </c>
      <c r="M17" s="14">
        <v>100</v>
      </c>
      <c r="N17" s="16">
        <v>0</v>
      </c>
      <c r="O17" s="14">
        <v>0</v>
      </c>
      <c r="P17" s="16">
        <v>0</v>
      </c>
      <c r="Q17" s="14">
        <v>0</v>
      </c>
      <c r="R17" s="16">
        <v>0</v>
      </c>
    </row>
    <row r="18" spans="1:18" x14ac:dyDescent="0.25">
      <c r="A18" s="11" t="s">
        <v>150</v>
      </c>
      <c r="B18" s="13">
        <v>5532</v>
      </c>
      <c r="C18" s="14">
        <f>(4616/B18*100)</f>
        <v>83.44179320318149</v>
      </c>
      <c r="D18" s="15">
        <v>916</v>
      </c>
      <c r="E18" s="14">
        <v>0</v>
      </c>
      <c r="F18" s="16">
        <v>0</v>
      </c>
      <c r="G18" s="14">
        <v>0</v>
      </c>
      <c r="H18" s="16">
        <v>0</v>
      </c>
      <c r="I18" s="14" t="s">
        <v>139</v>
      </c>
      <c r="J18" s="16" t="s">
        <v>139</v>
      </c>
      <c r="K18" s="14">
        <v>0</v>
      </c>
      <c r="L18" s="16">
        <v>0</v>
      </c>
      <c r="M18" s="14">
        <v>100</v>
      </c>
      <c r="N18" s="16">
        <v>0</v>
      </c>
      <c r="O18" s="14">
        <v>0</v>
      </c>
      <c r="P18" s="16">
        <v>0</v>
      </c>
      <c r="Q18" s="14">
        <v>0</v>
      </c>
      <c r="R18" s="16">
        <v>0</v>
      </c>
    </row>
    <row r="19" spans="1:18" x14ac:dyDescent="0.25">
      <c r="A19" s="11" t="s">
        <v>151</v>
      </c>
      <c r="B19" s="13">
        <v>5658</v>
      </c>
      <c r="C19" s="14">
        <f>(4798/B19*100)</f>
        <v>84.800282785436551</v>
      </c>
      <c r="D19" s="15">
        <v>860</v>
      </c>
      <c r="E19" s="14">
        <v>0</v>
      </c>
      <c r="F19" s="16">
        <v>0</v>
      </c>
      <c r="G19" s="14">
        <v>0</v>
      </c>
      <c r="H19" s="16">
        <v>0</v>
      </c>
      <c r="I19" s="14" t="s">
        <v>139</v>
      </c>
      <c r="J19" s="16" t="s">
        <v>139</v>
      </c>
      <c r="K19" s="14">
        <v>0</v>
      </c>
      <c r="L19" s="16">
        <v>0</v>
      </c>
      <c r="M19" s="14">
        <v>100</v>
      </c>
      <c r="N19" s="16">
        <v>0</v>
      </c>
      <c r="O19" s="14">
        <v>0</v>
      </c>
      <c r="P19" s="16">
        <v>0</v>
      </c>
      <c r="Q19" s="14">
        <v>0</v>
      </c>
      <c r="R19" s="16">
        <v>0</v>
      </c>
    </row>
    <row r="20" spans="1:18" x14ac:dyDescent="0.25">
      <c r="A20" s="11" t="s">
        <v>152</v>
      </c>
      <c r="B20" s="13">
        <v>3371</v>
      </c>
      <c r="C20" s="14">
        <f>(2844/B20*100)</f>
        <v>84.366656778404035</v>
      </c>
      <c r="D20" s="15">
        <v>527</v>
      </c>
      <c r="E20" s="14">
        <v>0</v>
      </c>
      <c r="F20" s="16">
        <v>0</v>
      </c>
      <c r="G20" s="14">
        <v>0</v>
      </c>
      <c r="H20" s="16">
        <v>0</v>
      </c>
      <c r="I20" s="14" t="s">
        <v>139</v>
      </c>
      <c r="J20" s="16" t="s">
        <v>139</v>
      </c>
      <c r="K20" s="14">
        <v>0</v>
      </c>
      <c r="L20" s="16">
        <v>0</v>
      </c>
      <c r="M20" s="14">
        <v>100</v>
      </c>
      <c r="N20" s="16">
        <v>0</v>
      </c>
      <c r="O20" s="14">
        <v>0</v>
      </c>
      <c r="P20" s="16">
        <v>0</v>
      </c>
      <c r="Q20" s="14">
        <v>0</v>
      </c>
      <c r="R20" s="16">
        <v>0</v>
      </c>
    </row>
    <row r="21" spans="1:18" x14ac:dyDescent="0.25">
      <c r="A21" s="11" t="s">
        <v>153</v>
      </c>
      <c r="B21" s="17" t="s">
        <v>154</v>
      </c>
      <c r="C21" s="17" t="s">
        <v>154</v>
      </c>
      <c r="D21" s="18" t="s">
        <v>154</v>
      </c>
      <c r="E21" s="17" t="s">
        <v>154</v>
      </c>
      <c r="F21" s="18" t="s">
        <v>154</v>
      </c>
      <c r="G21" s="17" t="s">
        <v>154</v>
      </c>
      <c r="H21" s="18" t="s">
        <v>154</v>
      </c>
      <c r="I21" s="17" t="s">
        <v>154</v>
      </c>
      <c r="J21" s="18" t="s">
        <v>154</v>
      </c>
      <c r="K21" s="17" t="s">
        <v>154</v>
      </c>
      <c r="L21" s="18" t="s">
        <v>154</v>
      </c>
      <c r="M21" s="17" t="s">
        <v>154</v>
      </c>
      <c r="N21" s="18" t="s">
        <v>154</v>
      </c>
      <c r="O21" s="17" t="s">
        <v>154</v>
      </c>
      <c r="P21" s="18" t="s">
        <v>154</v>
      </c>
      <c r="Q21" s="17" t="s">
        <v>154</v>
      </c>
      <c r="R21" s="18" t="s">
        <v>154</v>
      </c>
    </row>
    <row r="22" spans="1:18" x14ac:dyDescent="0.25">
      <c r="A22" s="11" t="s">
        <v>155</v>
      </c>
      <c r="B22" s="13">
        <v>6598</v>
      </c>
      <c r="C22" s="14">
        <f>(5643/B22*100)</f>
        <v>85.525916944528646</v>
      </c>
      <c r="D22" s="15">
        <v>955</v>
      </c>
      <c r="E22" s="14">
        <v>0</v>
      </c>
      <c r="F22" s="16">
        <v>0</v>
      </c>
      <c r="G22" s="14">
        <v>0</v>
      </c>
      <c r="H22" s="16">
        <v>0</v>
      </c>
      <c r="I22" s="14" t="s">
        <v>139</v>
      </c>
      <c r="J22" s="16" t="s">
        <v>139</v>
      </c>
      <c r="K22" s="14">
        <v>0</v>
      </c>
      <c r="L22" s="16">
        <v>0</v>
      </c>
      <c r="M22" s="14">
        <v>100</v>
      </c>
      <c r="N22" s="16">
        <v>0</v>
      </c>
      <c r="O22" s="14">
        <v>0</v>
      </c>
      <c r="P22" s="16">
        <v>0</v>
      </c>
      <c r="Q22" s="14">
        <v>0</v>
      </c>
      <c r="R22" s="16">
        <v>0</v>
      </c>
    </row>
    <row r="23" spans="1:18" x14ac:dyDescent="0.25">
      <c r="A23" s="11" t="s">
        <v>156</v>
      </c>
      <c r="B23" s="13">
        <v>11583</v>
      </c>
      <c r="C23" s="14">
        <f>(9693/B23*100)</f>
        <v>83.682983682983675</v>
      </c>
      <c r="D23" s="15">
        <v>1890</v>
      </c>
      <c r="E23" s="14">
        <v>0</v>
      </c>
      <c r="F23" s="16">
        <v>0</v>
      </c>
      <c r="G23" s="14">
        <v>0</v>
      </c>
      <c r="H23" s="16">
        <v>0</v>
      </c>
      <c r="I23" s="14" t="s">
        <v>139</v>
      </c>
      <c r="J23" s="16" t="s">
        <v>139</v>
      </c>
      <c r="K23" s="14">
        <v>0</v>
      </c>
      <c r="L23" s="16">
        <v>0</v>
      </c>
      <c r="M23" s="14">
        <v>100</v>
      </c>
      <c r="N23" s="16">
        <v>0</v>
      </c>
      <c r="O23" s="14">
        <v>0</v>
      </c>
      <c r="P23" s="16">
        <v>0</v>
      </c>
      <c r="Q23" s="14">
        <v>0</v>
      </c>
      <c r="R23" s="16">
        <v>0</v>
      </c>
    </row>
    <row r="24" spans="1:18" x14ac:dyDescent="0.25">
      <c r="A24" s="11" t="s">
        <v>157</v>
      </c>
      <c r="B24" s="13">
        <v>6647</v>
      </c>
      <c r="C24" s="14">
        <f>(5552/B24*100)</f>
        <v>83.526402888521133</v>
      </c>
      <c r="D24" s="15">
        <v>1095</v>
      </c>
      <c r="E24" s="14">
        <v>0</v>
      </c>
      <c r="F24" s="16">
        <v>0</v>
      </c>
      <c r="G24" s="14">
        <v>0</v>
      </c>
      <c r="H24" s="16">
        <v>0</v>
      </c>
      <c r="I24" s="14" t="s">
        <v>139</v>
      </c>
      <c r="J24" s="16" t="s">
        <v>139</v>
      </c>
      <c r="K24" s="14">
        <v>0</v>
      </c>
      <c r="L24" s="16">
        <v>0</v>
      </c>
      <c r="M24" s="14">
        <v>100</v>
      </c>
      <c r="N24" s="16">
        <v>0</v>
      </c>
      <c r="O24" s="14">
        <v>0</v>
      </c>
      <c r="P24" s="16">
        <v>0</v>
      </c>
      <c r="Q24" s="14">
        <v>0</v>
      </c>
      <c r="R24" s="16">
        <v>0</v>
      </c>
    </row>
    <row r="25" spans="1:18" x14ac:dyDescent="0.25">
      <c r="A25" s="11" t="s">
        <v>158</v>
      </c>
      <c r="B25" s="13">
        <v>5581</v>
      </c>
      <c r="C25" s="14">
        <f>(4623/B25*100)</f>
        <v>82.834617452069523</v>
      </c>
      <c r="D25" s="15">
        <v>958</v>
      </c>
      <c r="E25" s="14">
        <v>0</v>
      </c>
      <c r="F25" s="16">
        <v>0</v>
      </c>
      <c r="G25" s="14">
        <v>0</v>
      </c>
      <c r="H25" s="16">
        <v>0</v>
      </c>
      <c r="I25" s="14" t="s">
        <v>139</v>
      </c>
      <c r="J25" s="16" t="s">
        <v>139</v>
      </c>
      <c r="K25" s="14">
        <v>0</v>
      </c>
      <c r="L25" s="16">
        <v>0</v>
      </c>
      <c r="M25" s="14">
        <v>100</v>
      </c>
      <c r="N25" s="16">
        <v>0</v>
      </c>
      <c r="O25" s="14">
        <v>0</v>
      </c>
      <c r="P25" s="16">
        <v>0</v>
      </c>
      <c r="Q25" s="14">
        <v>0</v>
      </c>
      <c r="R25" s="16">
        <v>0</v>
      </c>
    </row>
    <row r="26" spans="1:18" x14ac:dyDescent="0.25">
      <c r="A26" s="11" t="s">
        <v>159</v>
      </c>
      <c r="B26" s="13">
        <v>4869</v>
      </c>
      <c r="C26" s="14">
        <f>(4068/B26*100)</f>
        <v>83.548983364140483</v>
      </c>
      <c r="D26" s="15">
        <v>801</v>
      </c>
      <c r="E26" s="14">
        <v>0</v>
      </c>
      <c r="F26" s="16">
        <v>0</v>
      </c>
      <c r="G26" s="14">
        <v>0</v>
      </c>
      <c r="H26" s="16">
        <v>0</v>
      </c>
      <c r="I26" s="14" t="s">
        <v>139</v>
      </c>
      <c r="J26" s="16" t="s">
        <v>139</v>
      </c>
      <c r="K26" s="14">
        <v>0</v>
      </c>
      <c r="L26" s="16">
        <v>0</v>
      </c>
      <c r="M26" s="14">
        <v>100</v>
      </c>
      <c r="N26" s="16">
        <v>0</v>
      </c>
      <c r="O26" s="14">
        <v>0</v>
      </c>
      <c r="P26" s="16">
        <v>0</v>
      </c>
      <c r="Q26" s="14">
        <v>0</v>
      </c>
      <c r="R26" s="16">
        <v>0</v>
      </c>
    </row>
    <row r="27" spans="1:18" x14ac:dyDescent="0.25">
      <c r="A27" s="11" t="s">
        <v>160</v>
      </c>
      <c r="B27" s="13">
        <v>5299</v>
      </c>
      <c r="C27" s="14">
        <f>(4502/B27*100)</f>
        <v>84.959426306850347</v>
      </c>
      <c r="D27" s="15">
        <v>797</v>
      </c>
      <c r="E27" s="14">
        <v>0</v>
      </c>
      <c r="F27" s="16">
        <v>0</v>
      </c>
      <c r="G27" s="14">
        <v>0</v>
      </c>
      <c r="H27" s="16">
        <v>0</v>
      </c>
      <c r="I27" s="14" t="s">
        <v>139</v>
      </c>
      <c r="J27" s="16" t="s">
        <v>139</v>
      </c>
      <c r="K27" s="14">
        <v>0</v>
      </c>
      <c r="L27" s="16">
        <v>0</v>
      </c>
      <c r="M27" s="14">
        <v>100</v>
      </c>
      <c r="N27" s="16">
        <v>0</v>
      </c>
      <c r="O27" s="14">
        <v>0</v>
      </c>
      <c r="P27" s="16">
        <v>0</v>
      </c>
      <c r="Q27" s="14">
        <v>0</v>
      </c>
      <c r="R27" s="16">
        <v>0</v>
      </c>
    </row>
    <row r="28" spans="1:18" x14ac:dyDescent="0.25">
      <c r="A28" s="11" t="s">
        <v>161</v>
      </c>
      <c r="B28" s="13">
        <v>7568</v>
      </c>
      <c r="C28" s="14">
        <f>(6518/B28*100)</f>
        <v>86.125792811839318</v>
      </c>
      <c r="D28" s="15">
        <v>1050</v>
      </c>
      <c r="E28" s="14">
        <v>0</v>
      </c>
      <c r="F28" s="16">
        <v>0</v>
      </c>
      <c r="G28" s="14">
        <v>0</v>
      </c>
      <c r="H28" s="16">
        <v>0</v>
      </c>
      <c r="I28" s="14" t="s">
        <v>139</v>
      </c>
      <c r="J28" s="16" t="s">
        <v>139</v>
      </c>
      <c r="K28" s="14">
        <v>0</v>
      </c>
      <c r="L28" s="16">
        <v>0</v>
      </c>
      <c r="M28" s="14">
        <v>100</v>
      </c>
      <c r="N28" s="16">
        <v>0</v>
      </c>
      <c r="O28" s="14">
        <v>0</v>
      </c>
      <c r="P28" s="16">
        <v>0</v>
      </c>
      <c r="Q28" s="14">
        <v>0</v>
      </c>
      <c r="R28" s="16">
        <v>0</v>
      </c>
    </row>
    <row r="29" spans="1:18" x14ac:dyDescent="0.25">
      <c r="A29" s="11" t="s">
        <v>162</v>
      </c>
      <c r="B29" s="13">
        <v>5385</v>
      </c>
      <c r="C29" s="14">
        <f>(4502/B29*100)</f>
        <v>83.602599814298983</v>
      </c>
      <c r="D29" s="15">
        <v>883</v>
      </c>
      <c r="E29" s="14">
        <v>0</v>
      </c>
      <c r="F29" s="16">
        <v>0</v>
      </c>
      <c r="G29" s="14">
        <v>0</v>
      </c>
      <c r="H29" s="16">
        <v>0</v>
      </c>
      <c r="I29" s="14" t="s">
        <v>139</v>
      </c>
      <c r="J29" s="16" t="s">
        <v>139</v>
      </c>
      <c r="K29" s="14">
        <v>0</v>
      </c>
      <c r="L29" s="16">
        <v>0</v>
      </c>
      <c r="M29" s="14">
        <v>100</v>
      </c>
      <c r="N29" s="16">
        <v>0</v>
      </c>
      <c r="O29" s="14">
        <v>0</v>
      </c>
      <c r="P29" s="16">
        <v>0</v>
      </c>
      <c r="Q29" s="14">
        <v>0</v>
      </c>
      <c r="R29" s="16">
        <v>0</v>
      </c>
    </row>
    <row r="30" spans="1:18" x14ac:dyDescent="0.25">
      <c r="A30" s="11" t="s">
        <v>163</v>
      </c>
      <c r="B30" s="13">
        <v>4520</v>
      </c>
      <c r="C30" s="14">
        <f>(3869/B30*100)</f>
        <v>85.597345132743357</v>
      </c>
      <c r="D30" s="15">
        <v>651</v>
      </c>
      <c r="E30" s="14">
        <v>0</v>
      </c>
      <c r="F30" s="16">
        <v>0</v>
      </c>
      <c r="G30" s="14">
        <v>0</v>
      </c>
      <c r="H30" s="16">
        <v>0</v>
      </c>
      <c r="I30" s="14" t="s">
        <v>139</v>
      </c>
      <c r="J30" s="16" t="s">
        <v>139</v>
      </c>
      <c r="K30" s="14">
        <v>0</v>
      </c>
      <c r="L30" s="16">
        <v>0</v>
      </c>
      <c r="M30" s="14">
        <v>100</v>
      </c>
      <c r="N30" s="16">
        <v>0</v>
      </c>
      <c r="O30" s="14">
        <v>0</v>
      </c>
      <c r="P30" s="16">
        <v>0</v>
      </c>
      <c r="Q30" s="14">
        <v>0</v>
      </c>
      <c r="R30" s="16">
        <v>0</v>
      </c>
    </row>
    <row r="31" spans="1:18" x14ac:dyDescent="0.25">
      <c r="A31" s="11" t="s">
        <v>164</v>
      </c>
      <c r="B31" s="13">
        <v>5456</v>
      </c>
      <c r="C31" s="14">
        <f>(4597/B31*100)</f>
        <v>84.255865102639291</v>
      </c>
      <c r="D31" s="15">
        <v>859</v>
      </c>
      <c r="E31" s="14">
        <v>0</v>
      </c>
      <c r="F31" s="16">
        <v>0</v>
      </c>
      <c r="G31" s="14">
        <v>0</v>
      </c>
      <c r="H31" s="16">
        <v>0</v>
      </c>
      <c r="I31" s="14" t="s">
        <v>139</v>
      </c>
      <c r="J31" s="16" t="s">
        <v>139</v>
      </c>
      <c r="K31" s="14">
        <v>0</v>
      </c>
      <c r="L31" s="16">
        <v>0</v>
      </c>
      <c r="M31" s="14">
        <v>100</v>
      </c>
      <c r="N31" s="16">
        <v>0</v>
      </c>
      <c r="O31" s="14">
        <v>0</v>
      </c>
      <c r="P31" s="16">
        <v>0</v>
      </c>
      <c r="Q31" s="14">
        <v>0</v>
      </c>
      <c r="R31" s="16">
        <v>0</v>
      </c>
    </row>
    <row r="32" spans="1:18" x14ac:dyDescent="0.25">
      <c r="A32" s="11" t="s">
        <v>165</v>
      </c>
      <c r="B32" s="17" t="s">
        <v>154</v>
      </c>
      <c r="C32" s="17" t="s">
        <v>154</v>
      </c>
      <c r="D32" s="18" t="s">
        <v>154</v>
      </c>
      <c r="E32" s="17" t="s">
        <v>154</v>
      </c>
      <c r="F32" s="18" t="s">
        <v>154</v>
      </c>
      <c r="G32" s="17" t="s">
        <v>154</v>
      </c>
      <c r="H32" s="18" t="s">
        <v>154</v>
      </c>
      <c r="I32" s="17" t="s">
        <v>154</v>
      </c>
      <c r="J32" s="18" t="s">
        <v>154</v>
      </c>
      <c r="K32" s="17" t="s">
        <v>154</v>
      </c>
      <c r="L32" s="18" t="s">
        <v>154</v>
      </c>
      <c r="M32" s="17" t="s">
        <v>154</v>
      </c>
      <c r="N32" s="18" t="s">
        <v>154</v>
      </c>
      <c r="O32" s="17" t="s">
        <v>154</v>
      </c>
      <c r="P32" s="18" t="s">
        <v>154</v>
      </c>
      <c r="Q32" s="17" t="s">
        <v>154</v>
      </c>
      <c r="R32" s="18" t="s">
        <v>154</v>
      </c>
    </row>
    <row r="33" spans="1:18" x14ac:dyDescent="0.25">
      <c r="A33" s="11" t="s">
        <v>166</v>
      </c>
      <c r="B33" s="13">
        <v>7325</v>
      </c>
      <c r="C33" s="14">
        <f>(6246/B33*100)</f>
        <v>85.269624573378849</v>
      </c>
      <c r="D33" s="15">
        <v>1079</v>
      </c>
      <c r="E33" s="14">
        <v>0</v>
      </c>
      <c r="F33" s="16">
        <v>0</v>
      </c>
      <c r="G33" s="14">
        <v>0</v>
      </c>
      <c r="H33" s="16">
        <v>0</v>
      </c>
      <c r="I33" s="14" t="s">
        <v>139</v>
      </c>
      <c r="J33" s="16" t="s">
        <v>139</v>
      </c>
      <c r="K33" s="14">
        <v>0</v>
      </c>
      <c r="L33" s="16">
        <v>0</v>
      </c>
      <c r="M33" s="14">
        <v>100</v>
      </c>
      <c r="N33" s="16">
        <v>0</v>
      </c>
      <c r="O33" s="14">
        <v>0</v>
      </c>
      <c r="P33" s="16">
        <v>0</v>
      </c>
      <c r="Q33" s="14">
        <v>0</v>
      </c>
      <c r="R33" s="16">
        <v>0</v>
      </c>
    </row>
    <row r="34" spans="1:18" x14ac:dyDescent="0.25">
      <c r="A34" s="11" t="s">
        <v>167</v>
      </c>
      <c r="B34" s="13">
        <v>6350</v>
      </c>
      <c r="C34" s="14">
        <f>(5413/B34*100)</f>
        <v>85.244094488188978</v>
      </c>
      <c r="D34" s="15">
        <v>937</v>
      </c>
      <c r="E34" s="14">
        <v>0</v>
      </c>
      <c r="F34" s="16">
        <v>0</v>
      </c>
      <c r="G34" s="14">
        <v>0</v>
      </c>
      <c r="H34" s="16">
        <v>0</v>
      </c>
      <c r="I34" s="14" t="s">
        <v>139</v>
      </c>
      <c r="J34" s="16" t="s">
        <v>139</v>
      </c>
      <c r="K34" s="14">
        <v>0</v>
      </c>
      <c r="L34" s="16">
        <v>0</v>
      </c>
      <c r="M34" s="14">
        <v>100</v>
      </c>
      <c r="N34" s="16">
        <v>0</v>
      </c>
      <c r="O34" s="14">
        <v>0</v>
      </c>
      <c r="P34" s="16">
        <v>0</v>
      </c>
      <c r="Q34" s="14">
        <v>0</v>
      </c>
      <c r="R34" s="16">
        <v>0</v>
      </c>
    </row>
    <row r="35" spans="1:18" x14ac:dyDescent="0.25">
      <c r="A35" s="11" t="s">
        <v>168</v>
      </c>
      <c r="B35" s="13">
        <v>6406</v>
      </c>
      <c r="C35" s="14">
        <f>(5386/B35*100)</f>
        <v>84.077427411801438</v>
      </c>
      <c r="D35" s="15">
        <v>1020</v>
      </c>
      <c r="E35" s="14">
        <v>0</v>
      </c>
      <c r="F35" s="16">
        <v>0</v>
      </c>
      <c r="G35" s="14">
        <v>0</v>
      </c>
      <c r="H35" s="16">
        <v>0</v>
      </c>
      <c r="I35" s="14" t="s">
        <v>139</v>
      </c>
      <c r="J35" s="16" t="s">
        <v>139</v>
      </c>
      <c r="K35" s="14">
        <v>0</v>
      </c>
      <c r="L35" s="16">
        <v>0</v>
      </c>
      <c r="M35" s="14">
        <v>100</v>
      </c>
      <c r="N35" s="16">
        <v>0</v>
      </c>
      <c r="O35" s="14">
        <v>0</v>
      </c>
      <c r="P35" s="16">
        <v>0</v>
      </c>
      <c r="Q35" s="14">
        <v>0</v>
      </c>
      <c r="R35" s="16">
        <v>0</v>
      </c>
    </row>
    <row r="36" spans="1:18" x14ac:dyDescent="0.25">
      <c r="A36" s="11" t="s">
        <v>169</v>
      </c>
      <c r="B36" s="13">
        <v>6736</v>
      </c>
      <c r="C36" s="14">
        <f>(5713/B36*100)</f>
        <v>84.812945368171029</v>
      </c>
      <c r="D36" s="15">
        <v>1023</v>
      </c>
      <c r="E36" s="14">
        <v>0</v>
      </c>
      <c r="F36" s="16">
        <v>0</v>
      </c>
      <c r="G36" s="14">
        <v>0</v>
      </c>
      <c r="H36" s="16">
        <v>0</v>
      </c>
      <c r="I36" s="14" t="s">
        <v>139</v>
      </c>
      <c r="J36" s="16" t="s">
        <v>139</v>
      </c>
      <c r="K36" s="14">
        <v>0</v>
      </c>
      <c r="L36" s="16">
        <v>0</v>
      </c>
      <c r="M36" s="14">
        <v>100</v>
      </c>
      <c r="N36" s="16">
        <v>0</v>
      </c>
      <c r="O36" s="14">
        <v>0</v>
      </c>
      <c r="P36" s="16">
        <v>0</v>
      </c>
      <c r="Q36" s="14">
        <v>0</v>
      </c>
      <c r="R36" s="16">
        <v>0</v>
      </c>
    </row>
    <row r="37" spans="1:18" x14ac:dyDescent="0.25">
      <c r="A37" s="11" t="s">
        <v>170</v>
      </c>
      <c r="B37" s="13">
        <v>5458</v>
      </c>
      <c r="C37" s="14">
        <f>(4658/B37*100)</f>
        <v>85.34261634298278</v>
      </c>
      <c r="D37" s="15">
        <v>800</v>
      </c>
      <c r="E37" s="14">
        <v>0</v>
      </c>
      <c r="F37" s="16">
        <v>0</v>
      </c>
      <c r="G37" s="14">
        <v>0</v>
      </c>
      <c r="H37" s="16">
        <v>0</v>
      </c>
      <c r="I37" s="14" t="s">
        <v>139</v>
      </c>
      <c r="J37" s="16" t="s">
        <v>139</v>
      </c>
      <c r="K37" s="14">
        <v>0</v>
      </c>
      <c r="L37" s="16">
        <v>0</v>
      </c>
      <c r="M37" s="14">
        <v>100</v>
      </c>
      <c r="N37" s="16">
        <v>0</v>
      </c>
      <c r="O37" s="14">
        <v>0</v>
      </c>
      <c r="P37" s="16">
        <v>0</v>
      </c>
      <c r="Q37" s="14">
        <v>0</v>
      </c>
      <c r="R37" s="16">
        <v>0</v>
      </c>
    </row>
    <row r="38" spans="1:18" x14ac:dyDescent="0.25">
      <c r="A38" s="11" t="s">
        <v>171</v>
      </c>
      <c r="B38" s="17" t="s">
        <v>154</v>
      </c>
      <c r="C38" s="17" t="s">
        <v>154</v>
      </c>
      <c r="D38" s="18" t="s">
        <v>154</v>
      </c>
      <c r="E38" s="17" t="s">
        <v>154</v>
      </c>
      <c r="F38" s="18" t="s">
        <v>154</v>
      </c>
      <c r="G38" s="17" t="s">
        <v>154</v>
      </c>
      <c r="H38" s="18" t="s">
        <v>154</v>
      </c>
      <c r="I38" s="17" t="s">
        <v>154</v>
      </c>
      <c r="J38" s="18" t="s">
        <v>154</v>
      </c>
      <c r="K38" s="17" t="s">
        <v>154</v>
      </c>
      <c r="L38" s="18" t="s">
        <v>154</v>
      </c>
      <c r="M38" s="17" t="s">
        <v>154</v>
      </c>
      <c r="N38" s="18" t="s">
        <v>154</v>
      </c>
      <c r="O38" s="17" t="s">
        <v>154</v>
      </c>
      <c r="P38" s="18" t="s">
        <v>154</v>
      </c>
      <c r="Q38" s="17" t="s">
        <v>154</v>
      </c>
      <c r="R38" s="18" t="s">
        <v>154</v>
      </c>
    </row>
    <row r="39" spans="1:18" x14ac:dyDescent="0.25">
      <c r="A39" s="11" t="s">
        <v>172</v>
      </c>
      <c r="B39" s="13">
        <v>5895</v>
      </c>
      <c r="C39" s="14">
        <f>(4872/B39*100)</f>
        <v>82.646310432569976</v>
      </c>
      <c r="D39" s="15">
        <v>1023</v>
      </c>
      <c r="E39" s="14">
        <v>0</v>
      </c>
      <c r="F39" s="16">
        <v>0</v>
      </c>
      <c r="G39" s="14">
        <v>0</v>
      </c>
      <c r="H39" s="16">
        <v>0</v>
      </c>
      <c r="I39" s="14" t="s">
        <v>139</v>
      </c>
      <c r="J39" s="16" t="s">
        <v>139</v>
      </c>
      <c r="K39" s="14">
        <v>0</v>
      </c>
      <c r="L39" s="16">
        <v>0</v>
      </c>
      <c r="M39" s="14">
        <v>100</v>
      </c>
      <c r="N39" s="16">
        <v>0</v>
      </c>
      <c r="O39" s="14">
        <v>0</v>
      </c>
      <c r="P39" s="16">
        <v>0</v>
      </c>
      <c r="Q39" s="14">
        <v>0</v>
      </c>
      <c r="R39" s="16">
        <v>0</v>
      </c>
    </row>
    <row r="40" spans="1:18" x14ac:dyDescent="0.25">
      <c r="A40" s="11" t="s">
        <v>173</v>
      </c>
      <c r="B40" s="13">
        <v>14157</v>
      </c>
      <c r="C40" s="14">
        <f>(11829/B40*100)</f>
        <v>83.55583810129265</v>
      </c>
      <c r="D40" s="15">
        <v>2328</v>
      </c>
      <c r="E40" s="14">
        <v>0</v>
      </c>
      <c r="F40" s="16">
        <v>0</v>
      </c>
      <c r="G40" s="14">
        <v>0</v>
      </c>
      <c r="H40" s="16">
        <v>0</v>
      </c>
      <c r="I40" s="14" t="s">
        <v>139</v>
      </c>
      <c r="J40" s="16" t="s">
        <v>139</v>
      </c>
      <c r="K40" s="14">
        <v>0</v>
      </c>
      <c r="L40" s="16">
        <v>0</v>
      </c>
      <c r="M40" s="14">
        <v>100</v>
      </c>
      <c r="N40" s="16">
        <v>0</v>
      </c>
      <c r="O40" s="14">
        <v>0</v>
      </c>
      <c r="P40" s="16">
        <v>0</v>
      </c>
      <c r="Q40" s="14">
        <v>0</v>
      </c>
      <c r="R40" s="16">
        <v>0</v>
      </c>
    </row>
    <row r="41" spans="1:18" x14ac:dyDescent="0.25">
      <c r="A41" s="11" t="s">
        <v>174</v>
      </c>
      <c r="B41" s="13">
        <v>5712</v>
      </c>
      <c r="C41" s="14">
        <f>(4810/B41*100)</f>
        <v>84.208683473389357</v>
      </c>
      <c r="D41" s="15">
        <v>902</v>
      </c>
      <c r="E41" s="14">
        <v>0</v>
      </c>
      <c r="F41" s="16">
        <v>0</v>
      </c>
      <c r="G41" s="14">
        <v>0</v>
      </c>
      <c r="H41" s="16">
        <v>0</v>
      </c>
      <c r="I41" s="14" t="s">
        <v>139</v>
      </c>
      <c r="J41" s="16" t="s">
        <v>139</v>
      </c>
      <c r="K41" s="14">
        <v>0</v>
      </c>
      <c r="L41" s="16">
        <v>0</v>
      </c>
      <c r="M41" s="14">
        <v>100</v>
      </c>
      <c r="N41" s="16">
        <v>0</v>
      </c>
      <c r="O41" s="14">
        <v>0</v>
      </c>
      <c r="P41" s="16">
        <v>0</v>
      </c>
      <c r="Q41" s="14">
        <v>0</v>
      </c>
      <c r="R41" s="16">
        <v>0</v>
      </c>
    </row>
    <row r="42" spans="1:18" x14ac:dyDescent="0.25">
      <c r="A42" s="11" t="s">
        <v>175</v>
      </c>
      <c r="B42" s="13">
        <f>IF(COUNT(B7:B41) &gt; 0, AVERAGE(B7:B41), "\u2014")</f>
        <v>7266.90625</v>
      </c>
      <c r="C42" s="14">
        <f>IF(COUNT(C7:C41) &gt; 0, AVERAGE(C7:C41), "—")</f>
        <v>84.390681983216851</v>
      </c>
      <c r="D42" s="15">
        <f>IF(COUNT(D7:D41) &gt; 0, AVERAGE(D7:D41), "—")</f>
        <v>1136.875</v>
      </c>
      <c r="E42" s="14">
        <f>IF(COUNT(E7:E41) &gt; 0, AVERAGE(E7:E41), "—")</f>
        <v>0</v>
      </c>
      <c r="F42" s="16">
        <f>IF(COUNT(F7:F41) &gt; 0, SQRT(SUMSQ(F7:F41)/(COUNT(F7:F41)*COUNT(F7:F41)) ), "—")</f>
        <v>0</v>
      </c>
      <c r="G42" s="14">
        <f>IF(COUNT(G7:G41) &gt; 0, AVERAGE(G7:G41), "—")</f>
        <v>0</v>
      </c>
      <c r="H42" s="16">
        <f>IF(COUNT(H7:H41) &gt; 0, SQRT(SUMSQ(H7:H41)/(COUNT(H7:H41)*COUNT(H7:H41)) ), "—")</f>
        <v>0</v>
      </c>
      <c r="I42" s="14" t="str">
        <f>IF(COUNT(I7:I41) &gt; 0, AVERAGE(I7:I41), "—")</f>
        <v>—</v>
      </c>
      <c r="J42" s="16" t="str">
        <f>IF(COUNT(J7:J41) &gt; 0, SQRT(SUMSQ(J7:J41)/(COUNT(J7:J41)*COUNT(J7:J41)) ), "—")</f>
        <v>—</v>
      </c>
      <c r="K42" s="14">
        <f>IF(COUNT(K7:K41) &gt; 0, AVERAGE(K7:K41), "—")</f>
        <v>0</v>
      </c>
      <c r="L42" s="16">
        <f>IF(COUNT(L7:L41) &gt; 0, SQRT(SUMSQ(L7:L41)/(COUNT(L7:L41)*COUNT(L7:L41)) ), "—")</f>
        <v>0</v>
      </c>
      <c r="M42" s="14">
        <f>IF(COUNT(M7:M41) &gt; 0, AVERAGE(M7:M41), "—")</f>
        <v>100</v>
      </c>
      <c r="N42" s="16">
        <f>IF(COUNT(N7:N41) &gt; 0, SQRT(SUMSQ(N7:N41)/(COUNT(N7:N41)*COUNT(N7:N41)) ), "—")</f>
        <v>0</v>
      </c>
      <c r="O42" s="14">
        <f>IF(COUNT(O7:O41) &gt; 0, AVERAGE(O7:O41), "—")</f>
        <v>0</v>
      </c>
      <c r="P42" s="16">
        <f>IF(COUNT(P7:P41) &gt; 0, SQRT(SUMSQ(P7:P41)/(COUNT(P7:P41)*COUNT(P7:P41)) ), "—")</f>
        <v>0</v>
      </c>
      <c r="Q42" s="14">
        <f>IF(COUNT(Q7:Q41) &gt; 0, AVERAGE(Q7:Q41), "—")</f>
        <v>0</v>
      </c>
      <c r="R42" s="16">
        <f>IF(COUNT(R7:R41) &gt; 0, SQRT(SUMSQ(R7:R41)/(COUNT(R7:R41)*COUNT(R7:R41)) ), "—")</f>
        <v>0</v>
      </c>
    </row>
    <row r="43" spans="1:18" x14ac:dyDescent="0.25">
      <c r="A43" s="9" t="s">
        <v>176</v>
      </c>
      <c r="B43" s="10"/>
      <c r="C43" s="10"/>
      <c r="D43" s="11"/>
      <c r="E43" s="10"/>
      <c r="F43" s="11"/>
      <c r="G43" s="10"/>
      <c r="H43" s="11"/>
      <c r="I43" s="10"/>
      <c r="J43" s="11"/>
      <c r="K43" s="10"/>
      <c r="L43" s="11"/>
      <c r="M43" s="10"/>
      <c r="N43" s="11"/>
      <c r="O43" s="10"/>
      <c r="P43" s="11"/>
      <c r="Q43" s="10"/>
      <c r="R43" s="12"/>
    </row>
    <row r="44" spans="1:18" x14ac:dyDescent="0.25">
      <c r="A44" s="11" t="s">
        <v>177</v>
      </c>
      <c r="B44" s="17" t="s">
        <v>154</v>
      </c>
      <c r="C44" s="17" t="s">
        <v>154</v>
      </c>
      <c r="D44" s="18" t="s">
        <v>154</v>
      </c>
      <c r="E44" s="17" t="s">
        <v>154</v>
      </c>
      <c r="F44" s="18" t="s">
        <v>154</v>
      </c>
      <c r="G44" s="17" t="s">
        <v>154</v>
      </c>
      <c r="H44" s="18" t="s">
        <v>154</v>
      </c>
      <c r="I44" s="17" t="s">
        <v>154</v>
      </c>
      <c r="J44" s="18" t="s">
        <v>154</v>
      </c>
      <c r="K44" s="17" t="s">
        <v>154</v>
      </c>
      <c r="L44" s="18" t="s">
        <v>154</v>
      </c>
      <c r="M44" s="17" t="s">
        <v>154</v>
      </c>
      <c r="N44" s="18" t="s">
        <v>154</v>
      </c>
      <c r="O44" s="17" t="s">
        <v>154</v>
      </c>
      <c r="P44" s="18" t="s">
        <v>154</v>
      </c>
      <c r="Q44" s="17" t="s">
        <v>154</v>
      </c>
      <c r="R44" s="18" t="s">
        <v>154</v>
      </c>
    </row>
    <row r="45" spans="1:18" x14ac:dyDescent="0.25">
      <c r="A45" s="11" t="s">
        <v>178</v>
      </c>
      <c r="B45" s="17" t="s">
        <v>154</v>
      </c>
      <c r="C45" s="17" t="s">
        <v>154</v>
      </c>
      <c r="D45" s="18" t="s">
        <v>154</v>
      </c>
      <c r="E45" s="17" t="s">
        <v>154</v>
      </c>
      <c r="F45" s="18" t="s">
        <v>154</v>
      </c>
      <c r="G45" s="17" t="s">
        <v>154</v>
      </c>
      <c r="H45" s="18" t="s">
        <v>154</v>
      </c>
      <c r="I45" s="17" t="s">
        <v>154</v>
      </c>
      <c r="J45" s="18" t="s">
        <v>154</v>
      </c>
      <c r="K45" s="17" t="s">
        <v>154</v>
      </c>
      <c r="L45" s="18" t="s">
        <v>154</v>
      </c>
      <c r="M45" s="17" t="s">
        <v>154</v>
      </c>
      <c r="N45" s="18" t="s">
        <v>154</v>
      </c>
      <c r="O45" s="17" t="s">
        <v>154</v>
      </c>
      <c r="P45" s="18" t="s">
        <v>154</v>
      </c>
      <c r="Q45" s="17" t="s">
        <v>154</v>
      </c>
      <c r="R45" s="18" t="s">
        <v>154</v>
      </c>
    </row>
    <row r="46" spans="1:18" x14ac:dyDescent="0.25">
      <c r="A46" s="11" t="s">
        <v>179</v>
      </c>
      <c r="B46" s="13">
        <v>23141</v>
      </c>
      <c r="C46" s="14">
        <f>(20770/B46*100)</f>
        <v>89.754116071042731</v>
      </c>
      <c r="D46" s="15">
        <v>2371</v>
      </c>
      <c r="E46" s="14">
        <v>0</v>
      </c>
      <c r="F46" s="16">
        <v>0</v>
      </c>
      <c r="G46" s="14">
        <v>0</v>
      </c>
      <c r="H46" s="16">
        <v>0</v>
      </c>
      <c r="I46" s="14" t="s">
        <v>139</v>
      </c>
      <c r="J46" s="16" t="s">
        <v>139</v>
      </c>
      <c r="K46" s="14">
        <v>0</v>
      </c>
      <c r="L46" s="16">
        <v>0</v>
      </c>
      <c r="M46" s="14">
        <v>100</v>
      </c>
      <c r="N46" s="16">
        <v>0</v>
      </c>
      <c r="O46" s="14">
        <v>0</v>
      </c>
      <c r="P46" s="16">
        <v>0</v>
      </c>
      <c r="Q46" s="14">
        <v>0</v>
      </c>
      <c r="R46" s="16">
        <v>0</v>
      </c>
    </row>
    <row r="47" spans="1:18" x14ac:dyDescent="0.25">
      <c r="A47" s="11" t="s">
        <v>180</v>
      </c>
      <c r="B47" s="13">
        <v>5928</v>
      </c>
      <c r="C47" s="14">
        <f>(5040/B47*100)</f>
        <v>85.020242914979761</v>
      </c>
      <c r="D47" s="15">
        <v>888</v>
      </c>
      <c r="E47" s="14">
        <v>0</v>
      </c>
      <c r="F47" s="16">
        <v>0</v>
      </c>
      <c r="G47" s="14">
        <v>0</v>
      </c>
      <c r="H47" s="16">
        <v>0</v>
      </c>
      <c r="I47" s="14" t="s">
        <v>139</v>
      </c>
      <c r="J47" s="16" t="s">
        <v>139</v>
      </c>
      <c r="K47" s="14">
        <v>0</v>
      </c>
      <c r="L47" s="16">
        <v>0</v>
      </c>
      <c r="M47" s="14">
        <v>100</v>
      </c>
      <c r="N47" s="16">
        <v>0</v>
      </c>
      <c r="O47" s="14">
        <v>0</v>
      </c>
      <c r="P47" s="16">
        <v>0</v>
      </c>
      <c r="Q47" s="14">
        <v>0</v>
      </c>
      <c r="R47" s="16">
        <v>0</v>
      </c>
    </row>
    <row r="48" spans="1:18" x14ac:dyDescent="0.25">
      <c r="A48" s="11" t="s">
        <v>181</v>
      </c>
      <c r="B48" s="13">
        <v>9841</v>
      </c>
      <c r="C48" s="14">
        <f>(8220/B48*100)</f>
        <v>83.528096738136369</v>
      </c>
      <c r="D48" s="15">
        <v>1621</v>
      </c>
      <c r="E48" s="14">
        <v>0</v>
      </c>
      <c r="F48" s="16">
        <v>0</v>
      </c>
      <c r="G48" s="14">
        <v>0</v>
      </c>
      <c r="H48" s="16">
        <v>0</v>
      </c>
      <c r="I48" s="14" t="s">
        <v>139</v>
      </c>
      <c r="J48" s="16" t="s">
        <v>139</v>
      </c>
      <c r="K48" s="14">
        <v>0</v>
      </c>
      <c r="L48" s="16">
        <v>0</v>
      </c>
      <c r="M48" s="14">
        <v>100</v>
      </c>
      <c r="N48" s="16">
        <v>0</v>
      </c>
      <c r="O48" s="14">
        <v>0</v>
      </c>
      <c r="P48" s="16">
        <v>0</v>
      </c>
      <c r="Q48" s="14">
        <v>0</v>
      </c>
      <c r="R48" s="16">
        <v>0</v>
      </c>
    </row>
    <row r="49" spans="1:18" x14ac:dyDescent="0.25">
      <c r="A49" s="11" t="s">
        <v>182</v>
      </c>
      <c r="B49" s="17" t="s">
        <v>154</v>
      </c>
      <c r="C49" s="17" t="s">
        <v>154</v>
      </c>
      <c r="D49" s="18" t="s">
        <v>154</v>
      </c>
      <c r="E49" s="17" t="s">
        <v>154</v>
      </c>
      <c r="F49" s="18" t="s">
        <v>154</v>
      </c>
      <c r="G49" s="17" t="s">
        <v>154</v>
      </c>
      <c r="H49" s="18" t="s">
        <v>154</v>
      </c>
      <c r="I49" s="17" t="s">
        <v>154</v>
      </c>
      <c r="J49" s="18" t="s">
        <v>154</v>
      </c>
      <c r="K49" s="17" t="s">
        <v>154</v>
      </c>
      <c r="L49" s="18" t="s">
        <v>154</v>
      </c>
      <c r="M49" s="17" t="s">
        <v>154</v>
      </c>
      <c r="N49" s="18" t="s">
        <v>154</v>
      </c>
      <c r="O49" s="17" t="s">
        <v>154</v>
      </c>
      <c r="P49" s="18" t="s">
        <v>154</v>
      </c>
      <c r="Q49" s="17" t="s">
        <v>154</v>
      </c>
      <c r="R49" s="18" t="s">
        <v>154</v>
      </c>
    </row>
    <row r="50" spans="1:18" x14ac:dyDescent="0.25">
      <c r="A50" s="11" t="s">
        <v>183</v>
      </c>
      <c r="B50" s="13">
        <v>11795</v>
      </c>
      <c r="C50" s="14">
        <f>(10071/B50*100)</f>
        <v>85.383637134378972</v>
      </c>
      <c r="D50" s="15">
        <v>1724</v>
      </c>
      <c r="E50" s="14">
        <v>0</v>
      </c>
      <c r="F50" s="16">
        <v>0</v>
      </c>
      <c r="G50" s="14">
        <v>0</v>
      </c>
      <c r="H50" s="16">
        <v>0</v>
      </c>
      <c r="I50" s="14" t="s">
        <v>139</v>
      </c>
      <c r="J50" s="16" t="s">
        <v>139</v>
      </c>
      <c r="K50" s="14">
        <v>0</v>
      </c>
      <c r="L50" s="16">
        <v>0</v>
      </c>
      <c r="M50" s="14">
        <v>100</v>
      </c>
      <c r="N50" s="16">
        <v>0</v>
      </c>
      <c r="O50" s="14">
        <v>0</v>
      </c>
      <c r="P50" s="16">
        <v>0</v>
      </c>
      <c r="Q50" s="14">
        <v>0</v>
      </c>
      <c r="R50" s="16">
        <v>0</v>
      </c>
    </row>
    <row r="51" spans="1:18" x14ac:dyDescent="0.25">
      <c r="A51" s="11" t="s">
        <v>184</v>
      </c>
      <c r="B51" s="13">
        <v>6866</v>
      </c>
      <c r="C51" s="14">
        <f>(5973/B51*100)</f>
        <v>86.993882901252547</v>
      </c>
      <c r="D51" s="15">
        <v>893</v>
      </c>
      <c r="E51" s="14">
        <v>0</v>
      </c>
      <c r="F51" s="16">
        <v>0</v>
      </c>
      <c r="G51" s="14">
        <v>0</v>
      </c>
      <c r="H51" s="16">
        <v>0</v>
      </c>
      <c r="I51" s="14" t="s">
        <v>139</v>
      </c>
      <c r="J51" s="16" t="s">
        <v>139</v>
      </c>
      <c r="K51" s="14">
        <v>0</v>
      </c>
      <c r="L51" s="16">
        <v>0</v>
      </c>
      <c r="M51" s="14">
        <v>100</v>
      </c>
      <c r="N51" s="16">
        <v>0</v>
      </c>
      <c r="O51" s="14">
        <v>0</v>
      </c>
      <c r="P51" s="16">
        <v>0</v>
      </c>
      <c r="Q51" s="14">
        <v>0</v>
      </c>
      <c r="R51" s="16">
        <v>0</v>
      </c>
    </row>
    <row r="52" spans="1:18" x14ac:dyDescent="0.25">
      <c r="A52" s="11" t="s">
        <v>185</v>
      </c>
      <c r="B52" s="13">
        <v>5809</v>
      </c>
      <c r="C52" s="14">
        <f>(4885/B52*100)</f>
        <v>84.093647787915302</v>
      </c>
      <c r="D52" s="15">
        <v>924</v>
      </c>
      <c r="E52" s="14">
        <v>0</v>
      </c>
      <c r="F52" s="16">
        <v>0</v>
      </c>
      <c r="G52" s="14">
        <v>0</v>
      </c>
      <c r="H52" s="16">
        <v>0</v>
      </c>
      <c r="I52" s="14" t="s">
        <v>139</v>
      </c>
      <c r="J52" s="16" t="s">
        <v>139</v>
      </c>
      <c r="K52" s="14">
        <v>0</v>
      </c>
      <c r="L52" s="16">
        <v>0</v>
      </c>
      <c r="M52" s="14">
        <v>100</v>
      </c>
      <c r="N52" s="16">
        <v>0</v>
      </c>
      <c r="O52" s="14">
        <v>0</v>
      </c>
      <c r="P52" s="16">
        <v>0</v>
      </c>
      <c r="Q52" s="14">
        <v>0</v>
      </c>
      <c r="R52" s="16">
        <v>0</v>
      </c>
    </row>
    <row r="53" spans="1:18" x14ac:dyDescent="0.25">
      <c r="A53" s="11" t="s">
        <v>186</v>
      </c>
      <c r="B53" s="13">
        <v>5571</v>
      </c>
      <c r="C53" s="14">
        <f>(4728/B53*100)</f>
        <v>84.86806677436725</v>
      </c>
      <c r="D53" s="15">
        <v>843</v>
      </c>
      <c r="E53" s="14">
        <v>0</v>
      </c>
      <c r="F53" s="16">
        <v>0</v>
      </c>
      <c r="G53" s="14">
        <v>0</v>
      </c>
      <c r="H53" s="16">
        <v>0</v>
      </c>
      <c r="I53" s="14" t="s">
        <v>139</v>
      </c>
      <c r="J53" s="16" t="s">
        <v>139</v>
      </c>
      <c r="K53" s="14">
        <v>0</v>
      </c>
      <c r="L53" s="16">
        <v>0</v>
      </c>
      <c r="M53" s="14">
        <v>100</v>
      </c>
      <c r="N53" s="16">
        <v>0</v>
      </c>
      <c r="O53" s="14">
        <v>0</v>
      </c>
      <c r="P53" s="16">
        <v>0</v>
      </c>
      <c r="Q53" s="14">
        <v>0</v>
      </c>
      <c r="R53" s="16">
        <v>0</v>
      </c>
    </row>
    <row r="54" spans="1:18" x14ac:dyDescent="0.25">
      <c r="A54" s="11" t="s">
        <v>187</v>
      </c>
      <c r="B54" s="17" t="s">
        <v>154</v>
      </c>
      <c r="C54" s="17" t="s">
        <v>154</v>
      </c>
      <c r="D54" s="18" t="s">
        <v>154</v>
      </c>
      <c r="E54" s="17" t="s">
        <v>154</v>
      </c>
      <c r="F54" s="18" t="s">
        <v>154</v>
      </c>
      <c r="G54" s="17" t="s">
        <v>154</v>
      </c>
      <c r="H54" s="18" t="s">
        <v>154</v>
      </c>
      <c r="I54" s="17" t="s">
        <v>154</v>
      </c>
      <c r="J54" s="18" t="s">
        <v>154</v>
      </c>
      <c r="K54" s="17" t="s">
        <v>154</v>
      </c>
      <c r="L54" s="18" t="s">
        <v>154</v>
      </c>
      <c r="M54" s="17" t="s">
        <v>154</v>
      </c>
      <c r="N54" s="18" t="s">
        <v>154</v>
      </c>
      <c r="O54" s="17" t="s">
        <v>154</v>
      </c>
      <c r="P54" s="18" t="s">
        <v>154</v>
      </c>
      <c r="Q54" s="17" t="s">
        <v>154</v>
      </c>
      <c r="R54" s="18" t="s">
        <v>154</v>
      </c>
    </row>
    <row r="55" spans="1:18" x14ac:dyDescent="0.25">
      <c r="A55" s="11" t="s">
        <v>188</v>
      </c>
      <c r="B55" s="17" t="s">
        <v>154</v>
      </c>
      <c r="C55" s="17" t="s">
        <v>154</v>
      </c>
      <c r="D55" s="18" t="s">
        <v>154</v>
      </c>
      <c r="E55" s="17" t="s">
        <v>154</v>
      </c>
      <c r="F55" s="18" t="s">
        <v>154</v>
      </c>
      <c r="G55" s="17" t="s">
        <v>154</v>
      </c>
      <c r="H55" s="18" t="s">
        <v>154</v>
      </c>
      <c r="I55" s="17" t="s">
        <v>154</v>
      </c>
      <c r="J55" s="18" t="s">
        <v>154</v>
      </c>
      <c r="K55" s="17" t="s">
        <v>154</v>
      </c>
      <c r="L55" s="18" t="s">
        <v>154</v>
      </c>
      <c r="M55" s="17" t="s">
        <v>154</v>
      </c>
      <c r="N55" s="18" t="s">
        <v>154</v>
      </c>
      <c r="O55" s="17" t="s">
        <v>154</v>
      </c>
      <c r="P55" s="18" t="s">
        <v>154</v>
      </c>
      <c r="Q55" s="17" t="s">
        <v>154</v>
      </c>
      <c r="R55" s="18" t="s">
        <v>154</v>
      </c>
    </row>
    <row r="56" spans="1:18" x14ac:dyDescent="0.25">
      <c r="A56" s="11" t="s">
        <v>189</v>
      </c>
      <c r="B56" s="13">
        <v>5359</v>
      </c>
      <c r="C56" s="14">
        <f>(4464/B56*100)</f>
        <v>83.299122970703493</v>
      </c>
      <c r="D56" s="15">
        <v>895</v>
      </c>
      <c r="E56" s="14">
        <v>0</v>
      </c>
      <c r="F56" s="16">
        <v>0</v>
      </c>
      <c r="G56" s="14">
        <v>0</v>
      </c>
      <c r="H56" s="16">
        <v>0</v>
      </c>
      <c r="I56" s="14" t="s">
        <v>139</v>
      </c>
      <c r="J56" s="16" t="s">
        <v>139</v>
      </c>
      <c r="K56" s="14">
        <v>0</v>
      </c>
      <c r="L56" s="16">
        <v>0</v>
      </c>
      <c r="M56" s="14">
        <v>100</v>
      </c>
      <c r="N56" s="16">
        <v>0</v>
      </c>
      <c r="O56" s="14">
        <v>0</v>
      </c>
      <c r="P56" s="16">
        <v>0</v>
      </c>
      <c r="Q56" s="14">
        <v>0</v>
      </c>
      <c r="R56" s="16">
        <v>0</v>
      </c>
    </row>
    <row r="57" spans="1:18" x14ac:dyDescent="0.25">
      <c r="A57" s="11" t="s">
        <v>190</v>
      </c>
      <c r="B57" s="17" t="s">
        <v>154</v>
      </c>
      <c r="C57" s="17" t="s">
        <v>154</v>
      </c>
      <c r="D57" s="18" t="s">
        <v>154</v>
      </c>
      <c r="E57" s="17" t="s">
        <v>154</v>
      </c>
      <c r="F57" s="18" t="s">
        <v>154</v>
      </c>
      <c r="G57" s="17" t="s">
        <v>154</v>
      </c>
      <c r="H57" s="18" t="s">
        <v>154</v>
      </c>
      <c r="I57" s="17" t="s">
        <v>154</v>
      </c>
      <c r="J57" s="18" t="s">
        <v>154</v>
      </c>
      <c r="K57" s="17" t="s">
        <v>154</v>
      </c>
      <c r="L57" s="18" t="s">
        <v>154</v>
      </c>
      <c r="M57" s="17" t="s">
        <v>154</v>
      </c>
      <c r="N57" s="18" t="s">
        <v>154</v>
      </c>
      <c r="O57" s="17" t="s">
        <v>154</v>
      </c>
      <c r="P57" s="18" t="s">
        <v>154</v>
      </c>
      <c r="Q57" s="17" t="s">
        <v>154</v>
      </c>
      <c r="R57" s="18" t="s">
        <v>154</v>
      </c>
    </row>
    <row r="58" spans="1:18" x14ac:dyDescent="0.25">
      <c r="A58" s="11" t="s">
        <v>191</v>
      </c>
      <c r="B58" s="17" t="s">
        <v>154</v>
      </c>
      <c r="C58" s="17" t="s">
        <v>154</v>
      </c>
      <c r="D58" s="18" t="s">
        <v>154</v>
      </c>
      <c r="E58" s="17" t="s">
        <v>154</v>
      </c>
      <c r="F58" s="18" t="s">
        <v>154</v>
      </c>
      <c r="G58" s="17" t="s">
        <v>154</v>
      </c>
      <c r="H58" s="18" t="s">
        <v>154</v>
      </c>
      <c r="I58" s="17" t="s">
        <v>154</v>
      </c>
      <c r="J58" s="18" t="s">
        <v>154</v>
      </c>
      <c r="K58" s="17" t="s">
        <v>154</v>
      </c>
      <c r="L58" s="18" t="s">
        <v>154</v>
      </c>
      <c r="M58" s="17" t="s">
        <v>154</v>
      </c>
      <c r="N58" s="18" t="s">
        <v>154</v>
      </c>
      <c r="O58" s="17" t="s">
        <v>154</v>
      </c>
      <c r="P58" s="18" t="s">
        <v>154</v>
      </c>
      <c r="Q58" s="17" t="s">
        <v>154</v>
      </c>
      <c r="R58" s="18" t="s">
        <v>154</v>
      </c>
    </row>
    <row r="59" spans="1:18" x14ac:dyDescent="0.25">
      <c r="A59" s="11" t="s">
        <v>192</v>
      </c>
      <c r="B59" s="17" t="s">
        <v>154</v>
      </c>
      <c r="C59" s="17" t="s">
        <v>154</v>
      </c>
      <c r="D59" s="18" t="s">
        <v>154</v>
      </c>
      <c r="E59" s="17" t="s">
        <v>154</v>
      </c>
      <c r="F59" s="18" t="s">
        <v>154</v>
      </c>
      <c r="G59" s="17" t="s">
        <v>154</v>
      </c>
      <c r="H59" s="18" t="s">
        <v>154</v>
      </c>
      <c r="I59" s="17" t="s">
        <v>154</v>
      </c>
      <c r="J59" s="18" t="s">
        <v>154</v>
      </c>
      <c r="K59" s="17" t="s">
        <v>154</v>
      </c>
      <c r="L59" s="18" t="s">
        <v>154</v>
      </c>
      <c r="M59" s="17" t="s">
        <v>154</v>
      </c>
      <c r="N59" s="18" t="s">
        <v>154</v>
      </c>
      <c r="O59" s="17" t="s">
        <v>154</v>
      </c>
      <c r="P59" s="18" t="s">
        <v>154</v>
      </c>
      <c r="Q59" s="17" t="s">
        <v>154</v>
      </c>
      <c r="R59" s="18" t="s">
        <v>154</v>
      </c>
    </row>
    <row r="60" spans="1:18" x14ac:dyDescent="0.25">
      <c r="A60" s="11" t="s">
        <v>193</v>
      </c>
      <c r="B60" s="17" t="s">
        <v>154</v>
      </c>
      <c r="C60" s="17" t="s">
        <v>154</v>
      </c>
      <c r="D60" s="18" t="s">
        <v>154</v>
      </c>
      <c r="E60" s="17" t="s">
        <v>154</v>
      </c>
      <c r="F60" s="18" t="s">
        <v>154</v>
      </c>
      <c r="G60" s="17" t="s">
        <v>154</v>
      </c>
      <c r="H60" s="18" t="s">
        <v>154</v>
      </c>
      <c r="I60" s="17" t="s">
        <v>154</v>
      </c>
      <c r="J60" s="18" t="s">
        <v>154</v>
      </c>
      <c r="K60" s="17" t="s">
        <v>154</v>
      </c>
      <c r="L60" s="18" t="s">
        <v>154</v>
      </c>
      <c r="M60" s="17" t="s">
        <v>154</v>
      </c>
      <c r="N60" s="18" t="s">
        <v>154</v>
      </c>
      <c r="O60" s="17" t="s">
        <v>154</v>
      </c>
      <c r="P60" s="18" t="s">
        <v>154</v>
      </c>
      <c r="Q60" s="17" t="s">
        <v>154</v>
      </c>
      <c r="R60" s="18" t="s">
        <v>154</v>
      </c>
    </row>
    <row r="61" spans="1:18" x14ac:dyDescent="0.25">
      <c r="A61" s="11" t="s">
        <v>194</v>
      </c>
      <c r="B61" s="13">
        <v>6525</v>
      </c>
      <c r="C61" s="14">
        <f>(5500/B61*100)</f>
        <v>84.291187739463595</v>
      </c>
      <c r="D61" s="15">
        <v>1025</v>
      </c>
      <c r="E61" s="14">
        <v>0</v>
      </c>
      <c r="F61" s="16">
        <v>0</v>
      </c>
      <c r="G61" s="14">
        <v>0</v>
      </c>
      <c r="H61" s="16">
        <v>0</v>
      </c>
      <c r="I61" s="14" t="s">
        <v>139</v>
      </c>
      <c r="J61" s="16" t="s">
        <v>139</v>
      </c>
      <c r="K61" s="14">
        <v>0</v>
      </c>
      <c r="L61" s="16">
        <v>0</v>
      </c>
      <c r="M61" s="14">
        <v>100</v>
      </c>
      <c r="N61" s="16">
        <v>0</v>
      </c>
      <c r="O61" s="14">
        <v>0</v>
      </c>
      <c r="P61" s="16">
        <v>0</v>
      </c>
      <c r="Q61" s="14">
        <v>0</v>
      </c>
      <c r="R61" s="16">
        <v>0</v>
      </c>
    </row>
    <row r="62" spans="1:18" x14ac:dyDescent="0.25">
      <c r="A62" s="11" t="s">
        <v>195</v>
      </c>
      <c r="B62" s="13">
        <v>4476</v>
      </c>
      <c r="C62" s="14">
        <f>(3758/B62*100)</f>
        <v>83.958891867739055</v>
      </c>
      <c r="D62" s="15">
        <v>718</v>
      </c>
      <c r="E62" s="14">
        <v>0</v>
      </c>
      <c r="F62" s="16">
        <v>0</v>
      </c>
      <c r="G62" s="14">
        <v>0</v>
      </c>
      <c r="H62" s="16">
        <v>0</v>
      </c>
      <c r="I62" s="14" t="s">
        <v>139</v>
      </c>
      <c r="J62" s="16" t="s">
        <v>139</v>
      </c>
      <c r="K62" s="14">
        <v>0</v>
      </c>
      <c r="L62" s="16">
        <v>0</v>
      </c>
      <c r="M62" s="14">
        <v>100</v>
      </c>
      <c r="N62" s="16">
        <v>0</v>
      </c>
      <c r="O62" s="14">
        <v>0</v>
      </c>
      <c r="P62" s="16">
        <v>0</v>
      </c>
      <c r="Q62" s="14">
        <v>0</v>
      </c>
      <c r="R62" s="16">
        <v>0</v>
      </c>
    </row>
    <row r="63" spans="1:18" x14ac:dyDescent="0.25">
      <c r="A63" s="11" t="s">
        <v>196</v>
      </c>
      <c r="B63" s="17" t="s">
        <v>154</v>
      </c>
      <c r="C63" s="17" t="s">
        <v>154</v>
      </c>
      <c r="D63" s="18" t="s">
        <v>154</v>
      </c>
      <c r="E63" s="17" t="s">
        <v>154</v>
      </c>
      <c r="F63" s="18" t="s">
        <v>154</v>
      </c>
      <c r="G63" s="17" t="s">
        <v>154</v>
      </c>
      <c r="H63" s="18" t="s">
        <v>154</v>
      </c>
      <c r="I63" s="17" t="s">
        <v>154</v>
      </c>
      <c r="J63" s="18" t="s">
        <v>154</v>
      </c>
      <c r="K63" s="17" t="s">
        <v>154</v>
      </c>
      <c r="L63" s="18" t="s">
        <v>154</v>
      </c>
      <c r="M63" s="17" t="s">
        <v>154</v>
      </c>
      <c r="N63" s="18" t="s">
        <v>154</v>
      </c>
      <c r="O63" s="17" t="s">
        <v>154</v>
      </c>
      <c r="P63" s="18" t="s">
        <v>154</v>
      </c>
      <c r="Q63" s="17" t="s">
        <v>154</v>
      </c>
      <c r="R63" s="18" t="s">
        <v>154</v>
      </c>
    </row>
    <row r="64" spans="1:18" x14ac:dyDescent="0.25">
      <c r="A64" s="11" t="s">
        <v>197</v>
      </c>
      <c r="B64" s="17" t="s">
        <v>154</v>
      </c>
      <c r="C64" s="17" t="s">
        <v>154</v>
      </c>
      <c r="D64" s="18" t="s">
        <v>154</v>
      </c>
      <c r="E64" s="17" t="s">
        <v>154</v>
      </c>
      <c r="F64" s="18" t="s">
        <v>154</v>
      </c>
      <c r="G64" s="17" t="s">
        <v>154</v>
      </c>
      <c r="H64" s="18" t="s">
        <v>154</v>
      </c>
      <c r="I64" s="17" t="s">
        <v>154</v>
      </c>
      <c r="J64" s="18" t="s">
        <v>154</v>
      </c>
      <c r="K64" s="17" t="s">
        <v>154</v>
      </c>
      <c r="L64" s="18" t="s">
        <v>154</v>
      </c>
      <c r="M64" s="17" t="s">
        <v>154</v>
      </c>
      <c r="N64" s="18" t="s">
        <v>154</v>
      </c>
      <c r="O64" s="17" t="s">
        <v>154</v>
      </c>
      <c r="P64" s="18" t="s">
        <v>154</v>
      </c>
      <c r="Q64" s="17" t="s">
        <v>154</v>
      </c>
      <c r="R64" s="18" t="s">
        <v>154</v>
      </c>
    </row>
    <row r="65" spans="1:18" x14ac:dyDescent="0.25">
      <c r="A65" s="11" t="s">
        <v>198</v>
      </c>
      <c r="B65" s="17" t="s">
        <v>154</v>
      </c>
      <c r="C65" s="17" t="s">
        <v>154</v>
      </c>
      <c r="D65" s="18" t="s">
        <v>154</v>
      </c>
      <c r="E65" s="17" t="s">
        <v>154</v>
      </c>
      <c r="F65" s="18" t="s">
        <v>154</v>
      </c>
      <c r="G65" s="17" t="s">
        <v>154</v>
      </c>
      <c r="H65" s="18" t="s">
        <v>154</v>
      </c>
      <c r="I65" s="17" t="s">
        <v>154</v>
      </c>
      <c r="J65" s="18" t="s">
        <v>154</v>
      </c>
      <c r="K65" s="17" t="s">
        <v>154</v>
      </c>
      <c r="L65" s="18" t="s">
        <v>154</v>
      </c>
      <c r="M65" s="17" t="s">
        <v>154</v>
      </c>
      <c r="N65" s="18" t="s">
        <v>154</v>
      </c>
      <c r="O65" s="17" t="s">
        <v>154</v>
      </c>
      <c r="P65" s="18" t="s">
        <v>154</v>
      </c>
      <c r="Q65" s="17" t="s">
        <v>154</v>
      </c>
      <c r="R65" s="18" t="s">
        <v>154</v>
      </c>
    </row>
    <row r="66" spans="1:18" x14ac:dyDescent="0.25">
      <c r="A66" s="11" t="s">
        <v>199</v>
      </c>
      <c r="B66" s="13">
        <v>5665</v>
      </c>
      <c r="C66" s="14">
        <f>(4808/B66*100)</f>
        <v>84.872021182700792</v>
      </c>
      <c r="D66" s="15">
        <v>857</v>
      </c>
      <c r="E66" s="14">
        <v>0</v>
      </c>
      <c r="F66" s="16">
        <v>0</v>
      </c>
      <c r="G66" s="14">
        <v>0</v>
      </c>
      <c r="H66" s="16">
        <v>0</v>
      </c>
      <c r="I66" s="14" t="s">
        <v>139</v>
      </c>
      <c r="J66" s="16" t="s">
        <v>139</v>
      </c>
      <c r="K66" s="14">
        <v>0</v>
      </c>
      <c r="L66" s="16">
        <v>0</v>
      </c>
      <c r="M66" s="14">
        <v>100</v>
      </c>
      <c r="N66" s="16">
        <v>0</v>
      </c>
      <c r="O66" s="14">
        <v>0</v>
      </c>
      <c r="P66" s="16">
        <v>0</v>
      </c>
      <c r="Q66" s="14">
        <v>0</v>
      </c>
      <c r="R66" s="16">
        <v>0</v>
      </c>
    </row>
    <row r="67" spans="1:18" x14ac:dyDescent="0.25">
      <c r="A67" s="11" t="s">
        <v>200</v>
      </c>
      <c r="B67" s="13">
        <v>6971</v>
      </c>
      <c r="C67" s="14">
        <f>(6104/B67*100)</f>
        <v>87.562760005738056</v>
      </c>
      <c r="D67" s="15">
        <v>867</v>
      </c>
      <c r="E67" s="14">
        <v>0</v>
      </c>
      <c r="F67" s="16">
        <v>0</v>
      </c>
      <c r="G67" s="14">
        <v>0</v>
      </c>
      <c r="H67" s="16">
        <v>0</v>
      </c>
      <c r="I67" s="14" t="s">
        <v>139</v>
      </c>
      <c r="J67" s="16" t="s">
        <v>139</v>
      </c>
      <c r="K67" s="14">
        <v>0</v>
      </c>
      <c r="L67" s="16">
        <v>0</v>
      </c>
      <c r="M67" s="14">
        <v>100</v>
      </c>
      <c r="N67" s="16">
        <v>0</v>
      </c>
      <c r="O67" s="14">
        <v>0</v>
      </c>
      <c r="P67" s="16">
        <v>0</v>
      </c>
      <c r="Q67" s="14">
        <v>0</v>
      </c>
      <c r="R67" s="16">
        <v>0</v>
      </c>
    </row>
    <row r="68" spans="1:18" x14ac:dyDescent="0.25">
      <c r="A68" s="11" t="s">
        <v>201</v>
      </c>
      <c r="B68" s="17" t="s">
        <v>154</v>
      </c>
      <c r="C68" s="17" t="s">
        <v>154</v>
      </c>
      <c r="D68" s="18" t="s">
        <v>154</v>
      </c>
      <c r="E68" s="17" t="s">
        <v>154</v>
      </c>
      <c r="F68" s="18" t="s">
        <v>154</v>
      </c>
      <c r="G68" s="17" t="s">
        <v>154</v>
      </c>
      <c r="H68" s="18" t="s">
        <v>154</v>
      </c>
      <c r="I68" s="17" t="s">
        <v>154</v>
      </c>
      <c r="J68" s="18" t="s">
        <v>154</v>
      </c>
      <c r="K68" s="17" t="s">
        <v>154</v>
      </c>
      <c r="L68" s="18" t="s">
        <v>154</v>
      </c>
      <c r="M68" s="17" t="s">
        <v>154</v>
      </c>
      <c r="N68" s="18" t="s">
        <v>154</v>
      </c>
      <c r="O68" s="17" t="s">
        <v>154</v>
      </c>
      <c r="P68" s="18" t="s">
        <v>154</v>
      </c>
      <c r="Q68" s="17" t="s">
        <v>154</v>
      </c>
      <c r="R68" s="18" t="s">
        <v>154</v>
      </c>
    </row>
    <row r="69" spans="1:18" x14ac:dyDescent="0.25">
      <c r="A69" s="11" t="s">
        <v>202</v>
      </c>
      <c r="B69" s="17" t="s">
        <v>154</v>
      </c>
      <c r="C69" s="17" t="s">
        <v>154</v>
      </c>
      <c r="D69" s="18" t="s">
        <v>154</v>
      </c>
      <c r="E69" s="17" t="s">
        <v>154</v>
      </c>
      <c r="F69" s="18" t="s">
        <v>154</v>
      </c>
      <c r="G69" s="17" t="s">
        <v>154</v>
      </c>
      <c r="H69" s="18" t="s">
        <v>154</v>
      </c>
      <c r="I69" s="17" t="s">
        <v>154</v>
      </c>
      <c r="J69" s="18" t="s">
        <v>154</v>
      </c>
      <c r="K69" s="17" t="s">
        <v>154</v>
      </c>
      <c r="L69" s="18" t="s">
        <v>154</v>
      </c>
      <c r="M69" s="17" t="s">
        <v>154</v>
      </c>
      <c r="N69" s="18" t="s">
        <v>154</v>
      </c>
      <c r="O69" s="17" t="s">
        <v>154</v>
      </c>
      <c r="P69" s="18" t="s">
        <v>154</v>
      </c>
      <c r="Q69" s="17" t="s">
        <v>154</v>
      </c>
      <c r="R69" s="18" t="s">
        <v>154</v>
      </c>
    </row>
    <row r="70" spans="1:18" x14ac:dyDescent="0.25">
      <c r="A70" s="11" t="s">
        <v>203</v>
      </c>
      <c r="B70" s="13">
        <v>6036</v>
      </c>
      <c r="C70" s="14">
        <f>(5098/B70*100)</f>
        <v>84.459907223326695</v>
      </c>
      <c r="D70" s="15">
        <v>938</v>
      </c>
      <c r="E70" s="14">
        <v>0</v>
      </c>
      <c r="F70" s="16">
        <v>0</v>
      </c>
      <c r="G70" s="14">
        <v>0</v>
      </c>
      <c r="H70" s="16">
        <v>0</v>
      </c>
      <c r="I70" s="14" t="s">
        <v>139</v>
      </c>
      <c r="J70" s="16" t="s">
        <v>139</v>
      </c>
      <c r="K70" s="14">
        <v>0</v>
      </c>
      <c r="L70" s="16">
        <v>0</v>
      </c>
      <c r="M70" s="14">
        <v>100</v>
      </c>
      <c r="N70" s="16">
        <v>0</v>
      </c>
      <c r="O70" s="14">
        <v>0</v>
      </c>
      <c r="P70" s="16">
        <v>0</v>
      </c>
      <c r="Q70" s="14">
        <v>0</v>
      </c>
      <c r="R70" s="16">
        <v>0</v>
      </c>
    </row>
    <row r="71" spans="1:18" x14ac:dyDescent="0.25">
      <c r="A71" s="11" t="s">
        <v>204</v>
      </c>
      <c r="B71" s="17" t="s">
        <v>154</v>
      </c>
      <c r="C71" s="17" t="s">
        <v>154</v>
      </c>
      <c r="D71" s="18" t="s">
        <v>154</v>
      </c>
      <c r="E71" s="17" t="s">
        <v>154</v>
      </c>
      <c r="F71" s="18" t="s">
        <v>154</v>
      </c>
      <c r="G71" s="17" t="s">
        <v>154</v>
      </c>
      <c r="H71" s="18" t="s">
        <v>154</v>
      </c>
      <c r="I71" s="17" t="s">
        <v>154</v>
      </c>
      <c r="J71" s="18" t="s">
        <v>154</v>
      </c>
      <c r="K71" s="17" t="s">
        <v>154</v>
      </c>
      <c r="L71" s="18" t="s">
        <v>154</v>
      </c>
      <c r="M71" s="17" t="s">
        <v>154</v>
      </c>
      <c r="N71" s="18" t="s">
        <v>154</v>
      </c>
      <c r="O71" s="17" t="s">
        <v>154</v>
      </c>
      <c r="P71" s="18" t="s">
        <v>154</v>
      </c>
      <c r="Q71" s="17" t="s">
        <v>154</v>
      </c>
      <c r="R71" s="18" t="s">
        <v>154</v>
      </c>
    </row>
    <row r="72" spans="1:18" x14ac:dyDescent="0.25">
      <c r="A72" s="11" t="s">
        <v>205</v>
      </c>
      <c r="B72" s="13">
        <v>7708</v>
      </c>
      <c r="C72" s="14">
        <f>(6380/B72*100)</f>
        <v>82.77114686040477</v>
      </c>
      <c r="D72" s="15">
        <v>1328</v>
      </c>
      <c r="E72" s="14">
        <v>0</v>
      </c>
      <c r="F72" s="16">
        <v>0</v>
      </c>
      <c r="G72" s="14">
        <v>0</v>
      </c>
      <c r="H72" s="16">
        <v>0</v>
      </c>
      <c r="I72" s="14" t="s">
        <v>139</v>
      </c>
      <c r="J72" s="16" t="s">
        <v>139</v>
      </c>
      <c r="K72" s="14">
        <v>0</v>
      </c>
      <c r="L72" s="16">
        <v>0</v>
      </c>
      <c r="M72" s="14">
        <v>100</v>
      </c>
      <c r="N72" s="16">
        <v>0</v>
      </c>
      <c r="O72" s="14">
        <v>0</v>
      </c>
      <c r="P72" s="16">
        <v>0</v>
      </c>
      <c r="Q72" s="14">
        <v>0</v>
      </c>
      <c r="R72" s="16">
        <v>0</v>
      </c>
    </row>
    <row r="73" spans="1:18" x14ac:dyDescent="0.25">
      <c r="A73" s="11" t="s">
        <v>206</v>
      </c>
      <c r="B73" s="13">
        <v>8249</v>
      </c>
      <c r="C73" s="14">
        <f>(7058/B73*100)</f>
        <v>85.561886289247184</v>
      </c>
      <c r="D73" s="15">
        <v>1191</v>
      </c>
      <c r="E73" s="14">
        <v>0</v>
      </c>
      <c r="F73" s="16">
        <v>0</v>
      </c>
      <c r="G73" s="14">
        <v>0</v>
      </c>
      <c r="H73" s="16">
        <v>0</v>
      </c>
      <c r="I73" s="14" t="s">
        <v>139</v>
      </c>
      <c r="J73" s="16" t="s">
        <v>139</v>
      </c>
      <c r="K73" s="14">
        <v>0</v>
      </c>
      <c r="L73" s="16">
        <v>0</v>
      </c>
      <c r="M73" s="14">
        <v>100</v>
      </c>
      <c r="N73" s="16">
        <v>0</v>
      </c>
      <c r="O73" s="14">
        <v>0</v>
      </c>
      <c r="P73" s="16">
        <v>0</v>
      </c>
      <c r="Q73" s="14">
        <v>0</v>
      </c>
      <c r="R73" s="16">
        <v>0</v>
      </c>
    </row>
    <row r="74" spans="1:18" x14ac:dyDescent="0.25">
      <c r="A74" s="11" t="s">
        <v>207</v>
      </c>
      <c r="B74" s="17" t="s">
        <v>154</v>
      </c>
      <c r="C74" s="17" t="s">
        <v>154</v>
      </c>
      <c r="D74" s="18" t="s">
        <v>154</v>
      </c>
      <c r="E74" s="17" t="s">
        <v>154</v>
      </c>
      <c r="F74" s="18" t="s">
        <v>154</v>
      </c>
      <c r="G74" s="17" t="s">
        <v>154</v>
      </c>
      <c r="H74" s="18" t="s">
        <v>154</v>
      </c>
      <c r="I74" s="17" t="s">
        <v>154</v>
      </c>
      <c r="J74" s="18" t="s">
        <v>154</v>
      </c>
      <c r="K74" s="17" t="s">
        <v>154</v>
      </c>
      <c r="L74" s="18" t="s">
        <v>154</v>
      </c>
      <c r="M74" s="17" t="s">
        <v>154</v>
      </c>
      <c r="N74" s="18" t="s">
        <v>154</v>
      </c>
      <c r="O74" s="17" t="s">
        <v>154</v>
      </c>
      <c r="P74" s="18" t="s">
        <v>154</v>
      </c>
      <c r="Q74" s="17" t="s">
        <v>154</v>
      </c>
      <c r="R74" s="18" t="s">
        <v>154</v>
      </c>
    </row>
    <row r="75" spans="1:18" x14ac:dyDescent="0.25">
      <c r="A75" s="11" t="s">
        <v>208</v>
      </c>
      <c r="B75" s="13">
        <v>5375</v>
      </c>
      <c r="C75" s="14">
        <f>(4623/B75*100)</f>
        <v>86.009302325581388</v>
      </c>
      <c r="D75" s="15">
        <v>752</v>
      </c>
      <c r="E75" s="14">
        <v>0</v>
      </c>
      <c r="F75" s="16">
        <v>0</v>
      </c>
      <c r="G75" s="14">
        <v>0</v>
      </c>
      <c r="H75" s="16">
        <v>0</v>
      </c>
      <c r="I75" s="14" t="s">
        <v>139</v>
      </c>
      <c r="J75" s="16" t="s">
        <v>139</v>
      </c>
      <c r="K75" s="14">
        <v>0</v>
      </c>
      <c r="L75" s="16">
        <v>0</v>
      </c>
      <c r="M75" s="14">
        <v>100</v>
      </c>
      <c r="N75" s="16">
        <v>0</v>
      </c>
      <c r="O75" s="14">
        <v>0</v>
      </c>
      <c r="P75" s="16">
        <v>0</v>
      </c>
      <c r="Q75" s="14">
        <v>0</v>
      </c>
      <c r="R75" s="16">
        <v>0</v>
      </c>
    </row>
    <row r="76" spans="1:18" x14ac:dyDescent="0.25">
      <c r="A76" s="11" t="s">
        <v>209</v>
      </c>
      <c r="B76" s="13">
        <v>14167</v>
      </c>
      <c r="C76" s="14">
        <f>(11813/B76*100)</f>
        <v>83.38392037834403</v>
      </c>
      <c r="D76" s="15">
        <v>2354</v>
      </c>
      <c r="E76" s="14">
        <v>0</v>
      </c>
      <c r="F76" s="16">
        <v>0</v>
      </c>
      <c r="G76" s="14">
        <v>0</v>
      </c>
      <c r="H76" s="16">
        <v>0</v>
      </c>
      <c r="I76" s="14" t="s">
        <v>139</v>
      </c>
      <c r="J76" s="16" t="s">
        <v>139</v>
      </c>
      <c r="K76" s="14">
        <v>0</v>
      </c>
      <c r="L76" s="16">
        <v>0</v>
      </c>
      <c r="M76" s="14">
        <v>100</v>
      </c>
      <c r="N76" s="16">
        <v>0</v>
      </c>
      <c r="O76" s="14">
        <v>0</v>
      </c>
      <c r="P76" s="16">
        <v>0</v>
      </c>
      <c r="Q76" s="14">
        <v>0</v>
      </c>
      <c r="R76" s="16">
        <v>0</v>
      </c>
    </row>
    <row r="77" spans="1:18" x14ac:dyDescent="0.25">
      <c r="A77" s="11" t="s">
        <v>210</v>
      </c>
      <c r="B77" s="13">
        <v>6062</v>
      </c>
      <c r="C77" s="14">
        <f>(5206/B77*100)</f>
        <v>85.879247773012196</v>
      </c>
      <c r="D77" s="15">
        <v>856</v>
      </c>
      <c r="E77" s="14">
        <v>0</v>
      </c>
      <c r="F77" s="16">
        <v>0</v>
      </c>
      <c r="G77" s="14">
        <v>0</v>
      </c>
      <c r="H77" s="16">
        <v>0</v>
      </c>
      <c r="I77" s="14" t="s">
        <v>139</v>
      </c>
      <c r="J77" s="16" t="s">
        <v>139</v>
      </c>
      <c r="K77" s="14">
        <v>0</v>
      </c>
      <c r="L77" s="16">
        <v>0</v>
      </c>
      <c r="M77" s="14">
        <v>100</v>
      </c>
      <c r="N77" s="16">
        <v>0</v>
      </c>
      <c r="O77" s="14">
        <v>0</v>
      </c>
      <c r="P77" s="16">
        <v>0</v>
      </c>
      <c r="Q77" s="14">
        <v>0</v>
      </c>
      <c r="R77" s="16">
        <v>0</v>
      </c>
    </row>
    <row r="78" spans="1:18" x14ac:dyDescent="0.25">
      <c r="A78" s="11" t="s">
        <v>211</v>
      </c>
      <c r="B78" s="17" t="s">
        <v>154</v>
      </c>
      <c r="C78" s="17" t="s">
        <v>154</v>
      </c>
      <c r="D78" s="18" t="s">
        <v>154</v>
      </c>
      <c r="E78" s="17" t="s">
        <v>154</v>
      </c>
      <c r="F78" s="18" t="s">
        <v>154</v>
      </c>
      <c r="G78" s="17" t="s">
        <v>154</v>
      </c>
      <c r="H78" s="18" t="s">
        <v>154</v>
      </c>
      <c r="I78" s="17" t="s">
        <v>154</v>
      </c>
      <c r="J78" s="18" t="s">
        <v>154</v>
      </c>
      <c r="K78" s="17" t="s">
        <v>154</v>
      </c>
      <c r="L78" s="18" t="s">
        <v>154</v>
      </c>
      <c r="M78" s="17" t="s">
        <v>154</v>
      </c>
      <c r="N78" s="18" t="s">
        <v>154</v>
      </c>
      <c r="O78" s="17" t="s">
        <v>154</v>
      </c>
      <c r="P78" s="18" t="s">
        <v>154</v>
      </c>
      <c r="Q78" s="17" t="s">
        <v>154</v>
      </c>
      <c r="R78" s="18" t="s">
        <v>154</v>
      </c>
    </row>
    <row r="79" spans="1:18" ht="24.95" customHeight="1" x14ac:dyDescent="0.25">
      <c r="A79" s="11" t="s">
        <v>212</v>
      </c>
      <c r="B79" s="17" t="s">
        <v>154</v>
      </c>
      <c r="C79" s="17" t="s">
        <v>154</v>
      </c>
      <c r="D79" s="18" t="s">
        <v>154</v>
      </c>
      <c r="E79" s="17" t="s">
        <v>154</v>
      </c>
      <c r="F79" s="18" t="s">
        <v>154</v>
      </c>
      <c r="G79" s="17" t="s">
        <v>154</v>
      </c>
      <c r="H79" s="18" t="s">
        <v>154</v>
      </c>
      <c r="I79" s="17" t="s">
        <v>154</v>
      </c>
      <c r="J79" s="18" t="s">
        <v>154</v>
      </c>
      <c r="K79" s="17" t="s">
        <v>154</v>
      </c>
      <c r="L79" s="18" t="s">
        <v>154</v>
      </c>
      <c r="M79" s="17" t="s">
        <v>154</v>
      </c>
      <c r="N79" s="18" t="s">
        <v>154</v>
      </c>
      <c r="O79" s="17" t="s">
        <v>154</v>
      </c>
      <c r="P79" s="18" t="s">
        <v>154</v>
      </c>
      <c r="Q79" s="17" t="s">
        <v>154</v>
      </c>
      <c r="R79" s="18" t="s">
        <v>154</v>
      </c>
    </row>
    <row r="80" spans="1:18" x14ac:dyDescent="0.25">
      <c r="A80" s="11" t="s">
        <v>213</v>
      </c>
      <c r="B80" s="17" t="s">
        <v>154</v>
      </c>
      <c r="C80" s="17" t="s">
        <v>154</v>
      </c>
      <c r="D80" s="18" t="s">
        <v>154</v>
      </c>
      <c r="E80" s="17" t="s">
        <v>154</v>
      </c>
      <c r="F80" s="18" t="s">
        <v>154</v>
      </c>
      <c r="G80" s="17" t="s">
        <v>154</v>
      </c>
      <c r="H80" s="18" t="s">
        <v>154</v>
      </c>
      <c r="I80" s="17" t="s">
        <v>154</v>
      </c>
      <c r="J80" s="18" t="s">
        <v>154</v>
      </c>
      <c r="K80" s="17" t="s">
        <v>154</v>
      </c>
      <c r="L80" s="18" t="s">
        <v>154</v>
      </c>
      <c r="M80" s="17" t="s">
        <v>154</v>
      </c>
      <c r="N80" s="18" t="s">
        <v>154</v>
      </c>
      <c r="O80" s="17" t="s">
        <v>154</v>
      </c>
      <c r="P80" s="18" t="s">
        <v>154</v>
      </c>
      <c r="Q80" s="17" t="s">
        <v>154</v>
      </c>
      <c r="R80" s="18" t="s">
        <v>154</v>
      </c>
    </row>
    <row r="81" spans="1:18" x14ac:dyDescent="0.25">
      <c r="A81" s="19" t="s">
        <v>214</v>
      </c>
      <c r="B81" s="13">
        <v>8861</v>
      </c>
      <c r="C81" s="14">
        <f>(7407/B81*100)</f>
        <v>83.591016815257873</v>
      </c>
      <c r="D81" s="15">
        <v>1454</v>
      </c>
      <c r="E81" s="14">
        <v>0</v>
      </c>
      <c r="F81" s="16">
        <v>0</v>
      </c>
      <c r="G81" s="14">
        <v>0</v>
      </c>
      <c r="H81" s="16">
        <v>0</v>
      </c>
      <c r="I81" s="14" t="s">
        <v>139</v>
      </c>
      <c r="J81" s="16" t="s">
        <v>139</v>
      </c>
      <c r="K81" s="14">
        <v>0</v>
      </c>
      <c r="L81" s="16">
        <v>0</v>
      </c>
      <c r="M81" s="14">
        <v>100</v>
      </c>
      <c r="N81" s="16">
        <v>0</v>
      </c>
      <c r="O81" s="14">
        <v>0</v>
      </c>
      <c r="P81" s="16">
        <v>0</v>
      </c>
      <c r="Q81" s="14">
        <v>0</v>
      </c>
      <c r="R81" s="16">
        <v>0</v>
      </c>
    </row>
    <row r="82" spans="1:18" x14ac:dyDescent="0.25">
      <c r="A82" s="20"/>
      <c r="B82" s="20" t="s">
        <v>215</v>
      </c>
      <c r="C82" s="20" t="s">
        <v>215</v>
      </c>
      <c r="D82" s="20" t="s">
        <v>215</v>
      </c>
      <c r="E82" s="20" t="s">
        <v>215</v>
      </c>
      <c r="F82" s="20" t="s">
        <v>215</v>
      </c>
      <c r="G82" s="20" t="s">
        <v>215</v>
      </c>
      <c r="H82" s="20" t="s">
        <v>215</v>
      </c>
      <c r="I82" s="20" t="s">
        <v>215</v>
      </c>
      <c r="J82" s="20" t="s">
        <v>215</v>
      </c>
      <c r="K82" s="20" t="s">
        <v>215</v>
      </c>
      <c r="L82" s="20" t="s">
        <v>215</v>
      </c>
      <c r="M82" s="20" t="s">
        <v>215</v>
      </c>
      <c r="N82" s="20" t="s">
        <v>215</v>
      </c>
      <c r="O82" s="20" t="s">
        <v>215</v>
      </c>
      <c r="P82" s="20" t="s">
        <v>215</v>
      </c>
      <c r="Q82" s="20" t="s">
        <v>215</v>
      </c>
      <c r="R82" s="20" t="s">
        <v>215</v>
      </c>
    </row>
    <row r="83" spans="1:18" x14ac:dyDescent="0.25">
      <c r="A83" s="3" t="s">
        <v>216</v>
      </c>
    </row>
    <row r="84" spans="1:18" x14ac:dyDescent="0.25">
      <c r="A84" s="22" t="s">
        <v>217</v>
      </c>
      <c r="B84" s="23"/>
      <c r="C84" s="23"/>
      <c r="D84" s="23"/>
      <c r="E84" s="23"/>
      <c r="F84" s="23"/>
      <c r="G84" s="23"/>
      <c r="H84" s="23"/>
      <c r="I84" s="23"/>
      <c r="J84" s="23"/>
      <c r="K84" s="23"/>
      <c r="L84" s="23"/>
      <c r="M84" s="23"/>
      <c r="N84" s="23"/>
      <c r="O84" s="23"/>
      <c r="P84" s="23"/>
      <c r="Q84" s="23"/>
      <c r="R84" s="23"/>
    </row>
    <row r="85" spans="1:18" x14ac:dyDescent="0.25">
      <c r="A85" s="22" t="s">
        <v>218</v>
      </c>
      <c r="B85" s="23"/>
      <c r="C85" s="23"/>
      <c r="D85" s="23"/>
      <c r="E85" s="23"/>
      <c r="F85" s="23"/>
      <c r="G85" s="23"/>
      <c r="H85" s="23"/>
      <c r="I85" s="23"/>
      <c r="J85" s="23"/>
      <c r="K85" s="23"/>
      <c r="L85" s="23"/>
      <c r="M85" s="23"/>
      <c r="N85" s="23"/>
      <c r="O85" s="23"/>
      <c r="P85" s="23"/>
      <c r="Q85" s="23"/>
      <c r="R85" s="23"/>
    </row>
    <row r="86" spans="1:18" ht="30" customHeight="1" x14ac:dyDescent="0.25">
      <c r="A86" s="22" t="s">
        <v>219</v>
      </c>
      <c r="B86" s="23"/>
      <c r="C86" s="23"/>
      <c r="D86" s="23"/>
      <c r="E86" s="23"/>
      <c r="F86" s="23"/>
      <c r="G86" s="23"/>
      <c r="H86" s="23"/>
      <c r="I86" s="23"/>
      <c r="J86" s="23"/>
      <c r="K86" s="23"/>
      <c r="L86" s="23"/>
      <c r="M86" s="23"/>
      <c r="N86" s="23"/>
      <c r="O86" s="23"/>
      <c r="P86" s="23"/>
      <c r="Q86" s="23"/>
      <c r="R86" s="23"/>
    </row>
    <row r="87" spans="1:18" ht="30" customHeight="1" x14ac:dyDescent="0.25">
      <c r="A87" s="22" t="s">
        <v>215</v>
      </c>
      <c r="B87" s="23"/>
      <c r="C87" s="23"/>
      <c r="D87" s="23"/>
      <c r="E87" s="23"/>
      <c r="F87" s="23"/>
      <c r="G87" s="23"/>
      <c r="H87" s="23"/>
      <c r="I87" s="23"/>
      <c r="J87" s="23"/>
      <c r="K87" s="23"/>
      <c r="L87" s="23"/>
      <c r="M87" s="23"/>
      <c r="N87" s="23"/>
      <c r="O87" s="23"/>
      <c r="P87" s="23"/>
      <c r="Q87" s="23"/>
      <c r="R87" s="23"/>
    </row>
    <row r="88" spans="1:18" ht="30" customHeight="1" x14ac:dyDescent="0.25">
      <c r="A88" s="22" t="s">
        <v>220</v>
      </c>
      <c r="B88" s="23"/>
      <c r="C88" s="23"/>
      <c r="D88" s="23"/>
      <c r="E88" s="23"/>
      <c r="F88" s="23"/>
      <c r="G88" s="23"/>
      <c r="H88" s="23"/>
      <c r="I88" s="23"/>
      <c r="J88" s="23"/>
      <c r="K88" s="23"/>
      <c r="L88" s="23"/>
      <c r="M88" s="23"/>
      <c r="N88" s="23"/>
      <c r="O88" s="23"/>
      <c r="P88" s="23"/>
      <c r="Q88" s="23"/>
      <c r="R88" s="23"/>
    </row>
    <row r="89" spans="1:18" ht="30" customHeight="1" x14ac:dyDescent="0.25">
      <c r="A89" s="22" t="s">
        <v>221</v>
      </c>
      <c r="B89" s="23"/>
      <c r="C89" s="23"/>
      <c r="D89" s="23"/>
      <c r="E89" s="23"/>
      <c r="F89" s="23"/>
      <c r="G89" s="23"/>
      <c r="H89" s="23"/>
      <c r="I89" s="23"/>
      <c r="J89" s="23"/>
      <c r="K89" s="23"/>
      <c r="L89" s="23"/>
      <c r="M89" s="23"/>
      <c r="N89" s="23"/>
      <c r="O89" s="23"/>
      <c r="P89" s="23"/>
      <c r="Q89" s="23"/>
      <c r="R89" s="23"/>
    </row>
    <row r="90" spans="1:18" ht="30" customHeight="1" x14ac:dyDescent="0.25">
      <c r="A90" s="22" t="s">
        <v>222</v>
      </c>
      <c r="B90" s="23"/>
      <c r="C90" s="23"/>
      <c r="D90" s="23"/>
      <c r="E90" s="23"/>
      <c r="F90" s="23"/>
      <c r="G90" s="23"/>
      <c r="H90" s="23"/>
      <c r="I90" s="23"/>
      <c r="J90" s="23"/>
      <c r="K90" s="23"/>
      <c r="L90" s="23"/>
      <c r="M90" s="23"/>
      <c r="N90" s="23"/>
      <c r="O90" s="23"/>
      <c r="P90" s="23"/>
      <c r="Q90" s="23"/>
      <c r="R90" s="23"/>
    </row>
    <row r="91" spans="1:18" ht="30" customHeight="1" x14ac:dyDescent="0.25">
      <c r="A91" s="22" t="s">
        <v>223</v>
      </c>
      <c r="B91" s="23"/>
      <c r="C91" s="23"/>
      <c r="D91" s="23"/>
      <c r="E91" s="23"/>
      <c r="F91" s="23"/>
      <c r="G91" s="23"/>
      <c r="H91" s="23"/>
      <c r="I91" s="23"/>
      <c r="J91" s="23"/>
      <c r="K91" s="23"/>
      <c r="L91" s="23"/>
      <c r="M91" s="23"/>
      <c r="N91" s="23"/>
      <c r="O91" s="23"/>
      <c r="P91" s="23"/>
      <c r="Q91" s="23"/>
      <c r="R91" s="23"/>
    </row>
    <row r="92" spans="1:18" ht="30" customHeight="1" x14ac:dyDescent="0.25">
      <c r="A92" s="22" t="s">
        <v>224</v>
      </c>
      <c r="B92" s="23"/>
      <c r="C92" s="23"/>
      <c r="D92" s="23"/>
      <c r="E92" s="23"/>
      <c r="F92" s="23"/>
      <c r="G92" s="23"/>
      <c r="H92" s="23"/>
      <c r="I92" s="23"/>
      <c r="J92" s="23"/>
      <c r="K92" s="23"/>
      <c r="L92" s="23"/>
      <c r="M92" s="23"/>
      <c r="N92" s="23"/>
      <c r="O92" s="23"/>
      <c r="P92" s="23"/>
      <c r="Q92" s="23"/>
      <c r="R92" s="23"/>
    </row>
    <row r="93" spans="1:18" ht="30" customHeight="1" x14ac:dyDescent="0.25">
      <c r="A93" s="22" t="s">
        <v>225</v>
      </c>
      <c r="B93" s="23"/>
      <c r="C93" s="23"/>
      <c r="D93" s="23"/>
      <c r="E93" s="23"/>
      <c r="F93" s="23"/>
      <c r="G93" s="23"/>
      <c r="H93" s="23"/>
      <c r="I93" s="23"/>
      <c r="J93" s="23"/>
      <c r="K93" s="23"/>
      <c r="L93" s="23"/>
      <c r="M93" s="23"/>
      <c r="N93" s="23"/>
      <c r="O93" s="23"/>
      <c r="P93" s="23"/>
      <c r="Q93" s="23"/>
      <c r="R93" s="23"/>
    </row>
    <row r="94" spans="1:18" ht="30" customHeight="1" x14ac:dyDescent="0.25">
      <c r="A94" s="22" t="s">
        <v>226</v>
      </c>
      <c r="B94" s="23"/>
      <c r="C94" s="23"/>
      <c r="D94" s="23"/>
      <c r="E94" s="23"/>
      <c r="F94" s="23"/>
      <c r="G94" s="23"/>
      <c r="H94" s="23"/>
      <c r="I94" s="23"/>
      <c r="J94" s="23"/>
      <c r="K94" s="23"/>
      <c r="L94" s="23"/>
      <c r="M94" s="23"/>
      <c r="N94" s="23"/>
      <c r="O94" s="23"/>
      <c r="P94" s="23"/>
      <c r="Q94" s="23"/>
      <c r="R94" s="23"/>
    </row>
    <row r="95" spans="1:18" ht="30" customHeight="1" x14ac:dyDescent="0.25">
      <c r="A95" s="22" t="s">
        <v>227</v>
      </c>
      <c r="B95" s="23"/>
      <c r="C95" s="23"/>
      <c r="D95" s="23"/>
      <c r="E95" s="23"/>
      <c r="F95" s="23"/>
      <c r="G95" s="23"/>
      <c r="H95" s="23"/>
      <c r="I95" s="23"/>
      <c r="J95" s="23"/>
      <c r="K95" s="23"/>
      <c r="L95" s="23"/>
      <c r="M95" s="23"/>
      <c r="N95" s="23"/>
      <c r="O95" s="23"/>
      <c r="P95" s="23"/>
      <c r="Q95" s="23"/>
      <c r="R95" s="23"/>
    </row>
    <row r="96" spans="1:18" ht="30" customHeight="1" x14ac:dyDescent="0.25">
      <c r="A96" s="22" t="s">
        <v>228</v>
      </c>
      <c r="B96" s="23"/>
      <c r="C96" s="23"/>
      <c r="D96" s="23"/>
      <c r="E96" s="23"/>
      <c r="F96" s="23"/>
      <c r="G96" s="23"/>
      <c r="H96" s="23"/>
      <c r="I96" s="23"/>
      <c r="J96" s="23"/>
      <c r="K96" s="23"/>
      <c r="L96" s="23"/>
      <c r="M96" s="23"/>
      <c r="N96" s="23"/>
      <c r="O96" s="23"/>
      <c r="P96" s="23"/>
      <c r="Q96" s="23"/>
      <c r="R96" s="23"/>
    </row>
  </sheetData>
  <mergeCells count="22">
    <mergeCell ref="O4:P4"/>
    <mergeCell ref="Q4:R4"/>
    <mergeCell ref="A1:R1"/>
    <mergeCell ref="A2:R2"/>
    <mergeCell ref="A84:R84"/>
    <mergeCell ref="E4:F4"/>
    <mergeCell ref="G4:H4"/>
    <mergeCell ref="I4:J4"/>
    <mergeCell ref="K4:L4"/>
    <mergeCell ref="M4:N4"/>
    <mergeCell ref="A85:R85"/>
    <mergeCell ref="A86:R86"/>
    <mergeCell ref="A87:R87"/>
    <mergeCell ref="A88:R88"/>
    <mergeCell ref="A89:R89"/>
    <mergeCell ref="A95:R95"/>
    <mergeCell ref="A96:R96"/>
    <mergeCell ref="A90:R90"/>
    <mergeCell ref="A91:R91"/>
    <mergeCell ref="A92:R92"/>
    <mergeCell ref="A93:R93"/>
    <mergeCell ref="A94:R94"/>
  </mergeCells>
  <pageMargins left="0.75" right="0.75" top="1" bottom="1" header="0.5" footer="0.5"/>
</worksheet>
</file>

<file path=xl/worksheets/sheet1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0"/>
  <dimension ref="A1:R96"/>
  <sheetViews>
    <sheetView zoomScale="80" workbookViewId="0">
      <pane xSplit="4" topLeftCell="E1" activePane="topRight" state="frozen"/>
      <selection sqref="A1:R1"/>
      <selection pane="topRight" sqref="A1:R1"/>
    </sheetView>
  </sheetViews>
  <sheetFormatPr defaultColWidth="11.42578125" defaultRowHeight="15" x14ac:dyDescent="0.25"/>
  <cols>
    <col min="1" max="1" width="50" customWidth="1"/>
  </cols>
  <sheetData>
    <row r="1" spans="1:18" x14ac:dyDescent="0.25">
      <c r="A1" s="26" t="s">
        <v>122</v>
      </c>
      <c r="B1" s="23"/>
      <c r="C1" s="23"/>
      <c r="D1" s="23"/>
      <c r="E1" s="23"/>
      <c r="F1" s="23"/>
      <c r="G1" s="23"/>
      <c r="H1" s="23"/>
      <c r="I1" s="23"/>
      <c r="J1" s="23"/>
      <c r="K1" s="23"/>
      <c r="L1" s="23"/>
      <c r="M1" s="23"/>
      <c r="N1" s="23"/>
      <c r="O1" s="23"/>
      <c r="P1" s="23"/>
      <c r="Q1" s="23"/>
      <c r="R1" s="23"/>
    </row>
    <row r="2" spans="1:18" x14ac:dyDescent="0.25">
      <c r="A2" s="27" t="s">
        <v>356</v>
      </c>
      <c r="B2" s="23"/>
      <c r="C2" s="23"/>
      <c r="D2" s="23"/>
      <c r="E2" s="23"/>
      <c r="F2" s="23"/>
      <c r="G2" s="23"/>
      <c r="H2" s="23"/>
      <c r="I2" s="23"/>
      <c r="J2" s="23"/>
      <c r="K2" s="23"/>
      <c r="L2" s="23"/>
      <c r="M2" s="23"/>
      <c r="N2" s="23"/>
      <c r="O2" s="23"/>
      <c r="P2" s="23"/>
      <c r="Q2" s="23"/>
      <c r="R2" s="23"/>
    </row>
    <row r="4" spans="1:18" ht="30" customHeight="1" x14ac:dyDescent="0.25">
      <c r="A4" s="4"/>
      <c r="B4" s="5" t="s">
        <v>123</v>
      </c>
      <c r="C4" s="5" t="s">
        <v>124</v>
      </c>
      <c r="D4" s="6" t="s">
        <v>123</v>
      </c>
      <c r="E4" s="24" t="s">
        <v>125</v>
      </c>
      <c r="F4" s="25"/>
      <c r="G4" s="24" t="s">
        <v>126</v>
      </c>
      <c r="H4" s="25"/>
      <c r="I4" s="24" t="s">
        <v>127</v>
      </c>
      <c r="J4" s="25"/>
      <c r="K4" s="24" t="s">
        <v>128</v>
      </c>
      <c r="L4" s="25"/>
      <c r="M4" s="24" t="s">
        <v>129</v>
      </c>
      <c r="N4" s="25"/>
      <c r="O4" s="24" t="s">
        <v>130</v>
      </c>
      <c r="P4" s="25"/>
      <c r="Q4" s="24" t="s">
        <v>131</v>
      </c>
      <c r="R4" s="25"/>
    </row>
    <row r="5" spans="1:18" x14ac:dyDescent="0.25">
      <c r="A5" s="7"/>
      <c r="B5" s="8" t="s">
        <v>132</v>
      </c>
      <c r="C5" s="8" t="s">
        <v>133</v>
      </c>
      <c r="D5" s="7" t="s">
        <v>134</v>
      </c>
      <c r="E5" s="8" t="s">
        <v>135</v>
      </c>
      <c r="F5" s="7" t="s">
        <v>136</v>
      </c>
      <c r="G5" s="8" t="s">
        <v>135</v>
      </c>
      <c r="H5" s="7" t="s">
        <v>136</v>
      </c>
      <c r="I5" s="8" t="s">
        <v>135</v>
      </c>
      <c r="J5" s="7" t="s">
        <v>136</v>
      </c>
      <c r="K5" s="8" t="s">
        <v>135</v>
      </c>
      <c r="L5" s="7" t="s">
        <v>136</v>
      </c>
      <c r="M5" s="8" t="s">
        <v>135</v>
      </c>
      <c r="N5" s="7" t="s">
        <v>136</v>
      </c>
      <c r="O5" s="8" t="s">
        <v>135</v>
      </c>
      <c r="P5" s="7" t="s">
        <v>136</v>
      </c>
      <c r="Q5" s="8" t="s">
        <v>135</v>
      </c>
      <c r="R5" s="7" t="s">
        <v>136</v>
      </c>
    </row>
    <row r="6" spans="1:18" x14ac:dyDescent="0.25">
      <c r="A6" s="9" t="s">
        <v>137</v>
      </c>
      <c r="B6" s="10"/>
      <c r="C6" s="10"/>
      <c r="D6" s="11"/>
      <c r="E6" s="10"/>
      <c r="F6" s="11"/>
      <c r="G6" s="10"/>
      <c r="H6" s="11"/>
      <c r="I6" s="10"/>
      <c r="J6" s="11"/>
      <c r="K6" s="10"/>
      <c r="L6" s="11"/>
      <c r="M6" s="10"/>
      <c r="N6" s="11"/>
      <c r="O6" s="10"/>
      <c r="P6" s="11"/>
      <c r="Q6" s="10"/>
      <c r="R6" s="12"/>
    </row>
    <row r="7" spans="1:18" x14ac:dyDescent="0.25">
      <c r="A7" s="11" t="s">
        <v>138</v>
      </c>
      <c r="B7" s="13">
        <v>14530</v>
      </c>
      <c r="C7" s="14">
        <f>(12302/B7*100)</f>
        <v>84.666207845836212</v>
      </c>
      <c r="D7" s="15">
        <v>2228</v>
      </c>
      <c r="E7" s="14">
        <v>13.630792420000001</v>
      </c>
      <c r="F7" s="16">
        <v>0.82722180999999995</v>
      </c>
      <c r="G7" s="14">
        <v>86.369207579999994</v>
      </c>
      <c r="H7" s="16">
        <v>0.82722180999999995</v>
      </c>
      <c r="I7" s="14" t="s">
        <v>139</v>
      </c>
      <c r="J7" s="16" t="s">
        <v>139</v>
      </c>
      <c r="K7" s="14">
        <v>0</v>
      </c>
      <c r="L7" s="16">
        <v>0</v>
      </c>
      <c r="M7" s="14">
        <v>0</v>
      </c>
      <c r="N7" s="16">
        <v>0</v>
      </c>
      <c r="O7" s="14">
        <v>0</v>
      </c>
      <c r="P7" s="16">
        <v>0</v>
      </c>
      <c r="Q7" s="14">
        <v>0</v>
      </c>
      <c r="R7" s="16">
        <v>0</v>
      </c>
    </row>
    <row r="8" spans="1:18" x14ac:dyDescent="0.25">
      <c r="A8" s="11" t="s">
        <v>140</v>
      </c>
      <c r="B8" s="13">
        <v>7007</v>
      </c>
      <c r="C8" s="14">
        <f>(5878/B8*100)</f>
        <v>83.887541030398168</v>
      </c>
      <c r="D8" s="15">
        <v>1129</v>
      </c>
      <c r="E8" s="14">
        <v>10.70601905</v>
      </c>
      <c r="F8" s="16">
        <v>1.2491946700000001</v>
      </c>
      <c r="G8" s="14">
        <v>89.293980950000005</v>
      </c>
      <c r="H8" s="16">
        <v>1.2491946700000001</v>
      </c>
      <c r="I8" s="14" t="s">
        <v>139</v>
      </c>
      <c r="J8" s="16" t="s">
        <v>139</v>
      </c>
      <c r="K8" s="14">
        <v>0</v>
      </c>
      <c r="L8" s="16">
        <v>0</v>
      </c>
      <c r="M8" s="14">
        <v>0</v>
      </c>
      <c r="N8" s="16">
        <v>0</v>
      </c>
      <c r="O8" s="14">
        <v>0</v>
      </c>
      <c r="P8" s="16">
        <v>0</v>
      </c>
      <c r="Q8" s="14">
        <v>0</v>
      </c>
      <c r="R8" s="16">
        <v>0</v>
      </c>
    </row>
    <row r="9" spans="1:18" x14ac:dyDescent="0.25">
      <c r="A9" s="11" t="s">
        <v>141</v>
      </c>
      <c r="B9" s="13">
        <v>9651</v>
      </c>
      <c r="C9" s="14">
        <f>(8234/B9*100)</f>
        <v>85.317583670086009</v>
      </c>
      <c r="D9" s="15">
        <v>1417</v>
      </c>
      <c r="E9" s="14">
        <v>13.59863519</v>
      </c>
      <c r="F9" s="16">
        <v>0.85238767999999998</v>
      </c>
      <c r="G9" s="14">
        <v>86.401364810000004</v>
      </c>
      <c r="H9" s="16">
        <v>0.85238767999999998</v>
      </c>
      <c r="I9" s="14" t="s">
        <v>139</v>
      </c>
      <c r="J9" s="16" t="s">
        <v>139</v>
      </c>
      <c r="K9" s="14">
        <v>0</v>
      </c>
      <c r="L9" s="16">
        <v>0</v>
      </c>
      <c r="M9" s="14">
        <v>0</v>
      </c>
      <c r="N9" s="16">
        <v>0</v>
      </c>
      <c r="O9" s="14">
        <v>0</v>
      </c>
      <c r="P9" s="16">
        <v>0</v>
      </c>
      <c r="Q9" s="14">
        <v>0</v>
      </c>
      <c r="R9" s="16">
        <v>0</v>
      </c>
    </row>
    <row r="10" spans="1:18" x14ac:dyDescent="0.25">
      <c r="A10" s="11" t="s">
        <v>142</v>
      </c>
      <c r="B10" s="13">
        <v>20058</v>
      </c>
      <c r="C10" s="14">
        <f>(16791/B10*100)</f>
        <v>83.71223451989232</v>
      </c>
      <c r="D10" s="15">
        <v>3267</v>
      </c>
      <c r="E10" s="14">
        <v>10.27417661</v>
      </c>
      <c r="F10" s="16">
        <v>0.69097723</v>
      </c>
      <c r="G10" s="14">
        <v>89.725823390000002</v>
      </c>
      <c r="H10" s="16">
        <v>0.69097723</v>
      </c>
      <c r="I10" s="14" t="s">
        <v>139</v>
      </c>
      <c r="J10" s="16" t="s">
        <v>139</v>
      </c>
      <c r="K10" s="14">
        <v>0</v>
      </c>
      <c r="L10" s="16">
        <v>0</v>
      </c>
      <c r="M10" s="14">
        <v>0</v>
      </c>
      <c r="N10" s="16">
        <v>0</v>
      </c>
      <c r="O10" s="14">
        <v>0</v>
      </c>
      <c r="P10" s="16">
        <v>0</v>
      </c>
      <c r="Q10" s="14">
        <v>0</v>
      </c>
      <c r="R10" s="16">
        <v>0</v>
      </c>
    </row>
    <row r="11" spans="1:18" x14ac:dyDescent="0.25">
      <c r="A11" s="11" t="s">
        <v>143</v>
      </c>
      <c r="B11" s="13">
        <v>7053</v>
      </c>
      <c r="C11" s="14">
        <f>(6000/B11*100)</f>
        <v>85.070182900893229</v>
      </c>
      <c r="D11" s="15">
        <v>1053</v>
      </c>
      <c r="E11" s="14">
        <v>9.7332673500000002</v>
      </c>
      <c r="F11" s="16">
        <v>0.96230347999999999</v>
      </c>
      <c r="G11" s="14">
        <v>90.266732649999994</v>
      </c>
      <c r="H11" s="16">
        <v>0.96230347999999999</v>
      </c>
      <c r="I11" s="14" t="s">
        <v>139</v>
      </c>
      <c r="J11" s="16" t="s">
        <v>139</v>
      </c>
      <c r="K11" s="14">
        <v>0</v>
      </c>
      <c r="L11" s="16">
        <v>0</v>
      </c>
      <c r="M11" s="14">
        <v>0</v>
      </c>
      <c r="N11" s="16">
        <v>0</v>
      </c>
      <c r="O11" s="14">
        <v>0</v>
      </c>
      <c r="P11" s="16">
        <v>0</v>
      </c>
      <c r="Q11" s="14">
        <v>0</v>
      </c>
      <c r="R11" s="16">
        <v>0</v>
      </c>
    </row>
    <row r="12" spans="1:18" x14ac:dyDescent="0.25">
      <c r="A12" s="11" t="s">
        <v>144</v>
      </c>
      <c r="B12" s="13">
        <v>6894</v>
      </c>
      <c r="C12" s="14">
        <f>(5829/B12*100)</f>
        <v>84.551784160139249</v>
      </c>
      <c r="D12" s="15">
        <v>1065</v>
      </c>
      <c r="E12" s="14">
        <v>9.7623687399999994</v>
      </c>
      <c r="F12" s="16">
        <v>1.02873532</v>
      </c>
      <c r="G12" s="14">
        <v>90.237631260000001</v>
      </c>
      <c r="H12" s="16">
        <v>1.02873532</v>
      </c>
      <c r="I12" s="14" t="s">
        <v>139</v>
      </c>
      <c r="J12" s="16" t="s">
        <v>139</v>
      </c>
      <c r="K12" s="14">
        <v>0</v>
      </c>
      <c r="L12" s="16">
        <v>0</v>
      </c>
      <c r="M12" s="14">
        <v>0</v>
      </c>
      <c r="N12" s="16">
        <v>0</v>
      </c>
      <c r="O12" s="14">
        <v>0</v>
      </c>
      <c r="P12" s="16">
        <v>0</v>
      </c>
      <c r="Q12" s="14">
        <v>0</v>
      </c>
      <c r="R12" s="16">
        <v>0</v>
      </c>
    </row>
    <row r="13" spans="1:18" x14ac:dyDescent="0.25">
      <c r="A13" s="11" t="s">
        <v>145</v>
      </c>
      <c r="B13" s="13">
        <v>7161</v>
      </c>
      <c r="C13" s="14">
        <f>(6103/B13*100)</f>
        <v>85.22552716101103</v>
      </c>
      <c r="D13" s="15">
        <v>1058</v>
      </c>
      <c r="E13" s="14">
        <v>8.7653702100000004</v>
      </c>
      <c r="F13" s="16">
        <v>1.0115303600000001</v>
      </c>
      <c r="G13" s="14">
        <v>91.23462979</v>
      </c>
      <c r="H13" s="16">
        <v>1.0115303600000001</v>
      </c>
      <c r="I13" s="14" t="s">
        <v>139</v>
      </c>
      <c r="J13" s="16" t="s">
        <v>139</v>
      </c>
      <c r="K13" s="14">
        <v>0</v>
      </c>
      <c r="L13" s="16">
        <v>0</v>
      </c>
      <c r="M13" s="14">
        <v>0</v>
      </c>
      <c r="N13" s="16">
        <v>0</v>
      </c>
      <c r="O13" s="14">
        <v>0</v>
      </c>
      <c r="P13" s="16">
        <v>0</v>
      </c>
      <c r="Q13" s="14">
        <v>0</v>
      </c>
      <c r="R13" s="16">
        <v>0</v>
      </c>
    </row>
    <row r="14" spans="1:18" x14ac:dyDescent="0.25">
      <c r="A14" s="11" t="s">
        <v>146</v>
      </c>
      <c r="B14" s="13">
        <v>5587</v>
      </c>
      <c r="C14" s="14">
        <f>(4677/B14*100)</f>
        <v>83.712189010202252</v>
      </c>
      <c r="D14" s="15">
        <v>910</v>
      </c>
      <c r="E14" s="14">
        <v>9.6760412099999993</v>
      </c>
      <c r="F14" s="16">
        <v>0.9852689</v>
      </c>
      <c r="G14" s="14">
        <v>90.323958790000006</v>
      </c>
      <c r="H14" s="16">
        <v>0.9852689</v>
      </c>
      <c r="I14" s="14" t="s">
        <v>139</v>
      </c>
      <c r="J14" s="16" t="s">
        <v>139</v>
      </c>
      <c r="K14" s="14">
        <v>0</v>
      </c>
      <c r="L14" s="16">
        <v>0</v>
      </c>
      <c r="M14" s="14">
        <v>0</v>
      </c>
      <c r="N14" s="16">
        <v>0</v>
      </c>
      <c r="O14" s="14">
        <v>0</v>
      </c>
      <c r="P14" s="16">
        <v>0</v>
      </c>
      <c r="Q14" s="14">
        <v>0</v>
      </c>
      <c r="R14" s="16">
        <v>0</v>
      </c>
    </row>
    <row r="15" spans="1:18" x14ac:dyDescent="0.25">
      <c r="A15" s="11" t="s">
        <v>147</v>
      </c>
      <c r="B15" s="13">
        <v>5882</v>
      </c>
      <c r="C15" s="14">
        <f>(4928/B15*100)</f>
        <v>83.781026861611693</v>
      </c>
      <c r="D15" s="15">
        <v>954</v>
      </c>
      <c r="E15" s="14">
        <v>7.4404194700000001</v>
      </c>
      <c r="F15" s="16">
        <v>0.90722572000000001</v>
      </c>
      <c r="G15" s="14">
        <v>92.559580530000005</v>
      </c>
      <c r="H15" s="16">
        <v>0.90722572000000001</v>
      </c>
      <c r="I15" s="14" t="s">
        <v>139</v>
      </c>
      <c r="J15" s="16" t="s">
        <v>139</v>
      </c>
      <c r="K15" s="14">
        <v>0</v>
      </c>
      <c r="L15" s="16">
        <v>0</v>
      </c>
      <c r="M15" s="14">
        <v>0</v>
      </c>
      <c r="N15" s="16">
        <v>0</v>
      </c>
      <c r="O15" s="14">
        <v>0</v>
      </c>
      <c r="P15" s="16">
        <v>0</v>
      </c>
      <c r="Q15" s="14">
        <v>0</v>
      </c>
      <c r="R15" s="16">
        <v>0</v>
      </c>
    </row>
    <row r="16" spans="1:18" x14ac:dyDescent="0.25">
      <c r="A16" s="11" t="s">
        <v>148</v>
      </c>
      <c r="B16" s="13">
        <v>6108</v>
      </c>
      <c r="C16" s="14">
        <f>(5161/B16*100)</f>
        <v>84.495743287491806</v>
      </c>
      <c r="D16" s="15">
        <v>947</v>
      </c>
      <c r="E16" s="14">
        <v>15.24580379</v>
      </c>
      <c r="F16" s="16">
        <v>1.2421704600000001</v>
      </c>
      <c r="G16" s="14">
        <v>84.754196210000003</v>
      </c>
      <c r="H16" s="16">
        <v>1.2421704600000001</v>
      </c>
      <c r="I16" s="14" t="s">
        <v>139</v>
      </c>
      <c r="J16" s="16" t="s">
        <v>139</v>
      </c>
      <c r="K16" s="14">
        <v>0</v>
      </c>
      <c r="L16" s="16">
        <v>0</v>
      </c>
      <c r="M16" s="14">
        <v>0</v>
      </c>
      <c r="N16" s="16">
        <v>0</v>
      </c>
      <c r="O16" s="14">
        <v>0</v>
      </c>
      <c r="P16" s="16">
        <v>0</v>
      </c>
      <c r="Q16" s="14">
        <v>0</v>
      </c>
      <c r="R16" s="16">
        <v>0</v>
      </c>
    </row>
    <row r="17" spans="1:18" x14ac:dyDescent="0.25">
      <c r="A17" s="11" t="s">
        <v>149</v>
      </c>
      <c r="B17" s="13">
        <v>6504</v>
      </c>
      <c r="C17" s="14">
        <f>(5506/B17*100)</f>
        <v>84.655596555965559</v>
      </c>
      <c r="D17" s="15">
        <v>998</v>
      </c>
      <c r="E17" s="14">
        <v>11.580233789999999</v>
      </c>
      <c r="F17" s="16">
        <v>0.95361571000000001</v>
      </c>
      <c r="G17" s="14">
        <v>88.419766210000006</v>
      </c>
      <c r="H17" s="16">
        <v>0.95361571000000001</v>
      </c>
      <c r="I17" s="14" t="s">
        <v>139</v>
      </c>
      <c r="J17" s="16" t="s">
        <v>139</v>
      </c>
      <c r="K17" s="14">
        <v>0</v>
      </c>
      <c r="L17" s="16">
        <v>0</v>
      </c>
      <c r="M17" s="14">
        <v>0</v>
      </c>
      <c r="N17" s="16">
        <v>0</v>
      </c>
      <c r="O17" s="14">
        <v>0</v>
      </c>
      <c r="P17" s="16">
        <v>0</v>
      </c>
      <c r="Q17" s="14">
        <v>0</v>
      </c>
      <c r="R17" s="16">
        <v>0</v>
      </c>
    </row>
    <row r="18" spans="1:18" x14ac:dyDescent="0.25">
      <c r="A18" s="11" t="s">
        <v>150</v>
      </c>
      <c r="B18" s="13">
        <v>5532</v>
      </c>
      <c r="C18" s="14">
        <f>(4616/B18*100)</f>
        <v>83.44179320318149</v>
      </c>
      <c r="D18" s="15">
        <v>916</v>
      </c>
      <c r="E18" s="14">
        <v>9.9951022399999996</v>
      </c>
      <c r="F18" s="16">
        <v>1.09783057</v>
      </c>
      <c r="G18" s="14">
        <v>90.004897760000006</v>
      </c>
      <c r="H18" s="16">
        <v>1.09783057</v>
      </c>
      <c r="I18" s="14" t="s">
        <v>139</v>
      </c>
      <c r="J18" s="16" t="s">
        <v>139</v>
      </c>
      <c r="K18" s="14">
        <v>0</v>
      </c>
      <c r="L18" s="16">
        <v>0</v>
      </c>
      <c r="M18" s="14">
        <v>0</v>
      </c>
      <c r="N18" s="16">
        <v>0</v>
      </c>
      <c r="O18" s="14">
        <v>0</v>
      </c>
      <c r="P18" s="16">
        <v>0</v>
      </c>
      <c r="Q18" s="14">
        <v>0</v>
      </c>
      <c r="R18" s="16">
        <v>0</v>
      </c>
    </row>
    <row r="19" spans="1:18" x14ac:dyDescent="0.25">
      <c r="A19" s="11" t="s">
        <v>151</v>
      </c>
      <c r="B19" s="13">
        <v>5658</v>
      </c>
      <c r="C19" s="14">
        <f>(4798/B19*100)</f>
        <v>84.800282785436551</v>
      </c>
      <c r="D19" s="15">
        <v>860</v>
      </c>
      <c r="E19" s="14">
        <v>14.20393668</v>
      </c>
      <c r="F19" s="16">
        <v>1.2911914600000001</v>
      </c>
      <c r="G19" s="14">
        <v>85.796063320000002</v>
      </c>
      <c r="H19" s="16">
        <v>1.2911914600000001</v>
      </c>
      <c r="I19" s="14" t="s">
        <v>139</v>
      </c>
      <c r="J19" s="16" t="s">
        <v>139</v>
      </c>
      <c r="K19" s="14">
        <v>0</v>
      </c>
      <c r="L19" s="16">
        <v>0</v>
      </c>
      <c r="M19" s="14">
        <v>0</v>
      </c>
      <c r="N19" s="16">
        <v>0</v>
      </c>
      <c r="O19" s="14">
        <v>0</v>
      </c>
      <c r="P19" s="16">
        <v>0</v>
      </c>
      <c r="Q19" s="14">
        <v>0</v>
      </c>
      <c r="R19" s="16">
        <v>0</v>
      </c>
    </row>
    <row r="20" spans="1:18" x14ac:dyDescent="0.25">
      <c r="A20" s="11" t="s">
        <v>152</v>
      </c>
      <c r="B20" s="13">
        <v>3371</v>
      </c>
      <c r="C20" s="14">
        <f>(2844/B20*100)</f>
        <v>84.366656778404035</v>
      </c>
      <c r="D20" s="15">
        <v>527</v>
      </c>
      <c r="E20" s="14">
        <v>12.565739649999999</v>
      </c>
      <c r="F20" s="16">
        <v>1.7448644600000001</v>
      </c>
      <c r="G20" s="14">
        <v>87.434260350000002</v>
      </c>
      <c r="H20" s="16">
        <v>1.7448644600000001</v>
      </c>
      <c r="I20" s="14" t="s">
        <v>139</v>
      </c>
      <c r="J20" s="16" t="s">
        <v>139</v>
      </c>
      <c r="K20" s="14">
        <v>0</v>
      </c>
      <c r="L20" s="16">
        <v>0</v>
      </c>
      <c r="M20" s="14">
        <v>0</v>
      </c>
      <c r="N20" s="16">
        <v>0</v>
      </c>
      <c r="O20" s="14">
        <v>0</v>
      </c>
      <c r="P20" s="16">
        <v>0</v>
      </c>
      <c r="Q20" s="14">
        <v>0</v>
      </c>
      <c r="R20" s="16">
        <v>0</v>
      </c>
    </row>
    <row r="21" spans="1:18" x14ac:dyDescent="0.25">
      <c r="A21" s="11" t="s">
        <v>153</v>
      </c>
      <c r="B21" s="17" t="s">
        <v>154</v>
      </c>
      <c r="C21" s="17" t="s">
        <v>154</v>
      </c>
      <c r="D21" s="18" t="s">
        <v>154</v>
      </c>
      <c r="E21" s="17" t="s">
        <v>154</v>
      </c>
      <c r="F21" s="18" t="s">
        <v>154</v>
      </c>
      <c r="G21" s="17" t="s">
        <v>154</v>
      </c>
      <c r="H21" s="18" t="s">
        <v>154</v>
      </c>
      <c r="I21" s="17" t="s">
        <v>154</v>
      </c>
      <c r="J21" s="18" t="s">
        <v>154</v>
      </c>
      <c r="K21" s="17" t="s">
        <v>154</v>
      </c>
      <c r="L21" s="18" t="s">
        <v>154</v>
      </c>
      <c r="M21" s="17" t="s">
        <v>154</v>
      </c>
      <c r="N21" s="18" t="s">
        <v>154</v>
      </c>
      <c r="O21" s="17" t="s">
        <v>154</v>
      </c>
      <c r="P21" s="18" t="s">
        <v>154</v>
      </c>
      <c r="Q21" s="17" t="s">
        <v>154</v>
      </c>
      <c r="R21" s="18" t="s">
        <v>154</v>
      </c>
    </row>
    <row r="22" spans="1:18" x14ac:dyDescent="0.25">
      <c r="A22" s="11" t="s">
        <v>155</v>
      </c>
      <c r="B22" s="13">
        <v>6598</v>
      </c>
      <c r="C22" s="14">
        <f>(5643/B22*100)</f>
        <v>85.525916944528646</v>
      </c>
      <c r="D22" s="15">
        <v>955</v>
      </c>
      <c r="E22" s="14">
        <v>13.30420421</v>
      </c>
      <c r="F22" s="16">
        <v>1.2641145499999999</v>
      </c>
      <c r="G22" s="14">
        <v>86.695795790000005</v>
      </c>
      <c r="H22" s="16">
        <v>1.2641145499999999</v>
      </c>
      <c r="I22" s="14" t="s">
        <v>139</v>
      </c>
      <c r="J22" s="16" t="s">
        <v>139</v>
      </c>
      <c r="K22" s="14">
        <v>0</v>
      </c>
      <c r="L22" s="16">
        <v>0</v>
      </c>
      <c r="M22" s="14">
        <v>0</v>
      </c>
      <c r="N22" s="16">
        <v>0</v>
      </c>
      <c r="O22" s="14">
        <v>0</v>
      </c>
      <c r="P22" s="16">
        <v>0</v>
      </c>
      <c r="Q22" s="14">
        <v>0</v>
      </c>
      <c r="R22" s="16">
        <v>0</v>
      </c>
    </row>
    <row r="23" spans="1:18" x14ac:dyDescent="0.25">
      <c r="A23" s="11" t="s">
        <v>156</v>
      </c>
      <c r="B23" s="13">
        <v>11583</v>
      </c>
      <c r="C23" s="14">
        <f>(9693/B23*100)</f>
        <v>83.682983682983675</v>
      </c>
      <c r="D23" s="15">
        <v>1890</v>
      </c>
      <c r="E23" s="14">
        <v>12.180329929999999</v>
      </c>
      <c r="F23" s="16">
        <v>1.1506590299999999</v>
      </c>
      <c r="G23" s="14">
        <v>87.819670070000001</v>
      </c>
      <c r="H23" s="16">
        <v>1.1506590299999999</v>
      </c>
      <c r="I23" s="14" t="s">
        <v>139</v>
      </c>
      <c r="J23" s="16" t="s">
        <v>139</v>
      </c>
      <c r="K23" s="14">
        <v>0</v>
      </c>
      <c r="L23" s="16">
        <v>0</v>
      </c>
      <c r="M23" s="14">
        <v>0</v>
      </c>
      <c r="N23" s="16">
        <v>0</v>
      </c>
      <c r="O23" s="14">
        <v>0</v>
      </c>
      <c r="P23" s="16">
        <v>0</v>
      </c>
      <c r="Q23" s="14">
        <v>0</v>
      </c>
      <c r="R23" s="16">
        <v>0</v>
      </c>
    </row>
    <row r="24" spans="1:18" x14ac:dyDescent="0.25">
      <c r="A24" s="11" t="s">
        <v>157</v>
      </c>
      <c r="B24" s="13">
        <v>6647</v>
      </c>
      <c r="C24" s="14">
        <f>(5552/B24*100)</f>
        <v>83.526402888521133</v>
      </c>
      <c r="D24" s="15">
        <v>1095</v>
      </c>
      <c r="E24" s="14">
        <v>7.1520633399999998</v>
      </c>
      <c r="F24" s="16">
        <v>0.87055830000000001</v>
      </c>
      <c r="G24" s="14">
        <v>92.847936660000002</v>
      </c>
      <c r="H24" s="16">
        <v>0.87055830000000001</v>
      </c>
      <c r="I24" s="14" t="s">
        <v>139</v>
      </c>
      <c r="J24" s="16" t="s">
        <v>139</v>
      </c>
      <c r="K24" s="14">
        <v>0</v>
      </c>
      <c r="L24" s="16">
        <v>0</v>
      </c>
      <c r="M24" s="14">
        <v>0</v>
      </c>
      <c r="N24" s="16">
        <v>0</v>
      </c>
      <c r="O24" s="14">
        <v>0</v>
      </c>
      <c r="P24" s="16">
        <v>0</v>
      </c>
      <c r="Q24" s="14">
        <v>0</v>
      </c>
      <c r="R24" s="16">
        <v>0</v>
      </c>
    </row>
    <row r="25" spans="1:18" x14ac:dyDescent="0.25">
      <c r="A25" s="11" t="s">
        <v>158</v>
      </c>
      <c r="B25" s="13">
        <v>5581</v>
      </c>
      <c r="C25" s="14">
        <f>(4623/B25*100)</f>
        <v>82.834617452069523</v>
      </c>
      <c r="D25" s="15">
        <v>958</v>
      </c>
      <c r="E25" s="14">
        <v>6.1316747600000001</v>
      </c>
      <c r="F25" s="16">
        <v>0.77999724000000004</v>
      </c>
      <c r="G25" s="14">
        <v>93.868325240000004</v>
      </c>
      <c r="H25" s="16">
        <v>0.77999724000000004</v>
      </c>
      <c r="I25" s="14" t="s">
        <v>139</v>
      </c>
      <c r="J25" s="16" t="s">
        <v>139</v>
      </c>
      <c r="K25" s="14">
        <v>0</v>
      </c>
      <c r="L25" s="16">
        <v>0</v>
      </c>
      <c r="M25" s="14">
        <v>0</v>
      </c>
      <c r="N25" s="16">
        <v>0</v>
      </c>
      <c r="O25" s="14">
        <v>0</v>
      </c>
      <c r="P25" s="16">
        <v>0</v>
      </c>
      <c r="Q25" s="14">
        <v>0</v>
      </c>
      <c r="R25" s="16">
        <v>0</v>
      </c>
    </row>
    <row r="26" spans="1:18" x14ac:dyDescent="0.25">
      <c r="A26" s="11" t="s">
        <v>159</v>
      </c>
      <c r="B26" s="13">
        <v>4869</v>
      </c>
      <c r="C26" s="14">
        <f>(4068/B26*100)</f>
        <v>83.548983364140483</v>
      </c>
      <c r="D26" s="15">
        <v>801</v>
      </c>
      <c r="E26" s="14">
        <v>9.8903542099999999</v>
      </c>
      <c r="F26" s="16">
        <v>0.97951109000000003</v>
      </c>
      <c r="G26" s="14">
        <v>90.109645790000002</v>
      </c>
      <c r="H26" s="16">
        <v>0.97951109000000003</v>
      </c>
      <c r="I26" s="14" t="s">
        <v>139</v>
      </c>
      <c r="J26" s="16" t="s">
        <v>139</v>
      </c>
      <c r="K26" s="14">
        <v>0</v>
      </c>
      <c r="L26" s="16">
        <v>0</v>
      </c>
      <c r="M26" s="14">
        <v>0</v>
      </c>
      <c r="N26" s="16">
        <v>0</v>
      </c>
      <c r="O26" s="14">
        <v>0</v>
      </c>
      <c r="P26" s="16">
        <v>0</v>
      </c>
      <c r="Q26" s="14">
        <v>0</v>
      </c>
      <c r="R26" s="16">
        <v>0</v>
      </c>
    </row>
    <row r="27" spans="1:18" x14ac:dyDescent="0.25">
      <c r="A27" s="11" t="s">
        <v>160</v>
      </c>
      <c r="B27" s="13">
        <v>5299</v>
      </c>
      <c r="C27" s="14">
        <f>(4502/B27*100)</f>
        <v>84.959426306850347</v>
      </c>
      <c r="D27" s="15">
        <v>797</v>
      </c>
      <c r="E27" s="14">
        <v>13.696914380000001</v>
      </c>
      <c r="F27" s="16">
        <v>1.22048475</v>
      </c>
      <c r="G27" s="14">
        <v>86.303085620000004</v>
      </c>
      <c r="H27" s="16">
        <v>1.22048475</v>
      </c>
      <c r="I27" s="14" t="s">
        <v>139</v>
      </c>
      <c r="J27" s="16" t="s">
        <v>139</v>
      </c>
      <c r="K27" s="14">
        <v>0</v>
      </c>
      <c r="L27" s="16">
        <v>0</v>
      </c>
      <c r="M27" s="14">
        <v>0</v>
      </c>
      <c r="N27" s="16">
        <v>0</v>
      </c>
      <c r="O27" s="14">
        <v>0</v>
      </c>
      <c r="P27" s="16">
        <v>0</v>
      </c>
      <c r="Q27" s="14">
        <v>0</v>
      </c>
      <c r="R27" s="16">
        <v>0</v>
      </c>
    </row>
    <row r="28" spans="1:18" x14ac:dyDescent="0.25">
      <c r="A28" s="11" t="s">
        <v>161</v>
      </c>
      <c r="B28" s="13">
        <v>7568</v>
      </c>
      <c r="C28" s="14">
        <f>(6518/B28*100)</f>
        <v>86.125792811839318</v>
      </c>
      <c r="D28" s="15">
        <v>1050</v>
      </c>
      <c r="E28" s="14">
        <v>14.96205365</v>
      </c>
      <c r="F28" s="16">
        <v>1.3174010899999999</v>
      </c>
      <c r="G28" s="14">
        <v>85.037946349999999</v>
      </c>
      <c r="H28" s="16">
        <v>1.3174010899999999</v>
      </c>
      <c r="I28" s="14" t="s">
        <v>139</v>
      </c>
      <c r="J28" s="16" t="s">
        <v>139</v>
      </c>
      <c r="K28" s="14">
        <v>0</v>
      </c>
      <c r="L28" s="16">
        <v>0</v>
      </c>
      <c r="M28" s="14">
        <v>0</v>
      </c>
      <c r="N28" s="16">
        <v>0</v>
      </c>
      <c r="O28" s="14">
        <v>0</v>
      </c>
      <c r="P28" s="16">
        <v>0</v>
      </c>
      <c r="Q28" s="14">
        <v>0</v>
      </c>
      <c r="R28" s="16">
        <v>0</v>
      </c>
    </row>
    <row r="29" spans="1:18" x14ac:dyDescent="0.25">
      <c r="A29" s="11" t="s">
        <v>162</v>
      </c>
      <c r="B29" s="13">
        <v>5385</v>
      </c>
      <c r="C29" s="14">
        <f>(4502/B29*100)</f>
        <v>83.602599814298983</v>
      </c>
      <c r="D29" s="15">
        <v>883</v>
      </c>
      <c r="E29" s="14">
        <v>10.008618780000001</v>
      </c>
      <c r="F29" s="16">
        <v>1.07061523</v>
      </c>
      <c r="G29" s="14">
        <v>89.991381219999994</v>
      </c>
      <c r="H29" s="16">
        <v>1.07061523</v>
      </c>
      <c r="I29" s="14" t="s">
        <v>139</v>
      </c>
      <c r="J29" s="16" t="s">
        <v>139</v>
      </c>
      <c r="K29" s="14">
        <v>0</v>
      </c>
      <c r="L29" s="16">
        <v>0</v>
      </c>
      <c r="M29" s="14">
        <v>0</v>
      </c>
      <c r="N29" s="16">
        <v>0</v>
      </c>
      <c r="O29" s="14">
        <v>0</v>
      </c>
      <c r="P29" s="16">
        <v>0</v>
      </c>
      <c r="Q29" s="14">
        <v>0</v>
      </c>
      <c r="R29" s="16">
        <v>0</v>
      </c>
    </row>
    <row r="30" spans="1:18" x14ac:dyDescent="0.25">
      <c r="A30" s="11" t="s">
        <v>163</v>
      </c>
      <c r="B30" s="13">
        <v>4520</v>
      </c>
      <c r="C30" s="14">
        <f>(3869/B30*100)</f>
        <v>85.597345132743357</v>
      </c>
      <c r="D30" s="15">
        <v>651</v>
      </c>
      <c r="E30" s="14">
        <v>12.759334429999999</v>
      </c>
      <c r="F30" s="16">
        <v>1.21017866</v>
      </c>
      <c r="G30" s="14">
        <v>87.240665570000004</v>
      </c>
      <c r="H30" s="16">
        <v>1.21017866</v>
      </c>
      <c r="I30" s="14" t="s">
        <v>139</v>
      </c>
      <c r="J30" s="16" t="s">
        <v>139</v>
      </c>
      <c r="K30" s="14">
        <v>0</v>
      </c>
      <c r="L30" s="16">
        <v>0</v>
      </c>
      <c r="M30" s="14">
        <v>0</v>
      </c>
      <c r="N30" s="16">
        <v>0</v>
      </c>
      <c r="O30" s="14">
        <v>0</v>
      </c>
      <c r="P30" s="16">
        <v>0</v>
      </c>
      <c r="Q30" s="14">
        <v>0</v>
      </c>
      <c r="R30" s="16">
        <v>0</v>
      </c>
    </row>
    <row r="31" spans="1:18" x14ac:dyDescent="0.25">
      <c r="A31" s="11" t="s">
        <v>164</v>
      </c>
      <c r="B31" s="13">
        <v>5456</v>
      </c>
      <c r="C31" s="14">
        <f>(4597/B31*100)</f>
        <v>84.255865102639291</v>
      </c>
      <c r="D31" s="15">
        <v>859</v>
      </c>
      <c r="E31" s="14">
        <v>14.390577479999999</v>
      </c>
      <c r="F31" s="16">
        <v>1.21220269</v>
      </c>
      <c r="G31" s="14">
        <v>85.609422519999995</v>
      </c>
      <c r="H31" s="16">
        <v>1.21220269</v>
      </c>
      <c r="I31" s="14" t="s">
        <v>139</v>
      </c>
      <c r="J31" s="16" t="s">
        <v>139</v>
      </c>
      <c r="K31" s="14">
        <v>0</v>
      </c>
      <c r="L31" s="16">
        <v>0</v>
      </c>
      <c r="M31" s="14">
        <v>0</v>
      </c>
      <c r="N31" s="16">
        <v>0</v>
      </c>
      <c r="O31" s="14">
        <v>0</v>
      </c>
      <c r="P31" s="16">
        <v>0</v>
      </c>
      <c r="Q31" s="14">
        <v>0</v>
      </c>
      <c r="R31" s="16">
        <v>0</v>
      </c>
    </row>
    <row r="32" spans="1:18" x14ac:dyDescent="0.25">
      <c r="A32" s="11" t="s">
        <v>165</v>
      </c>
      <c r="B32" s="17" t="s">
        <v>154</v>
      </c>
      <c r="C32" s="17" t="s">
        <v>154</v>
      </c>
      <c r="D32" s="18" t="s">
        <v>154</v>
      </c>
      <c r="E32" s="17" t="s">
        <v>154</v>
      </c>
      <c r="F32" s="18" t="s">
        <v>154</v>
      </c>
      <c r="G32" s="17" t="s">
        <v>154</v>
      </c>
      <c r="H32" s="18" t="s">
        <v>154</v>
      </c>
      <c r="I32" s="17" t="s">
        <v>154</v>
      </c>
      <c r="J32" s="18" t="s">
        <v>154</v>
      </c>
      <c r="K32" s="17" t="s">
        <v>154</v>
      </c>
      <c r="L32" s="18" t="s">
        <v>154</v>
      </c>
      <c r="M32" s="17" t="s">
        <v>154</v>
      </c>
      <c r="N32" s="18" t="s">
        <v>154</v>
      </c>
      <c r="O32" s="17" t="s">
        <v>154</v>
      </c>
      <c r="P32" s="18" t="s">
        <v>154</v>
      </c>
      <c r="Q32" s="17" t="s">
        <v>154</v>
      </c>
      <c r="R32" s="18" t="s">
        <v>154</v>
      </c>
    </row>
    <row r="33" spans="1:18" x14ac:dyDescent="0.25">
      <c r="A33" s="11" t="s">
        <v>166</v>
      </c>
      <c r="B33" s="13">
        <v>7325</v>
      </c>
      <c r="C33" s="14">
        <f>(6246/B33*100)</f>
        <v>85.269624573378849</v>
      </c>
      <c r="D33" s="15">
        <v>1079</v>
      </c>
      <c r="E33" s="14">
        <v>12.046873489999999</v>
      </c>
      <c r="F33" s="16">
        <v>1.0197856199999999</v>
      </c>
      <c r="G33" s="14">
        <v>87.953126510000004</v>
      </c>
      <c r="H33" s="16">
        <v>1.0197856199999999</v>
      </c>
      <c r="I33" s="14" t="s">
        <v>139</v>
      </c>
      <c r="J33" s="16" t="s">
        <v>139</v>
      </c>
      <c r="K33" s="14">
        <v>0</v>
      </c>
      <c r="L33" s="16">
        <v>0</v>
      </c>
      <c r="M33" s="14">
        <v>0</v>
      </c>
      <c r="N33" s="16">
        <v>0</v>
      </c>
      <c r="O33" s="14">
        <v>0</v>
      </c>
      <c r="P33" s="16">
        <v>0</v>
      </c>
      <c r="Q33" s="14">
        <v>0</v>
      </c>
      <c r="R33" s="16">
        <v>0</v>
      </c>
    </row>
    <row r="34" spans="1:18" x14ac:dyDescent="0.25">
      <c r="A34" s="11" t="s">
        <v>167</v>
      </c>
      <c r="B34" s="13">
        <v>6350</v>
      </c>
      <c r="C34" s="14">
        <f>(5413/B34*100)</f>
        <v>85.244094488188978</v>
      </c>
      <c r="D34" s="15">
        <v>937</v>
      </c>
      <c r="E34" s="14">
        <v>14.298640450000001</v>
      </c>
      <c r="F34" s="16">
        <v>1.1814651</v>
      </c>
      <c r="G34" s="14">
        <v>85.701359550000006</v>
      </c>
      <c r="H34" s="16">
        <v>1.1814651</v>
      </c>
      <c r="I34" s="14" t="s">
        <v>139</v>
      </c>
      <c r="J34" s="16" t="s">
        <v>139</v>
      </c>
      <c r="K34" s="14">
        <v>0</v>
      </c>
      <c r="L34" s="16">
        <v>0</v>
      </c>
      <c r="M34" s="14">
        <v>0</v>
      </c>
      <c r="N34" s="16">
        <v>0</v>
      </c>
      <c r="O34" s="14">
        <v>0</v>
      </c>
      <c r="P34" s="16">
        <v>0</v>
      </c>
      <c r="Q34" s="14">
        <v>0</v>
      </c>
      <c r="R34" s="16">
        <v>0</v>
      </c>
    </row>
    <row r="35" spans="1:18" x14ac:dyDescent="0.25">
      <c r="A35" s="11" t="s">
        <v>168</v>
      </c>
      <c r="B35" s="13">
        <v>6406</v>
      </c>
      <c r="C35" s="14">
        <f>(5386/B35*100)</f>
        <v>84.077427411801438</v>
      </c>
      <c r="D35" s="15">
        <v>1020</v>
      </c>
      <c r="E35" s="14">
        <v>7.1136822100000003</v>
      </c>
      <c r="F35" s="16">
        <v>0.88866438000000003</v>
      </c>
      <c r="G35" s="14">
        <v>92.886317790000007</v>
      </c>
      <c r="H35" s="16">
        <v>0.88866438000000003</v>
      </c>
      <c r="I35" s="14" t="s">
        <v>139</v>
      </c>
      <c r="J35" s="16" t="s">
        <v>139</v>
      </c>
      <c r="K35" s="14">
        <v>0</v>
      </c>
      <c r="L35" s="16">
        <v>0</v>
      </c>
      <c r="M35" s="14">
        <v>0</v>
      </c>
      <c r="N35" s="16">
        <v>0</v>
      </c>
      <c r="O35" s="14">
        <v>0</v>
      </c>
      <c r="P35" s="16">
        <v>0</v>
      </c>
      <c r="Q35" s="14">
        <v>0</v>
      </c>
      <c r="R35" s="16">
        <v>0</v>
      </c>
    </row>
    <row r="36" spans="1:18" x14ac:dyDescent="0.25">
      <c r="A36" s="11" t="s">
        <v>169</v>
      </c>
      <c r="B36" s="13">
        <v>6736</v>
      </c>
      <c r="C36" s="14">
        <f>(5713/B36*100)</f>
        <v>84.812945368171029</v>
      </c>
      <c r="D36" s="15">
        <v>1023</v>
      </c>
      <c r="E36" s="14">
        <v>9.3345550100000008</v>
      </c>
      <c r="F36" s="16">
        <v>0.99914175999999999</v>
      </c>
      <c r="G36" s="14">
        <v>90.665444989999997</v>
      </c>
      <c r="H36" s="16">
        <v>0.99914175999999999</v>
      </c>
      <c r="I36" s="14" t="s">
        <v>139</v>
      </c>
      <c r="J36" s="16" t="s">
        <v>139</v>
      </c>
      <c r="K36" s="14">
        <v>0</v>
      </c>
      <c r="L36" s="16">
        <v>0</v>
      </c>
      <c r="M36" s="14">
        <v>0</v>
      </c>
      <c r="N36" s="16">
        <v>0</v>
      </c>
      <c r="O36" s="14">
        <v>0</v>
      </c>
      <c r="P36" s="16">
        <v>0</v>
      </c>
      <c r="Q36" s="14">
        <v>0</v>
      </c>
      <c r="R36" s="16">
        <v>0</v>
      </c>
    </row>
    <row r="37" spans="1:18" x14ac:dyDescent="0.25">
      <c r="A37" s="11" t="s">
        <v>170</v>
      </c>
      <c r="B37" s="13">
        <v>5458</v>
      </c>
      <c r="C37" s="14">
        <f>(4658/B37*100)</f>
        <v>85.34261634298278</v>
      </c>
      <c r="D37" s="15">
        <v>800</v>
      </c>
      <c r="E37" s="14">
        <v>14.63683726</v>
      </c>
      <c r="F37" s="16">
        <v>1.21626265</v>
      </c>
      <c r="G37" s="14">
        <v>85.363162740000007</v>
      </c>
      <c r="H37" s="16">
        <v>1.21626265</v>
      </c>
      <c r="I37" s="14" t="s">
        <v>139</v>
      </c>
      <c r="J37" s="16" t="s">
        <v>139</v>
      </c>
      <c r="K37" s="14">
        <v>0</v>
      </c>
      <c r="L37" s="16">
        <v>0</v>
      </c>
      <c r="M37" s="14">
        <v>0</v>
      </c>
      <c r="N37" s="16">
        <v>0</v>
      </c>
      <c r="O37" s="14">
        <v>0</v>
      </c>
      <c r="P37" s="16">
        <v>0</v>
      </c>
      <c r="Q37" s="14">
        <v>0</v>
      </c>
      <c r="R37" s="16">
        <v>0</v>
      </c>
    </row>
    <row r="38" spans="1:18" x14ac:dyDescent="0.25">
      <c r="A38" s="11" t="s">
        <v>171</v>
      </c>
      <c r="B38" s="17" t="s">
        <v>154</v>
      </c>
      <c r="C38" s="17" t="s">
        <v>154</v>
      </c>
      <c r="D38" s="18" t="s">
        <v>154</v>
      </c>
      <c r="E38" s="17" t="s">
        <v>154</v>
      </c>
      <c r="F38" s="18" t="s">
        <v>154</v>
      </c>
      <c r="G38" s="17" t="s">
        <v>154</v>
      </c>
      <c r="H38" s="18" t="s">
        <v>154</v>
      </c>
      <c r="I38" s="17" t="s">
        <v>154</v>
      </c>
      <c r="J38" s="18" t="s">
        <v>154</v>
      </c>
      <c r="K38" s="17" t="s">
        <v>154</v>
      </c>
      <c r="L38" s="18" t="s">
        <v>154</v>
      </c>
      <c r="M38" s="17" t="s">
        <v>154</v>
      </c>
      <c r="N38" s="18" t="s">
        <v>154</v>
      </c>
      <c r="O38" s="17" t="s">
        <v>154</v>
      </c>
      <c r="P38" s="18" t="s">
        <v>154</v>
      </c>
      <c r="Q38" s="17" t="s">
        <v>154</v>
      </c>
      <c r="R38" s="18" t="s">
        <v>154</v>
      </c>
    </row>
    <row r="39" spans="1:18" x14ac:dyDescent="0.25">
      <c r="A39" s="11" t="s">
        <v>172</v>
      </c>
      <c r="B39" s="13">
        <v>5895</v>
      </c>
      <c r="C39" s="14">
        <f>(4872/B39*100)</f>
        <v>82.646310432569976</v>
      </c>
      <c r="D39" s="15">
        <v>1023</v>
      </c>
      <c r="E39" s="14">
        <v>15.786008470000001</v>
      </c>
      <c r="F39" s="16">
        <v>1.3248044400000001</v>
      </c>
      <c r="G39" s="14">
        <v>84.213991530000001</v>
      </c>
      <c r="H39" s="16">
        <v>1.3248044400000001</v>
      </c>
      <c r="I39" s="14" t="s">
        <v>139</v>
      </c>
      <c r="J39" s="16" t="s">
        <v>139</v>
      </c>
      <c r="K39" s="14">
        <v>0</v>
      </c>
      <c r="L39" s="16">
        <v>0</v>
      </c>
      <c r="M39" s="14">
        <v>0</v>
      </c>
      <c r="N39" s="16">
        <v>0</v>
      </c>
      <c r="O39" s="14">
        <v>0</v>
      </c>
      <c r="P39" s="16">
        <v>0</v>
      </c>
      <c r="Q39" s="14">
        <v>0</v>
      </c>
      <c r="R39" s="16">
        <v>0</v>
      </c>
    </row>
    <row r="40" spans="1:18" x14ac:dyDescent="0.25">
      <c r="A40" s="11" t="s">
        <v>173</v>
      </c>
      <c r="B40" s="13">
        <v>14157</v>
      </c>
      <c r="C40" s="14">
        <f>(11829/B40*100)</f>
        <v>83.55583810129265</v>
      </c>
      <c r="D40" s="15">
        <v>2328</v>
      </c>
      <c r="E40" s="14">
        <v>14.413773190000001</v>
      </c>
      <c r="F40" s="16">
        <v>0.91609832999999996</v>
      </c>
      <c r="G40" s="14">
        <v>85.586226809999999</v>
      </c>
      <c r="H40" s="16">
        <v>0.91609832999999996</v>
      </c>
      <c r="I40" s="14" t="s">
        <v>139</v>
      </c>
      <c r="J40" s="16" t="s">
        <v>139</v>
      </c>
      <c r="K40" s="14">
        <v>0</v>
      </c>
      <c r="L40" s="16">
        <v>0</v>
      </c>
      <c r="M40" s="14">
        <v>0</v>
      </c>
      <c r="N40" s="16">
        <v>0</v>
      </c>
      <c r="O40" s="14">
        <v>0</v>
      </c>
      <c r="P40" s="16">
        <v>0</v>
      </c>
      <c r="Q40" s="14">
        <v>0</v>
      </c>
      <c r="R40" s="16">
        <v>0</v>
      </c>
    </row>
    <row r="41" spans="1:18" x14ac:dyDescent="0.25">
      <c r="A41" s="11" t="s">
        <v>174</v>
      </c>
      <c r="B41" s="13">
        <v>5712</v>
      </c>
      <c r="C41" s="14">
        <f>(4810/B41*100)</f>
        <v>84.208683473389357</v>
      </c>
      <c r="D41" s="15">
        <v>902</v>
      </c>
      <c r="E41" s="14">
        <v>10.335773039999999</v>
      </c>
      <c r="F41" s="16">
        <v>0.98518264</v>
      </c>
      <c r="G41" s="14">
        <v>89.664226959999993</v>
      </c>
      <c r="H41" s="16">
        <v>0.98518264</v>
      </c>
      <c r="I41" s="14" t="s">
        <v>139</v>
      </c>
      <c r="J41" s="16" t="s">
        <v>139</v>
      </c>
      <c r="K41" s="14">
        <v>0</v>
      </c>
      <c r="L41" s="16">
        <v>0</v>
      </c>
      <c r="M41" s="14">
        <v>0</v>
      </c>
      <c r="N41" s="16">
        <v>0</v>
      </c>
      <c r="O41" s="14">
        <v>0</v>
      </c>
      <c r="P41" s="16">
        <v>0</v>
      </c>
      <c r="Q41" s="14">
        <v>0</v>
      </c>
      <c r="R41" s="16">
        <v>0</v>
      </c>
    </row>
    <row r="42" spans="1:18" x14ac:dyDescent="0.25">
      <c r="A42" s="11" t="s">
        <v>175</v>
      </c>
      <c r="B42" s="13">
        <f>IF(COUNT(B7:B41) &gt; 0, AVERAGE(B7:B41), "\u2014")</f>
        <v>7266.90625</v>
      </c>
      <c r="C42" s="14">
        <f>IF(COUNT(C7:C41) &gt; 0, AVERAGE(C7:C41), "—")</f>
        <v>84.390681983216851</v>
      </c>
      <c r="D42" s="15">
        <f>IF(COUNT(D7:D41) &gt; 0, AVERAGE(D7:D41), "—")</f>
        <v>1136.875</v>
      </c>
      <c r="E42" s="14">
        <f>IF(COUNT(E7:E41) &gt; 0, AVERAGE(E7:E41), "—")</f>
        <v>11.550630459062498</v>
      </c>
      <c r="F42" s="16">
        <f>IF(COUNT(F7:F41) &gt; 0, SQRT(SUMSQ(F7:F41)/(COUNT(F7:F41)*COUNT(F7:F41)) ), "—")</f>
        <v>0.1937513531243345</v>
      </c>
      <c r="G42" s="14">
        <f>IF(COUNT(G7:G41) &gt; 0, AVERAGE(G7:G41), "—")</f>
        <v>88.449369540937511</v>
      </c>
      <c r="H42" s="16">
        <f>IF(COUNT(H7:H41) &gt; 0, SQRT(SUMSQ(H7:H41)/(COUNT(H7:H41)*COUNT(H7:H41)) ), "—")</f>
        <v>0.1937513531243345</v>
      </c>
      <c r="I42" s="14" t="str">
        <f>IF(COUNT(I7:I41) &gt; 0, AVERAGE(I7:I41), "—")</f>
        <v>—</v>
      </c>
      <c r="J42" s="16" t="str">
        <f>IF(COUNT(J7:J41) &gt; 0, SQRT(SUMSQ(J7:J41)/(COUNT(J7:J41)*COUNT(J7:J41)) ), "—")</f>
        <v>—</v>
      </c>
      <c r="K42" s="14">
        <f>IF(COUNT(K7:K41) &gt; 0, AVERAGE(K7:K41), "—")</f>
        <v>0</v>
      </c>
      <c r="L42" s="16">
        <f>IF(COUNT(L7:L41) &gt; 0, SQRT(SUMSQ(L7:L41)/(COUNT(L7:L41)*COUNT(L7:L41)) ), "—")</f>
        <v>0</v>
      </c>
      <c r="M42" s="14">
        <f>IF(COUNT(M7:M41) &gt; 0, AVERAGE(M7:M41), "—")</f>
        <v>0</v>
      </c>
      <c r="N42" s="16">
        <f>IF(COUNT(N7:N41) &gt; 0, SQRT(SUMSQ(N7:N41)/(COUNT(N7:N41)*COUNT(N7:N41)) ), "—")</f>
        <v>0</v>
      </c>
      <c r="O42" s="14">
        <f>IF(COUNT(O7:O41) &gt; 0, AVERAGE(O7:O41), "—")</f>
        <v>0</v>
      </c>
      <c r="P42" s="16">
        <f>IF(COUNT(P7:P41) &gt; 0, SQRT(SUMSQ(P7:P41)/(COUNT(P7:P41)*COUNT(P7:P41)) ), "—")</f>
        <v>0</v>
      </c>
      <c r="Q42" s="14">
        <f>IF(COUNT(Q7:Q41) &gt; 0, AVERAGE(Q7:Q41), "—")</f>
        <v>0</v>
      </c>
      <c r="R42" s="16">
        <f>IF(COUNT(R7:R41) &gt; 0, SQRT(SUMSQ(R7:R41)/(COUNT(R7:R41)*COUNT(R7:R41)) ), "—")</f>
        <v>0</v>
      </c>
    </row>
    <row r="43" spans="1:18" x14ac:dyDescent="0.25">
      <c r="A43" s="9" t="s">
        <v>176</v>
      </c>
      <c r="B43" s="10"/>
      <c r="C43" s="10"/>
      <c r="D43" s="11"/>
      <c r="E43" s="10"/>
      <c r="F43" s="11"/>
      <c r="G43" s="10"/>
      <c r="H43" s="11"/>
      <c r="I43" s="10"/>
      <c r="J43" s="11"/>
      <c r="K43" s="10"/>
      <c r="L43" s="11"/>
      <c r="M43" s="10"/>
      <c r="N43" s="11"/>
      <c r="O43" s="10"/>
      <c r="P43" s="11"/>
      <c r="Q43" s="10"/>
      <c r="R43" s="12"/>
    </row>
    <row r="44" spans="1:18" x14ac:dyDescent="0.25">
      <c r="A44" s="11" t="s">
        <v>177</v>
      </c>
      <c r="B44" s="17" t="s">
        <v>154</v>
      </c>
      <c r="C44" s="17" t="s">
        <v>154</v>
      </c>
      <c r="D44" s="18" t="s">
        <v>154</v>
      </c>
      <c r="E44" s="17" t="s">
        <v>154</v>
      </c>
      <c r="F44" s="18" t="s">
        <v>154</v>
      </c>
      <c r="G44" s="17" t="s">
        <v>154</v>
      </c>
      <c r="H44" s="18" t="s">
        <v>154</v>
      </c>
      <c r="I44" s="17" t="s">
        <v>154</v>
      </c>
      <c r="J44" s="18" t="s">
        <v>154</v>
      </c>
      <c r="K44" s="17" t="s">
        <v>154</v>
      </c>
      <c r="L44" s="18" t="s">
        <v>154</v>
      </c>
      <c r="M44" s="17" t="s">
        <v>154</v>
      </c>
      <c r="N44" s="18" t="s">
        <v>154</v>
      </c>
      <c r="O44" s="17" t="s">
        <v>154</v>
      </c>
      <c r="P44" s="18" t="s">
        <v>154</v>
      </c>
      <c r="Q44" s="17" t="s">
        <v>154</v>
      </c>
      <c r="R44" s="18" t="s">
        <v>154</v>
      </c>
    </row>
    <row r="45" spans="1:18" x14ac:dyDescent="0.25">
      <c r="A45" s="11" t="s">
        <v>178</v>
      </c>
      <c r="B45" s="17" t="s">
        <v>154</v>
      </c>
      <c r="C45" s="17" t="s">
        <v>154</v>
      </c>
      <c r="D45" s="18" t="s">
        <v>154</v>
      </c>
      <c r="E45" s="17" t="s">
        <v>154</v>
      </c>
      <c r="F45" s="18" t="s">
        <v>154</v>
      </c>
      <c r="G45" s="17" t="s">
        <v>154</v>
      </c>
      <c r="H45" s="18" t="s">
        <v>154</v>
      </c>
      <c r="I45" s="17" t="s">
        <v>154</v>
      </c>
      <c r="J45" s="18" t="s">
        <v>154</v>
      </c>
      <c r="K45" s="17" t="s">
        <v>154</v>
      </c>
      <c r="L45" s="18" t="s">
        <v>154</v>
      </c>
      <c r="M45" s="17" t="s">
        <v>154</v>
      </c>
      <c r="N45" s="18" t="s">
        <v>154</v>
      </c>
      <c r="O45" s="17" t="s">
        <v>154</v>
      </c>
      <c r="P45" s="18" t="s">
        <v>154</v>
      </c>
      <c r="Q45" s="17" t="s">
        <v>154</v>
      </c>
      <c r="R45" s="18" t="s">
        <v>154</v>
      </c>
    </row>
    <row r="46" spans="1:18" x14ac:dyDescent="0.25">
      <c r="A46" s="11" t="s">
        <v>179</v>
      </c>
      <c r="B46" s="13">
        <v>23141</v>
      </c>
      <c r="C46" s="14">
        <f>(20770/B46*100)</f>
        <v>89.754116071042731</v>
      </c>
      <c r="D46" s="15">
        <v>2371</v>
      </c>
      <c r="E46" s="14">
        <v>15.729432149999999</v>
      </c>
      <c r="F46" s="16">
        <v>0.92815407000000005</v>
      </c>
      <c r="G46" s="14">
        <v>84.270567850000006</v>
      </c>
      <c r="H46" s="16">
        <v>0.92815407000000005</v>
      </c>
      <c r="I46" s="14" t="s">
        <v>139</v>
      </c>
      <c r="J46" s="16" t="s">
        <v>139</v>
      </c>
      <c r="K46" s="14">
        <v>0</v>
      </c>
      <c r="L46" s="16">
        <v>0</v>
      </c>
      <c r="M46" s="14">
        <v>0</v>
      </c>
      <c r="N46" s="16">
        <v>0</v>
      </c>
      <c r="O46" s="14">
        <v>0</v>
      </c>
      <c r="P46" s="16">
        <v>0</v>
      </c>
      <c r="Q46" s="14">
        <v>0</v>
      </c>
      <c r="R46" s="16">
        <v>0</v>
      </c>
    </row>
    <row r="47" spans="1:18" x14ac:dyDescent="0.25">
      <c r="A47" s="11" t="s">
        <v>180</v>
      </c>
      <c r="B47" s="13">
        <v>5928</v>
      </c>
      <c r="C47" s="14">
        <f>(5040/B47*100)</f>
        <v>85.020242914979761</v>
      </c>
      <c r="D47" s="15">
        <v>888</v>
      </c>
      <c r="E47" s="14">
        <v>15.93541194</v>
      </c>
      <c r="F47" s="16">
        <v>1.18738839</v>
      </c>
      <c r="G47" s="14">
        <v>84.064588060000005</v>
      </c>
      <c r="H47" s="16">
        <v>1.18738839</v>
      </c>
      <c r="I47" s="14" t="s">
        <v>139</v>
      </c>
      <c r="J47" s="16" t="s">
        <v>139</v>
      </c>
      <c r="K47" s="14">
        <v>0</v>
      </c>
      <c r="L47" s="16">
        <v>0</v>
      </c>
      <c r="M47" s="14">
        <v>0</v>
      </c>
      <c r="N47" s="16">
        <v>0</v>
      </c>
      <c r="O47" s="14">
        <v>0</v>
      </c>
      <c r="P47" s="16">
        <v>0</v>
      </c>
      <c r="Q47" s="14">
        <v>0</v>
      </c>
      <c r="R47" s="16">
        <v>0</v>
      </c>
    </row>
    <row r="48" spans="1:18" x14ac:dyDescent="0.25">
      <c r="A48" s="11" t="s">
        <v>181</v>
      </c>
      <c r="B48" s="13">
        <v>9841</v>
      </c>
      <c r="C48" s="14">
        <f>(8220/B48*100)</f>
        <v>83.528096738136369</v>
      </c>
      <c r="D48" s="15">
        <v>1621</v>
      </c>
      <c r="E48" s="14">
        <v>12.50701671</v>
      </c>
      <c r="F48" s="16">
        <v>0.85265999999999997</v>
      </c>
      <c r="G48" s="14">
        <v>87.492983289999998</v>
      </c>
      <c r="H48" s="16">
        <v>0.85265999999999997</v>
      </c>
      <c r="I48" s="14" t="s">
        <v>139</v>
      </c>
      <c r="J48" s="16" t="s">
        <v>139</v>
      </c>
      <c r="K48" s="14">
        <v>0</v>
      </c>
      <c r="L48" s="16">
        <v>0</v>
      </c>
      <c r="M48" s="14">
        <v>0</v>
      </c>
      <c r="N48" s="16">
        <v>0</v>
      </c>
      <c r="O48" s="14">
        <v>0</v>
      </c>
      <c r="P48" s="16">
        <v>0</v>
      </c>
      <c r="Q48" s="14">
        <v>0</v>
      </c>
      <c r="R48" s="16">
        <v>0</v>
      </c>
    </row>
    <row r="49" spans="1:18" x14ac:dyDescent="0.25">
      <c r="A49" s="11" t="s">
        <v>182</v>
      </c>
      <c r="B49" s="17" t="s">
        <v>154</v>
      </c>
      <c r="C49" s="17" t="s">
        <v>154</v>
      </c>
      <c r="D49" s="18" t="s">
        <v>154</v>
      </c>
      <c r="E49" s="17" t="s">
        <v>154</v>
      </c>
      <c r="F49" s="18" t="s">
        <v>154</v>
      </c>
      <c r="G49" s="17" t="s">
        <v>154</v>
      </c>
      <c r="H49" s="18" t="s">
        <v>154</v>
      </c>
      <c r="I49" s="17" t="s">
        <v>154</v>
      </c>
      <c r="J49" s="18" t="s">
        <v>154</v>
      </c>
      <c r="K49" s="17" t="s">
        <v>154</v>
      </c>
      <c r="L49" s="18" t="s">
        <v>154</v>
      </c>
      <c r="M49" s="17" t="s">
        <v>154</v>
      </c>
      <c r="N49" s="18" t="s">
        <v>154</v>
      </c>
      <c r="O49" s="17" t="s">
        <v>154</v>
      </c>
      <c r="P49" s="18" t="s">
        <v>154</v>
      </c>
      <c r="Q49" s="17" t="s">
        <v>154</v>
      </c>
      <c r="R49" s="18" t="s">
        <v>154</v>
      </c>
    </row>
    <row r="50" spans="1:18" x14ac:dyDescent="0.25">
      <c r="A50" s="11" t="s">
        <v>183</v>
      </c>
      <c r="B50" s="13">
        <v>11795</v>
      </c>
      <c r="C50" s="14">
        <f>(10071/B50*100)</f>
        <v>85.383637134378972</v>
      </c>
      <c r="D50" s="15">
        <v>1724</v>
      </c>
      <c r="E50" s="14">
        <v>15.272195119999999</v>
      </c>
      <c r="F50" s="16">
        <v>1.26373998</v>
      </c>
      <c r="G50" s="14">
        <v>84.727804879999994</v>
      </c>
      <c r="H50" s="16">
        <v>1.26373998</v>
      </c>
      <c r="I50" s="14" t="s">
        <v>139</v>
      </c>
      <c r="J50" s="16" t="s">
        <v>139</v>
      </c>
      <c r="K50" s="14">
        <v>0</v>
      </c>
      <c r="L50" s="16">
        <v>0</v>
      </c>
      <c r="M50" s="14">
        <v>0</v>
      </c>
      <c r="N50" s="16">
        <v>0</v>
      </c>
      <c r="O50" s="14">
        <v>0</v>
      </c>
      <c r="P50" s="16">
        <v>0</v>
      </c>
      <c r="Q50" s="14">
        <v>0</v>
      </c>
      <c r="R50" s="16">
        <v>0</v>
      </c>
    </row>
    <row r="51" spans="1:18" x14ac:dyDescent="0.25">
      <c r="A51" s="11" t="s">
        <v>184</v>
      </c>
      <c r="B51" s="13">
        <v>6866</v>
      </c>
      <c r="C51" s="14">
        <f>(5973/B51*100)</f>
        <v>86.993882901252547</v>
      </c>
      <c r="D51" s="15">
        <v>893</v>
      </c>
      <c r="E51" s="14">
        <v>9.6082224299999996</v>
      </c>
      <c r="F51" s="16">
        <v>1.02020533</v>
      </c>
      <c r="G51" s="14">
        <v>90.391777570000002</v>
      </c>
      <c r="H51" s="16">
        <v>1.02020533</v>
      </c>
      <c r="I51" s="14" t="s">
        <v>139</v>
      </c>
      <c r="J51" s="16" t="s">
        <v>139</v>
      </c>
      <c r="K51" s="14">
        <v>0</v>
      </c>
      <c r="L51" s="16">
        <v>0</v>
      </c>
      <c r="M51" s="14">
        <v>0</v>
      </c>
      <c r="N51" s="16">
        <v>0</v>
      </c>
      <c r="O51" s="14">
        <v>0</v>
      </c>
      <c r="P51" s="16">
        <v>0</v>
      </c>
      <c r="Q51" s="14">
        <v>0</v>
      </c>
      <c r="R51" s="16">
        <v>0</v>
      </c>
    </row>
    <row r="52" spans="1:18" x14ac:dyDescent="0.25">
      <c r="A52" s="11" t="s">
        <v>185</v>
      </c>
      <c r="B52" s="13">
        <v>5809</v>
      </c>
      <c r="C52" s="14">
        <f>(4885/B52*100)</f>
        <v>84.093647787915302</v>
      </c>
      <c r="D52" s="15">
        <v>924</v>
      </c>
      <c r="E52" s="14">
        <v>12.94470626</v>
      </c>
      <c r="F52" s="16">
        <v>1.0642570099999999</v>
      </c>
      <c r="G52" s="14">
        <v>87.055293739999996</v>
      </c>
      <c r="H52" s="16">
        <v>1.0642570099999999</v>
      </c>
      <c r="I52" s="14" t="s">
        <v>139</v>
      </c>
      <c r="J52" s="16" t="s">
        <v>139</v>
      </c>
      <c r="K52" s="14">
        <v>0</v>
      </c>
      <c r="L52" s="16">
        <v>0</v>
      </c>
      <c r="M52" s="14">
        <v>0</v>
      </c>
      <c r="N52" s="16">
        <v>0</v>
      </c>
      <c r="O52" s="14">
        <v>0</v>
      </c>
      <c r="P52" s="16">
        <v>0</v>
      </c>
      <c r="Q52" s="14">
        <v>0</v>
      </c>
      <c r="R52" s="16">
        <v>0</v>
      </c>
    </row>
    <row r="53" spans="1:18" x14ac:dyDescent="0.25">
      <c r="A53" s="11" t="s">
        <v>186</v>
      </c>
      <c r="B53" s="13">
        <v>5571</v>
      </c>
      <c r="C53" s="14">
        <f>(4728/B53*100)</f>
        <v>84.86806677436725</v>
      </c>
      <c r="D53" s="15">
        <v>843</v>
      </c>
      <c r="E53" s="14">
        <v>19.088072759999999</v>
      </c>
      <c r="F53" s="16">
        <v>1.3913390699999999</v>
      </c>
      <c r="G53" s="14">
        <v>80.911927239999997</v>
      </c>
      <c r="H53" s="16">
        <v>1.3913390699999999</v>
      </c>
      <c r="I53" s="14" t="s">
        <v>139</v>
      </c>
      <c r="J53" s="16" t="s">
        <v>139</v>
      </c>
      <c r="K53" s="14">
        <v>0</v>
      </c>
      <c r="L53" s="16">
        <v>0</v>
      </c>
      <c r="M53" s="14">
        <v>0</v>
      </c>
      <c r="N53" s="16">
        <v>0</v>
      </c>
      <c r="O53" s="14">
        <v>0</v>
      </c>
      <c r="P53" s="16">
        <v>0</v>
      </c>
      <c r="Q53" s="14">
        <v>0</v>
      </c>
      <c r="R53" s="16">
        <v>0</v>
      </c>
    </row>
    <row r="54" spans="1:18" x14ac:dyDescent="0.25">
      <c r="A54" s="11" t="s">
        <v>187</v>
      </c>
      <c r="B54" s="17" t="s">
        <v>154</v>
      </c>
      <c r="C54" s="17" t="s">
        <v>154</v>
      </c>
      <c r="D54" s="18" t="s">
        <v>154</v>
      </c>
      <c r="E54" s="17" t="s">
        <v>154</v>
      </c>
      <c r="F54" s="18" t="s">
        <v>154</v>
      </c>
      <c r="G54" s="17" t="s">
        <v>154</v>
      </c>
      <c r="H54" s="18" t="s">
        <v>154</v>
      </c>
      <c r="I54" s="17" t="s">
        <v>154</v>
      </c>
      <c r="J54" s="18" t="s">
        <v>154</v>
      </c>
      <c r="K54" s="17" t="s">
        <v>154</v>
      </c>
      <c r="L54" s="18" t="s">
        <v>154</v>
      </c>
      <c r="M54" s="17" t="s">
        <v>154</v>
      </c>
      <c r="N54" s="18" t="s">
        <v>154</v>
      </c>
      <c r="O54" s="17" t="s">
        <v>154</v>
      </c>
      <c r="P54" s="18" t="s">
        <v>154</v>
      </c>
      <c r="Q54" s="17" t="s">
        <v>154</v>
      </c>
      <c r="R54" s="18" t="s">
        <v>154</v>
      </c>
    </row>
    <row r="55" spans="1:18" x14ac:dyDescent="0.25">
      <c r="A55" s="11" t="s">
        <v>188</v>
      </c>
      <c r="B55" s="17" t="s">
        <v>154</v>
      </c>
      <c r="C55" s="17" t="s">
        <v>154</v>
      </c>
      <c r="D55" s="18" t="s">
        <v>154</v>
      </c>
      <c r="E55" s="17" t="s">
        <v>154</v>
      </c>
      <c r="F55" s="18" t="s">
        <v>154</v>
      </c>
      <c r="G55" s="17" t="s">
        <v>154</v>
      </c>
      <c r="H55" s="18" t="s">
        <v>154</v>
      </c>
      <c r="I55" s="17" t="s">
        <v>154</v>
      </c>
      <c r="J55" s="18" t="s">
        <v>154</v>
      </c>
      <c r="K55" s="17" t="s">
        <v>154</v>
      </c>
      <c r="L55" s="18" t="s">
        <v>154</v>
      </c>
      <c r="M55" s="17" t="s">
        <v>154</v>
      </c>
      <c r="N55" s="18" t="s">
        <v>154</v>
      </c>
      <c r="O55" s="17" t="s">
        <v>154</v>
      </c>
      <c r="P55" s="18" t="s">
        <v>154</v>
      </c>
      <c r="Q55" s="17" t="s">
        <v>154</v>
      </c>
      <c r="R55" s="18" t="s">
        <v>154</v>
      </c>
    </row>
    <row r="56" spans="1:18" x14ac:dyDescent="0.25">
      <c r="A56" s="11" t="s">
        <v>189</v>
      </c>
      <c r="B56" s="13">
        <v>5359</v>
      </c>
      <c r="C56" s="14">
        <f>(4464/B56*100)</f>
        <v>83.299122970703493</v>
      </c>
      <c r="D56" s="15">
        <v>895</v>
      </c>
      <c r="E56" s="14">
        <v>9.23528138</v>
      </c>
      <c r="F56" s="16">
        <v>0.79243043999999996</v>
      </c>
      <c r="G56" s="14">
        <v>90.764718619999996</v>
      </c>
      <c r="H56" s="16">
        <v>0.79243043999999996</v>
      </c>
      <c r="I56" s="14" t="s">
        <v>139</v>
      </c>
      <c r="J56" s="16" t="s">
        <v>139</v>
      </c>
      <c r="K56" s="14">
        <v>0</v>
      </c>
      <c r="L56" s="16">
        <v>0</v>
      </c>
      <c r="M56" s="14">
        <v>0</v>
      </c>
      <c r="N56" s="16">
        <v>0</v>
      </c>
      <c r="O56" s="14">
        <v>0</v>
      </c>
      <c r="P56" s="16">
        <v>0</v>
      </c>
      <c r="Q56" s="14">
        <v>0</v>
      </c>
      <c r="R56" s="16">
        <v>0</v>
      </c>
    </row>
    <row r="57" spans="1:18" x14ac:dyDescent="0.25">
      <c r="A57" s="11" t="s">
        <v>190</v>
      </c>
      <c r="B57" s="17" t="s">
        <v>154</v>
      </c>
      <c r="C57" s="17" t="s">
        <v>154</v>
      </c>
      <c r="D57" s="18" t="s">
        <v>154</v>
      </c>
      <c r="E57" s="17" t="s">
        <v>154</v>
      </c>
      <c r="F57" s="18" t="s">
        <v>154</v>
      </c>
      <c r="G57" s="17" t="s">
        <v>154</v>
      </c>
      <c r="H57" s="18" t="s">
        <v>154</v>
      </c>
      <c r="I57" s="17" t="s">
        <v>154</v>
      </c>
      <c r="J57" s="18" t="s">
        <v>154</v>
      </c>
      <c r="K57" s="17" t="s">
        <v>154</v>
      </c>
      <c r="L57" s="18" t="s">
        <v>154</v>
      </c>
      <c r="M57" s="17" t="s">
        <v>154</v>
      </c>
      <c r="N57" s="18" t="s">
        <v>154</v>
      </c>
      <c r="O57" s="17" t="s">
        <v>154</v>
      </c>
      <c r="P57" s="18" t="s">
        <v>154</v>
      </c>
      <c r="Q57" s="17" t="s">
        <v>154</v>
      </c>
      <c r="R57" s="18" t="s">
        <v>154</v>
      </c>
    </row>
    <row r="58" spans="1:18" x14ac:dyDescent="0.25">
      <c r="A58" s="11" t="s">
        <v>191</v>
      </c>
      <c r="B58" s="17" t="s">
        <v>154</v>
      </c>
      <c r="C58" s="17" t="s">
        <v>154</v>
      </c>
      <c r="D58" s="18" t="s">
        <v>154</v>
      </c>
      <c r="E58" s="17" t="s">
        <v>154</v>
      </c>
      <c r="F58" s="18" t="s">
        <v>154</v>
      </c>
      <c r="G58" s="17" t="s">
        <v>154</v>
      </c>
      <c r="H58" s="18" t="s">
        <v>154</v>
      </c>
      <c r="I58" s="17" t="s">
        <v>154</v>
      </c>
      <c r="J58" s="18" t="s">
        <v>154</v>
      </c>
      <c r="K58" s="17" t="s">
        <v>154</v>
      </c>
      <c r="L58" s="18" t="s">
        <v>154</v>
      </c>
      <c r="M58" s="17" t="s">
        <v>154</v>
      </c>
      <c r="N58" s="18" t="s">
        <v>154</v>
      </c>
      <c r="O58" s="17" t="s">
        <v>154</v>
      </c>
      <c r="P58" s="18" t="s">
        <v>154</v>
      </c>
      <c r="Q58" s="17" t="s">
        <v>154</v>
      </c>
      <c r="R58" s="18" t="s">
        <v>154</v>
      </c>
    </row>
    <row r="59" spans="1:18" x14ac:dyDescent="0.25">
      <c r="A59" s="11" t="s">
        <v>192</v>
      </c>
      <c r="B59" s="17" t="s">
        <v>154</v>
      </c>
      <c r="C59" s="17" t="s">
        <v>154</v>
      </c>
      <c r="D59" s="18" t="s">
        <v>154</v>
      </c>
      <c r="E59" s="17" t="s">
        <v>154</v>
      </c>
      <c r="F59" s="18" t="s">
        <v>154</v>
      </c>
      <c r="G59" s="17" t="s">
        <v>154</v>
      </c>
      <c r="H59" s="18" t="s">
        <v>154</v>
      </c>
      <c r="I59" s="17" t="s">
        <v>154</v>
      </c>
      <c r="J59" s="18" t="s">
        <v>154</v>
      </c>
      <c r="K59" s="17" t="s">
        <v>154</v>
      </c>
      <c r="L59" s="18" t="s">
        <v>154</v>
      </c>
      <c r="M59" s="17" t="s">
        <v>154</v>
      </c>
      <c r="N59" s="18" t="s">
        <v>154</v>
      </c>
      <c r="O59" s="17" t="s">
        <v>154</v>
      </c>
      <c r="P59" s="18" t="s">
        <v>154</v>
      </c>
      <c r="Q59" s="17" t="s">
        <v>154</v>
      </c>
      <c r="R59" s="18" t="s">
        <v>154</v>
      </c>
    </row>
    <row r="60" spans="1:18" x14ac:dyDescent="0.25">
      <c r="A60" s="11" t="s">
        <v>193</v>
      </c>
      <c r="B60" s="17" t="s">
        <v>154</v>
      </c>
      <c r="C60" s="17" t="s">
        <v>154</v>
      </c>
      <c r="D60" s="18" t="s">
        <v>154</v>
      </c>
      <c r="E60" s="17" t="s">
        <v>154</v>
      </c>
      <c r="F60" s="18" t="s">
        <v>154</v>
      </c>
      <c r="G60" s="17" t="s">
        <v>154</v>
      </c>
      <c r="H60" s="18" t="s">
        <v>154</v>
      </c>
      <c r="I60" s="17" t="s">
        <v>154</v>
      </c>
      <c r="J60" s="18" t="s">
        <v>154</v>
      </c>
      <c r="K60" s="17" t="s">
        <v>154</v>
      </c>
      <c r="L60" s="18" t="s">
        <v>154</v>
      </c>
      <c r="M60" s="17" t="s">
        <v>154</v>
      </c>
      <c r="N60" s="18" t="s">
        <v>154</v>
      </c>
      <c r="O60" s="17" t="s">
        <v>154</v>
      </c>
      <c r="P60" s="18" t="s">
        <v>154</v>
      </c>
      <c r="Q60" s="17" t="s">
        <v>154</v>
      </c>
      <c r="R60" s="18" t="s">
        <v>154</v>
      </c>
    </row>
    <row r="61" spans="1:18" x14ac:dyDescent="0.25">
      <c r="A61" s="11" t="s">
        <v>194</v>
      </c>
      <c r="B61" s="13">
        <v>6525</v>
      </c>
      <c r="C61" s="14">
        <f>(5500/B61*100)</f>
        <v>84.291187739463595</v>
      </c>
      <c r="D61" s="15">
        <v>1025</v>
      </c>
      <c r="E61" s="14">
        <v>11.946816330000001</v>
      </c>
      <c r="F61" s="16">
        <v>1.1350945800000001</v>
      </c>
      <c r="G61" s="14">
        <v>88.053183669999996</v>
      </c>
      <c r="H61" s="16">
        <v>1.1350945800000001</v>
      </c>
      <c r="I61" s="14" t="s">
        <v>139</v>
      </c>
      <c r="J61" s="16" t="s">
        <v>139</v>
      </c>
      <c r="K61" s="14">
        <v>0</v>
      </c>
      <c r="L61" s="16">
        <v>0</v>
      </c>
      <c r="M61" s="14">
        <v>0</v>
      </c>
      <c r="N61" s="16">
        <v>0</v>
      </c>
      <c r="O61" s="14">
        <v>0</v>
      </c>
      <c r="P61" s="16">
        <v>0</v>
      </c>
      <c r="Q61" s="14">
        <v>0</v>
      </c>
      <c r="R61" s="16">
        <v>0</v>
      </c>
    </row>
    <row r="62" spans="1:18" x14ac:dyDescent="0.25">
      <c r="A62" s="11" t="s">
        <v>195</v>
      </c>
      <c r="B62" s="13">
        <v>4476</v>
      </c>
      <c r="C62" s="14">
        <f>(3758/B62*100)</f>
        <v>83.958891867739055</v>
      </c>
      <c r="D62" s="15">
        <v>718</v>
      </c>
      <c r="E62" s="14">
        <v>9.9059001200000001</v>
      </c>
      <c r="F62" s="16">
        <v>1.0674529699999999</v>
      </c>
      <c r="G62" s="14">
        <v>90.094099880000002</v>
      </c>
      <c r="H62" s="16">
        <v>1.0674529699999999</v>
      </c>
      <c r="I62" s="14" t="s">
        <v>139</v>
      </c>
      <c r="J62" s="16" t="s">
        <v>139</v>
      </c>
      <c r="K62" s="14">
        <v>0</v>
      </c>
      <c r="L62" s="16">
        <v>0</v>
      </c>
      <c r="M62" s="14">
        <v>0</v>
      </c>
      <c r="N62" s="16">
        <v>0</v>
      </c>
      <c r="O62" s="14">
        <v>0</v>
      </c>
      <c r="P62" s="16">
        <v>0</v>
      </c>
      <c r="Q62" s="14">
        <v>0</v>
      </c>
      <c r="R62" s="16">
        <v>0</v>
      </c>
    </row>
    <row r="63" spans="1:18" x14ac:dyDescent="0.25">
      <c r="A63" s="11" t="s">
        <v>196</v>
      </c>
      <c r="B63" s="17" t="s">
        <v>154</v>
      </c>
      <c r="C63" s="17" t="s">
        <v>154</v>
      </c>
      <c r="D63" s="18" t="s">
        <v>154</v>
      </c>
      <c r="E63" s="17" t="s">
        <v>154</v>
      </c>
      <c r="F63" s="18" t="s">
        <v>154</v>
      </c>
      <c r="G63" s="17" t="s">
        <v>154</v>
      </c>
      <c r="H63" s="18" t="s">
        <v>154</v>
      </c>
      <c r="I63" s="17" t="s">
        <v>154</v>
      </c>
      <c r="J63" s="18" t="s">
        <v>154</v>
      </c>
      <c r="K63" s="17" t="s">
        <v>154</v>
      </c>
      <c r="L63" s="18" t="s">
        <v>154</v>
      </c>
      <c r="M63" s="17" t="s">
        <v>154</v>
      </c>
      <c r="N63" s="18" t="s">
        <v>154</v>
      </c>
      <c r="O63" s="17" t="s">
        <v>154</v>
      </c>
      <c r="P63" s="18" t="s">
        <v>154</v>
      </c>
      <c r="Q63" s="17" t="s">
        <v>154</v>
      </c>
      <c r="R63" s="18" t="s">
        <v>154</v>
      </c>
    </row>
    <row r="64" spans="1:18" x14ac:dyDescent="0.25">
      <c r="A64" s="11" t="s">
        <v>197</v>
      </c>
      <c r="B64" s="17" t="s">
        <v>154</v>
      </c>
      <c r="C64" s="17" t="s">
        <v>154</v>
      </c>
      <c r="D64" s="18" t="s">
        <v>154</v>
      </c>
      <c r="E64" s="17" t="s">
        <v>154</v>
      </c>
      <c r="F64" s="18" t="s">
        <v>154</v>
      </c>
      <c r="G64" s="17" t="s">
        <v>154</v>
      </c>
      <c r="H64" s="18" t="s">
        <v>154</v>
      </c>
      <c r="I64" s="17" t="s">
        <v>154</v>
      </c>
      <c r="J64" s="18" t="s">
        <v>154</v>
      </c>
      <c r="K64" s="17" t="s">
        <v>154</v>
      </c>
      <c r="L64" s="18" t="s">
        <v>154</v>
      </c>
      <c r="M64" s="17" t="s">
        <v>154</v>
      </c>
      <c r="N64" s="18" t="s">
        <v>154</v>
      </c>
      <c r="O64" s="17" t="s">
        <v>154</v>
      </c>
      <c r="P64" s="18" t="s">
        <v>154</v>
      </c>
      <c r="Q64" s="17" t="s">
        <v>154</v>
      </c>
      <c r="R64" s="18" t="s">
        <v>154</v>
      </c>
    </row>
    <row r="65" spans="1:18" x14ac:dyDescent="0.25">
      <c r="A65" s="11" t="s">
        <v>198</v>
      </c>
      <c r="B65" s="17" t="s">
        <v>154</v>
      </c>
      <c r="C65" s="17" t="s">
        <v>154</v>
      </c>
      <c r="D65" s="18" t="s">
        <v>154</v>
      </c>
      <c r="E65" s="17" t="s">
        <v>154</v>
      </c>
      <c r="F65" s="18" t="s">
        <v>154</v>
      </c>
      <c r="G65" s="17" t="s">
        <v>154</v>
      </c>
      <c r="H65" s="18" t="s">
        <v>154</v>
      </c>
      <c r="I65" s="17" t="s">
        <v>154</v>
      </c>
      <c r="J65" s="18" t="s">
        <v>154</v>
      </c>
      <c r="K65" s="17" t="s">
        <v>154</v>
      </c>
      <c r="L65" s="18" t="s">
        <v>154</v>
      </c>
      <c r="M65" s="17" t="s">
        <v>154</v>
      </c>
      <c r="N65" s="18" t="s">
        <v>154</v>
      </c>
      <c r="O65" s="17" t="s">
        <v>154</v>
      </c>
      <c r="P65" s="18" t="s">
        <v>154</v>
      </c>
      <c r="Q65" s="17" t="s">
        <v>154</v>
      </c>
      <c r="R65" s="18" t="s">
        <v>154</v>
      </c>
    </row>
    <row r="66" spans="1:18" x14ac:dyDescent="0.25">
      <c r="A66" s="11" t="s">
        <v>199</v>
      </c>
      <c r="B66" s="13">
        <v>5665</v>
      </c>
      <c r="C66" s="14">
        <f>(4808/B66*100)</f>
        <v>84.872021182700792</v>
      </c>
      <c r="D66" s="15">
        <v>857</v>
      </c>
      <c r="E66" s="14">
        <v>17.639005900000001</v>
      </c>
      <c r="F66" s="16">
        <v>1.11503054</v>
      </c>
      <c r="G66" s="14">
        <v>82.360994099999999</v>
      </c>
      <c r="H66" s="16">
        <v>1.11503054</v>
      </c>
      <c r="I66" s="14" t="s">
        <v>139</v>
      </c>
      <c r="J66" s="16" t="s">
        <v>139</v>
      </c>
      <c r="K66" s="14">
        <v>0</v>
      </c>
      <c r="L66" s="16">
        <v>0</v>
      </c>
      <c r="M66" s="14">
        <v>0</v>
      </c>
      <c r="N66" s="16">
        <v>0</v>
      </c>
      <c r="O66" s="14">
        <v>0</v>
      </c>
      <c r="P66" s="16">
        <v>0</v>
      </c>
      <c r="Q66" s="14">
        <v>0</v>
      </c>
      <c r="R66" s="16">
        <v>0</v>
      </c>
    </row>
    <row r="67" spans="1:18" x14ac:dyDescent="0.25">
      <c r="A67" s="11" t="s">
        <v>200</v>
      </c>
      <c r="B67" s="13">
        <v>6971</v>
      </c>
      <c r="C67" s="14">
        <f>(6104/B67*100)</f>
        <v>87.562760005738056</v>
      </c>
      <c r="D67" s="15">
        <v>867</v>
      </c>
      <c r="E67" s="14">
        <v>17.382705560000002</v>
      </c>
      <c r="F67" s="16">
        <v>1.42904461</v>
      </c>
      <c r="G67" s="14">
        <v>82.617294439999995</v>
      </c>
      <c r="H67" s="16">
        <v>1.42904461</v>
      </c>
      <c r="I67" s="14" t="s">
        <v>139</v>
      </c>
      <c r="J67" s="16" t="s">
        <v>139</v>
      </c>
      <c r="K67" s="14">
        <v>0</v>
      </c>
      <c r="L67" s="16">
        <v>0</v>
      </c>
      <c r="M67" s="14">
        <v>0</v>
      </c>
      <c r="N67" s="16">
        <v>0</v>
      </c>
      <c r="O67" s="14">
        <v>0</v>
      </c>
      <c r="P67" s="16">
        <v>0</v>
      </c>
      <c r="Q67" s="14">
        <v>0</v>
      </c>
      <c r="R67" s="16">
        <v>0</v>
      </c>
    </row>
    <row r="68" spans="1:18" x14ac:dyDescent="0.25">
      <c r="A68" s="11" t="s">
        <v>201</v>
      </c>
      <c r="B68" s="17" t="s">
        <v>154</v>
      </c>
      <c r="C68" s="17" t="s">
        <v>154</v>
      </c>
      <c r="D68" s="18" t="s">
        <v>154</v>
      </c>
      <c r="E68" s="17" t="s">
        <v>154</v>
      </c>
      <c r="F68" s="18" t="s">
        <v>154</v>
      </c>
      <c r="G68" s="17" t="s">
        <v>154</v>
      </c>
      <c r="H68" s="18" t="s">
        <v>154</v>
      </c>
      <c r="I68" s="17" t="s">
        <v>154</v>
      </c>
      <c r="J68" s="18" t="s">
        <v>154</v>
      </c>
      <c r="K68" s="17" t="s">
        <v>154</v>
      </c>
      <c r="L68" s="18" t="s">
        <v>154</v>
      </c>
      <c r="M68" s="17" t="s">
        <v>154</v>
      </c>
      <c r="N68" s="18" t="s">
        <v>154</v>
      </c>
      <c r="O68" s="17" t="s">
        <v>154</v>
      </c>
      <c r="P68" s="18" t="s">
        <v>154</v>
      </c>
      <c r="Q68" s="17" t="s">
        <v>154</v>
      </c>
      <c r="R68" s="18" t="s">
        <v>154</v>
      </c>
    </row>
    <row r="69" spans="1:18" x14ac:dyDescent="0.25">
      <c r="A69" s="11" t="s">
        <v>202</v>
      </c>
      <c r="B69" s="17" t="s">
        <v>154</v>
      </c>
      <c r="C69" s="17" t="s">
        <v>154</v>
      </c>
      <c r="D69" s="18" t="s">
        <v>154</v>
      </c>
      <c r="E69" s="17" t="s">
        <v>154</v>
      </c>
      <c r="F69" s="18" t="s">
        <v>154</v>
      </c>
      <c r="G69" s="17" t="s">
        <v>154</v>
      </c>
      <c r="H69" s="18" t="s">
        <v>154</v>
      </c>
      <c r="I69" s="17" t="s">
        <v>154</v>
      </c>
      <c r="J69" s="18" t="s">
        <v>154</v>
      </c>
      <c r="K69" s="17" t="s">
        <v>154</v>
      </c>
      <c r="L69" s="18" t="s">
        <v>154</v>
      </c>
      <c r="M69" s="17" t="s">
        <v>154</v>
      </c>
      <c r="N69" s="18" t="s">
        <v>154</v>
      </c>
      <c r="O69" s="17" t="s">
        <v>154</v>
      </c>
      <c r="P69" s="18" t="s">
        <v>154</v>
      </c>
      <c r="Q69" s="17" t="s">
        <v>154</v>
      </c>
      <c r="R69" s="18" t="s">
        <v>154</v>
      </c>
    </row>
    <row r="70" spans="1:18" x14ac:dyDescent="0.25">
      <c r="A70" s="11" t="s">
        <v>203</v>
      </c>
      <c r="B70" s="13">
        <v>6036</v>
      </c>
      <c r="C70" s="14">
        <f>(5098/B70*100)</f>
        <v>84.459907223326695</v>
      </c>
      <c r="D70" s="15">
        <v>938</v>
      </c>
      <c r="E70" s="14">
        <v>11.364977339999999</v>
      </c>
      <c r="F70" s="16">
        <v>1.3876351</v>
      </c>
      <c r="G70" s="14">
        <v>88.635022660000004</v>
      </c>
      <c r="H70" s="16">
        <v>1.3876351</v>
      </c>
      <c r="I70" s="14" t="s">
        <v>139</v>
      </c>
      <c r="J70" s="16" t="s">
        <v>139</v>
      </c>
      <c r="K70" s="14">
        <v>0</v>
      </c>
      <c r="L70" s="16">
        <v>0</v>
      </c>
      <c r="M70" s="14">
        <v>0</v>
      </c>
      <c r="N70" s="16">
        <v>0</v>
      </c>
      <c r="O70" s="14">
        <v>0</v>
      </c>
      <c r="P70" s="16">
        <v>0</v>
      </c>
      <c r="Q70" s="14">
        <v>0</v>
      </c>
      <c r="R70" s="16">
        <v>0</v>
      </c>
    </row>
    <row r="71" spans="1:18" x14ac:dyDescent="0.25">
      <c r="A71" s="11" t="s">
        <v>204</v>
      </c>
      <c r="B71" s="17" t="s">
        <v>154</v>
      </c>
      <c r="C71" s="17" t="s">
        <v>154</v>
      </c>
      <c r="D71" s="18" t="s">
        <v>154</v>
      </c>
      <c r="E71" s="17" t="s">
        <v>154</v>
      </c>
      <c r="F71" s="18" t="s">
        <v>154</v>
      </c>
      <c r="G71" s="17" t="s">
        <v>154</v>
      </c>
      <c r="H71" s="18" t="s">
        <v>154</v>
      </c>
      <c r="I71" s="17" t="s">
        <v>154</v>
      </c>
      <c r="J71" s="18" t="s">
        <v>154</v>
      </c>
      <c r="K71" s="17" t="s">
        <v>154</v>
      </c>
      <c r="L71" s="18" t="s">
        <v>154</v>
      </c>
      <c r="M71" s="17" t="s">
        <v>154</v>
      </c>
      <c r="N71" s="18" t="s">
        <v>154</v>
      </c>
      <c r="O71" s="17" t="s">
        <v>154</v>
      </c>
      <c r="P71" s="18" t="s">
        <v>154</v>
      </c>
      <c r="Q71" s="17" t="s">
        <v>154</v>
      </c>
      <c r="R71" s="18" t="s">
        <v>154</v>
      </c>
    </row>
    <row r="72" spans="1:18" x14ac:dyDescent="0.25">
      <c r="A72" s="11" t="s">
        <v>205</v>
      </c>
      <c r="B72" s="13">
        <v>7708</v>
      </c>
      <c r="C72" s="14">
        <f>(6380/B72*100)</f>
        <v>82.77114686040477</v>
      </c>
      <c r="D72" s="15">
        <v>1328</v>
      </c>
      <c r="E72" s="14">
        <v>11.001507370000001</v>
      </c>
      <c r="F72" s="16">
        <v>1.0066921200000001</v>
      </c>
      <c r="G72" s="14">
        <v>88.998492630000001</v>
      </c>
      <c r="H72" s="16">
        <v>1.0066921200000001</v>
      </c>
      <c r="I72" s="14" t="s">
        <v>139</v>
      </c>
      <c r="J72" s="16" t="s">
        <v>139</v>
      </c>
      <c r="K72" s="14">
        <v>0</v>
      </c>
      <c r="L72" s="16">
        <v>0</v>
      </c>
      <c r="M72" s="14">
        <v>0</v>
      </c>
      <c r="N72" s="16">
        <v>0</v>
      </c>
      <c r="O72" s="14">
        <v>0</v>
      </c>
      <c r="P72" s="16">
        <v>0</v>
      </c>
      <c r="Q72" s="14">
        <v>0</v>
      </c>
      <c r="R72" s="16">
        <v>0</v>
      </c>
    </row>
    <row r="73" spans="1:18" x14ac:dyDescent="0.25">
      <c r="A73" s="11" t="s">
        <v>206</v>
      </c>
      <c r="B73" s="13">
        <v>8249</v>
      </c>
      <c r="C73" s="14">
        <f>(7058/B73*100)</f>
        <v>85.561886289247184</v>
      </c>
      <c r="D73" s="15">
        <v>1191</v>
      </c>
      <c r="E73" s="14">
        <v>17.00458201</v>
      </c>
      <c r="F73" s="16">
        <v>1.38947248</v>
      </c>
      <c r="G73" s="14">
        <v>82.995417990000007</v>
      </c>
      <c r="H73" s="16">
        <v>1.38947248</v>
      </c>
      <c r="I73" s="14" t="s">
        <v>139</v>
      </c>
      <c r="J73" s="16" t="s">
        <v>139</v>
      </c>
      <c r="K73" s="14">
        <v>0</v>
      </c>
      <c r="L73" s="16">
        <v>0</v>
      </c>
      <c r="M73" s="14">
        <v>0</v>
      </c>
      <c r="N73" s="16">
        <v>0</v>
      </c>
      <c r="O73" s="14">
        <v>0</v>
      </c>
      <c r="P73" s="16">
        <v>0</v>
      </c>
      <c r="Q73" s="14">
        <v>0</v>
      </c>
      <c r="R73" s="16">
        <v>0</v>
      </c>
    </row>
    <row r="74" spans="1:18" x14ac:dyDescent="0.25">
      <c r="A74" s="11" t="s">
        <v>207</v>
      </c>
      <c r="B74" s="17" t="s">
        <v>154</v>
      </c>
      <c r="C74" s="17" t="s">
        <v>154</v>
      </c>
      <c r="D74" s="18" t="s">
        <v>154</v>
      </c>
      <c r="E74" s="17" t="s">
        <v>154</v>
      </c>
      <c r="F74" s="18" t="s">
        <v>154</v>
      </c>
      <c r="G74" s="17" t="s">
        <v>154</v>
      </c>
      <c r="H74" s="18" t="s">
        <v>154</v>
      </c>
      <c r="I74" s="17" t="s">
        <v>154</v>
      </c>
      <c r="J74" s="18" t="s">
        <v>154</v>
      </c>
      <c r="K74" s="17" t="s">
        <v>154</v>
      </c>
      <c r="L74" s="18" t="s">
        <v>154</v>
      </c>
      <c r="M74" s="17" t="s">
        <v>154</v>
      </c>
      <c r="N74" s="18" t="s">
        <v>154</v>
      </c>
      <c r="O74" s="17" t="s">
        <v>154</v>
      </c>
      <c r="P74" s="18" t="s">
        <v>154</v>
      </c>
      <c r="Q74" s="17" t="s">
        <v>154</v>
      </c>
      <c r="R74" s="18" t="s">
        <v>154</v>
      </c>
    </row>
    <row r="75" spans="1:18" x14ac:dyDescent="0.25">
      <c r="A75" s="11" t="s">
        <v>208</v>
      </c>
      <c r="B75" s="13">
        <v>5375</v>
      </c>
      <c r="C75" s="14">
        <f>(4623/B75*100)</f>
        <v>86.009302325581388</v>
      </c>
      <c r="D75" s="15">
        <v>752</v>
      </c>
      <c r="E75" s="14">
        <v>23.482944440000001</v>
      </c>
      <c r="F75" s="16">
        <v>1.7313368200000001</v>
      </c>
      <c r="G75" s="14">
        <v>76.517055560000003</v>
      </c>
      <c r="H75" s="16">
        <v>1.7313368200000001</v>
      </c>
      <c r="I75" s="14" t="s">
        <v>139</v>
      </c>
      <c r="J75" s="16" t="s">
        <v>139</v>
      </c>
      <c r="K75" s="14">
        <v>0</v>
      </c>
      <c r="L75" s="16">
        <v>0</v>
      </c>
      <c r="M75" s="14">
        <v>0</v>
      </c>
      <c r="N75" s="16">
        <v>0</v>
      </c>
      <c r="O75" s="14">
        <v>0</v>
      </c>
      <c r="P75" s="16">
        <v>0</v>
      </c>
      <c r="Q75" s="14">
        <v>0</v>
      </c>
      <c r="R75" s="16">
        <v>0</v>
      </c>
    </row>
    <row r="76" spans="1:18" x14ac:dyDescent="0.25">
      <c r="A76" s="11" t="s">
        <v>209</v>
      </c>
      <c r="B76" s="13">
        <v>14167</v>
      </c>
      <c r="C76" s="14">
        <f>(11813/B76*100)</f>
        <v>83.38392037834403</v>
      </c>
      <c r="D76" s="15">
        <v>2354</v>
      </c>
      <c r="E76" s="14">
        <v>14.49734329</v>
      </c>
      <c r="F76" s="16">
        <v>0.80447833999999996</v>
      </c>
      <c r="G76" s="14">
        <v>85.502656709999997</v>
      </c>
      <c r="H76" s="16">
        <v>0.80447833999999996</v>
      </c>
      <c r="I76" s="14" t="s">
        <v>139</v>
      </c>
      <c r="J76" s="16" t="s">
        <v>139</v>
      </c>
      <c r="K76" s="14">
        <v>0</v>
      </c>
      <c r="L76" s="16">
        <v>0</v>
      </c>
      <c r="M76" s="14">
        <v>0</v>
      </c>
      <c r="N76" s="16">
        <v>0</v>
      </c>
      <c r="O76" s="14">
        <v>0</v>
      </c>
      <c r="P76" s="16">
        <v>0</v>
      </c>
      <c r="Q76" s="14">
        <v>0</v>
      </c>
      <c r="R76" s="16">
        <v>0</v>
      </c>
    </row>
    <row r="77" spans="1:18" x14ac:dyDescent="0.25">
      <c r="A77" s="11" t="s">
        <v>210</v>
      </c>
      <c r="B77" s="13">
        <v>6062</v>
      </c>
      <c r="C77" s="14">
        <f>(5206/B77*100)</f>
        <v>85.879247773012196</v>
      </c>
      <c r="D77" s="15">
        <v>856</v>
      </c>
      <c r="E77" s="14">
        <v>11.79446753</v>
      </c>
      <c r="F77" s="16">
        <v>1.1911630499999999</v>
      </c>
      <c r="G77" s="14">
        <v>88.205532469999994</v>
      </c>
      <c r="H77" s="16">
        <v>1.1911630499999999</v>
      </c>
      <c r="I77" s="14" t="s">
        <v>139</v>
      </c>
      <c r="J77" s="16" t="s">
        <v>139</v>
      </c>
      <c r="K77" s="14">
        <v>0</v>
      </c>
      <c r="L77" s="16">
        <v>0</v>
      </c>
      <c r="M77" s="14">
        <v>0</v>
      </c>
      <c r="N77" s="16">
        <v>0</v>
      </c>
      <c r="O77" s="14">
        <v>0</v>
      </c>
      <c r="P77" s="16">
        <v>0</v>
      </c>
      <c r="Q77" s="14">
        <v>0</v>
      </c>
      <c r="R77" s="16">
        <v>0</v>
      </c>
    </row>
    <row r="78" spans="1:18" x14ac:dyDescent="0.25">
      <c r="A78" s="11" t="s">
        <v>211</v>
      </c>
      <c r="B78" s="17" t="s">
        <v>154</v>
      </c>
      <c r="C78" s="17" t="s">
        <v>154</v>
      </c>
      <c r="D78" s="18" t="s">
        <v>154</v>
      </c>
      <c r="E78" s="17" t="s">
        <v>154</v>
      </c>
      <c r="F78" s="18" t="s">
        <v>154</v>
      </c>
      <c r="G78" s="17" t="s">
        <v>154</v>
      </c>
      <c r="H78" s="18" t="s">
        <v>154</v>
      </c>
      <c r="I78" s="17" t="s">
        <v>154</v>
      </c>
      <c r="J78" s="18" t="s">
        <v>154</v>
      </c>
      <c r="K78" s="17" t="s">
        <v>154</v>
      </c>
      <c r="L78" s="18" t="s">
        <v>154</v>
      </c>
      <c r="M78" s="17" t="s">
        <v>154</v>
      </c>
      <c r="N78" s="18" t="s">
        <v>154</v>
      </c>
      <c r="O78" s="17" t="s">
        <v>154</v>
      </c>
      <c r="P78" s="18" t="s">
        <v>154</v>
      </c>
      <c r="Q78" s="17" t="s">
        <v>154</v>
      </c>
      <c r="R78" s="18" t="s">
        <v>154</v>
      </c>
    </row>
    <row r="79" spans="1:18" ht="24.95" customHeight="1" x14ac:dyDescent="0.25">
      <c r="A79" s="11" t="s">
        <v>212</v>
      </c>
      <c r="B79" s="17" t="s">
        <v>154</v>
      </c>
      <c r="C79" s="17" t="s">
        <v>154</v>
      </c>
      <c r="D79" s="18" t="s">
        <v>154</v>
      </c>
      <c r="E79" s="17" t="s">
        <v>154</v>
      </c>
      <c r="F79" s="18" t="s">
        <v>154</v>
      </c>
      <c r="G79" s="17" t="s">
        <v>154</v>
      </c>
      <c r="H79" s="18" t="s">
        <v>154</v>
      </c>
      <c r="I79" s="17" t="s">
        <v>154</v>
      </c>
      <c r="J79" s="18" t="s">
        <v>154</v>
      </c>
      <c r="K79" s="17" t="s">
        <v>154</v>
      </c>
      <c r="L79" s="18" t="s">
        <v>154</v>
      </c>
      <c r="M79" s="17" t="s">
        <v>154</v>
      </c>
      <c r="N79" s="18" t="s">
        <v>154</v>
      </c>
      <c r="O79" s="17" t="s">
        <v>154</v>
      </c>
      <c r="P79" s="18" t="s">
        <v>154</v>
      </c>
      <c r="Q79" s="17" t="s">
        <v>154</v>
      </c>
      <c r="R79" s="18" t="s">
        <v>154</v>
      </c>
    </row>
    <row r="80" spans="1:18" x14ac:dyDescent="0.25">
      <c r="A80" s="11" t="s">
        <v>213</v>
      </c>
      <c r="B80" s="17" t="s">
        <v>154</v>
      </c>
      <c r="C80" s="17" t="s">
        <v>154</v>
      </c>
      <c r="D80" s="18" t="s">
        <v>154</v>
      </c>
      <c r="E80" s="17" t="s">
        <v>154</v>
      </c>
      <c r="F80" s="18" t="s">
        <v>154</v>
      </c>
      <c r="G80" s="17" t="s">
        <v>154</v>
      </c>
      <c r="H80" s="18" t="s">
        <v>154</v>
      </c>
      <c r="I80" s="17" t="s">
        <v>154</v>
      </c>
      <c r="J80" s="18" t="s">
        <v>154</v>
      </c>
      <c r="K80" s="17" t="s">
        <v>154</v>
      </c>
      <c r="L80" s="18" t="s">
        <v>154</v>
      </c>
      <c r="M80" s="17" t="s">
        <v>154</v>
      </c>
      <c r="N80" s="18" t="s">
        <v>154</v>
      </c>
      <c r="O80" s="17" t="s">
        <v>154</v>
      </c>
      <c r="P80" s="18" t="s">
        <v>154</v>
      </c>
      <c r="Q80" s="17" t="s">
        <v>154</v>
      </c>
      <c r="R80" s="18" t="s">
        <v>154</v>
      </c>
    </row>
    <row r="81" spans="1:18" x14ac:dyDescent="0.25">
      <c r="A81" s="19" t="s">
        <v>214</v>
      </c>
      <c r="B81" s="13">
        <v>8861</v>
      </c>
      <c r="C81" s="14">
        <f>(7407/B81*100)</f>
        <v>83.591016815257873</v>
      </c>
      <c r="D81" s="15">
        <v>1454</v>
      </c>
      <c r="E81" s="14">
        <v>8.9716696500000008</v>
      </c>
      <c r="F81" s="16">
        <v>1.1764468699999999</v>
      </c>
      <c r="G81" s="14">
        <v>91.028330350000005</v>
      </c>
      <c r="H81" s="16">
        <v>1.1764468699999999</v>
      </c>
      <c r="I81" s="14" t="s">
        <v>139</v>
      </c>
      <c r="J81" s="16" t="s">
        <v>139</v>
      </c>
      <c r="K81" s="14">
        <v>0</v>
      </c>
      <c r="L81" s="16">
        <v>0</v>
      </c>
      <c r="M81" s="14">
        <v>0</v>
      </c>
      <c r="N81" s="16">
        <v>0</v>
      </c>
      <c r="O81" s="14">
        <v>0</v>
      </c>
      <c r="P81" s="16">
        <v>0</v>
      </c>
      <c r="Q81" s="14">
        <v>0</v>
      </c>
      <c r="R81" s="16">
        <v>0</v>
      </c>
    </row>
    <row r="82" spans="1:18" x14ac:dyDescent="0.25">
      <c r="A82" s="20"/>
      <c r="B82" s="20" t="s">
        <v>215</v>
      </c>
      <c r="C82" s="20" t="s">
        <v>215</v>
      </c>
      <c r="D82" s="20" t="s">
        <v>215</v>
      </c>
      <c r="E82" s="20" t="s">
        <v>215</v>
      </c>
      <c r="F82" s="20" t="s">
        <v>215</v>
      </c>
      <c r="G82" s="20" t="s">
        <v>215</v>
      </c>
      <c r="H82" s="20" t="s">
        <v>215</v>
      </c>
      <c r="I82" s="20" t="s">
        <v>215</v>
      </c>
      <c r="J82" s="20" t="s">
        <v>215</v>
      </c>
      <c r="K82" s="20" t="s">
        <v>215</v>
      </c>
      <c r="L82" s="20" t="s">
        <v>215</v>
      </c>
      <c r="M82" s="20" t="s">
        <v>215</v>
      </c>
      <c r="N82" s="20" t="s">
        <v>215</v>
      </c>
      <c r="O82" s="20" t="s">
        <v>215</v>
      </c>
      <c r="P82" s="20" t="s">
        <v>215</v>
      </c>
      <c r="Q82" s="20" t="s">
        <v>215</v>
      </c>
      <c r="R82" s="20" t="s">
        <v>215</v>
      </c>
    </row>
    <row r="83" spans="1:18" x14ac:dyDescent="0.25">
      <c r="A83" s="3" t="s">
        <v>216</v>
      </c>
    </row>
    <row r="84" spans="1:18" x14ac:dyDescent="0.25">
      <c r="A84" s="22" t="s">
        <v>217</v>
      </c>
      <c r="B84" s="23"/>
      <c r="C84" s="23"/>
      <c r="D84" s="23"/>
      <c r="E84" s="23"/>
      <c r="F84" s="23"/>
      <c r="G84" s="23"/>
      <c r="H84" s="23"/>
      <c r="I84" s="23"/>
      <c r="J84" s="23"/>
      <c r="K84" s="23"/>
      <c r="L84" s="23"/>
      <c r="M84" s="23"/>
      <c r="N84" s="23"/>
      <c r="O84" s="23"/>
      <c r="P84" s="23"/>
      <c r="Q84" s="23"/>
      <c r="R84" s="23"/>
    </row>
    <row r="85" spans="1:18" x14ac:dyDescent="0.25">
      <c r="A85" s="22" t="s">
        <v>218</v>
      </c>
      <c r="B85" s="23"/>
      <c r="C85" s="23"/>
      <c r="D85" s="23"/>
      <c r="E85" s="23"/>
      <c r="F85" s="23"/>
      <c r="G85" s="23"/>
      <c r="H85" s="23"/>
      <c r="I85" s="23"/>
      <c r="J85" s="23"/>
      <c r="K85" s="23"/>
      <c r="L85" s="23"/>
      <c r="M85" s="23"/>
      <c r="N85" s="23"/>
      <c r="O85" s="23"/>
      <c r="P85" s="23"/>
      <c r="Q85" s="23"/>
      <c r="R85" s="23"/>
    </row>
    <row r="86" spans="1:18" ht="30" customHeight="1" x14ac:dyDescent="0.25">
      <c r="A86" s="22" t="s">
        <v>219</v>
      </c>
      <c r="B86" s="23"/>
      <c r="C86" s="23"/>
      <c r="D86" s="23"/>
      <c r="E86" s="23"/>
      <c r="F86" s="23"/>
      <c r="G86" s="23"/>
      <c r="H86" s="23"/>
      <c r="I86" s="23"/>
      <c r="J86" s="23"/>
      <c r="K86" s="23"/>
      <c r="L86" s="23"/>
      <c r="M86" s="23"/>
      <c r="N86" s="23"/>
      <c r="O86" s="23"/>
      <c r="P86" s="23"/>
      <c r="Q86" s="23"/>
      <c r="R86" s="23"/>
    </row>
    <row r="87" spans="1:18" ht="30" customHeight="1" x14ac:dyDescent="0.25">
      <c r="A87" s="22" t="s">
        <v>215</v>
      </c>
      <c r="B87" s="23"/>
      <c r="C87" s="23"/>
      <c r="D87" s="23"/>
      <c r="E87" s="23"/>
      <c r="F87" s="23"/>
      <c r="G87" s="23"/>
      <c r="H87" s="23"/>
      <c r="I87" s="23"/>
      <c r="J87" s="23"/>
      <c r="K87" s="23"/>
      <c r="L87" s="23"/>
      <c r="M87" s="23"/>
      <c r="N87" s="23"/>
      <c r="O87" s="23"/>
      <c r="P87" s="23"/>
      <c r="Q87" s="23"/>
      <c r="R87" s="23"/>
    </row>
    <row r="88" spans="1:18" ht="30" customHeight="1" x14ac:dyDescent="0.25">
      <c r="A88" s="22" t="s">
        <v>220</v>
      </c>
      <c r="B88" s="23"/>
      <c r="C88" s="23"/>
      <c r="D88" s="23"/>
      <c r="E88" s="23"/>
      <c r="F88" s="23"/>
      <c r="G88" s="23"/>
      <c r="H88" s="23"/>
      <c r="I88" s="23"/>
      <c r="J88" s="23"/>
      <c r="K88" s="23"/>
      <c r="L88" s="23"/>
      <c r="M88" s="23"/>
      <c r="N88" s="23"/>
      <c r="O88" s="23"/>
      <c r="P88" s="23"/>
      <c r="Q88" s="23"/>
      <c r="R88" s="23"/>
    </row>
    <row r="89" spans="1:18" ht="30" customHeight="1" x14ac:dyDescent="0.25">
      <c r="A89" s="22" t="s">
        <v>221</v>
      </c>
      <c r="B89" s="23"/>
      <c r="C89" s="23"/>
      <c r="D89" s="23"/>
      <c r="E89" s="23"/>
      <c r="F89" s="23"/>
      <c r="G89" s="23"/>
      <c r="H89" s="23"/>
      <c r="I89" s="23"/>
      <c r="J89" s="23"/>
      <c r="K89" s="23"/>
      <c r="L89" s="23"/>
      <c r="M89" s="23"/>
      <c r="N89" s="23"/>
      <c r="O89" s="23"/>
      <c r="P89" s="23"/>
      <c r="Q89" s="23"/>
      <c r="R89" s="23"/>
    </row>
    <row r="90" spans="1:18" ht="30" customHeight="1" x14ac:dyDescent="0.25">
      <c r="A90" s="22" t="s">
        <v>222</v>
      </c>
      <c r="B90" s="23"/>
      <c r="C90" s="23"/>
      <c r="D90" s="23"/>
      <c r="E90" s="23"/>
      <c r="F90" s="23"/>
      <c r="G90" s="23"/>
      <c r="H90" s="23"/>
      <c r="I90" s="23"/>
      <c r="J90" s="23"/>
      <c r="K90" s="23"/>
      <c r="L90" s="23"/>
      <c r="M90" s="23"/>
      <c r="N90" s="23"/>
      <c r="O90" s="23"/>
      <c r="P90" s="23"/>
      <c r="Q90" s="23"/>
      <c r="R90" s="23"/>
    </row>
    <row r="91" spans="1:18" ht="30" customHeight="1" x14ac:dyDescent="0.25">
      <c r="A91" s="22" t="s">
        <v>223</v>
      </c>
      <c r="B91" s="23"/>
      <c r="C91" s="23"/>
      <c r="D91" s="23"/>
      <c r="E91" s="23"/>
      <c r="F91" s="23"/>
      <c r="G91" s="23"/>
      <c r="H91" s="23"/>
      <c r="I91" s="23"/>
      <c r="J91" s="23"/>
      <c r="K91" s="23"/>
      <c r="L91" s="23"/>
      <c r="M91" s="23"/>
      <c r="N91" s="23"/>
      <c r="O91" s="23"/>
      <c r="P91" s="23"/>
      <c r="Q91" s="23"/>
      <c r="R91" s="23"/>
    </row>
    <row r="92" spans="1:18" ht="30" customHeight="1" x14ac:dyDescent="0.25">
      <c r="A92" s="22" t="s">
        <v>224</v>
      </c>
      <c r="B92" s="23"/>
      <c r="C92" s="23"/>
      <c r="D92" s="23"/>
      <c r="E92" s="23"/>
      <c r="F92" s="23"/>
      <c r="G92" s="23"/>
      <c r="H92" s="23"/>
      <c r="I92" s="23"/>
      <c r="J92" s="23"/>
      <c r="K92" s="23"/>
      <c r="L92" s="23"/>
      <c r="M92" s="23"/>
      <c r="N92" s="23"/>
      <c r="O92" s="23"/>
      <c r="P92" s="23"/>
      <c r="Q92" s="23"/>
      <c r="R92" s="23"/>
    </row>
    <row r="93" spans="1:18" ht="30" customHeight="1" x14ac:dyDescent="0.25">
      <c r="A93" s="22" t="s">
        <v>225</v>
      </c>
      <c r="B93" s="23"/>
      <c r="C93" s="23"/>
      <c r="D93" s="23"/>
      <c r="E93" s="23"/>
      <c r="F93" s="23"/>
      <c r="G93" s="23"/>
      <c r="H93" s="23"/>
      <c r="I93" s="23"/>
      <c r="J93" s="23"/>
      <c r="K93" s="23"/>
      <c r="L93" s="23"/>
      <c r="M93" s="23"/>
      <c r="N93" s="23"/>
      <c r="O93" s="23"/>
      <c r="P93" s="23"/>
      <c r="Q93" s="23"/>
      <c r="R93" s="23"/>
    </row>
    <row r="94" spans="1:18" ht="30" customHeight="1" x14ac:dyDescent="0.25">
      <c r="A94" s="22" t="s">
        <v>226</v>
      </c>
      <c r="B94" s="23"/>
      <c r="C94" s="23"/>
      <c r="D94" s="23"/>
      <c r="E94" s="23"/>
      <c r="F94" s="23"/>
      <c r="G94" s="23"/>
      <c r="H94" s="23"/>
      <c r="I94" s="23"/>
      <c r="J94" s="23"/>
      <c r="K94" s="23"/>
      <c r="L94" s="23"/>
      <c r="M94" s="23"/>
      <c r="N94" s="23"/>
      <c r="O94" s="23"/>
      <c r="P94" s="23"/>
      <c r="Q94" s="23"/>
      <c r="R94" s="23"/>
    </row>
    <row r="95" spans="1:18" ht="30" customHeight="1" x14ac:dyDescent="0.25">
      <c r="A95" s="22" t="s">
        <v>227</v>
      </c>
      <c r="B95" s="23"/>
      <c r="C95" s="23"/>
      <c r="D95" s="23"/>
      <c r="E95" s="23"/>
      <c r="F95" s="23"/>
      <c r="G95" s="23"/>
      <c r="H95" s="23"/>
      <c r="I95" s="23"/>
      <c r="J95" s="23"/>
      <c r="K95" s="23"/>
      <c r="L95" s="23"/>
      <c r="M95" s="23"/>
      <c r="N95" s="23"/>
      <c r="O95" s="23"/>
      <c r="P95" s="23"/>
      <c r="Q95" s="23"/>
      <c r="R95" s="23"/>
    </row>
    <row r="96" spans="1:18" ht="30" customHeight="1" x14ac:dyDescent="0.25">
      <c r="A96" s="22" t="s">
        <v>228</v>
      </c>
      <c r="B96" s="23"/>
      <c r="C96" s="23"/>
      <c r="D96" s="23"/>
      <c r="E96" s="23"/>
      <c r="F96" s="23"/>
      <c r="G96" s="23"/>
      <c r="H96" s="23"/>
      <c r="I96" s="23"/>
      <c r="J96" s="23"/>
      <c r="K96" s="23"/>
      <c r="L96" s="23"/>
      <c r="M96" s="23"/>
      <c r="N96" s="23"/>
      <c r="O96" s="23"/>
      <c r="P96" s="23"/>
      <c r="Q96" s="23"/>
      <c r="R96" s="23"/>
    </row>
  </sheetData>
  <mergeCells count="22">
    <mergeCell ref="O4:P4"/>
    <mergeCell ref="Q4:R4"/>
    <mergeCell ref="A1:R1"/>
    <mergeCell ref="A2:R2"/>
    <mergeCell ref="A84:R84"/>
    <mergeCell ref="E4:F4"/>
    <mergeCell ref="G4:H4"/>
    <mergeCell ref="I4:J4"/>
    <mergeCell ref="K4:L4"/>
    <mergeCell ref="M4:N4"/>
    <mergeCell ref="A85:R85"/>
    <mergeCell ref="A86:R86"/>
    <mergeCell ref="A87:R87"/>
    <mergeCell ref="A88:R88"/>
    <mergeCell ref="A89:R89"/>
    <mergeCell ref="A95:R95"/>
    <mergeCell ref="A96:R96"/>
    <mergeCell ref="A90:R90"/>
    <mergeCell ref="A91:R91"/>
    <mergeCell ref="A92:R92"/>
    <mergeCell ref="A93:R93"/>
    <mergeCell ref="A94:R94"/>
  </mergeCells>
  <pageMargins left="0.75" right="0.75" top="1" bottom="1" header="0.5" footer="0.5"/>
</worksheet>
</file>

<file path=xl/worksheets/sheet1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1"/>
  <dimension ref="A1:R96"/>
  <sheetViews>
    <sheetView zoomScale="80" workbookViewId="0">
      <pane xSplit="4" topLeftCell="E1" activePane="topRight" state="frozen"/>
      <selection sqref="A1:R1"/>
      <selection pane="topRight" sqref="A1:R1"/>
    </sheetView>
  </sheetViews>
  <sheetFormatPr defaultColWidth="11.42578125" defaultRowHeight="15" x14ac:dyDescent="0.25"/>
  <cols>
    <col min="1" max="1" width="50" customWidth="1"/>
  </cols>
  <sheetData>
    <row r="1" spans="1:18" x14ac:dyDescent="0.25">
      <c r="A1" s="26" t="s">
        <v>122</v>
      </c>
      <c r="B1" s="23"/>
      <c r="C1" s="23"/>
      <c r="D1" s="23"/>
      <c r="E1" s="23"/>
      <c r="F1" s="23"/>
      <c r="G1" s="23"/>
      <c r="H1" s="23"/>
      <c r="I1" s="23"/>
      <c r="J1" s="23"/>
      <c r="K1" s="23"/>
      <c r="L1" s="23"/>
      <c r="M1" s="23"/>
      <c r="N1" s="23"/>
      <c r="O1" s="23"/>
      <c r="P1" s="23"/>
      <c r="Q1" s="23"/>
      <c r="R1" s="23"/>
    </row>
    <row r="2" spans="1:18" x14ac:dyDescent="0.25">
      <c r="A2" s="27" t="s">
        <v>357</v>
      </c>
      <c r="B2" s="23"/>
      <c r="C2" s="23"/>
      <c r="D2" s="23"/>
      <c r="E2" s="23"/>
      <c r="F2" s="23"/>
      <c r="G2" s="23"/>
      <c r="H2" s="23"/>
      <c r="I2" s="23"/>
      <c r="J2" s="23"/>
      <c r="K2" s="23"/>
      <c r="L2" s="23"/>
      <c r="M2" s="23"/>
      <c r="N2" s="23"/>
      <c r="O2" s="23"/>
      <c r="P2" s="23"/>
      <c r="Q2" s="23"/>
      <c r="R2" s="23"/>
    </row>
    <row r="4" spans="1:18" ht="30" customHeight="1" x14ac:dyDescent="0.25">
      <c r="A4" s="4"/>
      <c r="B4" s="5" t="s">
        <v>123</v>
      </c>
      <c r="C4" s="5" t="s">
        <v>124</v>
      </c>
      <c r="D4" s="6" t="s">
        <v>123</v>
      </c>
      <c r="E4" s="24" t="s">
        <v>125</v>
      </c>
      <c r="F4" s="25"/>
      <c r="G4" s="24" t="s">
        <v>126</v>
      </c>
      <c r="H4" s="25"/>
      <c r="I4" s="24" t="s">
        <v>127</v>
      </c>
      <c r="J4" s="25"/>
      <c r="K4" s="24" t="s">
        <v>128</v>
      </c>
      <c r="L4" s="25"/>
      <c r="M4" s="24" t="s">
        <v>129</v>
      </c>
      <c r="N4" s="25"/>
      <c r="O4" s="24" t="s">
        <v>130</v>
      </c>
      <c r="P4" s="25"/>
      <c r="Q4" s="24" t="s">
        <v>131</v>
      </c>
      <c r="R4" s="25"/>
    </row>
    <row r="5" spans="1:18" x14ac:dyDescent="0.25">
      <c r="A5" s="7"/>
      <c r="B5" s="8" t="s">
        <v>132</v>
      </c>
      <c r="C5" s="8" t="s">
        <v>133</v>
      </c>
      <c r="D5" s="7" t="s">
        <v>134</v>
      </c>
      <c r="E5" s="8" t="s">
        <v>135</v>
      </c>
      <c r="F5" s="7" t="s">
        <v>136</v>
      </c>
      <c r="G5" s="8" t="s">
        <v>135</v>
      </c>
      <c r="H5" s="7" t="s">
        <v>136</v>
      </c>
      <c r="I5" s="8" t="s">
        <v>135</v>
      </c>
      <c r="J5" s="7" t="s">
        <v>136</v>
      </c>
      <c r="K5" s="8" t="s">
        <v>135</v>
      </c>
      <c r="L5" s="7" t="s">
        <v>136</v>
      </c>
      <c r="M5" s="8" t="s">
        <v>135</v>
      </c>
      <c r="N5" s="7" t="s">
        <v>136</v>
      </c>
      <c r="O5" s="8" t="s">
        <v>135</v>
      </c>
      <c r="P5" s="7" t="s">
        <v>136</v>
      </c>
      <c r="Q5" s="8" t="s">
        <v>135</v>
      </c>
      <c r="R5" s="7" t="s">
        <v>136</v>
      </c>
    </row>
    <row r="6" spans="1:18" x14ac:dyDescent="0.25">
      <c r="A6" s="9" t="s">
        <v>137</v>
      </c>
      <c r="B6" s="10"/>
      <c r="C6" s="10"/>
      <c r="D6" s="11"/>
      <c r="E6" s="10"/>
      <c r="F6" s="11"/>
      <c r="G6" s="10"/>
      <c r="H6" s="11"/>
      <c r="I6" s="10"/>
      <c r="J6" s="11"/>
      <c r="K6" s="10"/>
      <c r="L6" s="11"/>
      <c r="M6" s="10"/>
      <c r="N6" s="11"/>
      <c r="O6" s="10"/>
      <c r="P6" s="11"/>
      <c r="Q6" s="10"/>
      <c r="R6" s="12"/>
    </row>
    <row r="7" spans="1:18" x14ac:dyDescent="0.25">
      <c r="A7" s="11" t="s">
        <v>138</v>
      </c>
      <c r="B7" s="13">
        <v>14530</v>
      </c>
      <c r="C7" s="14">
        <f>(12325/B7*100)</f>
        <v>84.824501032346859</v>
      </c>
      <c r="D7" s="15">
        <v>2205</v>
      </c>
      <c r="E7" s="14">
        <v>72.1978048</v>
      </c>
      <c r="F7" s="16">
        <v>1.45253151</v>
      </c>
      <c r="G7" s="14">
        <v>27.8021952</v>
      </c>
      <c r="H7" s="16">
        <v>1.45253151</v>
      </c>
      <c r="I7" s="14" t="s">
        <v>139</v>
      </c>
      <c r="J7" s="16" t="s">
        <v>139</v>
      </c>
      <c r="K7" s="14">
        <v>0</v>
      </c>
      <c r="L7" s="16">
        <v>0</v>
      </c>
      <c r="M7" s="14">
        <v>0</v>
      </c>
      <c r="N7" s="16">
        <v>0</v>
      </c>
      <c r="O7" s="14">
        <v>0</v>
      </c>
      <c r="P7" s="16">
        <v>0</v>
      </c>
      <c r="Q7" s="14">
        <v>0</v>
      </c>
      <c r="R7" s="16">
        <v>0</v>
      </c>
    </row>
    <row r="8" spans="1:18" x14ac:dyDescent="0.25">
      <c r="A8" s="11" t="s">
        <v>140</v>
      </c>
      <c r="B8" s="13">
        <v>7007</v>
      </c>
      <c r="C8" s="14">
        <f>(5896/B8*100)</f>
        <v>84.144427001569852</v>
      </c>
      <c r="D8" s="15">
        <v>1111</v>
      </c>
      <c r="E8" s="14">
        <v>65.444978879999994</v>
      </c>
      <c r="F8" s="16">
        <v>1.3443793799999999</v>
      </c>
      <c r="G8" s="14">
        <v>34.555021119999999</v>
      </c>
      <c r="H8" s="16">
        <v>1.3443793799999999</v>
      </c>
      <c r="I8" s="14" t="s">
        <v>139</v>
      </c>
      <c r="J8" s="16" t="s">
        <v>139</v>
      </c>
      <c r="K8" s="14">
        <v>0</v>
      </c>
      <c r="L8" s="16">
        <v>0</v>
      </c>
      <c r="M8" s="14">
        <v>0</v>
      </c>
      <c r="N8" s="16">
        <v>0</v>
      </c>
      <c r="O8" s="14">
        <v>0</v>
      </c>
      <c r="P8" s="16">
        <v>0</v>
      </c>
      <c r="Q8" s="14">
        <v>0</v>
      </c>
      <c r="R8" s="16">
        <v>0</v>
      </c>
    </row>
    <row r="9" spans="1:18" x14ac:dyDescent="0.25">
      <c r="A9" s="11" t="s">
        <v>141</v>
      </c>
      <c r="B9" s="13">
        <v>9651</v>
      </c>
      <c r="C9" s="14">
        <f>(8253/B9*100)</f>
        <v>85.514454460677641</v>
      </c>
      <c r="D9" s="15">
        <v>1398</v>
      </c>
      <c r="E9" s="14">
        <v>68.315754319999996</v>
      </c>
      <c r="F9" s="16">
        <v>1.4304701500000001</v>
      </c>
      <c r="G9" s="14">
        <v>31.68424568</v>
      </c>
      <c r="H9" s="16">
        <v>1.4304701500000001</v>
      </c>
      <c r="I9" s="14" t="s">
        <v>139</v>
      </c>
      <c r="J9" s="16" t="s">
        <v>139</v>
      </c>
      <c r="K9" s="14">
        <v>0</v>
      </c>
      <c r="L9" s="16">
        <v>0</v>
      </c>
      <c r="M9" s="14">
        <v>0</v>
      </c>
      <c r="N9" s="16">
        <v>0</v>
      </c>
      <c r="O9" s="14">
        <v>0</v>
      </c>
      <c r="P9" s="16">
        <v>0</v>
      </c>
      <c r="Q9" s="14">
        <v>0</v>
      </c>
      <c r="R9" s="16">
        <v>0</v>
      </c>
    </row>
    <row r="10" spans="1:18" x14ac:dyDescent="0.25">
      <c r="A10" s="11" t="s">
        <v>142</v>
      </c>
      <c r="B10" s="13">
        <v>20058</v>
      </c>
      <c r="C10" s="14">
        <f>(16810/B10*100)</f>
        <v>83.806959816532057</v>
      </c>
      <c r="D10" s="15">
        <v>3248</v>
      </c>
      <c r="E10" s="14">
        <v>70.342307050000002</v>
      </c>
      <c r="F10" s="16">
        <v>1.3587311399999999</v>
      </c>
      <c r="G10" s="14">
        <v>29.657692950000001</v>
      </c>
      <c r="H10" s="16">
        <v>1.3587311399999999</v>
      </c>
      <c r="I10" s="14" t="s">
        <v>139</v>
      </c>
      <c r="J10" s="16" t="s">
        <v>139</v>
      </c>
      <c r="K10" s="14">
        <v>0</v>
      </c>
      <c r="L10" s="16">
        <v>0</v>
      </c>
      <c r="M10" s="14">
        <v>0</v>
      </c>
      <c r="N10" s="16">
        <v>0</v>
      </c>
      <c r="O10" s="14">
        <v>0</v>
      </c>
      <c r="P10" s="16">
        <v>0</v>
      </c>
      <c r="Q10" s="14">
        <v>0</v>
      </c>
      <c r="R10" s="16">
        <v>0</v>
      </c>
    </row>
    <row r="11" spans="1:18" x14ac:dyDescent="0.25">
      <c r="A11" s="11" t="s">
        <v>143</v>
      </c>
      <c r="B11" s="13">
        <v>7053</v>
      </c>
      <c r="C11" s="14">
        <f>(6022/B11*100)</f>
        <v>85.382106904863178</v>
      </c>
      <c r="D11" s="15">
        <v>1031</v>
      </c>
      <c r="E11" s="14">
        <v>81.79698879</v>
      </c>
      <c r="F11" s="16">
        <v>1.2335128200000001</v>
      </c>
      <c r="G11" s="14">
        <v>18.20301121</v>
      </c>
      <c r="H11" s="16">
        <v>1.2335128200000001</v>
      </c>
      <c r="I11" s="14" t="s">
        <v>139</v>
      </c>
      <c r="J11" s="16" t="s">
        <v>139</v>
      </c>
      <c r="K11" s="14">
        <v>0</v>
      </c>
      <c r="L11" s="16">
        <v>0</v>
      </c>
      <c r="M11" s="14">
        <v>0</v>
      </c>
      <c r="N11" s="16">
        <v>0</v>
      </c>
      <c r="O11" s="14">
        <v>0</v>
      </c>
      <c r="P11" s="16">
        <v>0</v>
      </c>
      <c r="Q11" s="14">
        <v>0</v>
      </c>
      <c r="R11" s="16">
        <v>0</v>
      </c>
    </row>
    <row r="12" spans="1:18" x14ac:dyDescent="0.25">
      <c r="A12" s="11" t="s">
        <v>144</v>
      </c>
      <c r="B12" s="13">
        <v>6894</v>
      </c>
      <c r="C12" s="14">
        <f>(5848/B12*100)</f>
        <v>84.827386132869165</v>
      </c>
      <c r="D12" s="15">
        <v>1046</v>
      </c>
      <c r="E12" s="14">
        <v>69.774463440000005</v>
      </c>
      <c r="F12" s="16">
        <v>1.3763547599999999</v>
      </c>
      <c r="G12" s="14">
        <v>30.225536559999998</v>
      </c>
      <c r="H12" s="16">
        <v>1.3763547599999999</v>
      </c>
      <c r="I12" s="14" t="s">
        <v>139</v>
      </c>
      <c r="J12" s="16" t="s">
        <v>139</v>
      </c>
      <c r="K12" s="14">
        <v>0</v>
      </c>
      <c r="L12" s="16">
        <v>0</v>
      </c>
      <c r="M12" s="14">
        <v>0</v>
      </c>
      <c r="N12" s="16">
        <v>0</v>
      </c>
      <c r="O12" s="14">
        <v>0</v>
      </c>
      <c r="P12" s="16">
        <v>0</v>
      </c>
      <c r="Q12" s="14">
        <v>0</v>
      </c>
      <c r="R12" s="16">
        <v>0</v>
      </c>
    </row>
    <row r="13" spans="1:18" x14ac:dyDescent="0.25">
      <c r="A13" s="11" t="s">
        <v>145</v>
      </c>
      <c r="B13" s="13">
        <v>7161</v>
      </c>
      <c r="C13" s="14">
        <f>(6121/B13*100)</f>
        <v>85.476888702695149</v>
      </c>
      <c r="D13" s="15">
        <v>1040</v>
      </c>
      <c r="E13" s="14">
        <v>65.457252060000002</v>
      </c>
      <c r="F13" s="16">
        <v>1.77717178</v>
      </c>
      <c r="G13" s="14">
        <v>34.542747939999998</v>
      </c>
      <c r="H13" s="16">
        <v>1.77717178</v>
      </c>
      <c r="I13" s="14" t="s">
        <v>139</v>
      </c>
      <c r="J13" s="16" t="s">
        <v>139</v>
      </c>
      <c r="K13" s="14">
        <v>0</v>
      </c>
      <c r="L13" s="16">
        <v>0</v>
      </c>
      <c r="M13" s="14">
        <v>0</v>
      </c>
      <c r="N13" s="16">
        <v>0</v>
      </c>
      <c r="O13" s="14">
        <v>0</v>
      </c>
      <c r="P13" s="16">
        <v>0</v>
      </c>
      <c r="Q13" s="14">
        <v>0</v>
      </c>
      <c r="R13" s="16">
        <v>0</v>
      </c>
    </row>
    <row r="14" spans="1:18" x14ac:dyDescent="0.25">
      <c r="A14" s="11" t="s">
        <v>146</v>
      </c>
      <c r="B14" s="13">
        <v>5587</v>
      </c>
      <c r="C14" s="14">
        <f>(4686/B14*100)</f>
        <v>83.873277250760694</v>
      </c>
      <c r="D14" s="15">
        <v>901</v>
      </c>
      <c r="E14" s="14">
        <v>56.925827689999998</v>
      </c>
      <c r="F14" s="16">
        <v>1.69678591</v>
      </c>
      <c r="G14" s="14">
        <v>43.074172310000002</v>
      </c>
      <c r="H14" s="16">
        <v>1.69678591</v>
      </c>
      <c r="I14" s="14" t="s">
        <v>139</v>
      </c>
      <c r="J14" s="16" t="s">
        <v>139</v>
      </c>
      <c r="K14" s="14">
        <v>0</v>
      </c>
      <c r="L14" s="16">
        <v>0</v>
      </c>
      <c r="M14" s="14">
        <v>0</v>
      </c>
      <c r="N14" s="16">
        <v>0</v>
      </c>
      <c r="O14" s="14">
        <v>0</v>
      </c>
      <c r="P14" s="16">
        <v>0</v>
      </c>
      <c r="Q14" s="14">
        <v>0</v>
      </c>
      <c r="R14" s="16">
        <v>0</v>
      </c>
    </row>
    <row r="15" spans="1:18" x14ac:dyDescent="0.25">
      <c r="A15" s="11" t="s">
        <v>147</v>
      </c>
      <c r="B15" s="13">
        <v>5882</v>
      </c>
      <c r="C15" s="14">
        <f>(4935/B15*100)</f>
        <v>83.90003400204013</v>
      </c>
      <c r="D15" s="15">
        <v>947</v>
      </c>
      <c r="E15" s="14">
        <v>64.298384999999996</v>
      </c>
      <c r="F15" s="16">
        <v>1.34842869</v>
      </c>
      <c r="G15" s="14">
        <v>35.701614999999997</v>
      </c>
      <c r="H15" s="16">
        <v>1.34842869</v>
      </c>
      <c r="I15" s="14" t="s">
        <v>139</v>
      </c>
      <c r="J15" s="16" t="s">
        <v>139</v>
      </c>
      <c r="K15" s="14">
        <v>0</v>
      </c>
      <c r="L15" s="16">
        <v>0</v>
      </c>
      <c r="M15" s="14">
        <v>0</v>
      </c>
      <c r="N15" s="16">
        <v>0</v>
      </c>
      <c r="O15" s="14">
        <v>0</v>
      </c>
      <c r="P15" s="16">
        <v>0</v>
      </c>
      <c r="Q15" s="14">
        <v>0</v>
      </c>
      <c r="R15" s="16">
        <v>0</v>
      </c>
    </row>
    <row r="16" spans="1:18" x14ac:dyDescent="0.25">
      <c r="A16" s="11" t="s">
        <v>148</v>
      </c>
      <c r="B16" s="13">
        <v>6108</v>
      </c>
      <c r="C16" s="14">
        <f>(5171/B16*100)</f>
        <v>84.659462999345124</v>
      </c>
      <c r="D16" s="15">
        <v>937</v>
      </c>
      <c r="E16" s="14">
        <v>75.675844089999998</v>
      </c>
      <c r="F16" s="16">
        <v>1.2438592100000001</v>
      </c>
      <c r="G16" s="14">
        <v>24.324155910000002</v>
      </c>
      <c r="H16" s="16">
        <v>1.2438592100000001</v>
      </c>
      <c r="I16" s="14" t="s">
        <v>139</v>
      </c>
      <c r="J16" s="16" t="s">
        <v>139</v>
      </c>
      <c r="K16" s="14">
        <v>0</v>
      </c>
      <c r="L16" s="16">
        <v>0</v>
      </c>
      <c r="M16" s="14">
        <v>0</v>
      </c>
      <c r="N16" s="16">
        <v>0</v>
      </c>
      <c r="O16" s="14">
        <v>0</v>
      </c>
      <c r="P16" s="16">
        <v>0</v>
      </c>
      <c r="Q16" s="14">
        <v>0</v>
      </c>
      <c r="R16" s="16">
        <v>0</v>
      </c>
    </row>
    <row r="17" spans="1:18" x14ac:dyDescent="0.25">
      <c r="A17" s="11" t="s">
        <v>149</v>
      </c>
      <c r="B17" s="13">
        <v>6504</v>
      </c>
      <c r="C17" s="14">
        <f>(5522/B17*100)</f>
        <v>84.901599015990158</v>
      </c>
      <c r="D17" s="15">
        <v>982</v>
      </c>
      <c r="E17" s="14">
        <v>69.043485739999994</v>
      </c>
      <c r="F17" s="16">
        <v>1.6930692300000001</v>
      </c>
      <c r="G17" s="14">
        <v>30.956514259999999</v>
      </c>
      <c r="H17" s="16">
        <v>1.6930692300000001</v>
      </c>
      <c r="I17" s="14" t="s">
        <v>139</v>
      </c>
      <c r="J17" s="16" t="s">
        <v>139</v>
      </c>
      <c r="K17" s="14">
        <v>0</v>
      </c>
      <c r="L17" s="16">
        <v>0</v>
      </c>
      <c r="M17" s="14">
        <v>0</v>
      </c>
      <c r="N17" s="16">
        <v>0</v>
      </c>
      <c r="O17" s="14">
        <v>0</v>
      </c>
      <c r="P17" s="16">
        <v>0</v>
      </c>
      <c r="Q17" s="14">
        <v>0</v>
      </c>
      <c r="R17" s="16">
        <v>0</v>
      </c>
    </row>
    <row r="18" spans="1:18" x14ac:dyDescent="0.25">
      <c r="A18" s="11" t="s">
        <v>150</v>
      </c>
      <c r="B18" s="13">
        <v>5532</v>
      </c>
      <c r="C18" s="14">
        <f>(4619/B18*100)</f>
        <v>83.496023138105571</v>
      </c>
      <c r="D18" s="15">
        <v>913</v>
      </c>
      <c r="E18" s="14">
        <v>70.676119659999998</v>
      </c>
      <c r="F18" s="16">
        <v>1.69455366</v>
      </c>
      <c r="G18" s="14">
        <v>29.323880339999999</v>
      </c>
      <c r="H18" s="16">
        <v>1.69455366</v>
      </c>
      <c r="I18" s="14" t="s">
        <v>139</v>
      </c>
      <c r="J18" s="16" t="s">
        <v>139</v>
      </c>
      <c r="K18" s="14">
        <v>0</v>
      </c>
      <c r="L18" s="16">
        <v>0</v>
      </c>
      <c r="M18" s="14">
        <v>0</v>
      </c>
      <c r="N18" s="16">
        <v>0</v>
      </c>
      <c r="O18" s="14">
        <v>0</v>
      </c>
      <c r="P18" s="16">
        <v>0</v>
      </c>
      <c r="Q18" s="14">
        <v>0</v>
      </c>
      <c r="R18" s="16">
        <v>0</v>
      </c>
    </row>
    <row r="19" spans="1:18" x14ac:dyDescent="0.25">
      <c r="A19" s="11" t="s">
        <v>151</v>
      </c>
      <c r="B19" s="13">
        <v>5658</v>
      </c>
      <c r="C19" s="14">
        <f>(4818/B19*100)</f>
        <v>85.153764581124065</v>
      </c>
      <c r="D19" s="15">
        <v>840</v>
      </c>
      <c r="E19" s="14">
        <v>77.025530180000004</v>
      </c>
      <c r="F19" s="16">
        <v>1.55349581</v>
      </c>
      <c r="G19" s="14">
        <v>22.974469819999999</v>
      </c>
      <c r="H19" s="16">
        <v>1.55349581</v>
      </c>
      <c r="I19" s="14" t="s">
        <v>139</v>
      </c>
      <c r="J19" s="16" t="s">
        <v>139</v>
      </c>
      <c r="K19" s="14">
        <v>0</v>
      </c>
      <c r="L19" s="16">
        <v>0</v>
      </c>
      <c r="M19" s="14">
        <v>0</v>
      </c>
      <c r="N19" s="16">
        <v>0</v>
      </c>
      <c r="O19" s="14">
        <v>0</v>
      </c>
      <c r="P19" s="16">
        <v>0</v>
      </c>
      <c r="Q19" s="14">
        <v>0</v>
      </c>
      <c r="R19" s="16">
        <v>0</v>
      </c>
    </row>
    <row r="20" spans="1:18" x14ac:dyDescent="0.25">
      <c r="A20" s="11" t="s">
        <v>152</v>
      </c>
      <c r="B20" s="13">
        <v>3371</v>
      </c>
      <c r="C20" s="14">
        <f>(2853/B20*100)</f>
        <v>84.633639869474933</v>
      </c>
      <c r="D20" s="15">
        <v>518</v>
      </c>
      <c r="E20" s="14">
        <v>66.96564042</v>
      </c>
      <c r="F20" s="16">
        <v>2.0808677599999998</v>
      </c>
      <c r="G20" s="14">
        <v>33.03435958</v>
      </c>
      <c r="H20" s="16">
        <v>2.0808677599999998</v>
      </c>
      <c r="I20" s="14" t="s">
        <v>139</v>
      </c>
      <c r="J20" s="16" t="s">
        <v>139</v>
      </c>
      <c r="K20" s="14">
        <v>0</v>
      </c>
      <c r="L20" s="16">
        <v>0</v>
      </c>
      <c r="M20" s="14">
        <v>0</v>
      </c>
      <c r="N20" s="16">
        <v>0</v>
      </c>
      <c r="O20" s="14">
        <v>0</v>
      </c>
      <c r="P20" s="16">
        <v>0</v>
      </c>
      <c r="Q20" s="14">
        <v>0</v>
      </c>
      <c r="R20" s="16">
        <v>0</v>
      </c>
    </row>
    <row r="21" spans="1:18" x14ac:dyDescent="0.25">
      <c r="A21" s="11" t="s">
        <v>153</v>
      </c>
      <c r="B21" s="17" t="s">
        <v>154</v>
      </c>
      <c r="C21" s="17" t="s">
        <v>154</v>
      </c>
      <c r="D21" s="18" t="s">
        <v>154</v>
      </c>
      <c r="E21" s="17" t="s">
        <v>154</v>
      </c>
      <c r="F21" s="18" t="s">
        <v>154</v>
      </c>
      <c r="G21" s="17" t="s">
        <v>154</v>
      </c>
      <c r="H21" s="18" t="s">
        <v>154</v>
      </c>
      <c r="I21" s="17" t="s">
        <v>154</v>
      </c>
      <c r="J21" s="18" t="s">
        <v>154</v>
      </c>
      <c r="K21" s="17" t="s">
        <v>154</v>
      </c>
      <c r="L21" s="18" t="s">
        <v>154</v>
      </c>
      <c r="M21" s="17" t="s">
        <v>154</v>
      </c>
      <c r="N21" s="18" t="s">
        <v>154</v>
      </c>
      <c r="O21" s="17" t="s">
        <v>154</v>
      </c>
      <c r="P21" s="18" t="s">
        <v>154</v>
      </c>
      <c r="Q21" s="17" t="s">
        <v>154</v>
      </c>
      <c r="R21" s="18" t="s">
        <v>154</v>
      </c>
    </row>
    <row r="22" spans="1:18" x14ac:dyDescent="0.25">
      <c r="A22" s="11" t="s">
        <v>155</v>
      </c>
      <c r="B22" s="13">
        <v>6598</v>
      </c>
      <c r="C22" s="14">
        <f>(5650/B22*100)</f>
        <v>85.632009699909062</v>
      </c>
      <c r="D22" s="15">
        <v>948</v>
      </c>
      <c r="E22" s="14">
        <v>72.587591639999999</v>
      </c>
      <c r="F22" s="16">
        <v>1.64780068</v>
      </c>
      <c r="G22" s="14">
        <v>27.412408360000001</v>
      </c>
      <c r="H22" s="16">
        <v>1.64780068</v>
      </c>
      <c r="I22" s="14" t="s">
        <v>139</v>
      </c>
      <c r="J22" s="16" t="s">
        <v>139</v>
      </c>
      <c r="K22" s="14">
        <v>0</v>
      </c>
      <c r="L22" s="16">
        <v>0</v>
      </c>
      <c r="M22" s="14">
        <v>0</v>
      </c>
      <c r="N22" s="16">
        <v>0</v>
      </c>
      <c r="O22" s="14">
        <v>0</v>
      </c>
      <c r="P22" s="16">
        <v>0</v>
      </c>
      <c r="Q22" s="14">
        <v>0</v>
      </c>
      <c r="R22" s="16">
        <v>0</v>
      </c>
    </row>
    <row r="23" spans="1:18" x14ac:dyDescent="0.25">
      <c r="A23" s="11" t="s">
        <v>156</v>
      </c>
      <c r="B23" s="13">
        <v>11583</v>
      </c>
      <c r="C23" s="14">
        <f>(9705/B23*100)</f>
        <v>83.78658378658379</v>
      </c>
      <c r="D23" s="15">
        <v>1878</v>
      </c>
      <c r="E23" s="14">
        <v>70.847705730000001</v>
      </c>
      <c r="F23" s="16">
        <v>1.4992791599999999</v>
      </c>
      <c r="G23" s="14">
        <v>29.152294269999999</v>
      </c>
      <c r="H23" s="16">
        <v>1.4992791599999999</v>
      </c>
      <c r="I23" s="14" t="s">
        <v>139</v>
      </c>
      <c r="J23" s="16" t="s">
        <v>139</v>
      </c>
      <c r="K23" s="14">
        <v>0</v>
      </c>
      <c r="L23" s="16">
        <v>0</v>
      </c>
      <c r="M23" s="14">
        <v>0</v>
      </c>
      <c r="N23" s="16">
        <v>0</v>
      </c>
      <c r="O23" s="14">
        <v>0</v>
      </c>
      <c r="P23" s="16">
        <v>0</v>
      </c>
      <c r="Q23" s="14">
        <v>0</v>
      </c>
      <c r="R23" s="16">
        <v>0</v>
      </c>
    </row>
    <row r="24" spans="1:18" x14ac:dyDescent="0.25">
      <c r="A24" s="11" t="s">
        <v>157</v>
      </c>
      <c r="B24" s="13">
        <v>6647</v>
      </c>
      <c r="C24" s="14">
        <f>(5570/B24*100)</f>
        <v>83.797201745148186</v>
      </c>
      <c r="D24" s="15">
        <v>1077</v>
      </c>
      <c r="E24" s="14">
        <v>59.842696009999997</v>
      </c>
      <c r="F24" s="16">
        <v>1.75115394</v>
      </c>
      <c r="G24" s="14">
        <v>40.157303990000003</v>
      </c>
      <c r="H24" s="16">
        <v>1.75115394</v>
      </c>
      <c r="I24" s="14" t="s">
        <v>139</v>
      </c>
      <c r="J24" s="16" t="s">
        <v>139</v>
      </c>
      <c r="K24" s="14">
        <v>0</v>
      </c>
      <c r="L24" s="16">
        <v>0</v>
      </c>
      <c r="M24" s="14">
        <v>0</v>
      </c>
      <c r="N24" s="16">
        <v>0</v>
      </c>
      <c r="O24" s="14">
        <v>0</v>
      </c>
      <c r="P24" s="16">
        <v>0</v>
      </c>
      <c r="Q24" s="14">
        <v>0</v>
      </c>
      <c r="R24" s="16">
        <v>0</v>
      </c>
    </row>
    <row r="25" spans="1:18" x14ac:dyDescent="0.25">
      <c r="A25" s="11" t="s">
        <v>158</v>
      </c>
      <c r="B25" s="13">
        <v>5581</v>
      </c>
      <c r="C25" s="14">
        <f>(4626/B25*100)</f>
        <v>82.888371259630887</v>
      </c>
      <c r="D25" s="15">
        <v>955</v>
      </c>
      <c r="E25" s="14">
        <v>65.122823650000001</v>
      </c>
      <c r="F25" s="16">
        <v>1.7122026400000001</v>
      </c>
      <c r="G25" s="14">
        <v>34.877176349999999</v>
      </c>
      <c r="H25" s="16">
        <v>1.7122026400000001</v>
      </c>
      <c r="I25" s="14" t="s">
        <v>139</v>
      </c>
      <c r="J25" s="16" t="s">
        <v>139</v>
      </c>
      <c r="K25" s="14">
        <v>0</v>
      </c>
      <c r="L25" s="16">
        <v>0</v>
      </c>
      <c r="M25" s="14">
        <v>0</v>
      </c>
      <c r="N25" s="16">
        <v>0</v>
      </c>
      <c r="O25" s="14">
        <v>0</v>
      </c>
      <c r="P25" s="16">
        <v>0</v>
      </c>
      <c r="Q25" s="14">
        <v>0</v>
      </c>
      <c r="R25" s="16">
        <v>0</v>
      </c>
    </row>
    <row r="26" spans="1:18" x14ac:dyDescent="0.25">
      <c r="A26" s="11" t="s">
        <v>159</v>
      </c>
      <c r="B26" s="13">
        <v>4869</v>
      </c>
      <c r="C26" s="14">
        <f>(4074/B26*100)</f>
        <v>83.672211953173132</v>
      </c>
      <c r="D26" s="15">
        <v>795</v>
      </c>
      <c r="E26" s="14">
        <v>73.250669860000002</v>
      </c>
      <c r="F26" s="16">
        <v>1.89863998</v>
      </c>
      <c r="G26" s="14">
        <v>26.749330140000001</v>
      </c>
      <c r="H26" s="16">
        <v>1.89863998</v>
      </c>
      <c r="I26" s="14" t="s">
        <v>139</v>
      </c>
      <c r="J26" s="16" t="s">
        <v>139</v>
      </c>
      <c r="K26" s="14">
        <v>0</v>
      </c>
      <c r="L26" s="16">
        <v>0</v>
      </c>
      <c r="M26" s="14">
        <v>0</v>
      </c>
      <c r="N26" s="16">
        <v>0</v>
      </c>
      <c r="O26" s="14">
        <v>0</v>
      </c>
      <c r="P26" s="16">
        <v>0</v>
      </c>
      <c r="Q26" s="14">
        <v>0</v>
      </c>
      <c r="R26" s="16">
        <v>0</v>
      </c>
    </row>
    <row r="27" spans="1:18" x14ac:dyDescent="0.25">
      <c r="A27" s="11" t="s">
        <v>160</v>
      </c>
      <c r="B27" s="13">
        <v>5299</v>
      </c>
      <c r="C27" s="14">
        <f>(4519/B27*100)</f>
        <v>85.280241555010377</v>
      </c>
      <c r="D27" s="15">
        <v>780</v>
      </c>
      <c r="E27" s="14">
        <v>73.038395890000004</v>
      </c>
      <c r="F27" s="16">
        <v>1.29071333</v>
      </c>
      <c r="G27" s="14">
        <v>26.96160411</v>
      </c>
      <c r="H27" s="16">
        <v>1.29071333</v>
      </c>
      <c r="I27" s="14" t="s">
        <v>139</v>
      </c>
      <c r="J27" s="16" t="s">
        <v>139</v>
      </c>
      <c r="K27" s="14">
        <v>0</v>
      </c>
      <c r="L27" s="16">
        <v>0</v>
      </c>
      <c r="M27" s="14">
        <v>0</v>
      </c>
      <c r="N27" s="16">
        <v>0</v>
      </c>
      <c r="O27" s="14">
        <v>0</v>
      </c>
      <c r="P27" s="16">
        <v>0</v>
      </c>
      <c r="Q27" s="14">
        <v>0</v>
      </c>
      <c r="R27" s="16">
        <v>0</v>
      </c>
    </row>
    <row r="28" spans="1:18" x14ac:dyDescent="0.25">
      <c r="A28" s="11" t="s">
        <v>161</v>
      </c>
      <c r="B28" s="13">
        <v>7568</v>
      </c>
      <c r="C28" s="14">
        <f>(6548/B28*100)</f>
        <v>86.522198731501049</v>
      </c>
      <c r="D28" s="15">
        <v>1020</v>
      </c>
      <c r="E28" s="14">
        <v>84.287489800000003</v>
      </c>
      <c r="F28" s="16">
        <v>1.3796380699999999</v>
      </c>
      <c r="G28" s="14">
        <v>15.712510200000001</v>
      </c>
      <c r="H28" s="16">
        <v>1.3796380699999999</v>
      </c>
      <c r="I28" s="14" t="s">
        <v>139</v>
      </c>
      <c r="J28" s="16" t="s">
        <v>139</v>
      </c>
      <c r="K28" s="14">
        <v>0</v>
      </c>
      <c r="L28" s="16">
        <v>0</v>
      </c>
      <c r="M28" s="14">
        <v>0</v>
      </c>
      <c r="N28" s="16">
        <v>0</v>
      </c>
      <c r="O28" s="14">
        <v>0</v>
      </c>
      <c r="P28" s="16">
        <v>0</v>
      </c>
      <c r="Q28" s="14">
        <v>0</v>
      </c>
      <c r="R28" s="16">
        <v>0</v>
      </c>
    </row>
    <row r="29" spans="1:18" x14ac:dyDescent="0.25">
      <c r="A29" s="11" t="s">
        <v>162</v>
      </c>
      <c r="B29" s="13">
        <v>5385</v>
      </c>
      <c r="C29" s="14">
        <f>(4502/B29*100)</f>
        <v>83.602599814298983</v>
      </c>
      <c r="D29" s="15">
        <v>883</v>
      </c>
      <c r="E29" s="14">
        <v>54.539235089999998</v>
      </c>
      <c r="F29" s="16">
        <v>1.8861129800000001</v>
      </c>
      <c r="G29" s="14">
        <v>45.460764910000002</v>
      </c>
      <c r="H29" s="16">
        <v>1.8861129800000001</v>
      </c>
      <c r="I29" s="14" t="s">
        <v>139</v>
      </c>
      <c r="J29" s="16" t="s">
        <v>139</v>
      </c>
      <c r="K29" s="14">
        <v>0</v>
      </c>
      <c r="L29" s="16">
        <v>0</v>
      </c>
      <c r="M29" s="14">
        <v>0</v>
      </c>
      <c r="N29" s="16">
        <v>0</v>
      </c>
      <c r="O29" s="14">
        <v>0</v>
      </c>
      <c r="P29" s="16">
        <v>0</v>
      </c>
      <c r="Q29" s="14">
        <v>0</v>
      </c>
      <c r="R29" s="16">
        <v>0</v>
      </c>
    </row>
    <row r="30" spans="1:18" x14ac:dyDescent="0.25">
      <c r="A30" s="11" t="s">
        <v>163</v>
      </c>
      <c r="B30" s="13">
        <v>4520</v>
      </c>
      <c r="C30" s="14">
        <f>(3881/B30*100)</f>
        <v>85.862831858407091</v>
      </c>
      <c r="D30" s="15">
        <v>639</v>
      </c>
      <c r="E30" s="14">
        <v>74.195654759999996</v>
      </c>
      <c r="F30" s="16">
        <v>2.00167596</v>
      </c>
      <c r="G30" s="14">
        <v>25.80434524</v>
      </c>
      <c r="H30" s="16">
        <v>2.00167596</v>
      </c>
      <c r="I30" s="14" t="s">
        <v>139</v>
      </c>
      <c r="J30" s="16" t="s">
        <v>139</v>
      </c>
      <c r="K30" s="14">
        <v>0</v>
      </c>
      <c r="L30" s="16">
        <v>0</v>
      </c>
      <c r="M30" s="14">
        <v>0</v>
      </c>
      <c r="N30" s="16">
        <v>0</v>
      </c>
      <c r="O30" s="14">
        <v>0</v>
      </c>
      <c r="P30" s="16">
        <v>0</v>
      </c>
      <c r="Q30" s="14">
        <v>0</v>
      </c>
      <c r="R30" s="16">
        <v>0</v>
      </c>
    </row>
    <row r="31" spans="1:18" x14ac:dyDescent="0.25">
      <c r="A31" s="11" t="s">
        <v>164</v>
      </c>
      <c r="B31" s="13">
        <v>5456</v>
      </c>
      <c r="C31" s="14">
        <f>(4606/B31*100)</f>
        <v>84.420821114369502</v>
      </c>
      <c r="D31" s="15">
        <v>850</v>
      </c>
      <c r="E31" s="14">
        <v>73.428742839999998</v>
      </c>
      <c r="F31" s="16">
        <v>1.56477186</v>
      </c>
      <c r="G31" s="14">
        <v>26.571257159999998</v>
      </c>
      <c r="H31" s="16">
        <v>1.56477186</v>
      </c>
      <c r="I31" s="14" t="s">
        <v>139</v>
      </c>
      <c r="J31" s="16" t="s">
        <v>139</v>
      </c>
      <c r="K31" s="14">
        <v>0</v>
      </c>
      <c r="L31" s="16">
        <v>0</v>
      </c>
      <c r="M31" s="14">
        <v>0</v>
      </c>
      <c r="N31" s="16">
        <v>0</v>
      </c>
      <c r="O31" s="14">
        <v>0</v>
      </c>
      <c r="P31" s="16">
        <v>0</v>
      </c>
      <c r="Q31" s="14">
        <v>0</v>
      </c>
      <c r="R31" s="16">
        <v>0</v>
      </c>
    </row>
    <row r="32" spans="1:18" x14ac:dyDescent="0.25">
      <c r="A32" s="11" t="s">
        <v>165</v>
      </c>
      <c r="B32" s="17" t="s">
        <v>154</v>
      </c>
      <c r="C32" s="17" t="s">
        <v>154</v>
      </c>
      <c r="D32" s="18" t="s">
        <v>154</v>
      </c>
      <c r="E32" s="17" t="s">
        <v>154</v>
      </c>
      <c r="F32" s="18" t="s">
        <v>154</v>
      </c>
      <c r="G32" s="17" t="s">
        <v>154</v>
      </c>
      <c r="H32" s="18" t="s">
        <v>154</v>
      </c>
      <c r="I32" s="17" t="s">
        <v>154</v>
      </c>
      <c r="J32" s="18" t="s">
        <v>154</v>
      </c>
      <c r="K32" s="17" t="s">
        <v>154</v>
      </c>
      <c r="L32" s="18" t="s">
        <v>154</v>
      </c>
      <c r="M32" s="17" t="s">
        <v>154</v>
      </c>
      <c r="N32" s="18" t="s">
        <v>154</v>
      </c>
      <c r="O32" s="17" t="s">
        <v>154</v>
      </c>
      <c r="P32" s="18" t="s">
        <v>154</v>
      </c>
      <c r="Q32" s="17" t="s">
        <v>154</v>
      </c>
      <c r="R32" s="18" t="s">
        <v>154</v>
      </c>
    </row>
    <row r="33" spans="1:18" x14ac:dyDescent="0.25">
      <c r="A33" s="11" t="s">
        <v>166</v>
      </c>
      <c r="B33" s="13">
        <v>7325</v>
      </c>
      <c r="C33" s="14">
        <f>(6273/B33*100)</f>
        <v>85.638225255972699</v>
      </c>
      <c r="D33" s="15">
        <v>1052</v>
      </c>
      <c r="E33" s="14">
        <v>82.419320499999998</v>
      </c>
      <c r="F33" s="16">
        <v>1.58705886</v>
      </c>
      <c r="G33" s="14">
        <v>17.580679499999999</v>
      </c>
      <c r="H33" s="16">
        <v>1.58705886</v>
      </c>
      <c r="I33" s="14" t="s">
        <v>139</v>
      </c>
      <c r="J33" s="16" t="s">
        <v>139</v>
      </c>
      <c r="K33" s="14">
        <v>0</v>
      </c>
      <c r="L33" s="16">
        <v>0</v>
      </c>
      <c r="M33" s="14">
        <v>0</v>
      </c>
      <c r="N33" s="16">
        <v>0</v>
      </c>
      <c r="O33" s="14">
        <v>0</v>
      </c>
      <c r="P33" s="16">
        <v>0</v>
      </c>
      <c r="Q33" s="14">
        <v>0</v>
      </c>
      <c r="R33" s="16">
        <v>0</v>
      </c>
    </row>
    <row r="34" spans="1:18" x14ac:dyDescent="0.25">
      <c r="A34" s="11" t="s">
        <v>167</v>
      </c>
      <c r="B34" s="13">
        <v>6350</v>
      </c>
      <c r="C34" s="14">
        <f>(5427/B34*100)</f>
        <v>85.464566929133852</v>
      </c>
      <c r="D34" s="15">
        <v>923</v>
      </c>
      <c r="E34" s="14">
        <v>73.974973160000005</v>
      </c>
      <c r="F34" s="16">
        <v>1.5123887899999999</v>
      </c>
      <c r="G34" s="14">
        <v>26.025026839999999</v>
      </c>
      <c r="H34" s="16">
        <v>1.5123887899999999</v>
      </c>
      <c r="I34" s="14" t="s">
        <v>139</v>
      </c>
      <c r="J34" s="16" t="s">
        <v>139</v>
      </c>
      <c r="K34" s="14">
        <v>0</v>
      </c>
      <c r="L34" s="16">
        <v>0</v>
      </c>
      <c r="M34" s="14">
        <v>0</v>
      </c>
      <c r="N34" s="16">
        <v>0</v>
      </c>
      <c r="O34" s="14">
        <v>0</v>
      </c>
      <c r="P34" s="16">
        <v>0</v>
      </c>
      <c r="Q34" s="14">
        <v>0</v>
      </c>
      <c r="R34" s="16">
        <v>0</v>
      </c>
    </row>
    <row r="35" spans="1:18" x14ac:dyDescent="0.25">
      <c r="A35" s="11" t="s">
        <v>168</v>
      </c>
      <c r="B35" s="13">
        <v>6406</v>
      </c>
      <c r="C35" s="14">
        <f>(5392/B35*100)</f>
        <v>84.171089603496725</v>
      </c>
      <c r="D35" s="15">
        <v>1014</v>
      </c>
      <c r="E35" s="14">
        <v>73.011451379999997</v>
      </c>
      <c r="F35" s="16">
        <v>1.9561934000000001</v>
      </c>
      <c r="G35" s="14">
        <v>26.98854862</v>
      </c>
      <c r="H35" s="16">
        <v>1.9561934000000001</v>
      </c>
      <c r="I35" s="14" t="s">
        <v>139</v>
      </c>
      <c r="J35" s="16" t="s">
        <v>139</v>
      </c>
      <c r="K35" s="14">
        <v>0</v>
      </c>
      <c r="L35" s="16">
        <v>0</v>
      </c>
      <c r="M35" s="14">
        <v>0</v>
      </c>
      <c r="N35" s="16">
        <v>0</v>
      </c>
      <c r="O35" s="14">
        <v>0</v>
      </c>
      <c r="P35" s="16">
        <v>0</v>
      </c>
      <c r="Q35" s="14">
        <v>0</v>
      </c>
      <c r="R35" s="16">
        <v>0</v>
      </c>
    </row>
    <row r="36" spans="1:18" x14ac:dyDescent="0.25">
      <c r="A36" s="11" t="s">
        <v>169</v>
      </c>
      <c r="B36" s="13">
        <v>6736</v>
      </c>
      <c r="C36" s="14">
        <f>(5742/B36*100)</f>
        <v>85.243467933491686</v>
      </c>
      <c r="D36" s="15">
        <v>994</v>
      </c>
      <c r="E36" s="14">
        <v>71.559111150000007</v>
      </c>
      <c r="F36" s="16">
        <v>1.43333434</v>
      </c>
      <c r="G36" s="14">
        <v>28.44088885</v>
      </c>
      <c r="H36" s="16">
        <v>1.43333434</v>
      </c>
      <c r="I36" s="14" t="s">
        <v>139</v>
      </c>
      <c r="J36" s="16" t="s">
        <v>139</v>
      </c>
      <c r="K36" s="14">
        <v>0</v>
      </c>
      <c r="L36" s="16">
        <v>0</v>
      </c>
      <c r="M36" s="14">
        <v>0</v>
      </c>
      <c r="N36" s="16">
        <v>0</v>
      </c>
      <c r="O36" s="14">
        <v>0</v>
      </c>
      <c r="P36" s="16">
        <v>0</v>
      </c>
      <c r="Q36" s="14">
        <v>0</v>
      </c>
      <c r="R36" s="16">
        <v>0</v>
      </c>
    </row>
    <row r="37" spans="1:18" x14ac:dyDescent="0.25">
      <c r="A37" s="11" t="s">
        <v>170</v>
      </c>
      <c r="B37" s="13">
        <v>5458</v>
      </c>
      <c r="C37" s="14">
        <f>(4673/B37*100)</f>
        <v>85.617442286551849</v>
      </c>
      <c r="D37" s="15">
        <v>785</v>
      </c>
      <c r="E37" s="14">
        <v>64.544983360000003</v>
      </c>
      <c r="F37" s="16">
        <v>1.2921530000000001</v>
      </c>
      <c r="G37" s="14">
        <v>35.455016639999997</v>
      </c>
      <c r="H37" s="16">
        <v>1.2921530000000001</v>
      </c>
      <c r="I37" s="14" t="s">
        <v>139</v>
      </c>
      <c r="J37" s="16" t="s">
        <v>139</v>
      </c>
      <c r="K37" s="14">
        <v>0</v>
      </c>
      <c r="L37" s="16">
        <v>0</v>
      </c>
      <c r="M37" s="14">
        <v>0</v>
      </c>
      <c r="N37" s="16">
        <v>0</v>
      </c>
      <c r="O37" s="14">
        <v>0</v>
      </c>
      <c r="P37" s="16">
        <v>0</v>
      </c>
      <c r="Q37" s="14">
        <v>0</v>
      </c>
      <c r="R37" s="16">
        <v>0</v>
      </c>
    </row>
    <row r="38" spans="1:18" x14ac:dyDescent="0.25">
      <c r="A38" s="11" t="s">
        <v>171</v>
      </c>
      <c r="B38" s="17" t="s">
        <v>154</v>
      </c>
      <c r="C38" s="17" t="s">
        <v>154</v>
      </c>
      <c r="D38" s="18" t="s">
        <v>154</v>
      </c>
      <c r="E38" s="17" t="s">
        <v>154</v>
      </c>
      <c r="F38" s="18" t="s">
        <v>154</v>
      </c>
      <c r="G38" s="17" t="s">
        <v>154</v>
      </c>
      <c r="H38" s="18" t="s">
        <v>154</v>
      </c>
      <c r="I38" s="17" t="s">
        <v>154</v>
      </c>
      <c r="J38" s="18" t="s">
        <v>154</v>
      </c>
      <c r="K38" s="17" t="s">
        <v>154</v>
      </c>
      <c r="L38" s="18" t="s">
        <v>154</v>
      </c>
      <c r="M38" s="17" t="s">
        <v>154</v>
      </c>
      <c r="N38" s="18" t="s">
        <v>154</v>
      </c>
      <c r="O38" s="17" t="s">
        <v>154</v>
      </c>
      <c r="P38" s="18" t="s">
        <v>154</v>
      </c>
      <c r="Q38" s="17" t="s">
        <v>154</v>
      </c>
      <c r="R38" s="18" t="s">
        <v>154</v>
      </c>
    </row>
    <row r="39" spans="1:18" x14ac:dyDescent="0.25">
      <c r="A39" s="11" t="s">
        <v>172</v>
      </c>
      <c r="B39" s="13">
        <v>5895</v>
      </c>
      <c r="C39" s="14">
        <f>(4872/B39*100)</f>
        <v>82.646310432569976</v>
      </c>
      <c r="D39" s="15">
        <v>1023</v>
      </c>
      <c r="E39" s="14">
        <v>77.153301519999999</v>
      </c>
      <c r="F39" s="16">
        <v>1.1501748300000001</v>
      </c>
      <c r="G39" s="14">
        <v>22.846698480000001</v>
      </c>
      <c r="H39" s="16">
        <v>1.1501748300000001</v>
      </c>
      <c r="I39" s="14" t="s">
        <v>139</v>
      </c>
      <c r="J39" s="16" t="s">
        <v>139</v>
      </c>
      <c r="K39" s="14">
        <v>0</v>
      </c>
      <c r="L39" s="16">
        <v>0</v>
      </c>
      <c r="M39" s="14">
        <v>0</v>
      </c>
      <c r="N39" s="16">
        <v>0</v>
      </c>
      <c r="O39" s="14">
        <v>0</v>
      </c>
      <c r="P39" s="16">
        <v>0</v>
      </c>
      <c r="Q39" s="14">
        <v>0</v>
      </c>
      <c r="R39" s="16">
        <v>0</v>
      </c>
    </row>
    <row r="40" spans="1:18" x14ac:dyDescent="0.25">
      <c r="A40" s="11" t="s">
        <v>173</v>
      </c>
      <c r="B40" s="13">
        <v>14157</v>
      </c>
      <c r="C40" s="14">
        <f>(11853/B40*100)</f>
        <v>83.725365543547355</v>
      </c>
      <c r="D40" s="15">
        <v>2304</v>
      </c>
      <c r="E40" s="14">
        <v>70.201333520000006</v>
      </c>
      <c r="F40" s="16">
        <v>1.3680532299999999</v>
      </c>
      <c r="G40" s="14">
        <v>29.798666480000001</v>
      </c>
      <c r="H40" s="16">
        <v>1.3680532299999999</v>
      </c>
      <c r="I40" s="14" t="s">
        <v>139</v>
      </c>
      <c r="J40" s="16" t="s">
        <v>139</v>
      </c>
      <c r="K40" s="14">
        <v>0</v>
      </c>
      <c r="L40" s="16">
        <v>0</v>
      </c>
      <c r="M40" s="14">
        <v>0</v>
      </c>
      <c r="N40" s="16">
        <v>0</v>
      </c>
      <c r="O40" s="14">
        <v>0</v>
      </c>
      <c r="P40" s="16">
        <v>0</v>
      </c>
      <c r="Q40" s="14">
        <v>0</v>
      </c>
      <c r="R40" s="16">
        <v>0</v>
      </c>
    </row>
    <row r="41" spans="1:18" x14ac:dyDescent="0.25">
      <c r="A41" s="11" t="s">
        <v>174</v>
      </c>
      <c r="B41" s="13">
        <v>5712</v>
      </c>
      <c r="C41" s="14">
        <f>(4823/B41*100)</f>
        <v>84.436274509803923</v>
      </c>
      <c r="D41" s="15">
        <v>889</v>
      </c>
      <c r="E41" s="14">
        <v>72.276883639999994</v>
      </c>
      <c r="F41" s="16">
        <v>1.74987548</v>
      </c>
      <c r="G41" s="14">
        <v>27.723116359999999</v>
      </c>
      <c r="H41" s="16">
        <v>1.74987548</v>
      </c>
      <c r="I41" s="14" t="s">
        <v>139</v>
      </c>
      <c r="J41" s="16" t="s">
        <v>139</v>
      </c>
      <c r="K41" s="14">
        <v>0</v>
      </c>
      <c r="L41" s="16">
        <v>0</v>
      </c>
      <c r="M41" s="14">
        <v>0</v>
      </c>
      <c r="N41" s="16">
        <v>0</v>
      </c>
      <c r="O41" s="14">
        <v>0</v>
      </c>
      <c r="P41" s="16">
        <v>0</v>
      </c>
      <c r="Q41" s="14">
        <v>0</v>
      </c>
      <c r="R41" s="16">
        <v>0</v>
      </c>
    </row>
    <row r="42" spans="1:18" x14ac:dyDescent="0.25">
      <c r="A42" s="11" t="s">
        <v>175</v>
      </c>
      <c r="B42" s="13">
        <f>IF(COUNT(B7:B41) &gt; 0, AVERAGE(B7:B41), "\u2014")</f>
        <v>7266.90625</v>
      </c>
      <c r="C42" s="14">
        <f>IF(COUNT(C7:C41) &gt; 0, AVERAGE(C7:C41), "—")</f>
        <v>84.593823091281095</v>
      </c>
      <c r="D42" s="15">
        <f>IF(COUNT(D7:D41) &gt; 0, AVERAGE(D7:D41), "—")</f>
        <v>1122.6875</v>
      </c>
      <c r="E42" s="14">
        <f>IF(COUNT(E7:E41) &gt; 0, AVERAGE(E7:E41), "—")</f>
        <v>70.631960800624995</v>
      </c>
      <c r="F42" s="16">
        <f>IF(COUNT(F7:F41) &gt; 0, SQRT(SUMSQ(F7:F41)/(COUNT(F7:F41)*COUNT(F7:F41)) ), "—")</f>
        <v>0.2792834335367112</v>
      </c>
      <c r="G42" s="14">
        <f>IF(COUNT(G7:G41) &gt; 0, AVERAGE(G7:G41), "—")</f>
        <v>29.368039199374987</v>
      </c>
      <c r="H42" s="16">
        <f>IF(COUNT(H7:H41) &gt; 0, SQRT(SUMSQ(H7:H41)/(COUNT(H7:H41)*COUNT(H7:H41)) ), "—")</f>
        <v>0.2792834335367112</v>
      </c>
      <c r="I42" s="14" t="str">
        <f>IF(COUNT(I7:I41) &gt; 0, AVERAGE(I7:I41), "—")</f>
        <v>—</v>
      </c>
      <c r="J42" s="16" t="str">
        <f>IF(COUNT(J7:J41) &gt; 0, SQRT(SUMSQ(J7:J41)/(COUNT(J7:J41)*COUNT(J7:J41)) ), "—")</f>
        <v>—</v>
      </c>
      <c r="K42" s="14">
        <f>IF(COUNT(K7:K41) &gt; 0, AVERAGE(K7:K41), "—")</f>
        <v>0</v>
      </c>
      <c r="L42" s="16">
        <f>IF(COUNT(L7:L41) &gt; 0, SQRT(SUMSQ(L7:L41)/(COUNT(L7:L41)*COUNT(L7:L41)) ), "—")</f>
        <v>0</v>
      </c>
      <c r="M42" s="14">
        <f>IF(COUNT(M7:M41) &gt; 0, AVERAGE(M7:M41), "—")</f>
        <v>0</v>
      </c>
      <c r="N42" s="16">
        <f>IF(COUNT(N7:N41) &gt; 0, SQRT(SUMSQ(N7:N41)/(COUNT(N7:N41)*COUNT(N7:N41)) ), "—")</f>
        <v>0</v>
      </c>
      <c r="O42" s="14">
        <f>IF(COUNT(O7:O41) &gt; 0, AVERAGE(O7:O41), "—")</f>
        <v>0</v>
      </c>
      <c r="P42" s="16">
        <f>IF(COUNT(P7:P41) &gt; 0, SQRT(SUMSQ(P7:P41)/(COUNT(P7:P41)*COUNT(P7:P41)) ), "—")</f>
        <v>0</v>
      </c>
      <c r="Q42" s="14">
        <f>IF(COUNT(Q7:Q41) &gt; 0, AVERAGE(Q7:Q41), "—")</f>
        <v>0</v>
      </c>
      <c r="R42" s="16">
        <f>IF(COUNT(R7:R41) &gt; 0, SQRT(SUMSQ(R7:R41)/(COUNT(R7:R41)*COUNT(R7:R41)) ), "—")</f>
        <v>0</v>
      </c>
    </row>
    <row r="43" spans="1:18" x14ac:dyDescent="0.25">
      <c r="A43" s="9" t="s">
        <v>176</v>
      </c>
      <c r="B43" s="10"/>
      <c r="C43" s="10"/>
      <c r="D43" s="11"/>
      <c r="E43" s="10"/>
      <c r="F43" s="11"/>
      <c r="G43" s="10"/>
      <c r="H43" s="11"/>
      <c r="I43" s="10"/>
      <c r="J43" s="11"/>
      <c r="K43" s="10"/>
      <c r="L43" s="11"/>
      <c r="M43" s="10"/>
      <c r="N43" s="11"/>
      <c r="O43" s="10"/>
      <c r="P43" s="11"/>
      <c r="Q43" s="10"/>
      <c r="R43" s="12"/>
    </row>
    <row r="44" spans="1:18" x14ac:dyDescent="0.25">
      <c r="A44" s="11" t="s">
        <v>177</v>
      </c>
      <c r="B44" s="17" t="s">
        <v>154</v>
      </c>
      <c r="C44" s="17" t="s">
        <v>154</v>
      </c>
      <c r="D44" s="18" t="s">
        <v>154</v>
      </c>
      <c r="E44" s="17" t="s">
        <v>154</v>
      </c>
      <c r="F44" s="18" t="s">
        <v>154</v>
      </c>
      <c r="G44" s="17" t="s">
        <v>154</v>
      </c>
      <c r="H44" s="18" t="s">
        <v>154</v>
      </c>
      <c r="I44" s="17" t="s">
        <v>154</v>
      </c>
      <c r="J44" s="18" t="s">
        <v>154</v>
      </c>
      <c r="K44" s="17" t="s">
        <v>154</v>
      </c>
      <c r="L44" s="18" t="s">
        <v>154</v>
      </c>
      <c r="M44" s="17" t="s">
        <v>154</v>
      </c>
      <c r="N44" s="18" t="s">
        <v>154</v>
      </c>
      <c r="O44" s="17" t="s">
        <v>154</v>
      </c>
      <c r="P44" s="18" t="s">
        <v>154</v>
      </c>
      <c r="Q44" s="17" t="s">
        <v>154</v>
      </c>
      <c r="R44" s="18" t="s">
        <v>154</v>
      </c>
    </row>
    <row r="45" spans="1:18" x14ac:dyDescent="0.25">
      <c r="A45" s="11" t="s">
        <v>178</v>
      </c>
      <c r="B45" s="17" t="s">
        <v>154</v>
      </c>
      <c r="C45" s="17" t="s">
        <v>154</v>
      </c>
      <c r="D45" s="18" t="s">
        <v>154</v>
      </c>
      <c r="E45" s="17" t="s">
        <v>154</v>
      </c>
      <c r="F45" s="18" t="s">
        <v>154</v>
      </c>
      <c r="G45" s="17" t="s">
        <v>154</v>
      </c>
      <c r="H45" s="18" t="s">
        <v>154</v>
      </c>
      <c r="I45" s="17" t="s">
        <v>154</v>
      </c>
      <c r="J45" s="18" t="s">
        <v>154</v>
      </c>
      <c r="K45" s="17" t="s">
        <v>154</v>
      </c>
      <c r="L45" s="18" t="s">
        <v>154</v>
      </c>
      <c r="M45" s="17" t="s">
        <v>154</v>
      </c>
      <c r="N45" s="18" t="s">
        <v>154</v>
      </c>
      <c r="O45" s="17" t="s">
        <v>154</v>
      </c>
      <c r="P45" s="18" t="s">
        <v>154</v>
      </c>
      <c r="Q45" s="17" t="s">
        <v>154</v>
      </c>
      <c r="R45" s="18" t="s">
        <v>154</v>
      </c>
    </row>
    <row r="46" spans="1:18" x14ac:dyDescent="0.25">
      <c r="A46" s="11" t="s">
        <v>179</v>
      </c>
      <c r="B46" s="13">
        <v>23141</v>
      </c>
      <c r="C46" s="14">
        <f>(20847/B46*100)</f>
        <v>90.086858822004231</v>
      </c>
      <c r="D46" s="15">
        <v>2294</v>
      </c>
      <c r="E46" s="14">
        <v>80.605278310000003</v>
      </c>
      <c r="F46" s="16">
        <v>1.13410097</v>
      </c>
      <c r="G46" s="14">
        <v>19.394721690000001</v>
      </c>
      <c r="H46" s="16">
        <v>1.13410097</v>
      </c>
      <c r="I46" s="14" t="s">
        <v>139</v>
      </c>
      <c r="J46" s="16" t="s">
        <v>139</v>
      </c>
      <c r="K46" s="14">
        <v>0</v>
      </c>
      <c r="L46" s="16">
        <v>0</v>
      </c>
      <c r="M46" s="14">
        <v>0</v>
      </c>
      <c r="N46" s="16">
        <v>0</v>
      </c>
      <c r="O46" s="14">
        <v>0</v>
      </c>
      <c r="P46" s="16">
        <v>0</v>
      </c>
      <c r="Q46" s="14">
        <v>0</v>
      </c>
      <c r="R46" s="16">
        <v>0</v>
      </c>
    </row>
    <row r="47" spans="1:18" x14ac:dyDescent="0.25">
      <c r="A47" s="11" t="s">
        <v>180</v>
      </c>
      <c r="B47" s="13">
        <v>5928</v>
      </c>
      <c r="C47" s="14">
        <f>(5060/B47*100)</f>
        <v>85.357624831309039</v>
      </c>
      <c r="D47" s="15">
        <v>868</v>
      </c>
      <c r="E47" s="14">
        <v>78.266184960000004</v>
      </c>
      <c r="F47" s="16">
        <v>1.5529957400000001</v>
      </c>
      <c r="G47" s="14">
        <v>21.73381504</v>
      </c>
      <c r="H47" s="16">
        <v>1.5529957400000001</v>
      </c>
      <c r="I47" s="14" t="s">
        <v>139</v>
      </c>
      <c r="J47" s="16" t="s">
        <v>139</v>
      </c>
      <c r="K47" s="14">
        <v>0</v>
      </c>
      <c r="L47" s="16">
        <v>0</v>
      </c>
      <c r="M47" s="14">
        <v>0</v>
      </c>
      <c r="N47" s="16">
        <v>0</v>
      </c>
      <c r="O47" s="14">
        <v>0</v>
      </c>
      <c r="P47" s="16">
        <v>0</v>
      </c>
      <c r="Q47" s="14">
        <v>0</v>
      </c>
      <c r="R47" s="16">
        <v>0</v>
      </c>
    </row>
    <row r="48" spans="1:18" x14ac:dyDescent="0.25">
      <c r="A48" s="11" t="s">
        <v>181</v>
      </c>
      <c r="B48" s="13">
        <v>9841</v>
      </c>
      <c r="C48" s="14">
        <f>(8229/B48*100)</f>
        <v>83.619550858652588</v>
      </c>
      <c r="D48" s="15">
        <v>1612</v>
      </c>
      <c r="E48" s="14">
        <v>79.336311190000004</v>
      </c>
      <c r="F48" s="16">
        <v>1.3963196099999999</v>
      </c>
      <c r="G48" s="14">
        <v>20.66368881</v>
      </c>
      <c r="H48" s="16">
        <v>1.3963196099999999</v>
      </c>
      <c r="I48" s="14" t="s">
        <v>139</v>
      </c>
      <c r="J48" s="16" t="s">
        <v>139</v>
      </c>
      <c r="K48" s="14">
        <v>0</v>
      </c>
      <c r="L48" s="16">
        <v>0</v>
      </c>
      <c r="M48" s="14">
        <v>0</v>
      </c>
      <c r="N48" s="16">
        <v>0</v>
      </c>
      <c r="O48" s="14">
        <v>0</v>
      </c>
      <c r="P48" s="16">
        <v>0</v>
      </c>
      <c r="Q48" s="14">
        <v>0</v>
      </c>
      <c r="R48" s="16">
        <v>0</v>
      </c>
    </row>
    <row r="49" spans="1:18" x14ac:dyDescent="0.25">
      <c r="A49" s="11" t="s">
        <v>182</v>
      </c>
      <c r="B49" s="17" t="s">
        <v>154</v>
      </c>
      <c r="C49" s="17" t="s">
        <v>154</v>
      </c>
      <c r="D49" s="18" t="s">
        <v>154</v>
      </c>
      <c r="E49" s="17" t="s">
        <v>154</v>
      </c>
      <c r="F49" s="18" t="s">
        <v>154</v>
      </c>
      <c r="G49" s="17" t="s">
        <v>154</v>
      </c>
      <c r="H49" s="18" t="s">
        <v>154</v>
      </c>
      <c r="I49" s="17" t="s">
        <v>154</v>
      </c>
      <c r="J49" s="18" t="s">
        <v>154</v>
      </c>
      <c r="K49" s="17" t="s">
        <v>154</v>
      </c>
      <c r="L49" s="18" t="s">
        <v>154</v>
      </c>
      <c r="M49" s="17" t="s">
        <v>154</v>
      </c>
      <c r="N49" s="18" t="s">
        <v>154</v>
      </c>
      <c r="O49" s="17" t="s">
        <v>154</v>
      </c>
      <c r="P49" s="18" t="s">
        <v>154</v>
      </c>
      <c r="Q49" s="17" t="s">
        <v>154</v>
      </c>
      <c r="R49" s="18" t="s">
        <v>154</v>
      </c>
    </row>
    <row r="50" spans="1:18" x14ac:dyDescent="0.25">
      <c r="A50" s="11" t="s">
        <v>183</v>
      </c>
      <c r="B50" s="13">
        <v>11795</v>
      </c>
      <c r="C50" s="14">
        <f>(10098/B50*100)</f>
        <v>85.612547689699028</v>
      </c>
      <c r="D50" s="15">
        <v>1697</v>
      </c>
      <c r="E50" s="14">
        <v>84.537917309999997</v>
      </c>
      <c r="F50" s="16">
        <v>1.15476511</v>
      </c>
      <c r="G50" s="14">
        <v>15.462082690000001</v>
      </c>
      <c r="H50" s="16">
        <v>1.15476511</v>
      </c>
      <c r="I50" s="14" t="s">
        <v>139</v>
      </c>
      <c r="J50" s="16" t="s">
        <v>139</v>
      </c>
      <c r="K50" s="14">
        <v>0</v>
      </c>
      <c r="L50" s="16">
        <v>0</v>
      </c>
      <c r="M50" s="14">
        <v>0</v>
      </c>
      <c r="N50" s="16">
        <v>0</v>
      </c>
      <c r="O50" s="14">
        <v>0</v>
      </c>
      <c r="P50" s="16">
        <v>0</v>
      </c>
      <c r="Q50" s="14">
        <v>0</v>
      </c>
      <c r="R50" s="16">
        <v>0</v>
      </c>
    </row>
    <row r="51" spans="1:18" x14ac:dyDescent="0.25">
      <c r="A51" s="11" t="s">
        <v>184</v>
      </c>
      <c r="B51" s="13">
        <v>6866</v>
      </c>
      <c r="C51" s="14">
        <f>(5996/B51*100)</f>
        <v>87.328866880279648</v>
      </c>
      <c r="D51" s="15">
        <v>870</v>
      </c>
      <c r="E51" s="14">
        <v>81.281557840000005</v>
      </c>
      <c r="F51" s="16">
        <v>1.3028502099999999</v>
      </c>
      <c r="G51" s="14">
        <v>18.718442159999999</v>
      </c>
      <c r="H51" s="16">
        <v>1.3028502099999999</v>
      </c>
      <c r="I51" s="14" t="s">
        <v>139</v>
      </c>
      <c r="J51" s="16" t="s">
        <v>139</v>
      </c>
      <c r="K51" s="14">
        <v>0</v>
      </c>
      <c r="L51" s="16">
        <v>0</v>
      </c>
      <c r="M51" s="14">
        <v>0</v>
      </c>
      <c r="N51" s="16">
        <v>0</v>
      </c>
      <c r="O51" s="14">
        <v>0</v>
      </c>
      <c r="P51" s="16">
        <v>0</v>
      </c>
      <c r="Q51" s="14">
        <v>0</v>
      </c>
      <c r="R51" s="16">
        <v>0</v>
      </c>
    </row>
    <row r="52" spans="1:18" x14ac:dyDescent="0.25">
      <c r="A52" s="11" t="s">
        <v>185</v>
      </c>
      <c r="B52" s="13">
        <v>5809</v>
      </c>
      <c r="C52" s="14">
        <f>(4899/B52*100)</f>
        <v>84.334653124462051</v>
      </c>
      <c r="D52" s="15">
        <v>910</v>
      </c>
      <c r="E52" s="14">
        <v>73.496720920000001</v>
      </c>
      <c r="F52" s="16">
        <v>1.5210067300000001</v>
      </c>
      <c r="G52" s="14">
        <v>26.503279079999999</v>
      </c>
      <c r="H52" s="16">
        <v>1.5210067300000001</v>
      </c>
      <c r="I52" s="14" t="s">
        <v>139</v>
      </c>
      <c r="J52" s="16" t="s">
        <v>139</v>
      </c>
      <c r="K52" s="14">
        <v>0</v>
      </c>
      <c r="L52" s="16">
        <v>0</v>
      </c>
      <c r="M52" s="14">
        <v>0</v>
      </c>
      <c r="N52" s="16">
        <v>0</v>
      </c>
      <c r="O52" s="14">
        <v>0</v>
      </c>
      <c r="P52" s="16">
        <v>0</v>
      </c>
      <c r="Q52" s="14">
        <v>0</v>
      </c>
      <c r="R52" s="16">
        <v>0</v>
      </c>
    </row>
    <row r="53" spans="1:18" x14ac:dyDescent="0.25">
      <c r="A53" s="11" t="s">
        <v>186</v>
      </c>
      <c r="B53" s="13">
        <v>5571</v>
      </c>
      <c r="C53" s="14">
        <f>(4734/B53*100)</f>
        <v>84.975767366720518</v>
      </c>
      <c r="D53" s="15">
        <v>837</v>
      </c>
      <c r="E53" s="14">
        <v>73.209652899999995</v>
      </c>
      <c r="F53" s="16">
        <v>1.6336506099999999</v>
      </c>
      <c r="G53" s="14">
        <v>26.790347100000002</v>
      </c>
      <c r="H53" s="16">
        <v>1.6336506099999999</v>
      </c>
      <c r="I53" s="14" t="s">
        <v>139</v>
      </c>
      <c r="J53" s="16" t="s">
        <v>139</v>
      </c>
      <c r="K53" s="14">
        <v>0</v>
      </c>
      <c r="L53" s="16">
        <v>0</v>
      </c>
      <c r="M53" s="14">
        <v>0</v>
      </c>
      <c r="N53" s="16">
        <v>0</v>
      </c>
      <c r="O53" s="14">
        <v>0</v>
      </c>
      <c r="P53" s="16">
        <v>0</v>
      </c>
      <c r="Q53" s="14">
        <v>0</v>
      </c>
      <c r="R53" s="16">
        <v>0</v>
      </c>
    </row>
    <row r="54" spans="1:18" x14ac:dyDescent="0.25">
      <c r="A54" s="11" t="s">
        <v>187</v>
      </c>
      <c r="B54" s="17" t="s">
        <v>154</v>
      </c>
      <c r="C54" s="17" t="s">
        <v>154</v>
      </c>
      <c r="D54" s="18" t="s">
        <v>154</v>
      </c>
      <c r="E54" s="17" t="s">
        <v>154</v>
      </c>
      <c r="F54" s="18" t="s">
        <v>154</v>
      </c>
      <c r="G54" s="17" t="s">
        <v>154</v>
      </c>
      <c r="H54" s="18" t="s">
        <v>154</v>
      </c>
      <c r="I54" s="17" t="s">
        <v>154</v>
      </c>
      <c r="J54" s="18" t="s">
        <v>154</v>
      </c>
      <c r="K54" s="17" t="s">
        <v>154</v>
      </c>
      <c r="L54" s="18" t="s">
        <v>154</v>
      </c>
      <c r="M54" s="17" t="s">
        <v>154</v>
      </c>
      <c r="N54" s="18" t="s">
        <v>154</v>
      </c>
      <c r="O54" s="17" t="s">
        <v>154</v>
      </c>
      <c r="P54" s="18" t="s">
        <v>154</v>
      </c>
      <c r="Q54" s="17" t="s">
        <v>154</v>
      </c>
      <c r="R54" s="18" t="s">
        <v>154</v>
      </c>
    </row>
    <row r="55" spans="1:18" x14ac:dyDescent="0.25">
      <c r="A55" s="11" t="s">
        <v>188</v>
      </c>
      <c r="B55" s="17" t="s">
        <v>154</v>
      </c>
      <c r="C55" s="17" t="s">
        <v>154</v>
      </c>
      <c r="D55" s="18" t="s">
        <v>154</v>
      </c>
      <c r="E55" s="17" t="s">
        <v>154</v>
      </c>
      <c r="F55" s="18" t="s">
        <v>154</v>
      </c>
      <c r="G55" s="17" t="s">
        <v>154</v>
      </c>
      <c r="H55" s="18" t="s">
        <v>154</v>
      </c>
      <c r="I55" s="17" t="s">
        <v>154</v>
      </c>
      <c r="J55" s="18" t="s">
        <v>154</v>
      </c>
      <c r="K55" s="17" t="s">
        <v>154</v>
      </c>
      <c r="L55" s="18" t="s">
        <v>154</v>
      </c>
      <c r="M55" s="17" t="s">
        <v>154</v>
      </c>
      <c r="N55" s="18" t="s">
        <v>154</v>
      </c>
      <c r="O55" s="17" t="s">
        <v>154</v>
      </c>
      <c r="P55" s="18" t="s">
        <v>154</v>
      </c>
      <c r="Q55" s="17" t="s">
        <v>154</v>
      </c>
      <c r="R55" s="18" t="s">
        <v>154</v>
      </c>
    </row>
    <row r="56" spans="1:18" x14ac:dyDescent="0.25">
      <c r="A56" s="11" t="s">
        <v>189</v>
      </c>
      <c r="B56" s="13">
        <v>5359</v>
      </c>
      <c r="C56" s="14">
        <f>(4468/B56*100)</f>
        <v>83.373763761895887</v>
      </c>
      <c r="D56" s="15">
        <v>891</v>
      </c>
      <c r="E56" s="14">
        <v>60.181220449999998</v>
      </c>
      <c r="F56" s="16">
        <v>1.45155542</v>
      </c>
      <c r="G56" s="14">
        <v>39.818779550000002</v>
      </c>
      <c r="H56" s="16">
        <v>1.45155542</v>
      </c>
      <c r="I56" s="14" t="s">
        <v>139</v>
      </c>
      <c r="J56" s="16" t="s">
        <v>139</v>
      </c>
      <c r="K56" s="14">
        <v>0</v>
      </c>
      <c r="L56" s="16">
        <v>0</v>
      </c>
      <c r="M56" s="14">
        <v>0</v>
      </c>
      <c r="N56" s="16">
        <v>0</v>
      </c>
      <c r="O56" s="14">
        <v>0</v>
      </c>
      <c r="P56" s="16">
        <v>0</v>
      </c>
      <c r="Q56" s="14">
        <v>0</v>
      </c>
      <c r="R56" s="16">
        <v>0</v>
      </c>
    </row>
    <row r="57" spans="1:18" x14ac:dyDescent="0.25">
      <c r="A57" s="11" t="s">
        <v>190</v>
      </c>
      <c r="B57" s="17" t="s">
        <v>154</v>
      </c>
      <c r="C57" s="17" t="s">
        <v>154</v>
      </c>
      <c r="D57" s="18" t="s">
        <v>154</v>
      </c>
      <c r="E57" s="17" t="s">
        <v>154</v>
      </c>
      <c r="F57" s="18" t="s">
        <v>154</v>
      </c>
      <c r="G57" s="17" t="s">
        <v>154</v>
      </c>
      <c r="H57" s="18" t="s">
        <v>154</v>
      </c>
      <c r="I57" s="17" t="s">
        <v>154</v>
      </c>
      <c r="J57" s="18" t="s">
        <v>154</v>
      </c>
      <c r="K57" s="17" t="s">
        <v>154</v>
      </c>
      <c r="L57" s="18" t="s">
        <v>154</v>
      </c>
      <c r="M57" s="17" t="s">
        <v>154</v>
      </c>
      <c r="N57" s="18" t="s">
        <v>154</v>
      </c>
      <c r="O57" s="17" t="s">
        <v>154</v>
      </c>
      <c r="P57" s="18" t="s">
        <v>154</v>
      </c>
      <c r="Q57" s="17" t="s">
        <v>154</v>
      </c>
      <c r="R57" s="18" t="s">
        <v>154</v>
      </c>
    </row>
    <row r="58" spans="1:18" x14ac:dyDescent="0.25">
      <c r="A58" s="11" t="s">
        <v>191</v>
      </c>
      <c r="B58" s="17" t="s">
        <v>154</v>
      </c>
      <c r="C58" s="17" t="s">
        <v>154</v>
      </c>
      <c r="D58" s="18" t="s">
        <v>154</v>
      </c>
      <c r="E58" s="17" t="s">
        <v>154</v>
      </c>
      <c r="F58" s="18" t="s">
        <v>154</v>
      </c>
      <c r="G58" s="17" t="s">
        <v>154</v>
      </c>
      <c r="H58" s="18" t="s">
        <v>154</v>
      </c>
      <c r="I58" s="17" t="s">
        <v>154</v>
      </c>
      <c r="J58" s="18" t="s">
        <v>154</v>
      </c>
      <c r="K58" s="17" t="s">
        <v>154</v>
      </c>
      <c r="L58" s="18" t="s">
        <v>154</v>
      </c>
      <c r="M58" s="17" t="s">
        <v>154</v>
      </c>
      <c r="N58" s="18" t="s">
        <v>154</v>
      </c>
      <c r="O58" s="17" t="s">
        <v>154</v>
      </c>
      <c r="P58" s="18" t="s">
        <v>154</v>
      </c>
      <c r="Q58" s="17" t="s">
        <v>154</v>
      </c>
      <c r="R58" s="18" t="s">
        <v>154</v>
      </c>
    </row>
    <row r="59" spans="1:18" x14ac:dyDescent="0.25">
      <c r="A59" s="11" t="s">
        <v>192</v>
      </c>
      <c r="B59" s="17" t="s">
        <v>154</v>
      </c>
      <c r="C59" s="17" t="s">
        <v>154</v>
      </c>
      <c r="D59" s="18" t="s">
        <v>154</v>
      </c>
      <c r="E59" s="17" t="s">
        <v>154</v>
      </c>
      <c r="F59" s="18" t="s">
        <v>154</v>
      </c>
      <c r="G59" s="17" t="s">
        <v>154</v>
      </c>
      <c r="H59" s="18" t="s">
        <v>154</v>
      </c>
      <c r="I59" s="17" t="s">
        <v>154</v>
      </c>
      <c r="J59" s="18" t="s">
        <v>154</v>
      </c>
      <c r="K59" s="17" t="s">
        <v>154</v>
      </c>
      <c r="L59" s="18" t="s">
        <v>154</v>
      </c>
      <c r="M59" s="17" t="s">
        <v>154</v>
      </c>
      <c r="N59" s="18" t="s">
        <v>154</v>
      </c>
      <c r="O59" s="17" t="s">
        <v>154</v>
      </c>
      <c r="P59" s="18" t="s">
        <v>154</v>
      </c>
      <c r="Q59" s="17" t="s">
        <v>154</v>
      </c>
      <c r="R59" s="18" t="s">
        <v>154</v>
      </c>
    </row>
    <row r="60" spans="1:18" x14ac:dyDescent="0.25">
      <c r="A60" s="11" t="s">
        <v>193</v>
      </c>
      <c r="B60" s="17" t="s">
        <v>154</v>
      </c>
      <c r="C60" s="17" t="s">
        <v>154</v>
      </c>
      <c r="D60" s="18" t="s">
        <v>154</v>
      </c>
      <c r="E60" s="17" t="s">
        <v>154</v>
      </c>
      <c r="F60" s="18" t="s">
        <v>154</v>
      </c>
      <c r="G60" s="17" t="s">
        <v>154</v>
      </c>
      <c r="H60" s="18" t="s">
        <v>154</v>
      </c>
      <c r="I60" s="17" t="s">
        <v>154</v>
      </c>
      <c r="J60" s="18" t="s">
        <v>154</v>
      </c>
      <c r="K60" s="17" t="s">
        <v>154</v>
      </c>
      <c r="L60" s="18" t="s">
        <v>154</v>
      </c>
      <c r="M60" s="17" t="s">
        <v>154</v>
      </c>
      <c r="N60" s="18" t="s">
        <v>154</v>
      </c>
      <c r="O60" s="17" t="s">
        <v>154</v>
      </c>
      <c r="P60" s="18" t="s">
        <v>154</v>
      </c>
      <c r="Q60" s="17" t="s">
        <v>154</v>
      </c>
      <c r="R60" s="18" t="s">
        <v>154</v>
      </c>
    </row>
    <row r="61" spans="1:18" x14ac:dyDescent="0.25">
      <c r="A61" s="11" t="s">
        <v>194</v>
      </c>
      <c r="B61" s="13">
        <v>6525</v>
      </c>
      <c r="C61" s="14">
        <f>(5511/B61*100)</f>
        <v>84.459770114942529</v>
      </c>
      <c r="D61" s="15">
        <v>1014</v>
      </c>
      <c r="E61" s="14">
        <v>78.537708809999998</v>
      </c>
      <c r="F61" s="16">
        <v>1.48757819</v>
      </c>
      <c r="G61" s="14">
        <v>21.462291189999998</v>
      </c>
      <c r="H61" s="16">
        <v>1.48757819</v>
      </c>
      <c r="I61" s="14" t="s">
        <v>139</v>
      </c>
      <c r="J61" s="16" t="s">
        <v>139</v>
      </c>
      <c r="K61" s="14">
        <v>0</v>
      </c>
      <c r="L61" s="16">
        <v>0</v>
      </c>
      <c r="M61" s="14">
        <v>0</v>
      </c>
      <c r="N61" s="16">
        <v>0</v>
      </c>
      <c r="O61" s="14">
        <v>0</v>
      </c>
      <c r="P61" s="16">
        <v>0</v>
      </c>
      <c r="Q61" s="14">
        <v>0</v>
      </c>
      <c r="R61" s="16">
        <v>0</v>
      </c>
    </row>
    <row r="62" spans="1:18" x14ac:dyDescent="0.25">
      <c r="A62" s="11" t="s">
        <v>195</v>
      </c>
      <c r="B62" s="13">
        <v>4476</v>
      </c>
      <c r="C62" s="14">
        <f>(3770/B62*100)</f>
        <v>84.226988382484365</v>
      </c>
      <c r="D62" s="15">
        <v>706</v>
      </c>
      <c r="E62" s="14">
        <v>64.822549559999999</v>
      </c>
      <c r="F62" s="16">
        <v>1.9993859199999999</v>
      </c>
      <c r="G62" s="14">
        <v>35.177450440000001</v>
      </c>
      <c r="H62" s="16">
        <v>1.9993859199999999</v>
      </c>
      <c r="I62" s="14" t="s">
        <v>139</v>
      </c>
      <c r="J62" s="16" t="s">
        <v>139</v>
      </c>
      <c r="K62" s="14">
        <v>0</v>
      </c>
      <c r="L62" s="16">
        <v>0</v>
      </c>
      <c r="M62" s="14">
        <v>0</v>
      </c>
      <c r="N62" s="16">
        <v>0</v>
      </c>
      <c r="O62" s="14">
        <v>0</v>
      </c>
      <c r="P62" s="16">
        <v>0</v>
      </c>
      <c r="Q62" s="14">
        <v>0</v>
      </c>
      <c r="R62" s="16">
        <v>0</v>
      </c>
    </row>
    <row r="63" spans="1:18" x14ac:dyDescent="0.25">
      <c r="A63" s="11" t="s">
        <v>196</v>
      </c>
      <c r="B63" s="17" t="s">
        <v>154</v>
      </c>
      <c r="C63" s="17" t="s">
        <v>154</v>
      </c>
      <c r="D63" s="18" t="s">
        <v>154</v>
      </c>
      <c r="E63" s="17" t="s">
        <v>154</v>
      </c>
      <c r="F63" s="18" t="s">
        <v>154</v>
      </c>
      <c r="G63" s="17" t="s">
        <v>154</v>
      </c>
      <c r="H63" s="18" t="s">
        <v>154</v>
      </c>
      <c r="I63" s="17" t="s">
        <v>154</v>
      </c>
      <c r="J63" s="18" t="s">
        <v>154</v>
      </c>
      <c r="K63" s="17" t="s">
        <v>154</v>
      </c>
      <c r="L63" s="18" t="s">
        <v>154</v>
      </c>
      <c r="M63" s="17" t="s">
        <v>154</v>
      </c>
      <c r="N63" s="18" t="s">
        <v>154</v>
      </c>
      <c r="O63" s="17" t="s">
        <v>154</v>
      </c>
      <c r="P63" s="18" t="s">
        <v>154</v>
      </c>
      <c r="Q63" s="17" t="s">
        <v>154</v>
      </c>
      <c r="R63" s="18" t="s">
        <v>154</v>
      </c>
    </row>
    <row r="64" spans="1:18" x14ac:dyDescent="0.25">
      <c r="A64" s="11" t="s">
        <v>197</v>
      </c>
      <c r="B64" s="17" t="s">
        <v>154</v>
      </c>
      <c r="C64" s="17" t="s">
        <v>154</v>
      </c>
      <c r="D64" s="18" t="s">
        <v>154</v>
      </c>
      <c r="E64" s="17" t="s">
        <v>154</v>
      </c>
      <c r="F64" s="18" t="s">
        <v>154</v>
      </c>
      <c r="G64" s="17" t="s">
        <v>154</v>
      </c>
      <c r="H64" s="18" t="s">
        <v>154</v>
      </c>
      <c r="I64" s="17" t="s">
        <v>154</v>
      </c>
      <c r="J64" s="18" t="s">
        <v>154</v>
      </c>
      <c r="K64" s="17" t="s">
        <v>154</v>
      </c>
      <c r="L64" s="18" t="s">
        <v>154</v>
      </c>
      <c r="M64" s="17" t="s">
        <v>154</v>
      </c>
      <c r="N64" s="18" t="s">
        <v>154</v>
      </c>
      <c r="O64" s="17" t="s">
        <v>154</v>
      </c>
      <c r="P64" s="18" t="s">
        <v>154</v>
      </c>
      <c r="Q64" s="17" t="s">
        <v>154</v>
      </c>
      <c r="R64" s="18" t="s">
        <v>154</v>
      </c>
    </row>
    <row r="65" spans="1:18" x14ac:dyDescent="0.25">
      <c r="A65" s="11" t="s">
        <v>198</v>
      </c>
      <c r="B65" s="17" t="s">
        <v>154</v>
      </c>
      <c r="C65" s="17" t="s">
        <v>154</v>
      </c>
      <c r="D65" s="18" t="s">
        <v>154</v>
      </c>
      <c r="E65" s="17" t="s">
        <v>154</v>
      </c>
      <c r="F65" s="18" t="s">
        <v>154</v>
      </c>
      <c r="G65" s="17" t="s">
        <v>154</v>
      </c>
      <c r="H65" s="18" t="s">
        <v>154</v>
      </c>
      <c r="I65" s="17" t="s">
        <v>154</v>
      </c>
      <c r="J65" s="18" t="s">
        <v>154</v>
      </c>
      <c r="K65" s="17" t="s">
        <v>154</v>
      </c>
      <c r="L65" s="18" t="s">
        <v>154</v>
      </c>
      <c r="M65" s="17" t="s">
        <v>154</v>
      </c>
      <c r="N65" s="18" t="s">
        <v>154</v>
      </c>
      <c r="O65" s="17" t="s">
        <v>154</v>
      </c>
      <c r="P65" s="18" t="s">
        <v>154</v>
      </c>
      <c r="Q65" s="17" t="s">
        <v>154</v>
      </c>
      <c r="R65" s="18" t="s">
        <v>154</v>
      </c>
    </row>
    <row r="66" spans="1:18" x14ac:dyDescent="0.25">
      <c r="A66" s="11" t="s">
        <v>199</v>
      </c>
      <c r="B66" s="13">
        <v>5665</v>
      </c>
      <c r="C66" s="14">
        <f>(4814/B66*100)</f>
        <v>84.977934686672555</v>
      </c>
      <c r="D66" s="15">
        <v>851</v>
      </c>
      <c r="E66" s="14">
        <v>74.540727840000002</v>
      </c>
      <c r="F66" s="16">
        <v>1.5614942700000001</v>
      </c>
      <c r="G66" s="14">
        <v>25.459272160000001</v>
      </c>
      <c r="H66" s="16">
        <v>1.5614942700000001</v>
      </c>
      <c r="I66" s="14" t="s">
        <v>139</v>
      </c>
      <c r="J66" s="16" t="s">
        <v>139</v>
      </c>
      <c r="K66" s="14">
        <v>0</v>
      </c>
      <c r="L66" s="16">
        <v>0</v>
      </c>
      <c r="M66" s="14">
        <v>0</v>
      </c>
      <c r="N66" s="16">
        <v>0</v>
      </c>
      <c r="O66" s="14">
        <v>0</v>
      </c>
      <c r="P66" s="16">
        <v>0</v>
      </c>
      <c r="Q66" s="14">
        <v>0</v>
      </c>
      <c r="R66" s="16">
        <v>0</v>
      </c>
    </row>
    <row r="67" spans="1:18" x14ac:dyDescent="0.25">
      <c r="A67" s="11" t="s">
        <v>200</v>
      </c>
      <c r="B67" s="13">
        <v>6971</v>
      </c>
      <c r="C67" s="14">
        <f>(6133/B67*100)</f>
        <v>87.978769186630331</v>
      </c>
      <c r="D67" s="15">
        <v>838</v>
      </c>
      <c r="E67" s="14">
        <v>83.081399300000001</v>
      </c>
      <c r="F67" s="16">
        <v>1.2189752</v>
      </c>
      <c r="G67" s="14">
        <v>16.918600699999999</v>
      </c>
      <c r="H67" s="16">
        <v>1.2189752</v>
      </c>
      <c r="I67" s="14" t="s">
        <v>139</v>
      </c>
      <c r="J67" s="16" t="s">
        <v>139</v>
      </c>
      <c r="K67" s="14">
        <v>0</v>
      </c>
      <c r="L67" s="16">
        <v>0</v>
      </c>
      <c r="M67" s="14">
        <v>0</v>
      </c>
      <c r="N67" s="16">
        <v>0</v>
      </c>
      <c r="O67" s="14">
        <v>0</v>
      </c>
      <c r="P67" s="16">
        <v>0</v>
      </c>
      <c r="Q67" s="14">
        <v>0</v>
      </c>
      <c r="R67" s="16">
        <v>0</v>
      </c>
    </row>
    <row r="68" spans="1:18" x14ac:dyDescent="0.25">
      <c r="A68" s="11" t="s">
        <v>201</v>
      </c>
      <c r="B68" s="17" t="s">
        <v>154</v>
      </c>
      <c r="C68" s="17" t="s">
        <v>154</v>
      </c>
      <c r="D68" s="18" t="s">
        <v>154</v>
      </c>
      <c r="E68" s="17" t="s">
        <v>154</v>
      </c>
      <c r="F68" s="18" t="s">
        <v>154</v>
      </c>
      <c r="G68" s="17" t="s">
        <v>154</v>
      </c>
      <c r="H68" s="18" t="s">
        <v>154</v>
      </c>
      <c r="I68" s="17" t="s">
        <v>154</v>
      </c>
      <c r="J68" s="18" t="s">
        <v>154</v>
      </c>
      <c r="K68" s="17" t="s">
        <v>154</v>
      </c>
      <c r="L68" s="18" t="s">
        <v>154</v>
      </c>
      <c r="M68" s="17" t="s">
        <v>154</v>
      </c>
      <c r="N68" s="18" t="s">
        <v>154</v>
      </c>
      <c r="O68" s="17" t="s">
        <v>154</v>
      </c>
      <c r="P68" s="18" t="s">
        <v>154</v>
      </c>
      <c r="Q68" s="17" t="s">
        <v>154</v>
      </c>
      <c r="R68" s="18" t="s">
        <v>154</v>
      </c>
    </row>
    <row r="69" spans="1:18" x14ac:dyDescent="0.25">
      <c r="A69" s="11" t="s">
        <v>202</v>
      </c>
      <c r="B69" s="17" t="s">
        <v>154</v>
      </c>
      <c r="C69" s="17" t="s">
        <v>154</v>
      </c>
      <c r="D69" s="18" t="s">
        <v>154</v>
      </c>
      <c r="E69" s="17" t="s">
        <v>154</v>
      </c>
      <c r="F69" s="18" t="s">
        <v>154</v>
      </c>
      <c r="G69" s="17" t="s">
        <v>154</v>
      </c>
      <c r="H69" s="18" t="s">
        <v>154</v>
      </c>
      <c r="I69" s="17" t="s">
        <v>154</v>
      </c>
      <c r="J69" s="18" t="s">
        <v>154</v>
      </c>
      <c r="K69" s="17" t="s">
        <v>154</v>
      </c>
      <c r="L69" s="18" t="s">
        <v>154</v>
      </c>
      <c r="M69" s="17" t="s">
        <v>154</v>
      </c>
      <c r="N69" s="18" t="s">
        <v>154</v>
      </c>
      <c r="O69" s="17" t="s">
        <v>154</v>
      </c>
      <c r="P69" s="18" t="s">
        <v>154</v>
      </c>
      <c r="Q69" s="17" t="s">
        <v>154</v>
      </c>
      <c r="R69" s="18" t="s">
        <v>154</v>
      </c>
    </row>
    <row r="70" spans="1:18" x14ac:dyDescent="0.25">
      <c r="A70" s="11" t="s">
        <v>203</v>
      </c>
      <c r="B70" s="13">
        <v>6036</v>
      </c>
      <c r="C70" s="14">
        <f>(5107/B70*100)</f>
        <v>84.609012591119949</v>
      </c>
      <c r="D70" s="15">
        <v>929</v>
      </c>
      <c r="E70" s="14">
        <v>79.345817780000004</v>
      </c>
      <c r="F70" s="16">
        <v>1.8512703100000001</v>
      </c>
      <c r="G70" s="14">
        <v>20.654182219999999</v>
      </c>
      <c r="H70" s="16">
        <v>1.8512703100000001</v>
      </c>
      <c r="I70" s="14" t="s">
        <v>139</v>
      </c>
      <c r="J70" s="16" t="s">
        <v>139</v>
      </c>
      <c r="K70" s="14">
        <v>0</v>
      </c>
      <c r="L70" s="16">
        <v>0</v>
      </c>
      <c r="M70" s="14">
        <v>0</v>
      </c>
      <c r="N70" s="16">
        <v>0</v>
      </c>
      <c r="O70" s="14">
        <v>0</v>
      </c>
      <c r="P70" s="16">
        <v>0</v>
      </c>
      <c r="Q70" s="14">
        <v>0</v>
      </c>
      <c r="R70" s="16">
        <v>0</v>
      </c>
    </row>
    <row r="71" spans="1:18" x14ac:dyDescent="0.25">
      <c r="A71" s="11" t="s">
        <v>204</v>
      </c>
      <c r="B71" s="17" t="s">
        <v>154</v>
      </c>
      <c r="C71" s="17" t="s">
        <v>154</v>
      </c>
      <c r="D71" s="18" t="s">
        <v>154</v>
      </c>
      <c r="E71" s="17" t="s">
        <v>154</v>
      </c>
      <c r="F71" s="18" t="s">
        <v>154</v>
      </c>
      <c r="G71" s="17" t="s">
        <v>154</v>
      </c>
      <c r="H71" s="18" t="s">
        <v>154</v>
      </c>
      <c r="I71" s="17" t="s">
        <v>154</v>
      </c>
      <c r="J71" s="18" t="s">
        <v>154</v>
      </c>
      <c r="K71" s="17" t="s">
        <v>154</v>
      </c>
      <c r="L71" s="18" t="s">
        <v>154</v>
      </c>
      <c r="M71" s="17" t="s">
        <v>154</v>
      </c>
      <c r="N71" s="18" t="s">
        <v>154</v>
      </c>
      <c r="O71" s="17" t="s">
        <v>154</v>
      </c>
      <c r="P71" s="18" t="s">
        <v>154</v>
      </c>
      <c r="Q71" s="17" t="s">
        <v>154</v>
      </c>
      <c r="R71" s="18" t="s">
        <v>154</v>
      </c>
    </row>
    <row r="72" spans="1:18" x14ac:dyDescent="0.25">
      <c r="A72" s="11" t="s">
        <v>205</v>
      </c>
      <c r="B72" s="13">
        <v>7708</v>
      </c>
      <c r="C72" s="14">
        <f>(6384/B72*100)</f>
        <v>82.823040996367411</v>
      </c>
      <c r="D72" s="15">
        <v>1324</v>
      </c>
      <c r="E72" s="14">
        <v>70.026728550000001</v>
      </c>
      <c r="F72" s="16">
        <v>1.26643934</v>
      </c>
      <c r="G72" s="14">
        <v>29.973271449999999</v>
      </c>
      <c r="H72" s="16">
        <v>1.26643934</v>
      </c>
      <c r="I72" s="14" t="s">
        <v>139</v>
      </c>
      <c r="J72" s="16" t="s">
        <v>139</v>
      </c>
      <c r="K72" s="14">
        <v>0</v>
      </c>
      <c r="L72" s="16">
        <v>0</v>
      </c>
      <c r="M72" s="14">
        <v>0</v>
      </c>
      <c r="N72" s="16">
        <v>0</v>
      </c>
      <c r="O72" s="14">
        <v>0</v>
      </c>
      <c r="P72" s="16">
        <v>0</v>
      </c>
      <c r="Q72" s="14">
        <v>0</v>
      </c>
      <c r="R72" s="16">
        <v>0</v>
      </c>
    </row>
    <row r="73" spans="1:18" x14ac:dyDescent="0.25">
      <c r="A73" s="11" t="s">
        <v>206</v>
      </c>
      <c r="B73" s="13">
        <v>8249</v>
      </c>
      <c r="C73" s="14">
        <f>(7078/B73*100)</f>
        <v>85.804339919990298</v>
      </c>
      <c r="D73" s="15">
        <v>1171</v>
      </c>
      <c r="E73" s="14">
        <v>81.048020280000003</v>
      </c>
      <c r="F73" s="16">
        <v>1.6142368199999999</v>
      </c>
      <c r="G73" s="14">
        <v>18.951979720000001</v>
      </c>
      <c r="H73" s="16">
        <v>1.6142368199999999</v>
      </c>
      <c r="I73" s="14" t="s">
        <v>139</v>
      </c>
      <c r="J73" s="16" t="s">
        <v>139</v>
      </c>
      <c r="K73" s="14">
        <v>0</v>
      </c>
      <c r="L73" s="16">
        <v>0</v>
      </c>
      <c r="M73" s="14">
        <v>0</v>
      </c>
      <c r="N73" s="16">
        <v>0</v>
      </c>
      <c r="O73" s="14">
        <v>0</v>
      </c>
      <c r="P73" s="16">
        <v>0</v>
      </c>
      <c r="Q73" s="14">
        <v>0</v>
      </c>
      <c r="R73" s="16">
        <v>0</v>
      </c>
    </row>
    <row r="74" spans="1:18" x14ac:dyDescent="0.25">
      <c r="A74" s="11" t="s">
        <v>207</v>
      </c>
      <c r="B74" s="17" t="s">
        <v>154</v>
      </c>
      <c r="C74" s="17" t="s">
        <v>154</v>
      </c>
      <c r="D74" s="18" t="s">
        <v>154</v>
      </c>
      <c r="E74" s="17" t="s">
        <v>154</v>
      </c>
      <c r="F74" s="18" t="s">
        <v>154</v>
      </c>
      <c r="G74" s="17" t="s">
        <v>154</v>
      </c>
      <c r="H74" s="18" t="s">
        <v>154</v>
      </c>
      <c r="I74" s="17" t="s">
        <v>154</v>
      </c>
      <c r="J74" s="18" t="s">
        <v>154</v>
      </c>
      <c r="K74" s="17" t="s">
        <v>154</v>
      </c>
      <c r="L74" s="18" t="s">
        <v>154</v>
      </c>
      <c r="M74" s="17" t="s">
        <v>154</v>
      </c>
      <c r="N74" s="18" t="s">
        <v>154</v>
      </c>
      <c r="O74" s="17" t="s">
        <v>154</v>
      </c>
      <c r="P74" s="18" t="s">
        <v>154</v>
      </c>
      <c r="Q74" s="17" t="s">
        <v>154</v>
      </c>
      <c r="R74" s="18" t="s">
        <v>154</v>
      </c>
    </row>
    <row r="75" spans="1:18" x14ac:dyDescent="0.25">
      <c r="A75" s="11" t="s">
        <v>208</v>
      </c>
      <c r="B75" s="13">
        <v>5375</v>
      </c>
      <c r="C75" s="14">
        <f>(4632/B75*100)</f>
        <v>86.17674418604652</v>
      </c>
      <c r="D75" s="15">
        <v>743</v>
      </c>
      <c r="E75" s="14">
        <v>81.936737620000002</v>
      </c>
      <c r="F75" s="16">
        <v>1.4382032899999999</v>
      </c>
      <c r="G75" s="14">
        <v>18.063262380000001</v>
      </c>
      <c r="H75" s="16">
        <v>1.4382032899999999</v>
      </c>
      <c r="I75" s="14" t="s">
        <v>139</v>
      </c>
      <c r="J75" s="16" t="s">
        <v>139</v>
      </c>
      <c r="K75" s="14">
        <v>0</v>
      </c>
      <c r="L75" s="16">
        <v>0</v>
      </c>
      <c r="M75" s="14">
        <v>0</v>
      </c>
      <c r="N75" s="16">
        <v>0</v>
      </c>
      <c r="O75" s="14">
        <v>0</v>
      </c>
      <c r="P75" s="16">
        <v>0</v>
      </c>
      <c r="Q75" s="14">
        <v>0</v>
      </c>
      <c r="R75" s="16">
        <v>0</v>
      </c>
    </row>
    <row r="76" spans="1:18" x14ac:dyDescent="0.25">
      <c r="A76" s="11" t="s">
        <v>209</v>
      </c>
      <c r="B76" s="13">
        <v>14167</v>
      </c>
      <c r="C76" s="14">
        <f>(11816/B76*100)</f>
        <v>83.4050963506741</v>
      </c>
      <c r="D76" s="15">
        <v>2351</v>
      </c>
      <c r="E76" s="14">
        <v>79.727112610000006</v>
      </c>
      <c r="F76" s="16">
        <v>0.93266441</v>
      </c>
      <c r="G76" s="14">
        <v>20.272887390000001</v>
      </c>
      <c r="H76" s="16">
        <v>0.93266441</v>
      </c>
      <c r="I76" s="14" t="s">
        <v>139</v>
      </c>
      <c r="J76" s="16" t="s">
        <v>139</v>
      </c>
      <c r="K76" s="14">
        <v>0</v>
      </c>
      <c r="L76" s="16">
        <v>0</v>
      </c>
      <c r="M76" s="14">
        <v>0</v>
      </c>
      <c r="N76" s="16">
        <v>0</v>
      </c>
      <c r="O76" s="14">
        <v>0</v>
      </c>
      <c r="P76" s="16">
        <v>0</v>
      </c>
      <c r="Q76" s="14">
        <v>0</v>
      </c>
      <c r="R76" s="16">
        <v>0</v>
      </c>
    </row>
    <row r="77" spans="1:18" x14ac:dyDescent="0.25">
      <c r="A77" s="11" t="s">
        <v>210</v>
      </c>
      <c r="B77" s="13">
        <v>6062</v>
      </c>
      <c r="C77" s="14">
        <f>(5215/B77*100)</f>
        <v>86.027713625866056</v>
      </c>
      <c r="D77" s="15">
        <v>847</v>
      </c>
      <c r="E77" s="14">
        <v>79.700402769999997</v>
      </c>
      <c r="F77" s="16">
        <v>1.61344094</v>
      </c>
      <c r="G77" s="14">
        <v>20.29959723</v>
      </c>
      <c r="H77" s="16">
        <v>1.61344094</v>
      </c>
      <c r="I77" s="14" t="s">
        <v>139</v>
      </c>
      <c r="J77" s="16" t="s">
        <v>139</v>
      </c>
      <c r="K77" s="14">
        <v>0</v>
      </c>
      <c r="L77" s="16">
        <v>0</v>
      </c>
      <c r="M77" s="14">
        <v>0</v>
      </c>
      <c r="N77" s="16">
        <v>0</v>
      </c>
      <c r="O77" s="14">
        <v>0</v>
      </c>
      <c r="P77" s="16">
        <v>0</v>
      </c>
      <c r="Q77" s="14">
        <v>0</v>
      </c>
      <c r="R77" s="16">
        <v>0</v>
      </c>
    </row>
    <row r="78" spans="1:18" x14ac:dyDescent="0.25">
      <c r="A78" s="11" t="s">
        <v>211</v>
      </c>
      <c r="B78" s="17" t="s">
        <v>154</v>
      </c>
      <c r="C78" s="17" t="s">
        <v>154</v>
      </c>
      <c r="D78" s="18" t="s">
        <v>154</v>
      </c>
      <c r="E78" s="17" t="s">
        <v>154</v>
      </c>
      <c r="F78" s="18" t="s">
        <v>154</v>
      </c>
      <c r="G78" s="17" t="s">
        <v>154</v>
      </c>
      <c r="H78" s="18" t="s">
        <v>154</v>
      </c>
      <c r="I78" s="17" t="s">
        <v>154</v>
      </c>
      <c r="J78" s="18" t="s">
        <v>154</v>
      </c>
      <c r="K78" s="17" t="s">
        <v>154</v>
      </c>
      <c r="L78" s="18" t="s">
        <v>154</v>
      </c>
      <c r="M78" s="17" t="s">
        <v>154</v>
      </c>
      <c r="N78" s="18" t="s">
        <v>154</v>
      </c>
      <c r="O78" s="17" t="s">
        <v>154</v>
      </c>
      <c r="P78" s="18" t="s">
        <v>154</v>
      </c>
      <c r="Q78" s="17" t="s">
        <v>154</v>
      </c>
      <c r="R78" s="18" t="s">
        <v>154</v>
      </c>
    </row>
    <row r="79" spans="1:18" ht="24.95" customHeight="1" x14ac:dyDescent="0.25">
      <c r="A79" s="11" t="s">
        <v>212</v>
      </c>
      <c r="B79" s="17" t="s">
        <v>154</v>
      </c>
      <c r="C79" s="17" t="s">
        <v>154</v>
      </c>
      <c r="D79" s="18" t="s">
        <v>154</v>
      </c>
      <c r="E79" s="17" t="s">
        <v>154</v>
      </c>
      <c r="F79" s="18" t="s">
        <v>154</v>
      </c>
      <c r="G79" s="17" t="s">
        <v>154</v>
      </c>
      <c r="H79" s="18" t="s">
        <v>154</v>
      </c>
      <c r="I79" s="17" t="s">
        <v>154</v>
      </c>
      <c r="J79" s="18" t="s">
        <v>154</v>
      </c>
      <c r="K79" s="17" t="s">
        <v>154</v>
      </c>
      <c r="L79" s="18" t="s">
        <v>154</v>
      </c>
      <c r="M79" s="17" t="s">
        <v>154</v>
      </c>
      <c r="N79" s="18" t="s">
        <v>154</v>
      </c>
      <c r="O79" s="17" t="s">
        <v>154</v>
      </c>
      <c r="P79" s="18" t="s">
        <v>154</v>
      </c>
      <c r="Q79" s="17" t="s">
        <v>154</v>
      </c>
      <c r="R79" s="18" t="s">
        <v>154</v>
      </c>
    </row>
    <row r="80" spans="1:18" x14ac:dyDescent="0.25">
      <c r="A80" s="11" t="s">
        <v>213</v>
      </c>
      <c r="B80" s="17" t="s">
        <v>154</v>
      </c>
      <c r="C80" s="17" t="s">
        <v>154</v>
      </c>
      <c r="D80" s="18" t="s">
        <v>154</v>
      </c>
      <c r="E80" s="17" t="s">
        <v>154</v>
      </c>
      <c r="F80" s="18" t="s">
        <v>154</v>
      </c>
      <c r="G80" s="17" t="s">
        <v>154</v>
      </c>
      <c r="H80" s="18" t="s">
        <v>154</v>
      </c>
      <c r="I80" s="17" t="s">
        <v>154</v>
      </c>
      <c r="J80" s="18" t="s">
        <v>154</v>
      </c>
      <c r="K80" s="17" t="s">
        <v>154</v>
      </c>
      <c r="L80" s="18" t="s">
        <v>154</v>
      </c>
      <c r="M80" s="17" t="s">
        <v>154</v>
      </c>
      <c r="N80" s="18" t="s">
        <v>154</v>
      </c>
      <c r="O80" s="17" t="s">
        <v>154</v>
      </c>
      <c r="P80" s="18" t="s">
        <v>154</v>
      </c>
      <c r="Q80" s="17" t="s">
        <v>154</v>
      </c>
      <c r="R80" s="18" t="s">
        <v>154</v>
      </c>
    </row>
    <row r="81" spans="1:18" x14ac:dyDescent="0.25">
      <c r="A81" s="19" t="s">
        <v>214</v>
      </c>
      <c r="B81" s="13">
        <v>8861</v>
      </c>
      <c r="C81" s="14">
        <f>(7414/B81*100)</f>
        <v>83.670014671030358</v>
      </c>
      <c r="D81" s="15">
        <v>1447</v>
      </c>
      <c r="E81" s="14">
        <v>77.033741300000003</v>
      </c>
      <c r="F81" s="16">
        <v>1.4264994799999999</v>
      </c>
      <c r="G81" s="14">
        <v>22.966258700000001</v>
      </c>
      <c r="H81" s="16">
        <v>1.4264994799999999</v>
      </c>
      <c r="I81" s="14" t="s">
        <v>139</v>
      </c>
      <c r="J81" s="16" t="s">
        <v>139</v>
      </c>
      <c r="K81" s="14">
        <v>0</v>
      </c>
      <c r="L81" s="16">
        <v>0</v>
      </c>
      <c r="M81" s="14">
        <v>0</v>
      </c>
      <c r="N81" s="16">
        <v>0</v>
      </c>
      <c r="O81" s="14">
        <v>0</v>
      </c>
      <c r="P81" s="16">
        <v>0</v>
      </c>
      <c r="Q81" s="14">
        <v>0</v>
      </c>
      <c r="R81" s="16">
        <v>0</v>
      </c>
    </row>
    <row r="82" spans="1:18" x14ac:dyDescent="0.25">
      <c r="A82" s="20"/>
      <c r="B82" s="20" t="s">
        <v>215</v>
      </c>
      <c r="C82" s="20" t="s">
        <v>215</v>
      </c>
      <c r="D82" s="20" t="s">
        <v>215</v>
      </c>
      <c r="E82" s="20" t="s">
        <v>215</v>
      </c>
      <c r="F82" s="20" t="s">
        <v>215</v>
      </c>
      <c r="G82" s="20" t="s">
        <v>215</v>
      </c>
      <c r="H82" s="20" t="s">
        <v>215</v>
      </c>
      <c r="I82" s="20" t="s">
        <v>215</v>
      </c>
      <c r="J82" s="20" t="s">
        <v>215</v>
      </c>
      <c r="K82" s="20" t="s">
        <v>215</v>
      </c>
      <c r="L82" s="20" t="s">
        <v>215</v>
      </c>
      <c r="M82" s="20" t="s">
        <v>215</v>
      </c>
      <c r="N82" s="20" t="s">
        <v>215</v>
      </c>
      <c r="O82" s="20" t="s">
        <v>215</v>
      </c>
      <c r="P82" s="20" t="s">
        <v>215</v>
      </c>
      <c r="Q82" s="20" t="s">
        <v>215</v>
      </c>
      <c r="R82" s="20" t="s">
        <v>215</v>
      </c>
    </row>
    <row r="83" spans="1:18" x14ac:dyDescent="0.25">
      <c r="A83" s="3" t="s">
        <v>216</v>
      </c>
    </row>
    <row r="84" spans="1:18" x14ac:dyDescent="0.25">
      <c r="A84" s="22" t="s">
        <v>217</v>
      </c>
      <c r="B84" s="23"/>
      <c r="C84" s="23"/>
      <c r="D84" s="23"/>
      <c r="E84" s="23"/>
      <c r="F84" s="23"/>
      <c r="G84" s="23"/>
      <c r="H84" s="23"/>
      <c r="I84" s="23"/>
      <c r="J84" s="23"/>
      <c r="K84" s="23"/>
      <c r="L84" s="23"/>
      <c r="M84" s="23"/>
      <c r="N84" s="23"/>
      <c r="O84" s="23"/>
      <c r="P84" s="23"/>
      <c r="Q84" s="23"/>
      <c r="R84" s="23"/>
    </row>
    <row r="85" spans="1:18" x14ac:dyDescent="0.25">
      <c r="A85" s="22" t="s">
        <v>218</v>
      </c>
      <c r="B85" s="23"/>
      <c r="C85" s="23"/>
      <c r="D85" s="23"/>
      <c r="E85" s="23"/>
      <c r="F85" s="23"/>
      <c r="G85" s="23"/>
      <c r="H85" s="23"/>
      <c r="I85" s="23"/>
      <c r="J85" s="23"/>
      <c r="K85" s="23"/>
      <c r="L85" s="23"/>
      <c r="M85" s="23"/>
      <c r="N85" s="23"/>
      <c r="O85" s="23"/>
      <c r="P85" s="23"/>
      <c r="Q85" s="23"/>
      <c r="R85" s="23"/>
    </row>
    <row r="86" spans="1:18" ht="30" customHeight="1" x14ac:dyDescent="0.25">
      <c r="A86" s="22" t="s">
        <v>219</v>
      </c>
      <c r="B86" s="23"/>
      <c r="C86" s="23"/>
      <c r="D86" s="23"/>
      <c r="E86" s="23"/>
      <c r="F86" s="23"/>
      <c r="G86" s="23"/>
      <c r="H86" s="23"/>
      <c r="I86" s="23"/>
      <c r="J86" s="23"/>
      <c r="K86" s="23"/>
      <c r="L86" s="23"/>
      <c r="M86" s="23"/>
      <c r="N86" s="23"/>
      <c r="O86" s="23"/>
      <c r="P86" s="23"/>
      <c r="Q86" s="23"/>
      <c r="R86" s="23"/>
    </row>
    <row r="87" spans="1:18" ht="30" customHeight="1" x14ac:dyDescent="0.25">
      <c r="A87" s="22" t="s">
        <v>215</v>
      </c>
      <c r="B87" s="23"/>
      <c r="C87" s="23"/>
      <c r="D87" s="23"/>
      <c r="E87" s="23"/>
      <c r="F87" s="23"/>
      <c r="G87" s="23"/>
      <c r="H87" s="23"/>
      <c r="I87" s="23"/>
      <c r="J87" s="23"/>
      <c r="K87" s="23"/>
      <c r="L87" s="23"/>
      <c r="M87" s="23"/>
      <c r="N87" s="23"/>
      <c r="O87" s="23"/>
      <c r="P87" s="23"/>
      <c r="Q87" s="23"/>
      <c r="R87" s="23"/>
    </row>
    <row r="88" spans="1:18" ht="30" customHeight="1" x14ac:dyDescent="0.25">
      <c r="A88" s="22" t="s">
        <v>220</v>
      </c>
      <c r="B88" s="23"/>
      <c r="C88" s="23"/>
      <c r="D88" s="23"/>
      <c r="E88" s="23"/>
      <c r="F88" s="23"/>
      <c r="G88" s="23"/>
      <c r="H88" s="23"/>
      <c r="I88" s="23"/>
      <c r="J88" s="23"/>
      <c r="K88" s="23"/>
      <c r="L88" s="23"/>
      <c r="M88" s="23"/>
      <c r="N88" s="23"/>
      <c r="O88" s="23"/>
      <c r="P88" s="23"/>
      <c r="Q88" s="23"/>
      <c r="R88" s="23"/>
    </row>
    <row r="89" spans="1:18" ht="30" customHeight="1" x14ac:dyDescent="0.25">
      <c r="A89" s="22" t="s">
        <v>221</v>
      </c>
      <c r="B89" s="23"/>
      <c r="C89" s="23"/>
      <c r="D89" s="23"/>
      <c r="E89" s="23"/>
      <c r="F89" s="23"/>
      <c r="G89" s="23"/>
      <c r="H89" s="23"/>
      <c r="I89" s="23"/>
      <c r="J89" s="23"/>
      <c r="K89" s="23"/>
      <c r="L89" s="23"/>
      <c r="M89" s="23"/>
      <c r="N89" s="23"/>
      <c r="O89" s="23"/>
      <c r="P89" s="23"/>
      <c r="Q89" s="23"/>
      <c r="R89" s="23"/>
    </row>
    <row r="90" spans="1:18" ht="30" customHeight="1" x14ac:dyDescent="0.25">
      <c r="A90" s="22" t="s">
        <v>222</v>
      </c>
      <c r="B90" s="23"/>
      <c r="C90" s="23"/>
      <c r="D90" s="23"/>
      <c r="E90" s="23"/>
      <c r="F90" s="23"/>
      <c r="G90" s="23"/>
      <c r="H90" s="23"/>
      <c r="I90" s="23"/>
      <c r="J90" s="23"/>
      <c r="K90" s="23"/>
      <c r="L90" s="23"/>
      <c r="M90" s="23"/>
      <c r="N90" s="23"/>
      <c r="O90" s="23"/>
      <c r="P90" s="23"/>
      <c r="Q90" s="23"/>
      <c r="R90" s="23"/>
    </row>
    <row r="91" spans="1:18" ht="30" customHeight="1" x14ac:dyDescent="0.25">
      <c r="A91" s="22" t="s">
        <v>223</v>
      </c>
      <c r="B91" s="23"/>
      <c r="C91" s="23"/>
      <c r="D91" s="23"/>
      <c r="E91" s="23"/>
      <c r="F91" s="23"/>
      <c r="G91" s="23"/>
      <c r="H91" s="23"/>
      <c r="I91" s="23"/>
      <c r="J91" s="23"/>
      <c r="K91" s="23"/>
      <c r="L91" s="23"/>
      <c r="M91" s="23"/>
      <c r="N91" s="23"/>
      <c r="O91" s="23"/>
      <c r="P91" s="23"/>
      <c r="Q91" s="23"/>
      <c r="R91" s="23"/>
    </row>
    <row r="92" spans="1:18" ht="30" customHeight="1" x14ac:dyDescent="0.25">
      <c r="A92" s="22" t="s">
        <v>224</v>
      </c>
      <c r="B92" s="23"/>
      <c r="C92" s="23"/>
      <c r="D92" s="23"/>
      <c r="E92" s="23"/>
      <c r="F92" s="23"/>
      <c r="G92" s="23"/>
      <c r="H92" s="23"/>
      <c r="I92" s="23"/>
      <c r="J92" s="23"/>
      <c r="K92" s="23"/>
      <c r="L92" s="23"/>
      <c r="M92" s="23"/>
      <c r="N92" s="23"/>
      <c r="O92" s="23"/>
      <c r="P92" s="23"/>
      <c r="Q92" s="23"/>
      <c r="R92" s="23"/>
    </row>
    <row r="93" spans="1:18" ht="30" customHeight="1" x14ac:dyDescent="0.25">
      <c r="A93" s="22" t="s">
        <v>225</v>
      </c>
      <c r="B93" s="23"/>
      <c r="C93" s="23"/>
      <c r="D93" s="23"/>
      <c r="E93" s="23"/>
      <c r="F93" s="23"/>
      <c r="G93" s="23"/>
      <c r="H93" s="23"/>
      <c r="I93" s="23"/>
      <c r="J93" s="23"/>
      <c r="K93" s="23"/>
      <c r="L93" s="23"/>
      <c r="M93" s="23"/>
      <c r="N93" s="23"/>
      <c r="O93" s="23"/>
      <c r="P93" s="23"/>
      <c r="Q93" s="23"/>
      <c r="R93" s="23"/>
    </row>
    <row r="94" spans="1:18" ht="30" customHeight="1" x14ac:dyDescent="0.25">
      <c r="A94" s="22" t="s">
        <v>226</v>
      </c>
      <c r="B94" s="23"/>
      <c r="C94" s="23"/>
      <c r="D94" s="23"/>
      <c r="E94" s="23"/>
      <c r="F94" s="23"/>
      <c r="G94" s="23"/>
      <c r="H94" s="23"/>
      <c r="I94" s="23"/>
      <c r="J94" s="23"/>
      <c r="K94" s="23"/>
      <c r="L94" s="23"/>
      <c r="M94" s="23"/>
      <c r="N94" s="23"/>
      <c r="O94" s="23"/>
      <c r="P94" s="23"/>
      <c r="Q94" s="23"/>
      <c r="R94" s="23"/>
    </row>
    <row r="95" spans="1:18" ht="30" customHeight="1" x14ac:dyDescent="0.25">
      <c r="A95" s="22" t="s">
        <v>227</v>
      </c>
      <c r="B95" s="23"/>
      <c r="C95" s="23"/>
      <c r="D95" s="23"/>
      <c r="E95" s="23"/>
      <c r="F95" s="23"/>
      <c r="G95" s="23"/>
      <c r="H95" s="23"/>
      <c r="I95" s="23"/>
      <c r="J95" s="23"/>
      <c r="K95" s="23"/>
      <c r="L95" s="23"/>
      <c r="M95" s="23"/>
      <c r="N95" s="23"/>
      <c r="O95" s="23"/>
      <c r="P95" s="23"/>
      <c r="Q95" s="23"/>
      <c r="R95" s="23"/>
    </row>
    <row r="96" spans="1:18" ht="30" customHeight="1" x14ac:dyDescent="0.25">
      <c r="A96" s="22" t="s">
        <v>228</v>
      </c>
      <c r="B96" s="23"/>
      <c r="C96" s="23"/>
      <c r="D96" s="23"/>
      <c r="E96" s="23"/>
      <c r="F96" s="23"/>
      <c r="G96" s="23"/>
      <c r="H96" s="23"/>
      <c r="I96" s="23"/>
      <c r="J96" s="23"/>
      <c r="K96" s="23"/>
      <c r="L96" s="23"/>
      <c r="M96" s="23"/>
      <c r="N96" s="23"/>
      <c r="O96" s="23"/>
      <c r="P96" s="23"/>
      <c r="Q96" s="23"/>
      <c r="R96" s="23"/>
    </row>
  </sheetData>
  <mergeCells count="22">
    <mergeCell ref="O4:P4"/>
    <mergeCell ref="Q4:R4"/>
    <mergeCell ref="A1:R1"/>
    <mergeCell ref="A2:R2"/>
    <mergeCell ref="A84:R84"/>
    <mergeCell ref="E4:F4"/>
    <mergeCell ref="G4:H4"/>
    <mergeCell ref="I4:J4"/>
    <mergeCell ref="K4:L4"/>
    <mergeCell ref="M4:N4"/>
    <mergeCell ref="A85:R85"/>
    <mergeCell ref="A86:R86"/>
    <mergeCell ref="A87:R87"/>
    <mergeCell ref="A88:R88"/>
    <mergeCell ref="A89:R89"/>
    <mergeCell ref="A95:R95"/>
    <mergeCell ref="A96:R96"/>
    <mergeCell ref="A90:R90"/>
    <mergeCell ref="A91:R91"/>
    <mergeCell ref="A92:R92"/>
    <mergeCell ref="A93:R93"/>
    <mergeCell ref="A94:R94"/>
  </mergeCells>
  <pageMargins left="0.75" right="0.75" top="1" bottom="1" header="0.5" footer="0.5"/>
</worksheet>
</file>

<file path=xl/worksheets/sheet1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2"/>
  <dimension ref="A1:T96"/>
  <sheetViews>
    <sheetView zoomScale="80" workbookViewId="0">
      <pane xSplit="4" topLeftCell="E1" activePane="topRight" state="frozen"/>
      <selection sqref="A1:R1"/>
      <selection pane="topRight" sqref="A1:T1"/>
    </sheetView>
  </sheetViews>
  <sheetFormatPr defaultColWidth="11.42578125" defaultRowHeight="15" x14ac:dyDescent="0.25"/>
  <cols>
    <col min="1" max="1" width="50" customWidth="1"/>
  </cols>
  <sheetData>
    <row r="1" spans="1:20" x14ac:dyDescent="0.25">
      <c r="A1" s="26" t="s">
        <v>122</v>
      </c>
      <c r="B1" s="23"/>
      <c r="C1" s="23"/>
      <c r="D1" s="23"/>
      <c r="E1" s="23"/>
      <c r="F1" s="23"/>
      <c r="G1" s="23"/>
      <c r="H1" s="23"/>
      <c r="I1" s="23"/>
      <c r="J1" s="23"/>
      <c r="K1" s="23"/>
      <c r="L1" s="23"/>
      <c r="M1" s="23"/>
      <c r="N1" s="23"/>
      <c r="O1" s="23"/>
      <c r="P1" s="23"/>
      <c r="Q1" s="23"/>
      <c r="R1" s="23"/>
      <c r="S1" s="23"/>
      <c r="T1" s="23"/>
    </row>
    <row r="2" spans="1:20" x14ac:dyDescent="0.25">
      <c r="A2" s="27" t="s">
        <v>358</v>
      </c>
      <c r="B2" s="23"/>
      <c r="C2" s="23"/>
      <c r="D2" s="23"/>
      <c r="E2" s="23"/>
      <c r="F2" s="23"/>
      <c r="G2" s="23"/>
      <c r="H2" s="23"/>
      <c r="I2" s="23"/>
      <c r="J2" s="23"/>
      <c r="K2" s="23"/>
      <c r="L2" s="23"/>
      <c r="M2" s="23"/>
      <c r="N2" s="23"/>
      <c r="O2" s="23"/>
      <c r="P2" s="23"/>
      <c r="Q2" s="23"/>
      <c r="R2" s="23"/>
      <c r="S2" s="23"/>
      <c r="T2" s="23"/>
    </row>
    <row r="4" spans="1:20" ht="30" customHeight="1" x14ac:dyDescent="0.25">
      <c r="A4" s="4"/>
      <c r="B4" s="5" t="s">
        <v>123</v>
      </c>
      <c r="C4" s="5" t="s">
        <v>124</v>
      </c>
      <c r="D4" s="6" t="s">
        <v>123</v>
      </c>
      <c r="E4" s="24" t="s">
        <v>229</v>
      </c>
      <c r="F4" s="25"/>
      <c r="G4" s="24" t="s">
        <v>230</v>
      </c>
      <c r="H4" s="25"/>
      <c r="I4" s="24" t="s">
        <v>232</v>
      </c>
      <c r="J4" s="25"/>
      <c r="K4" s="24" t="s">
        <v>127</v>
      </c>
      <c r="L4" s="25"/>
      <c r="M4" s="24" t="s">
        <v>128</v>
      </c>
      <c r="N4" s="25"/>
      <c r="O4" s="24" t="s">
        <v>129</v>
      </c>
      <c r="P4" s="25"/>
      <c r="Q4" s="24" t="s">
        <v>130</v>
      </c>
      <c r="R4" s="25"/>
      <c r="S4" s="24" t="s">
        <v>131</v>
      </c>
      <c r="T4" s="25"/>
    </row>
    <row r="5" spans="1:20" x14ac:dyDescent="0.25">
      <c r="A5" s="7"/>
      <c r="B5" s="8" t="s">
        <v>132</v>
      </c>
      <c r="C5" s="8" t="s">
        <v>133</v>
      </c>
      <c r="D5" s="7" t="s">
        <v>134</v>
      </c>
      <c r="E5" s="8" t="s">
        <v>135</v>
      </c>
      <c r="F5" s="7" t="s">
        <v>136</v>
      </c>
      <c r="G5" s="8" t="s">
        <v>135</v>
      </c>
      <c r="H5" s="7" t="s">
        <v>136</v>
      </c>
      <c r="I5" s="8" t="s">
        <v>135</v>
      </c>
      <c r="J5" s="7" t="s">
        <v>136</v>
      </c>
      <c r="K5" s="8" t="s">
        <v>135</v>
      </c>
      <c r="L5" s="7" t="s">
        <v>136</v>
      </c>
      <c r="M5" s="8" t="s">
        <v>135</v>
      </c>
      <c r="N5" s="7" t="s">
        <v>136</v>
      </c>
      <c r="O5" s="8" t="s">
        <v>135</v>
      </c>
      <c r="P5" s="7" t="s">
        <v>136</v>
      </c>
      <c r="Q5" s="8" t="s">
        <v>135</v>
      </c>
      <c r="R5" s="7" t="s">
        <v>136</v>
      </c>
      <c r="S5" s="8" t="s">
        <v>135</v>
      </c>
      <c r="T5" s="7" t="s">
        <v>136</v>
      </c>
    </row>
    <row r="6" spans="1:20" x14ac:dyDescent="0.25">
      <c r="A6" s="9" t="s">
        <v>137</v>
      </c>
      <c r="B6" s="10"/>
      <c r="C6" s="10"/>
      <c r="D6" s="11"/>
      <c r="E6" s="10"/>
      <c r="F6" s="11"/>
      <c r="G6" s="10"/>
      <c r="H6" s="11"/>
      <c r="I6" s="10"/>
      <c r="J6" s="11"/>
      <c r="K6" s="10"/>
      <c r="L6" s="11"/>
      <c r="M6" s="10"/>
      <c r="N6" s="11"/>
      <c r="O6" s="10"/>
      <c r="P6" s="11"/>
      <c r="Q6" s="10"/>
      <c r="R6" s="11"/>
      <c r="S6" s="10"/>
      <c r="T6" s="12"/>
    </row>
    <row r="7" spans="1:20" x14ac:dyDescent="0.25">
      <c r="A7" s="11" t="s">
        <v>138</v>
      </c>
      <c r="B7" s="13">
        <v>14530</v>
      </c>
      <c r="C7" s="14">
        <f>(12325/B7*100)</f>
        <v>84.824501032346859</v>
      </c>
      <c r="D7" s="15">
        <v>2205</v>
      </c>
      <c r="E7" s="14">
        <v>43.38138987</v>
      </c>
      <c r="F7" s="16">
        <v>1.2043272</v>
      </c>
      <c r="G7" s="14">
        <v>23.54803922</v>
      </c>
      <c r="H7" s="16">
        <v>1.1350451800000001</v>
      </c>
      <c r="I7" s="14">
        <v>33.070570910000001</v>
      </c>
      <c r="J7" s="16">
        <v>1.16849515</v>
      </c>
      <c r="K7" s="14" t="s">
        <v>139</v>
      </c>
      <c r="L7" s="16" t="s">
        <v>139</v>
      </c>
      <c r="M7" s="14">
        <v>0</v>
      </c>
      <c r="N7" s="16">
        <v>0</v>
      </c>
      <c r="O7" s="14">
        <v>0</v>
      </c>
      <c r="P7" s="16">
        <v>0</v>
      </c>
      <c r="Q7" s="14">
        <v>0</v>
      </c>
      <c r="R7" s="16">
        <v>0</v>
      </c>
      <c r="S7" s="14">
        <v>0</v>
      </c>
      <c r="T7" s="16">
        <v>0</v>
      </c>
    </row>
    <row r="8" spans="1:20" x14ac:dyDescent="0.25">
      <c r="A8" s="11" t="s">
        <v>140</v>
      </c>
      <c r="B8" s="13">
        <v>7007</v>
      </c>
      <c r="C8" s="14">
        <f>(5896/B8*100)</f>
        <v>84.144427001569852</v>
      </c>
      <c r="D8" s="15">
        <v>1111</v>
      </c>
      <c r="E8" s="14">
        <v>45.949908620000002</v>
      </c>
      <c r="F8" s="16">
        <v>1.4662076500000001</v>
      </c>
      <c r="G8" s="14">
        <v>25.909114850000002</v>
      </c>
      <c r="H8" s="16">
        <v>1.4632375099999999</v>
      </c>
      <c r="I8" s="14">
        <v>28.14097653</v>
      </c>
      <c r="J8" s="16">
        <v>1.4956832499999999</v>
      </c>
      <c r="K8" s="14" t="s">
        <v>139</v>
      </c>
      <c r="L8" s="16" t="s">
        <v>139</v>
      </c>
      <c r="M8" s="14">
        <v>0</v>
      </c>
      <c r="N8" s="16">
        <v>0</v>
      </c>
      <c r="O8" s="14">
        <v>0</v>
      </c>
      <c r="P8" s="16">
        <v>0</v>
      </c>
      <c r="Q8" s="14">
        <v>0</v>
      </c>
      <c r="R8" s="16">
        <v>0</v>
      </c>
      <c r="S8" s="14">
        <v>0</v>
      </c>
      <c r="T8" s="16">
        <v>0</v>
      </c>
    </row>
    <row r="9" spans="1:20" x14ac:dyDescent="0.25">
      <c r="A9" s="11" t="s">
        <v>141</v>
      </c>
      <c r="B9" s="13">
        <v>9651</v>
      </c>
      <c r="C9" s="14">
        <f>(8253/B9*100)</f>
        <v>85.514454460677641</v>
      </c>
      <c r="D9" s="15">
        <v>1398</v>
      </c>
      <c r="E9" s="14">
        <v>50.868963960000002</v>
      </c>
      <c r="F9" s="16">
        <v>1.5202501399999999</v>
      </c>
      <c r="G9" s="14">
        <v>25.897956229999998</v>
      </c>
      <c r="H9" s="16">
        <v>1.21960248</v>
      </c>
      <c r="I9" s="14">
        <v>23.23307981</v>
      </c>
      <c r="J9" s="16">
        <v>1.2626475800000001</v>
      </c>
      <c r="K9" s="14" t="s">
        <v>139</v>
      </c>
      <c r="L9" s="16" t="s">
        <v>139</v>
      </c>
      <c r="M9" s="14">
        <v>0</v>
      </c>
      <c r="N9" s="16">
        <v>0</v>
      </c>
      <c r="O9" s="14">
        <v>0</v>
      </c>
      <c r="P9" s="16">
        <v>0</v>
      </c>
      <c r="Q9" s="14">
        <v>0</v>
      </c>
      <c r="R9" s="16">
        <v>0</v>
      </c>
      <c r="S9" s="14">
        <v>0</v>
      </c>
      <c r="T9" s="16">
        <v>0</v>
      </c>
    </row>
    <row r="10" spans="1:20" x14ac:dyDescent="0.25">
      <c r="A10" s="11" t="s">
        <v>142</v>
      </c>
      <c r="B10" s="13">
        <v>20058</v>
      </c>
      <c r="C10" s="14">
        <f>(16810/B10*100)</f>
        <v>83.806959816532057</v>
      </c>
      <c r="D10" s="15">
        <v>3248</v>
      </c>
      <c r="E10" s="14">
        <v>41.396654320000003</v>
      </c>
      <c r="F10" s="16">
        <v>1.1846530399999999</v>
      </c>
      <c r="G10" s="14">
        <v>23.228921509999999</v>
      </c>
      <c r="H10" s="16">
        <v>0.90305968999999997</v>
      </c>
      <c r="I10" s="14">
        <v>35.374424159999997</v>
      </c>
      <c r="J10" s="16">
        <v>1.1078060300000001</v>
      </c>
      <c r="K10" s="14" t="s">
        <v>139</v>
      </c>
      <c r="L10" s="16" t="s">
        <v>139</v>
      </c>
      <c r="M10" s="14">
        <v>0</v>
      </c>
      <c r="N10" s="16">
        <v>0</v>
      </c>
      <c r="O10" s="14">
        <v>0</v>
      </c>
      <c r="P10" s="16">
        <v>0</v>
      </c>
      <c r="Q10" s="14">
        <v>0</v>
      </c>
      <c r="R10" s="16">
        <v>0</v>
      </c>
      <c r="S10" s="14">
        <v>0</v>
      </c>
      <c r="T10" s="16">
        <v>0</v>
      </c>
    </row>
    <row r="11" spans="1:20" x14ac:dyDescent="0.25">
      <c r="A11" s="11" t="s">
        <v>143</v>
      </c>
      <c r="B11" s="13">
        <v>7053</v>
      </c>
      <c r="C11" s="14">
        <f>(6022/B11*100)</f>
        <v>85.382106904863178</v>
      </c>
      <c r="D11" s="15">
        <v>1031</v>
      </c>
      <c r="E11" s="14">
        <v>38.794511010000001</v>
      </c>
      <c r="F11" s="16">
        <v>1.79589205</v>
      </c>
      <c r="G11" s="14">
        <v>36.160461179999999</v>
      </c>
      <c r="H11" s="16">
        <v>1.68604826</v>
      </c>
      <c r="I11" s="14">
        <v>25.045027810000001</v>
      </c>
      <c r="J11" s="16">
        <v>1.58631912</v>
      </c>
      <c r="K11" s="14" t="s">
        <v>139</v>
      </c>
      <c r="L11" s="16" t="s">
        <v>139</v>
      </c>
      <c r="M11" s="14">
        <v>0</v>
      </c>
      <c r="N11" s="16">
        <v>0</v>
      </c>
      <c r="O11" s="14">
        <v>0</v>
      </c>
      <c r="P11" s="16">
        <v>0</v>
      </c>
      <c r="Q11" s="14">
        <v>0</v>
      </c>
      <c r="R11" s="16">
        <v>0</v>
      </c>
      <c r="S11" s="14">
        <v>0</v>
      </c>
      <c r="T11" s="16">
        <v>0</v>
      </c>
    </row>
    <row r="12" spans="1:20" x14ac:dyDescent="0.25">
      <c r="A12" s="11" t="s">
        <v>144</v>
      </c>
      <c r="B12" s="13">
        <v>6894</v>
      </c>
      <c r="C12" s="14">
        <f>(5848/B12*100)</f>
        <v>84.827386132869165</v>
      </c>
      <c r="D12" s="15">
        <v>1046</v>
      </c>
      <c r="E12" s="14">
        <v>44.723995739999999</v>
      </c>
      <c r="F12" s="16">
        <v>1.8149040400000001</v>
      </c>
      <c r="G12" s="14">
        <v>19.445282509999998</v>
      </c>
      <c r="H12" s="16">
        <v>1.37767369</v>
      </c>
      <c r="I12" s="14">
        <v>35.830721750000002</v>
      </c>
      <c r="J12" s="16">
        <v>1.8163694699999999</v>
      </c>
      <c r="K12" s="14" t="s">
        <v>139</v>
      </c>
      <c r="L12" s="16" t="s">
        <v>139</v>
      </c>
      <c r="M12" s="14">
        <v>0</v>
      </c>
      <c r="N12" s="16">
        <v>0</v>
      </c>
      <c r="O12" s="14">
        <v>0</v>
      </c>
      <c r="P12" s="16">
        <v>0</v>
      </c>
      <c r="Q12" s="14">
        <v>0</v>
      </c>
      <c r="R12" s="16">
        <v>0</v>
      </c>
      <c r="S12" s="14">
        <v>0</v>
      </c>
      <c r="T12" s="16">
        <v>0</v>
      </c>
    </row>
    <row r="13" spans="1:20" x14ac:dyDescent="0.25">
      <c r="A13" s="11" t="s">
        <v>145</v>
      </c>
      <c r="B13" s="13">
        <v>7161</v>
      </c>
      <c r="C13" s="14">
        <f>(6121/B13*100)</f>
        <v>85.476888702695149</v>
      </c>
      <c r="D13" s="15">
        <v>1040</v>
      </c>
      <c r="E13" s="14">
        <v>33.037405</v>
      </c>
      <c r="F13" s="16">
        <v>1.54472254</v>
      </c>
      <c r="G13" s="14">
        <v>29.801504659999999</v>
      </c>
      <c r="H13" s="16">
        <v>1.74939785</v>
      </c>
      <c r="I13" s="14">
        <v>37.161090340000001</v>
      </c>
      <c r="J13" s="16">
        <v>1.77286291</v>
      </c>
      <c r="K13" s="14" t="s">
        <v>139</v>
      </c>
      <c r="L13" s="16" t="s">
        <v>139</v>
      </c>
      <c r="M13" s="14">
        <v>0</v>
      </c>
      <c r="N13" s="16">
        <v>0</v>
      </c>
      <c r="O13" s="14">
        <v>0</v>
      </c>
      <c r="P13" s="16">
        <v>0</v>
      </c>
      <c r="Q13" s="14">
        <v>0</v>
      </c>
      <c r="R13" s="16">
        <v>0</v>
      </c>
      <c r="S13" s="14">
        <v>0</v>
      </c>
      <c r="T13" s="16">
        <v>0</v>
      </c>
    </row>
    <row r="14" spans="1:20" x14ac:dyDescent="0.25">
      <c r="A14" s="11" t="s">
        <v>146</v>
      </c>
      <c r="B14" s="13">
        <v>5587</v>
      </c>
      <c r="C14" s="14">
        <f>(4686/B14*100)</f>
        <v>83.873277250760694</v>
      </c>
      <c r="D14" s="15">
        <v>901</v>
      </c>
      <c r="E14" s="14">
        <v>48.582051640000003</v>
      </c>
      <c r="F14" s="16">
        <v>2.06002318</v>
      </c>
      <c r="G14" s="14">
        <v>21.551918950000001</v>
      </c>
      <c r="H14" s="16">
        <v>1.5105775100000001</v>
      </c>
      <c r="I14" s="14">
        <v>29.86602942</v>
      </c>
      <c r="J14" s="16">
        <v>1.71496198</v>
      </c>
      <c r="K14" s="14" t="s">
        <v>139</v>
      </c>
      <c r="L14" s="16" t="s">
        <v>139</v>
      </c>
      <c r="M14" s="14">
        <v>0</v>
      </c>
      <c r="N14" s="16">
        <v>0</v>
      </c>
      <c r="O14" s="14">
        <v>0</v>
      </c>
      <c r="P14" s="16">
        <v>0</v>
      </c>
      <c r="Q14" s="14">
        <v>0</v>
      </c>
      <c r="R14" s="16">
        <v>0</v>
      </c>
      <c r="S14" s="14">
        <v>0</v>
      </c>
      <c r="T14" s="16">
        <v>0</v>
      </c>
    </row>
    <row r="15" spans="1:20" x14ac:dyDescent="0.25">
      <c r="A15" s="11" t="s">
        <v>147</v>
      </c>
      <c r="B15" s="13">
        <v>5882</v>
      </c>
      <c r="C15" s="14">
        <f>(4935/B15*100)</f>
        <v>83.90003400204013</v>
      </c>
      <c r="D15" s="15">
        <v>947</v>
      </c>
      <c r="E15" s="14">
        <v>38.665058299999998</v>
      </c>
      <c r="F15" s="16">
        <v>1.6466390200000001</v>
      </c>
      <c r="G15" s="14">
        <v>26.677512499999999</v>
      </c>
      <c r="H15" s="16">
        <v>1.3886198000000001</v>
      </c>
      <c r="I15" s="14">
        <v>34.657429209999997</v>
      </c>
      <c r="J15" s="16">
        <v>1.7865976400000001</v>
      </c>
      <c r="K15" s="14" t="s">
        <v>139</v>
      </c>
      <c r="L15" s="16" t="s">
        <v>139</v>
      </c>
      <c r="M15" s="14">
        <v>0</v>
      </c>
      <c r="N15" s="16">
        <v>0</v>
      </c>
      <c r="O15" s="14">
        <v>0</v>
      </c>
      <c r="P15" s="16">
        <v>0</v>
      </c>
      <c r="Q15" s="14">
        <v>0</v>
      </c>
      <c r="R15" s="16">
        <v>0</v>
      </c>
      <c r="S15" s="14">
        <v>0</v>
      </c>
      <c r="T15" s="16">
        <v>0</v>
      </c>
    </row>
    <row r="16" spans="1:20" x14ac:dyDescent="0.25">
      <c r="A16" s="11" t="s">
        <v>148</v>
      </c>
      <c r="B16" s="13">
        <v>6108</v>
      </c>
      <c r="C16" s="14">
        <f>(5171/B16*100)</f>
        <v>84.659462999345124</v>
      </c>
      <c r="D16" s="15">
        <v>937</v>
      </c>
      <c r="E16" s="14">
        <v>48.971523089999998</v>
      </c>
      <c r="F16" s="16">
        <v>1.53606887</v>
      </c>
      <c r="G16" s="14">
        <v>25.65617082</v>
      </c>
      <c r="H16" s="16">
        <v>1.4746991300000001</v>
      </c>
      <c r="I16" s="14">
        <v>25.372306089999999</v>
      </c>
      <c r="J16" s="16">
        <v>1.3746023300000001</v>
      </c>
      <c r="K16" s="14" t="s">
        <v>139</v>
      </c>
      <c r="L16" s="16" t="s">
        <v>139</v>
      </c>
      <c r="M16" s="14">
        <v>0</v>
      </c>
      <c r="N16" s="16">
        <v>0</v>
      </c>
      <c r="O16" s="14">
        <v>0</v>
      </c>
      <c r="P16" s="16">
        <v>0</v>
      </c>
      <c r="Q16" s="14">
        <v>0</v>
      </c>
      <c r="R16" s="16">
        <v>0</v>
      </c>
      <c r="S16" s="14">
        <v>0</v>
      </c>
      <c r="T16" s="16">
        <v>0</v>
      </c>
    </row>
    <row r="17" spans="1:20" x14ac:dyDescent="0.25">
      <c r="A17" s="11" t="s">
        <v>149</v>
      </c>
      <c r="B17" s="13">
        <v>6504</v>
      </c>
      <c r="C17" s="14">
        <f>(5522/B17*100)</f>
        <v>84.901599015990158</v>
      </c>
      <c r="D17" s="15">
        <v>982</v>
      </c>
      <c r="E17" s="14">
        <v>43.594181749999997</v>
      </c>
      <c r="F17" s="16">
        <v>1.80455294</v>
      </c>
      <c r="G17" s="14">
        <v>25.511910579999999</v>
      </c>
      <c r="H17" s="16">
        <v>1.44736172</v>
      </c>
      <c r="I17" s="14">
        <v>30.893907670000001</v>
      </c>
      <c r="J17" s="16">
        <v>1.73529573</v>
      </c>
      <c r="K17" s="14" t="s">
        <v>139</v>
      </c>
      <c r="L17" s="16" t="s">
        <v>139</v>
      </c>
      <c r="M17" s="14">
        <v>0</v>
      </c>
      <c r="N17" s="16">
        <v>0</v>
      </c>
      <c r="O17" s="14">
        <v>0</v>
      </c>
      <c r="P17" s="16">
        <v>0</v>
      </c>
      <c r="Q17" s="14">
        <v>0</v>
      </c>
      <c r="R17" s="16">
        <v>0</v>
      </c>
      <c r="S17" s="14">
        <v>0</v>
      </c>
      <c r="T17" s="16">
        <v>0</v>
      </c>
    </row>
    <row r="18" spans="1:20" x14ac:dyDescent="0.25">
      <c r="A18" s="11" t="s">
        <v>150</v>
      </c>
      <c r="B18" s="13">
        <v>5532</v>
      </c>
      <c r="C18" s="14">
        <f>(4619/B18*100)</f>
        <v>83.496023138105571</v>
      </c>
      <c r="D18" s="15">
        <v>913</v>
      </c>
      <c r="E18" s="14">
        <v>54.677932900000002</v>
      </c>
      <c r="F18" s="16">
        <v>1.68696998</v>
      </c>
      <c r="G18" s="14">
        <v>25.92915726</v>
      </c>
      <c r="H18" s="16">
        <v>1.51276791</v>
      </c>
      <c r="I18" s="14">
        <v>19.392909840000002</v>
      </c>
      <c r="J18" s="16">
        <v>1.56166921</v>
      </c>
      <c r="K18" s="14" t="s">
        <v>139</v>
      </c>
      <c r="L18" s="16" t="s">
        <v>139</v>
      </c>
      <c r="M18" s="14">
        <v>0</v>
      </c>
      <c r="N18" s="16">
        <v>0</v>
      </c>
      <c r="O18" s="14">
        <v>0</v>
      </c>
      <c r="P18" s="16">
        <v>0</v>
      </c>
      <c r="Q18" s="14">
        <v>0</v>
      </c>
      <c r="R18" s="16">
        <v>0</v>
      </c>
      <c r="S18" s="14">
        <v>0</v>
      </c>
      <c r="T18" s="16">
        <v>0</v>
      </c>
    </row>
    <row r="19" spans="1:20" x14ac:dyDescent="0.25">
      <c r="A19" s="11" t="s">
        <v>151</v>
      </c>
      <c r="B19" s="13">
        <v>5658</v>
      </c>
      <c r="C19" s="14">
        <f>(4818/B19*100)</f>
        <v>85.153764581124065</v>
      </c>
      <c r="D19" s="15">
        <v>840</v>
      </c>
      <c r="E19" s="14">
        <v>49.691887729999998</v>
      </c>
      <c r="F19" s="16">
        <v>1.9363240399999999</v>
      </c>
      <c r="G19" s="14">
        <v>24.149051350000001</v>
      </c>
      <c r="H19" s="16">
        <v>1.8505182899999999</v>
      </c>
      <c r="I19" s="14">
        <v>26.159060929999999</v>
      </c>
      <c r="J19" s="16">
        <v>1.5576299</v>
      </c>
      <c r="K19" s="14" t="s">
        <v>139</v>
      </c>
      <c r="L19" s="16" t="s">
        <v>139</v>
      </c>
      <c r="M19" s="14">
        <v>0</v>
      </c>
      <c r="N19" s="16">
        <v>0</v>
      </c>
      <c r="O19" s="14">
        <v>0</v>
      </c>
      <c r="P19" s="16">
        <v>0</v>
      </c>
      <c r="Q19" s="14">
        <v>0</v>
      </c>
      <c r="R19" s="16">
        <v>0</v>
      </c>
      <c r="S19" s="14">
        <v>0</v>
      </c>
      <c r="T19" s="16">
        <v>0</v>
      </c>
    </row>
    <row r="20" spans="1:20" x14ac:dyDescent="0.25">
      <c r="A20" s="11" t="s">
        <v>152</v>
      </c>
      <c r="B20" s="13">
        <v>3371</v>
      </c>
      <c r="C20" s="14">
        <f>(2853/B20*100)</f>
        <v>84.633639869474933</v>
      </c>
      <c r="D20" s="15">
        <v>518</v>
      </c>
      <c r="E20" s="14">
        <v>42.500498640000004</v>
      </c>
      <c r="F20" s="16">
        <v>2.1323228699999999</v>
      </c>
      <c r="G20" s="14">
        <v>31.958035689999999</v>
      </c>
      <c r="H20" s="16">
        <v>1.7221001499999999</v>
      </c>
      <c r="I20" s="14">
        <v>25.541465670000001</v>
      </c>
      <c r="J20" s="16">
        <v>1.8830209899999999</v>
      </c>
      <c r="K20" s="14" t="s">
        <v>139</v>
      </c>
      <c r="L20" s="16" t="s">
        <v>139</v>
      </c>
      <c r="M20" s="14">
        <v>0</v>
      </c>
      <c r="N20" s="16">
        <v>0</v>
      </c>
      <c r="O20" s="14">
        <v>0</v>
      </c>
      <c r="P20" s="16">
        <v>0</v>
      </c>
      <c r="Q20" s="14">
        <v>0</v>
      </c>
      <c r="R20" s="16">
        <v>0</v>
      </c>
      <c r="S20" s="14">
        <v>0</v>
      </c>
      <c r="T20" s="16">
        <v>0</v>
      </c>
    </row>
    <row r="21" spans="1:20" x14ac:dyDescent="0.25">
      <c r="A21" s="11" t="s">
        <v>153</v>
      </c>
      <c r="B21" s="17" t="s">
        <v>154</v>
      </c>
      <c r="C21" s="17" t="s">
        <v>154</v>
      </c>
      <c r="D21" s="18" t="s">
        <v>154</v>
      </c>
      <c r="E21" s="17" t="s">
        <v>154</v>
      </c>
      <c r="F21" s="18" t="s">
        <v>154</v>
      </c>
      <c r="G21" s="17" t="s">
        <v>154</v>
      </c>
      <c r="H21" s="18" t="s">
        <v>154</v>
      </c>
      <c r="I21" s="17" t="s">
        <v>154</v>
      </c>
      <c r="J21" s="18" t="s">
        <v>154</v>
      </c>
      <c r="K21" s="17" t="s">
        <v>154</v>
      </c>
      <c r="L21" s="18" t="s">
        <v>154</v>
      </c>
      <c r="M21" s="17" t="s">
        <v>154</v>
      </c>
      <c r="N21" s="18" t="s">
        <v>154</v>
      </c>
      <c r="O21" s="17" t="s">
        <v>154</v>
      </c>
      <c r="P21" s="18" t="s">
        <v>154</v>
      </c>
      <c r="Q21" s="17" t="s">
        <v>154</v>
      </c>
      <c r="R21" s="18" t="s">
        <v>154</v>
      </c>
      <c r="S21" s="17" t="s">
        <v>154</v>
      </c>
      <c r="T21" s="18" t="s">
        <v>154</v>
      </c>
    </row>
    <row r="22" spans="1:20" x14ac:dyDescent="0.25">
      <c r="A22" s="11" t="s">
        <v>155</v>
      </c>
      <c r="B22" s="13">
        <v>6598</v>
      </c>
      <c r="C22" s="14">
        <f>(5650/B22*100)</f>
        <v>85.632009699909062</v>
      </c>
      <c r="D22" s="15">
        <v>948</v>
      </c>
      <c r="E22" s="14">
        <v>59.051963829999998</v>
      </c>
      <c r="F22" s="16">
        <v>1.4235274200000001</v>
      </c>
      <c r="G22" s="14">
        <v>17.060291540000001</v>
      </c>
      <c r="H22" s="16">
        <v>1.0941566899999999</v>
      </c>
      <c r="I22" s="14">
        <v>23.88774463</v>
      </c>
      <c r="J22" s="16">
        <v>1.2324338100000001</v>
      </c>
      <c r="K22" s="14" t="s">
        <v>139</v>
      </c>
      <c r="L22" s="16" t="s">
        <v>139</v>
      </c>
      <c r="M22" s="14">
        <v>0</v>
      </c>
      <c r="N22" s="16">
        <v>0</v>
      </c>
      <c r="O22" s="14">
        <v>0</v>
      </c>
      <c r="P22" s="16">
        <v>0</v>
      </c>
      <c r="Q22" s="14">
        <v>0</v>
      </c>
      <c r="R22" s="16">
        <v>0</v>
      </c>
      <c r="S22" s="14">
        <v>0</v>
      </c>
      <c r="T22" s="16">
        <v>0</v>
      </c>
    </row>
    <row r="23" spans="1:20" x14ac:dyDescent="0.25">
      <c r="A23" s="11" t="s">
        <v>156</v>
      </c>
      <c r="B23" s="13">
        <v>11583</v>
      </c>
      <c r="C23" s="14">
        <f>(9705/B23*100)</f>
        <v>83.78658378658379</v>
      </c>
      <c r="D23" s="15">
        <v>1878</v>
      </c>
      <c r="E23" s="14">
        <v>46.626139510000002</v>
      </c>
      <c r="F23" s="16">
        <v>1.84525144</v>
      </c>
      <c r="G23" s="14">
        <v>24.33446949</v>
      </c>
      <c r="H23" s="16">
        <v>1.53663693</v>
      </c>
      <c r="I23" s="14">
        <v>29.039390999999998</v>
      </c>
      <c r="J23" s="16">
        <v>1.45474506</v>
      </c>
      <c r="K23" s="14" t="s">
        <v>139</v>
      </c>
      <c r="L23" s="16" t="s">
        <v>139</v>
      </c>
      <c r="M23" s="14">
        <v>0</v>
      </c>
      <c r="N23" s="16">
        <v>0</v>
      </c>
      <c r="O23" s="14">
        <v>0</v>
      </c>
      <c r="P23" s="16">
        <v>0</v>
      </c>
      <c r="Q23" s="14">
        <v>0</v>
      </c>
      <c r="R23" s="16">
        <v>0</v>
      </c>
      <c r="S23" s="14">
        <v>0</v>
      </c>
      <c r="T23" s="16">
        <v>0</v>
      </c>
    </row>
    <row r="24" spans="1:20" x14ac:dyDescent="0.25">
      <c r="A24" s="11" t="s">
        <v>157</v>
      </c>
      <c r="B24" s="13">
        <v>6647</v>
      </c>
      <c r="C24" s="14">
        <f>(5570/B24*100)</f>
        <v>83.797201745148186</v>
      </c>
      <c r="D24" s="15">
        <v>1077</v>
      </c>
      <c r="E24" s="14">
        <v>34.315403009999997</v>
      </c>
      <c r="F24" s="16">
        <v>1.5026895600000001</v>
      </c>
      <c r="G24" s="14">
        <v>41.072100140000003</v>
      </c>
      <c r="H24" s="16">
        <v>1.4756614100000001</v>
      </c>
      <c r="I24" s="14">
        <v>24.612496849999999</v>
      </c>
      <c r="J24" s="16">
        <v>1.3123566499999999</v>
      </c>
      <c r="K24" s="14" t="s">
        <v>139</v>
      </c>
      <c r="L24" s="16" t="s">
        <v>139</v>
      </c>
      <c r="M24" s="14">
        <v>0</v>
      </c>
      <c r="N24" s="16">
        <v>0</v>
      </c>
      <c r="O24" s="14">
        <v>0</v>
      </c>
      <c r="P24" s="16">
        <v>0</v>
      </c>
      <c r="Q24" s="14">
        <v>0</v>
      </c>
      <c r="R24" s="16">
        <v>0</v>
      </c>
      <c r="S24" s="14">
        <v>0</v>
      </c>
      <c r="T24" s="16">
        <v>0</v>
      </c>
    </row>
    <row r="25" spans="1:20" x14ac:dyDescent="0.25">
      <c r="A25" s="11" t="s">
        <v>158</v>
      </c>
      <c r="B25" s="13">
        <v>5581</v>
      </c>
      <c r="C25" s="14">
        <f>(4626/B25*100)</f>
        <v>82.888371259630887</v>
      </c>
      <c r="D25" s="15">
        <v>955</v>
      </c>
      <c r="E25" s="14">
        <v>52.526262619999997</v>
      </c>
      <c r="F25" s="16">
        <v>1.7944731599999999</v>
      </c>
      <c r="G25" s="14">
        <v>23.335910899999998</v>
      </c>
      <c r="H25" s="16">
        <v>1.37376359</v>
      </c>
      <c r="I25" s="14">
        <v>24.137826480000001</v>
      </c>
      <c r="J25" s="16">
        <v>1.4563952499999999</v>
      </c>
      <c r="K25" s="14" t="s">
        <v>139</v>
      </c>
      <c r="L25" s="16" t="s">
        <v>139</v>
      </c>
      <c r="M25" s="14">
        <v>0</v>
      </c>
      <c r="N25" s="16">
        <v>0</v>
      </c>
      <c r="O25" s="14">
        <v>0</v>
      </c>
      <c r="P25" s="16">
        <v>0</v>
      </c>
      <c r="Q25" s="14">
        <v>0</v>
      </c>
      <c r="R25" s="16">
        <v>0</v>
      </c>
      <c r="S25" s="14">
        <v>0</v>
      </c>
      <c r="T25" s="16">
        <v>0</v>
      </c>
    </row>
    <row r="26" spans="1:20" x14ac:dyDescent="0.25">
      <c r="A26" s="11" t="s">
        <v>159</v>
      </c>
      <c r="B26" s="13">
        <v>4869</v>
      </c>
      <c r="C26" s="14">
        <f>(4074/B26*100)</f>
        <v>83.672211953173132</v>
      </c>
      <c r="D26" s="15">
        <v>795</v>
      </c>
      <c r="E26" s="14">
        <v>48.4054012</v>
      </c>
      <c r="F26" s="16">
        <v>1.82840487</v>
      </c>
      <c r="G26" s="14">
        <v>24.306722619999999</v>
      </c>
      <c r="H26" s="16">
        <v>1.8323279400000001</v>
      </c>
      <c r="I26" s="14">
        <v>27.287876180000001</v>
      </c>
      <c r="J26" s="16">
        <v>1.72533666</v>
      </c>
      <c r="K26" s="14" t="s">
        <v>139</v>
      </c>
      <c r="L26" s="16" t="s">
        <v>139</v>
      </c>
      <c r="M26" s="14">
        <v>0</v>
      </c>
      <c r="N26" s="16">
        <v>0</v>
      </c>
      <c r="O26" s="14">
        <v>0</v>
      </c>
      <c r="P26" s="16">
        <v>0</v>
      </c>
      <c r="Q26" s="14">
        <v>0</v>
      </c>
      <c r="R26" s="16">
        <v>0</v>
      </c>
      <c r="S26" s="14">
        <v>0</v>
      </c>
      <c r="T26" s="16">
        <v>0</v>
      </c>
    </row>
    <row r="27" spans="1:20" x14ac:dyDescent="0.25">
      <c r="A27" s="11" t="s">
        <v>160</v>
      </c>
      <c r="B27" s="13">
        <v>5299</v>
      </c>
      <c r="C27" s="14">
        <f>(4519/B27*100)</f>
        <v>85.280241555010377</v>
      </c>
      <c r="D27" s="15">
        <v>780</v>
      </c>
      <c r="E27" s="14">
        <v>45.484731660000001</v>
      </c>
      <c r="F27" s="16">
        <v>1.7900142699999999</v>
      </c>
      <c r="G27" s="14">
        <v>28.553020109999999</v>
      </c>
      <c r="H27" s="16">
        <v>1.6794602700000001</v>
      </c>
      <c r="I27" s="14">
        <v>25.962248219999999</v>
      </c>
      <c r="J27" s="16">
        <v>1.4369763200000001</v>
      </c>
      <c r="K27" s="14" t="s">
        <v>139</v>
      </c>
      <c r="L27" s="16" t="s">
        <v>139</v>
      </c>
      <c r="M27" s="14">
        <v>0</v>
      </c>
      <c r="N27" s="16">
        <v>0</v>
      </c>
      <c r="O27" s="14">
        <v>0</v>
      </c>
      <c r="P27" s="16">
        <v>0</v>
      </c>
      <c r="Q27" s="14">
        <v>0</v>
      </c>
      <c r="R27" s="16">
        <v>0</v>
      </c>
      <c r="S27" s="14">
        <v>0</v>
      </c>
      <c r="T27" s="16">
        <v>0</v>
      </c>
    </row>
    <row r="28" spans="1:20" x14ac:dyDescent="0.25">
      <c r="A28" s="11" t="s">
        <v>161</v>
      </c>
      <c r="B28" s="13">
        <v>7568</v>
      </c>
      <c r="C28" s="14">
        <f>(6548/B28*100)</f>
        <v>86.522198731501049</v>
      </c>
      <c r="D28" s="15">
        <v>1020</v>
      </c>
      <c r="E28" s="14">
        <v>55.112363299999998</v>
      </c>
      <c r="F28" s="16">
        <v>1.7238668100000001</v>
      </c>
      <c r="G28" s="14">
        <v>25.92174773</v>
      </c>
      <c r="H28" s="16">
        <v>1.56530174</v>
      </c>
      <c r="I28" s="14">
        <v>18.965888970000002</v>
      </c>
      <c r="J28" s="16">
        <v>1.3257068400000001</v>
      </c>
      <c r="K28" s="14" t="s">
        <v>139</v>
      </c>
      <c r="L28" s="16" t="s">
        <v>139</v>
      </c>
      <c r="M28" s="14">
        <v>0</v>
      </c>
      <c r="N28" s="16">
        <v>0</v>
      </c>
      <c r="O28" s="14">
        <v>0</v>
      </c>
      <c r="P28" s="16">
        <v>0</v>
      </c>
      <c r="Q28" s="14">
        <v>0</v>
      </c>
      <c r="R28" s="16">
        <v>0</v>
      </c>
      <c r="S28" s="14">
        <v>0</v>
      </c>
      <c r="T28" s="16">
        <v>0</v>
      </c>
    </row>
    <row r="29" spans="1:20" x14ac:dyDescent="0.25">
      <c r="A29" s="11" t="s">
        <v>162</v>
      </c>
      <c r="B29" s="13">
        <v>5385</v>
      </c>
      <c r="C29" s="14">
        <f>(4502/B29*100)</f>
        <v>83.602599814298983</v>
      </c>
      <c r="D29" s="15">
        <v>883</v>
      </c>
      <c r="E29" s="14">
        <v>42.5184578</v>
      </c>
      <c r="F29" s="16">
        <v>2.0561664300000002</v>
      </c>
      <c r="G29" s="14">
        <v>32.652881200000003</v>
      </c>
      <c r="H29" s="16">
        <v>1.8002645500000001</v>
      </c>
      <c r="I29" s="14">
        <v>24.828660989999999</v>
      </c>
      <c r="J29" s="16">
        <v>1.9208591699999999</v>
      </c>
      <c r="K29" s="14" t="s">
        <v>139</v>
      </c>
      <c r="L29" s="16" t="s">
        <v>139</v>
      </c>
      <c r="M29" s="14">
        <v>0</v>
      </c>
      <c r="N29" s="16">
        <v>0</v>
      </c>
      <c r="O29" s="14">
        <v>0</v>
      </c>
      <c r="P29" s="16">
        <v>0</v>
      </c>
      <c r="Q29" s="14">
        <v>0</v>
      </c>
      <c r="R29" s="16">
        <v>0</v>
      </c>
      <c r="S29" s="14">
        <v>0</v>
      </c>
      <c r="T29" s="16">
        <v>0</v>
      </c>
    </row>
    <row r="30" spans="1:20" x14ac:dyDescent="0.25">
      <c r="A30" s="11" t="s">
        <v>163</v>
      </c>
      <c r="B30" s="13">
        <v>4520</v>
      </c>
      <c r="C30" s="14">
        <f>(3881/B30*100)</f>
        <v>85.862831858407091</v>
      </c>
      <c r="D30" s="15">
        <v>639</v>
      </c>
      <c r="E30" s="14">
        <v>40.917703549999999</v>
      </c>
      <c r="F30" s="16">
        <v>2.2815798799999998</v>
      </c>
      <c r="G30" s="14">
        <v>24.062519389999999</v>
      </c>
      <c r="H30" s="16">
        <v>1.9352021399999999</v>
      </c>
      <c r="I30" s="14">
        <v>35.019777060000003</v>
      </c>
      <c r="J30" s="16">
        <v>2.0064900400000001</v>
      </c>
      <c r="K30" s="14" t="s">
        <v>139</v>
      </c>
      <c r="L30" s="16" t="s">
        <v>139</v>
      </c>
      <c r="M30" s="14">
        <v>0</v>
      </c>
      <c r="N30" s="16">
        <v>0</v>
      </c>
      <c r="O30" s="14">
        <v>0</v>
      </c>
      <c r="P30" s="16">
        <v>0</v>
      </c>
      <c r="Q30" s="14">
        <v>0</v>
      </c>
      <c r="R30" s="16">
        <v>0</v>
      </c>
      <c r="S30" s="14">
        <v>0</v>
      </c>
      <c r="T30" s="16">
        <v>0</v>
      </c>
    </row>
    <row r="31" spans="1:20" x14ac:dyDescent="0.25">
      <c r="A31" s="11" t="s">
        <v>164</v>
      </c>
      <c r="B31" s="13">
        <v>5456</v>
      </c>
      <c r="C31" s="14">
        <f>(4606/B31*100)</f>
        <v>84.420821114369502</v>
      </c>
      <c r="D31" s="15">
        <v>850</v>
      </c>
      <c r="E31" s="14">
        <v>44.613505549999999</v>
      </c>
      <c r="F31" s="16">
        <v>1.5787166399999999</v>
      </c>
      <c r="G31" s="14">
        <v>30.271109379999999</v>
      </c>
      <c r="H31" s="16">
        <v>1.5730937599999999</v>
      </c>
      <c r="I31" s="14">
        <v>25.115385069999999</v>
      </c>
      <c r="J31" s="16">
        <v>1.66879939</v>
      </c>
      <c r="K31" s="14" t="s">
        <v>139</v>
      </c>
      <c r="L31" s="16" t="s">
        <v>139</v>
      </c>
      <c r="M31" s="14">
        <v>0</v>
      </c>
      <c r="N31" s="16">
        <v>0</v>
      </c>
      <c r="O31" s="14">
        <v>0</v>
      </c>
      <c r="P31" s="16">
        <v>0</v>
      </c>
      <c r="Q31" s="14">
        <v>0</v>
      </c>
      <c r="R31" s="16">
        <v>0</v>
      </c>
      <c r="S31" s="14">
        <v>0</v>
      </c>
      <c r="T31" s="16">
        <v>0</v>
      </c>
    </row>
    <row r="32" spans="1:20" x14ac:dyDescent="0.25">
      <c r="A32" s="11" t="s">
        <v>165</v>
      </c>
      <c r="B32" s="17" t="s">
        <v>154</v>
      </c>
      <c r="C32" s="17" t="s">
        <v>154</v>
      </c>
      <c r="D32" s="18" t="s">
        <v>154</v>
      </c>
      <c r="E32" s="17" t="s">
        <v>154</v>
      </c>
      <c r="F32" s="18" t="s">
        <v>154</v>
      </c>
      <c r="G32" s="17" t="s">
        <v>154</v>
      </c>
      <c r="H32" s="18" t="s">
        <v>154</v>
      </c>
      <c r="I32" s="17" t="s">
        <v>154</v>
      </c>
      <c r="J32" s="18" t="s">
        <v>154</v>
      </c>
      <c r="K32" s="17" t="s">
        <v>154</v>
      </c>
      <c r="L32" s="18" t="s">
        <v>154</v>
      </c>
      <c r="M32" s="17" t="s">
        <v>154</v>
      </c>
      <c r="N32" s="18" t="s">
        <v>154</v>
      </c>
      <c r="O32" s="17" t="s">
        <v>154</v>
      </c>
      <c r="P32" s="18" t="s">
        <v>154</v>
      </c>
      <c r="Q32" s="17" t="s">
        <v>154</v>
      </c>
      <c r="R32" s="18" t="s">
        <v>154</v>
      </c>
      <c r="S32" s="17" t="s">
        <v>154</v>
      </c>
      <c r="T32" s="18" t="s">
        <v>154</v>
      </c>
    </row>
    <row r="33" spans="1:20" x14ac:dyDescent="0.25">
      <c r="A33" s="11" t="s">
        <v>166</v>
      </c>
      <c r="B33" s="13">
        <v>7325</v>
      </c>
      <c r="C33" s="14">
        <f>(6273/B33*100)</f>
        <v>85.638225255972699</v>
      </c>
      <c r="D33" s="15">
        <v>1052</v>
      </c>
      <c r="E33" s="14">
        <v>40.712337990000002</v>
      </c>
      <c r="F33" s="16">
        <v>1.69034624</v>
      </c>
      <c r="G33" s="14">
        <v>26.485498669999998</v>
      </c>
      <c r="H33" s="16">
        <v>1.63277717</v>
      </c>
      <c r="I33" s="14">
        <v>32.80216334</v>
      </c>
      <c r="J33" s="16">
        <v>2.0012661999999999</v>
      </c>
      <c r="K33" s="14" t="s">
        <v>139</v>
      </c>
      <c r="L33" s="16" t="s">
        <v>139</v>
      </c>
      <c r="M33" s="14">
        <v>0</v>
      </c>
      <c r="N33" s="16">
        <v>0</v>
      </c>
      <c r="O33" s="14">
        <v>0</v>
      </c>
      <c r="P33" s="16">
        <v>0</v>
      </c>
      <c r="Q33" s="14">
        <v>0</v>
      </c>
      <c r="R33" s="16">
        <v>0</v>
      </c>
      <c r="S33" s="14">
        <v>0</v>
      </c>
      <c r="T33" s="16">
        <v>0</v>
      </c>
    </row>
    <row r="34" spans="1:20" x14ac:dyDescent="0.25">
      <c r="A34" s="11" t="s">
        <v>167</v>
      </c>
      <c r="B34" s="13">
        <v>6350</v>
      </c>
      <c r="C34" s="14">
        <f>(5427/B34*100)</f>
        <v>85.464566929133852</v>
      </c>
      <c r="D34" s="15">
        <v>923</v>
      </c>
      <c r="E34" s="14">
        <v>49.657308810000004</v>
      </c>
      <c r="F34" s="16">
        <v>1.6054143400000001</v>
      </c>
      <c r="G34" s="14">
        <v>25.101452040000002</v>
      </c>
      <c r="H34" s="16">
        <v>1.4686719699999999</v>
      </c>
      <c r="I34" s="14">
        <v>25.241239149999998</v>
      </c>
      <c r="J34" s="16">
        <v>1.63442536</v>
      </c>
      <c r="K34" s="14" t="s">
        <v>139</v>
      </c>
      <c r="L34" s="16" t="s">
        <v>139</v>
      </c>
      <c r="M34" s="14">
        <v>0</v>
      </c>
      <c r="N34" s="16">
        <v>0</v>
      </c>
      <c r="O34" s="14">
        <v>0</v>
      </c>
      <c r="P34" s="16">
        <v>0</v>
      </c>
      <c r="Q34" s="14">
        <v>0</v>
      </c>
      <c r="R34" s="16">
        <v>0</v>
      </c>
      <c r="S34" s="14">
        <v>0</v>
      </c>
      <c r="T34" s="16">
        <v>0</v>
      </c>
    </row>
    <row r="35" spans="1:20" x14ac:dyDescent="0.25">
      <c r="A35" s="11" t="s">
        <v>168</v>
      </c>
      <c r="B35" s="13">
        <v>6406</v>
      </c>
      <c r="C35" s="14">
        <f>(5392/B35*100)</f>
        <v>84.171089603496725</v>
      </c>
      <c r="D35" s="15">
        <v>1014</v>
      </c>
      <c r="E35" s="14">
        <v>42.921101759999999</v>
      </c>
      <c r="F35" s="16">
        <v>2.0531501900000002</v>
      </c>
      <c r="G35" s="14">
        <v>23.750098090000002</v>
      </c>
      <c r="H35" s="16">
        <v>1.67722196</v>
      </c>
      <c r="I35" s="14">
        <v>33.328800149999999</v>
      </c>
      <c r="J35" s="16">
        <v>1.6841768800000001</v>
      </c>
      <c r="K35" s="14" t="s">
        <v>139</v>
      </c>
      <c r="L35" s="16" t="s">
        <v>139</v>
      </c>
      <c r="M35" s="14">
        <v>0</v>
      </c>
      <c r="N35" s="16">
        <v>0</v>
      </c>
      <c r="O35" s="14">
        <v>0</v>
      </c>
      <c r="P35" s="16">
        <v>0</v>
      </c>
      <c r="Q35" s="14">
        <v>0</v>
      </c>
      <c r="R35" s="16">
        <v>0</v>
      </c>
      <c r="S35" s="14">
        <v>0</v>
      </c>
      <c r="T35" s="16">
        <v>0</v>
      </c>
    </row>
    <row r="36" spans="1:20" x14ac:dyDescent="0.25">
      <c r="A36" s="11" t="s">
        <v>169</v>
      </c>
      <c r="B36" s="13">
        <v>6736</v>
      </c>
      <c r="C36" s="14">
        <f>(5742/B36*100)</f>
        <v>85.243467933491686</v>
      </c>
      <c r="D36" s="15">
        <v>994</v>
      </c>
      <c r="E36" s="14">
        <v>37.309573819999997</v>
      </c>
      <c r="F36" s="16">
        <v>1.6519609200000001</v>
      </c>
      <c r="G36" s="14">
        <v>29.226524220000002</v>
      </c>
      <c r="H36" s="16">
        <v>1.5254244400000001</v>
      </c>
      <c r="I36" s="14">
        <v>33.463901960000001</v>
      </c>
      <c r="J36" s="16">
        <v>1.37727022</v>
      </c>
      <c r="K36" s="14" t="s">
        <v>139</v>
      </c>
      <c r="L36" s="16" t="s">
        <v>139</v>
      </c>
      <c r="M36" s="14">
        <v>0</v>
      </c>
      <c r="N36" s="16">
        <v>0</v>
      </c>
      <c r="O36" s="14">
        <v>0</v>
      </c>
      <c r="P36" s="16">
        <v>0</v>
      </c>
      <c r="Q36" s="14">
        <v>0</v>
      </c>
      <c r="R36" s="16">
        <v>0</v>
      </c>
      <c r="S36" s="14">
        <v>0</v>
      </c>
      <c r="T36" s="16">
        <v>0</v>
      </c>
    </row>
    <row r="37" spans="1:20" x14ac:dyDescent="0.25">
      <c r="A37" s="11" t="s">
        <v>170</v>
      </c>
      <c r="B37" s="13">
        <v>5458</v>
      </c>
      <c r="C37" s="14">
        <f>(4673/B37*100)</f>
        <v>85.617442286551849</v>
      </c>
      <c r="D37" s="15">
        <v>785</v>
      </c>
      <c r="E37" s="14">
        <v>39.082472559999999</v>
      </c>
      <c r="F37" s="16">
        <v>1.62538614</v>
      </c>
      <c r="G37" s="14">
        <v>29.284783480000002</v>
      </c>
      <c r="H37" s="16">
        <v>1.5612445500000001</v>
      </c>
      <c r="I37" s="14">
        <v>31.632743949999998</v>
      </c>
      <c r="J37" s="16">
        <v>1.6246410899999999</v>
      </c>
      <c r="K37" s="14" t="s">
        <v>139</v>
      </c>
      <c r="L37" s="16" t="s">
        <v>139</v>
      </c>
      <c r="M37" s="14">
        <v>0</v>
      </c>
      <c r="N37" s="16">
        <v>0</v>
      </c>
      <c r="O37" s="14">
        <v>0</v>
      </c>
      <c r="P37" s="16">
        <v>0</v>
      </c>
      <c r="Q37" s="14">
        <v>0</v>
      </c>
      <c r="R37" s="16">
        <v>0</v>
      </c>
      <c r="S37" s="14">
        <v>0</v>
      </c>
      <c r="T37" s="16">
        <v>0</v>
      </c>
    </row>
    <row r="38" spans="1:20" x14ac:dyDescent="0.25">
      <c r="A38" s="11" t="s">
        <v>171</v>
      </c>
      <c r="B38" s="17" t="s">
        <v>154</v>
      </c>
      <c r="C38" s="17" t="s">
        <v>154</v>
      </c>
      <c r="D38" s="18" t="s">
        <v>154</v>
      </c>
      <c r="E38" s="17" t="s">
        <v>154</v>
      </c>
      <c r="F38" s="18" t="s">
        <v>154</v>
      </c>
      <c r="G38" s="17" t="s">
        <v>154</v>
      </c>
      <c r="H38" s="18" t="s">
        <v>154</v>
      </c>
      <c r="I38" s="17" t="s">
        <v>154</v>
      </c>
      <c r="J38" s="18" t="s">
        <v>154</v>
      </c>
      <c r="K38" s="17" t="s">
        <v>154</v>
      </c>
      <c r="L38" s="18" t="s">
        <v>154</v>
      </c>
      <c r="M38" s="17" t="s">
        <v>154</v>
      </c>
      <c r="N38" s="18" t="s">
        <v>154</v>
      </c>
      <c r="O38" s="17" t="s">
        <v>154</v>
      </c>
      <c r="P38" s="18" t="s">
        <v>154</v>
      </c>
      <c r="Q38" s="17" t="s">
        <v>154</v>
      </c>
      <c r="R38" s="18" t="s">
        <v>154</v>
      </c>
      <c r="S38" s="17" t="s">
        <v>154</v>
      </c>
      <c r="T38" s="18" t="s">
        <v>154</v>
      </c>
    </row>
    <row r="39" spans="1:20" x14ac:dyDescent="0.25">
      <c r="A39" s="11" t="s">
        <v>172</v>
      </c>
      <c r="B39" s="13">
        <v>5895</v>
      </c>
      <c r="C39" s="14">
        <f>(4872/B39*100)</f>
        <v>82.646310432569976</v>
      </c>
      <c r="D39" s="15">
        <v>1023</v>
      </c>
      <c r="E39" s="14">
        <v>63.524910130000002</v>
      </c>
      <c r="F39" s="16">
        <v>1.7456716000000001</v>
      </c>
      <c r="G39" s="14">
        <v>20.792244879999998</v>
      </c>
      <c r="H39" s="16">
        <v>1.36490339</v>
      </c>
      <c r="I39" s="14">
        <v>15.68284498</v>
      </c>
      <c r="J39" s="16">
        <v>1.28774258</v>
      </c>
      <c r="K39" s="14" t="s">
        <v>139</v>
      </c>
      <c r="L39" s="16" t="s">
        <v>139</v>
      </c>
      <c r="M39" s="14">
        <v>0</v>
      </c>
      <c r="N39" s="16">
        <v>0</v>
      </c>
      <c r="O39" s="14">
        <v>0</v>
      </c>
      <c r="P39" s="16">
        <v>0</v>
      </c>
      <c r="Q39" s="14">
        <v>0</v>
      </c>
      <c r="R39" s="16">
        <v>0</v>
      </c>
      <c r="S39" s="14">
        <v>0</v>
      </c>
      <c r="T39" s="16">
        <v>0</v>
      </c>
    </row>
    <row r="40" spans="1:20" x14ac:dyDescent="0.25">
      <c r="A40" s="11" t="s">
        <v>173</v>
      </c>
      <c r="B40" s="13">
        <v>14157</v>
      </c>
      <c r="C40" s="14">
        <f>(11853/B40*100)</f>
        <v>83.725365543547355</v>
      </c>
      <c r="D40" s="15">
        <v>2304</v>
      </c>
      <c r="E40" s="14">
        <v>47.368188959999998</v>
      </c>
      <c r="F40" s="16">
        <v>1.51608403</v>
      </c>
      <c r="G40" s="14">
        <v>21.2279962</v>
      </c>
      <c r="H40" s="16">
        <v>1.36178603</v>
      </c>
      <c r="I40" s="14">
        <v>31.403814839999999</v>
      </c>
      <c r="J40" s="16">
        <v>1.25297163</v>
      </c>
      <c r="K40" s="14" t="s">
        <v>139</v>
      </c>
      <c r="L40" s="16" t="s">
        <v>139</v>
      </c>
      <c r="M40" s="14">
        <v>0</v>
      </c>
      <c r="N40" s="16">
        <v>0</v>
      </c>
      <c r="O40" s="14">
        <v>0</v>
      </c>
      <c r="P40" s="16">
        <v>0</v>
      </c>
      <c r="Q40" s="14">
        <v>0</v>
      </c>
      <c r="R40" s="16">
        <v>0</v>
      </c>
      <c r="S40" s="14">
        <v>0</v>
      </c>
      <c r="T40" s="16">
        <v>0</v>
      </c>
    </row>
    <row r="41" spans="1:20" x14ac:dyDescent="0.25">
      <c r="A41" s="11" t="s">
        <v>174</v>
      </c>
      <c r="B41" s="13">
        <v>5712</v>
      </c>
      <c r="C41" s="14">
        <f>(4823/B41*100)</f>
        <v>84.436274509803923</v>
      </c>
      <c r="D41" s="15">
        <v>889</v>
      </c>
      <c r="E41" s="14">
        <v>42.518296909999997</v>
      </c>
      <c r="F41" s="16">
        <v>1.9621385099999999</v>
      </c>
      <c r="G41" s="14">
        <v>22.343327909999999</v>
      </c>
      <c r="H41" s="16">
        <v>1.2148556800000001</v>
      </c>
      <c r="I41" s="14">
        <v>35.138375179999997</v>
      </c>
      <c r="J41" s="16">
        <v>1.81413961</v>
      </c>
      <c r="K41" s="14" t="s">
        <v>139</v>
      </c>
      <c r="L41" s="16" t="s">
        <v>139</v>
      </c>
      <c r="M41" s="14">
        <v>0</v>
      </c>
      <c r="N41" s="16">
        <v>0</v>
      </c>
      <c r="O41" s="14">
        <v>0</v>
      </c>
      <c r="P41" s="16">
        <v>0</v>
      </c>
      <c r="Q41" s="14">
        <v>0</v>
      </c>
      <c r="R41" s="16">
        <v>0</v>
      </c>
      <c r="S41" s="14">
        <v>0</v>
      </c>
      <c r="T41" s="16">
        <v>0</v>
      </c>
    </row>
    <row r="42" spans="1:20" x14ac:dyDescent="0.25">
      <c r="A42" s="11" t="s">
        <v>175</v>
      </c>
      <c r="B42" s="13">
        <f>IF(COUNT(B7:B41) &gt; 0, AVERAGE(B7:B41), "\u2014")</f>
        <v>7266.90625</v>
      </c>
      <c r="C42" s="14">
        <f>IF(COUNT(C7:C41) &gt; 0, AVERAGE(C7:C41), "—")</f>
        <v>84.593823091281095</v>
      </c>
      <c r="D42" s="15">
        <f>IF(COUNT(D7:D41) &gt; 0, AVERAGE(D7:D41), "—")</f>
        <v>1122.6875</v>
      </c>
      <c r="E42" s="14">
        <f>IF(COUNT(E7:E41) &gt; 0, AVERAGE(E7:E41), "—")</f>
        <v>45.546940173124987</v>
      </c>
      <c r="F42" s="16">
        <f>IF(COUNT(F7:F41) &gt; 0, SQRT(SUMSQ(F7:F41)/(COUNT(F7:F41)*COUNT(F7:F41)) ), "—")</f>
        <v>0.30698911320940719</v>
      </c>
      <c r="G42" s="14">
        <f>IF(COUNT(G7:G41) &gt; 0, AVERAGE(G7:G41), "—")</f>
        <v>26.100241728125003</v>
      </c>
      <c r="H42" s="16">
        <f>IF(COUNT(H7:H41) &gt; 0, SQRT(SUMSQ(H7:H41)/(COUNT(H7:H41)*COUNT(H7:H41)) ), "—")</f>
        <v>0.26881798790860473</v>
      </c>
      <c r="I42" s="14">
        <f>IF(COUNT(I7:I41) &gt; 0, AVERAGE(I7:I41), "—")</f>
        <v>28.352818098125002</v>
      </c>
      <c r="J42" s="16">
        <f>IF(COUNT(J7:J41) &gt; 0, SQRT(SUMSQ(J7:J41)/(COUNT(J7:J41)*COUNT(J7:J41)) ), "—")</f>
        <v>0.27981238633203631</v>
      </c>
      <c r="K42" s="14" t="str">
        <f>IF(COUNT(K7:K41) &gt; 0, AVERAGE(K7:K41), "—")</f>
        <v>—</v>
      </c>
      <c r="L42" s="16" t="str">
        <f>IF(COUNT(L7:L41) &gt; 0, SQRT(SUMSQ(L7:L41)/(COUNT(L7:L41)*COUNT(L7:L41)) ), "—")</f>
        <v>—</v>
      </c>
      <c r="M42" s="14">
        <f>IF(COUNT(M7:M41) &gt; 0, AVERAGE(M7:M41), "—")</f>
        <v>0</v>
      </c>
      <c r="N42" s="16">
        <f>IF(COUNT(N7:N41) &gt; 0, SQRT(SUMSQ(N7:N41)/(COUNT(N7:N41)*COUNT(N7:N41)) ), "—")</f>
        <v>0</v>
      </c>
      <c r="O42" s="14">
        <f>IF(COUNT(O7:O41) &gt; 0, AVERAGE(O7:O41), "—")</f>
        <v>0</v>
      </c>
      <c r="P42" s="16">
        <f>IF(COUNT(P7:P41) &gt; 0, SQRT(SUMSQ(P7:P41)/(COUNT(P7:P41)*COUNT(P7:P41)) ), "—")</f>
        <v>0</v>
      </c>
      <c r="Q42" s="14">
        <f>IF(COUNT(Q7:Q41) &gt; 0, AVERAGE(Q7:Q41), "—")</f>
        <v>0</v>
      </c>
      <c r="R42" s="16">
        <f>IF(COUNT(R7:R41) &gt; 0, SQRT(SUMSQ(R7:R41)/(COUNT(R7:R41)*COUNT(R7:R41)) ), "—")</f>
        <v>0</v>
      </c>
      <c r="S42" s="14">
        <f>IF(COUNT(S7:S41) &gt; 0, AVERAGE(S7:S41), "—")</f>
        <v>0</v>
      </c>
      <c r="T42" s="16">
        <f>IF(COUNT(T7:T41) &gt; 0, SQRT(SUMSQ(T7:T41)/(COUNT(T7:T41)*COUNT(T7:T41)) ), "—")</f>
        <v>0</v>
      </c>
    </row>
    <row r="43" spans="1:20" x14ac:dyDescent="0.25">
      <c r="A43" s="9" t="s">
        <v>176</v>
      </c>
      <c r="B43" s="10"/>
      <c r="C43" s="10"/>
      <c r="D43" s="11"/>
      <c r="E43" s="10"/>
      <c r="F43" s="11"/>
      <c r="G43" s="10"/>
      <c r="H43" s="11"/>
      <c r="I43" s="10"/>
      <c r="J43" s="11"/>
      <c r="K43" s="10"/>
      <c r="L43" s="11"/>
      <c r="M43" s="10"/>
      <c r="N43" s="11"/>
      <c r="O43" s="10"/>
      <c r="P43" s="11"/>
      <c r="Q43" s="10"/>
      <c r="R43" s="11"/>
      <c r="S43" s="10"/>
      <c r="T43" s="12"/>
    </row>
    <row r="44" spans="1:20" x14ac:dyDescent="0.25">
      <c r="A44" s="11" t="s">
        <v>177</v>
      </c>
      <c r="B44" s="17" t="s">
        <v>154</v>
      </c>
      <c r="C44" s="17" t="s">
        <v>154</v>
      </c>
      <c r="D44" s="18" t="s">
        <v>154</v>
      </c>
      <c r="E44" s="17" t="s">
        <v>154</v>
      </c>
      <c r="F44" s="18" t="s">
        <v>154</v>
      </c>
      <c r="G44" s="17" t="s">
        <v>154</v>
      </c>
      <c r="H44" s="18" t="s">
        <v>154</v>
      </c>
      <c r="I44" s="17" t="s">
        <v>154</v>
      </c>
      <c r="J44" s="18" t="s">
        <v>154</v>
      </c>
      <c r="K44" s="17" t="s">
        <v>154</v>
      </c>
      <c r="L44" s="18" t="s">
        <v>154</v>
      </c>
      <c r="M44" s="17" t="s">
        <v>154</v>
      </c>
      <c r="N44" s="18" t="s">
        <v>154</v>
      </c>
      <c r="O44" s="17" t="s">
        <v>154</v>
      </c>
      <c r="P44" s="18" t="s">
        <v>154</v>
      </c>
      <c r="Q44" s="17" t="s">
        <v>154</v>
      </c>
      <c r="R44" s="18" t="s">
        <v>154</v>
      </c>
      <c r="S44" s="17" t="s">
        <v>154</v>
      </c>
      <c r="T44" s="18" t="s">
        <v>154</v>
      </c>
    </row>
    <row r="45" spans="1:20" x14ac:dyDescent="0.25">
      <c r="A45" s="11" t="s">
        <v>178</v>
      </c>
      <c r="B45" s="17" t="s">
        <v>154</v>
      </c>
      <c r="C45" s="17" t="s">
        <v>154</v>
      </c>
      <c r="D45" s="18" t="s">
        <v>154</v>
      </c>
      <c r="E45" s="17" t="s">
        <v>154</v>
      </c>
      <c r="F45" s="18" t="s">
        <v>154</v>
      </c>
      <c r="G45" s="17" t="s">
        <v>154</v>
      </c>
      <c r="H45" s="18" t="s">
        <v>154</v>
      </c>
      <c r="I45" s="17" t="s">
        <v>154</v>
      </c>
      <c r="J45" s="18" t="s">
        <v>154</v>
      </c>
      <c r="K45" s="17" t="s">
        <v>154</v>
      </c>
      <c r="L45" s="18" t="s">
        <v>154</v>
      </c>
      <c r="M45" s="17" t="s">
        <v>154</v>
      </c>
      <c r="N45" s="18" t="s">
        <v>154</v>
      </c>
      <c r="O45" s="17" t="s">
        <v>154</v>
      </c>
      <c r="P45" s="18" t="s">
        <v>154</v>
      </c>
      <c r="Q45" s="17" t="s">
        <v>154</v>
      </c>
      <c r="R45" s="18" t="s">
        <v>154</v>
      </c>
      <c r="S45" s="17" t="s">
        <v>154</v>
      </c>
      <c r="T45" s="18" t="s">
        <v>154</v>
      </c>
    </row>
    <row r="46" spans="1:20" x14ac:dyDescent="0.25">
      <c r="A46" s="11" t="s">
        <v>179</v>
      </c>
      <c r="B46" s="13">
        <v>23141</v>
      </c>
      <c r="C46" s="14">
        <f>(20847/B46*100)</f>
        <v>90.086858822004231</v>
      </c>
      <c r="D46" s="15">
        <v>2294</v>
      </c>
      <c r="E46" s="14">
        <v>58.974082379999999</v>
      </c>
      <c r="F46" s="16">
        <v>1.3978521100000001</v>
      </c>
      <c r="G46" s="14">
        <v>25.777448580000001</v>
      </c>
      <c r="H46" s="16">
        <v>1.1946781</v>
      </c>
      <c r="I46" s="14">
        <v>15.24846904</v>
      </c>
      <c r="J46" s="16">
        <v>1.0109461500000001</v>
      </c>
      <c r="K46" s="14" t="s">
        <v>139</v>
      </c>
      <c r="L46" s="16" t="s">
        <v>139</v>
      </c>
      <c r="M46" s="14">
        <v>0</v>
      </c>
      <c r="N46" s="16">
        <v>0</v>
      </c>
      <c r="O46" s="14">
        <v>0</v>
      </c>
      <c r="P46" s="16">
        <v>0</v>
      </c>
      <c r="Q46" s="14">
        <v>0</v>
      </c>
      <c r="R46" s="16">
        <v>0</v>
      </c>
      <c r="S46" s="14">
        <v>0</v>
      </c>
      <c r="T46" s="16">
        <v>0</v>
      </c>
    </row>
    <row r="47" spans="1:20" x14ac:dyDescent="0.25">
      <c r="A47" s="11" t="s">
        <v>180</v>
      </c>
      <c r="B47" s="13">
        <v>5928</v>
      </c>
      <c r="C47" s="14">
        <f>(5060/B47*100)</f>
        <v>85.357624831309039</v>
      </c>
      <c r="D47" s="15">
        <v>868</v>
      </c>
      <c r="E47" s="14">
        <v>46.085756330000002</v>
      </c>
      <c r="F47" s="16">
        <v>1.9493691900000001</v>
      </c>
      <c r="G47" s="14">
        <v>29.14923482</v>
      </c>
      <c r="H47" s="16">
        <v>1.76817066</v>
      </c>
      <c r="I47" s="14">
        <v>24.765008850000001</v>
      </c>
      <c r="J47" s="16">
        <v>1.6198979200000001</v>
      </c>
      <c r="K47" s="14" t="s">
        <v>139</v>
      </c>
      <c r="L47" s="16" t="s">
        <v>139</v>
      </c>
      <c r="M47" s="14">
        <v>0</v>
      </c>
      <c r="N47" s="16">
        <v>0</v>
      </c>
      <c r="O47" s="14">
        <v>0</v>
      </c>
      <c r="P47" s="16">
        <v>0</v>
      </c>
      <c r="Q47" s="14">
        <v>0</v>
      </c>
      <c r="R47" s="16">
        <v>0</v>
      </c>
      <c r="S47" s="14">
        <v>0</v>
      </c>
      <c r="T47" s="16">
        <v>0</v>
      </c>
    </row>
    <row r="48" spans="1:20" x14ac:dyDescent="0.25">
      <c r="A48" s="11" t="s">
        <v>181</v>
      </c>
      <c r="B48" s="13">
        <v>9841</v>
      </c>
      <c r="C48" s="14">
        <f>(8229/B48*100)</f>
        <v>83.619550858652588</v>
      </c>
      <c r="D48" s="15">
        <v>1612</v>
      </c>
      <c r="E48" s="14">
        <v>51.381251329999998</v>
      </c>
      <c r="F48" s="16">
        <v>1.6496705599999999</v>
      </c>
      <c r="G48" s="14">
        <v>18.552973510000001</v>
      </c>
      <c r="H48" s="16">
        <v>1.14485528</v>
      </c>
      <c r="I48" s="14">
        <v>30.06577515</v>
      </c>
      <c r="J48" s="16">
        <v>1.3671411200000001</v>
      </c>
      <c r="K48" s="14" t="s">
        <v>139</v>
      </c>
      <c r="L48" s="16" t="s">
        <v>139</v>
      </c>
      <c r="M48" s="14">
        <v>0</v>
      </c>
      <c r="N48" s="16">
        <v>0</v>
      </c>
      <c r="O48" s="14">
        <v>0</v>
      </c>
      <c r="P48" s="16">
        <v>0</v>
      </c>
      <c r="Q48" s="14">
        <v>0</v>
      </c>
      <c r="R48" s="16">
        <v>0</v>
      </c>
      <c r="S48" s="14">
        <v>0</v>
      </c>
      <c r="T48" s="16">
        <v>0</v>
      </c>
    </row>
    <row r="49" spans="1:20" x14ac:dyDescent="0.25">
      <c r="A49" s="11" t="s">
        <v>182</v>
      </c>
      <c r="B49" s="17" t="s">
        <v>154</v>
      </c>
      <c r="C49" s="17" t="s">
        <v>154</v>
      </c>
      <c r="D49" s="18" t="s">
        <v>154</v>
      </c>
      <c r="E49" s="17" t="s">
        <v>154</v>
      </c>
      <c r="F49" s="18" t="s">
        <v>154</v>
      </c>
      <c r="G49" s="17" t="s">
        <v>154</v>
      </c>
      <c r="H49" s="18" t="s">
        <v>154</v>
      </c>
      <c r="I49" s="17" t="s">
        <v>154</v>
      </c>
      <c r="J49" s="18" t="s">
        <v>154</v>
      </c>
      <c r="K49" s="17" t="s">
        <v>154</v>
      </c>
      <c r="L49" s="18" t="s">
        <v>154</v>
      </c>
      <c r="M49" s="17" t="s">
        <v>154</v>
      </c>
      <c r="N49" s="18" t="s">
        <v>154</v>
      </c>
      <c r="O49" s="17" t="s">
        <v>154</v>
      </c>
      <c r="P49" s="18" t="s">
        <v>154</v>
      </c>
      <c r="Q49" s="17" t="s">
        <v>154</v>
      </c>
      <c r="R49" s="18" t="s">
        <v>154</v>
      </c>
      <c r="S49" s="17" t="s">
        <v>154</v>
      </c>
      <c r="T49" s="18" t="s">
        <v>154</v>
      </c>
    </row>
    <row r="50" spans="1:20" x14ac:dyDescent="0.25">
      <c r="A50" s="11" t="s">
        <v>183</v>
      </c>
      <c r="B50" s="13">
        <v>11795</v>
      </c>
      <c r="C50" s="14">
        <f>(10098/B50*100)</f>
        <v>85.612547689699028</v>
      </c>
      <c r="D50" s="15">
        <v>1697</v>
      </c>
      <c r="E50" s="14">
        <v>51.283668769999998</v>
      </c>
      <c r="F50" s="16">
        <v>1.3959385499999999</v>
      </c>
      <c r="G50" s="14">
        <v>30.00721171</v>
      </c>
      <c r="H50" s="16">
        <v>1.51290963</v>
      </c>
      <c r="I50" s="14">
        <v>18.709119510000001</v>
      </c>
      <c r="J50" s="16">
        <v>1.07407382</v>
      </c>
      <c r="K50" s="14" t="s">
        <v>139</v>
      </c>
      <c r="L50" s="16" t="s">
        <v>139</v>
      </c>
      <c r="M50" s="14">
        <v>0</v>
      </c>
      <c r="N50" s="16">
        <v>0</v>
      </c>
      <c r="O50" s="14">
        <v>0</v>
      </c>
      <c r="P50" s="16">
        <v>0</v>
      </c>
      <c r="Q50" s="14">
        <v>0</v>
      </c>
      <c r="R50" s="16">
        <v>0</v>
      </c>
      <c r="S50" s="14">
        <v>0</v>
      </c>
      <c r="T50" s="16">
        <v>0</v>
      </c>
    </row>
    <row r="51" spans="1:20" x14ac:dyDescent="0.25">
      <c r="A51" s="11" t="s">
        <v>184</v>
      </c>
      <c r="B51" s="13">
        <v>6866</v>
      </c>
      <c r="C51" s="14">
        <f>(5996/B51*100)</f>
        <v>87.328866880279648</v>
      </c>
      <c r="D51" s="15">
        <v>870</v>
      </c>
      <c r="E51" s="14">
        <v>47.719632990000001</v>
      </c>
      <c r="F51" s="16">
        <v>1.84629748</v>
      </c>
      <c r="G51" s="14">
        <v>30.490771160000001</v>
      </c>
      <c r="H51" s="16">
        <v>1.75148306</v>
      </c>
      <c r="I51" s="14">
        <v>21.789595850000001</v>
      </c>
      <c r="J51" s="16">
        <v>1.4244585400000001</v>
      </c>
      <c r="K51" s="14" t="s">
        <v>139</v>
      </c>
      <c r="L51" s="16" t="s">
        <v>139</v>
      </c>
      <c r="M51" s="14">
        <v>0</v>
      </c>
      <c r="N51" s="16">
        <v>0</v>
      </c>
      <c r="O51" s="14">
        <v>0</v>
      </c>
      <c r="P51" s="16">
        <v>0</v>
      </c>
      <c r="Q51" s="14">
        <v>0</v>
      </c>
      <c r="R51" s="16">
        <v>0</v>
      </c>
      <c r="S51" s="14">
        <v>0</v>
      </c>
      <c r="T51" s="16">
        <v>0</v>
      </c>
    </row>
    <row r="52" spans="1:20" x14ac:dyDescent="0.25">
      <c r="A52" s="11" t="s">
        <v>185</v>
      </c>
      <c r="B52" s="13">
        <v>5809</v>
      </c>
      <c r="C52" s="14">
        <f>(4899/B52*100)</f>
        <v>84.334653124462051</v>
      </c>
      <c r="D52" s="15">
        <v>910</v>
      </c>
      <c r="E52" s="14">
        <v>48.214521560000001</v>
      </c>
      <c r="F52" s="16">
        <v>1.72627135</v>
      </c>
      <c r="G52" s="14">
        <v>19.026826790000001</v>
      </c>
      <c r="H52" s="16">
        <v>1.2848046799999999</v>
      </c>
      <c r="I52" s="14">
        <v>32.758651649999997</v>
      </c>
      <c r="J52" s="16">
        <v>1.68379733</v>
      </c>
      <c r="K52" s="14" t="s">
        <v>139</v>
      </c>
      <c r="L52" s="16" t="s">
        <v>139</v>
      </c>
      <c r="M52" s="14">
        <v>0</v>
      </c>
      <c r="N52" s="16">
        <v>0</v>
      </c>
      <c r="O52" s="14">
        <v>0</v>
      </c>
      <c r="P52" s="16">
        <v>0</v>
      </c>
      <c r="Q52" s="14">
        <v>0</v>
      </c>
      <c r="R52" s="16">
        <v>0</v>
      </c>
      <c r="S52" s="14">
        <v>0</v>
      </c>
      <c r="T52" s="16">
        <v>0</v>
      </c>
    </row>
    <row r="53" spans="1:20" x14ac:dyDescent="0.25">
      <c r="A53" s="11" t="s">
        <v>186</v>
      </c>
      <c r="B53" s="13">
        <v>5571</v>
      </c>
      <c r="C53" s="14">
        <f>(4734/B53*100)</f>
        <v>84.975767366720518</v>
      </c>
      <c r="D53" s="15">
        <v>837</v>
      </c>
      <c r="E53" s="14">
        <v>58.08940432</v>
      </c>
      <c r="F53" s="16">
        <v>1.71941382</v>
      </c>
      <c r="G53" s="14">
        <v>24.125481059999998</v>
      </c>
      <c r="H53" s="16">
        <v>1.5016597300000001</v>
      </c>
      <c r="I53" s="14">
        <v>17.785114620000002</v>
      </c>
      <c r="J53" s="16">
        <v>1.3497613900000001</v>
      </c>
      <c r="K53" s="14" t="s">
        <v>139</v>
      </c>
      <c r="L53" s="16" t="s">
        <v>139</v>
      </c>
      <c r="M53" s="14">
        <v>0</v>
      </c>
      <c r="N53" s="16">
        <v>0</v>
      </c>
      <c r="O53" s="14">
        <v>0</v>
      </c>
      <c r="P53" s="16">
        <v>0</v>
      </c>
      <c r="Q53" s="14">
        <v>0</v>
      </c>
      <c r="R53" s="16">
        <v>0</v>
      </c>
      <c r="S53" s="14">
        <v>0</v>
      </c>
      <c r="T53" s="16">
        <v>0</v>
      </c>
    </row>
    <row r="54" spans="1:20" x14ac:dyDescent="0.25">
      <c r="A54" s="11" t="s">
        <v>187</v>
      </c>
      <c r="B54" s="17" t="s">
        <v>154</v>
      </c>
      <c r="C54" s="17" t="s">
        <v>154</v>
      </c>
      <c r="D54" s="18" t="s">
        <v>154</v>
      </c>
      <c r="E54" s="17" t="s">
        <v>154</v>
      </c>
      <c r="F54" s="18" t="s">
        <v>154</v>
      </c>
      <c r="G54" s="17" t="s">
        <v>154</v>
      </c>
      <c r="H54" s="18" t="s">
        <v>154</v>
      </c>
      <c r="I54" s="17" t="s">
        <v>154</v>
      </c>
      <c r="J54" s="18" t="s">
        <v>154</v>
      </c>
      <c r="K54" s="17" t="s">
        <v>154</v>
      </c>
      <c r="L54" s="18" t="s">
        <v>154</v>
      </c>
      <c r="M54" s="17" t="s">
        <v>154</v>
      </c>
      <c r="N54" s="18" t="s">
        <v>154</v>
      </c>
      <c r="O54" s="17" t="s">
        <v>154</v>
      </c>
      <c r="P54" s="18" t="s">
        <v>154</v>
      </c>
      <c r="Q54" s="17" t="s">
        <v>154</v>
      </c>
      <c r="R54" s="18" t="s">
        <v>154</v>
      </c>
      <c r="S54" s="17" t="s">
        <v>154</v>
      </c>
      <c r="T54" s="18" t="s">
        <v>154</v>
      </c>
    </row>
    <row r="55" spans="1:20" x14ac:dyDescent="0.25">
      <c r="A55" s="11" t="s">
        <v>188</v>
      </c>
      <c r="B55" s="17" t="s">
        <v>154</v>
      </c>
      <c r="C55" s="17" t="s">
        <v>154</v>
      </c>
      <c r="D55" s="18" t="s">
        <v>154</v>
      </c>
      <c r="E55" s="17" t="s">
        <v>154</v>
      </c>
      <c r="F55" s="18" t="s">
        <v>154</v>
      </c>
      <c r="G55" s="17" t="s">
        <v>154</v>
      </c>
      <c r="H55" s="18" t="s">
        <v>154</v>
      </c>
      <c r="I55" s="17" t="s">
        <v>154</v>
      </c>
      <c r="J55" s="18" t="s">
        <v>154</v>
      </c>
      <c r="K55" s="17" t="s">
        <v>154</v>
      </c>
      <c r="L55" s="18" t="s">
        <v>154</v>
      </c>
      <c r="M55" s="17" t="s">
        <v>154</v>
      </c>
      <c r="N55" s="18" t="s">
        <v>154</v>
      </c>
      <c r="O55" s="17" t="s">
        <v>154</v>
      </c>
      <c r="P55" s="18" t="s">
        <v>154</v>
      </c>
      <c r="Q55" s="17" t="s">
        <v>154</v>
      </c>
      <c r="R55" s="18" t="s">
        <v>154</v>
      </c>
      <c r="S55" s="17" t="s">
        <v>154</v>
      </c>
      <c r="T55" s="18" t="s">
        <v>154</v>
      </c>
    </row>
    <row r="56" spans="1:20" x14ac:dyDescent="0.25">
      <c r="A56" s="11" t="s">
        <v>189</v>
      </c>
      <c r="B56" s="13">
        <v>5359</v>
      </c>
      <c r="C56" s="14">
        <f>(4468/B56*100)</f>
        <v>83.373763761895887</v>
      </c>
      <c r="D56" s="15">
        <v>891</v>
      </c>
      <c r="E56" s="14">
        <v>38.862954029999997</v>
      </c>
      <c r="F56" s="16">
        <v>1.9272343700000001</v>
      </c>
      <c r="G56" s="14">
        <v>36.540384699999997</v>
      </c>
      <c r="H56" s="16">
        <v>1.8741534799999999</v>
      </c>
      <c r="I56" s="14">
        <v>24.596661269999998</v>
      </c>
      <c r="J56" s="16">
        <v>1.4131849000000001</v>
      </c>
      <c r="K56" s="14" t="s">
        <v>139</v>
      </c>
      <c r="L56" s="16" t="s">
        <v>139</v>
      </c>
      <c r="M56" s="14">
        <v>0</v>
      </c>
      <c r="N56" s="16">
        <v>0</v>
      </c>
      <c r="O56" s="14">
        <v>0</v>
      </c>
      <c r="P56" s="16">
        <v>0</v>
      </c>
      <c r="Q56" s="14">
        <v>0</v>
      </c>
      <c r="R56" s="16">
        <v>0</v>
      </c>
      <c r="S56" s="14">
        <v>0</v>
      </c>
      <c r="T56" s="16">
        <v>0</v>
      </c>
    </row>
    <row r="57" spans="1:20" x14ac:dyDescent="0.25">
      <c r="A57" s="11" t="s">
        <v>190</v>
      </c>
      <c r="B57" s="17" t="s">
        <v>154</v>
      </c>
      <c r="C57" s="17" t="s">
        <v>154</v>
      </c>
      <c r="D57" s="18" t="s">
        <v>154</v>
      </c>
      <c r="E57" s="17" t="s">
        <v>154</v>
      </c>
      <c r="F57" s="18" t="s">
        <v>154</v>
      </c>
      <c r="G57" s="17" t="s">
        <v>154</v>
      </c>
      <c r="H57" s="18" t="s">
        <v>154</v>
      </c>
      <c r="I57" s="17" t="s">
        <v>154</v>
      </c>
      <c r="J57" s="18" t="s">
        <v>154</v>
      </c>
      <c r="K57" s="17" t="s">
        <v>154</v>
      </c>
      <c r="L57" s="18" t="s">
        <v>154</v>
      </c>
      <c r="M57" s="17" t="s">
        <v>154</v>
      </c>
      <c r="N57" s="18" t="s">
        <v>154</v>
      </c>
      <c r="O57" s="17" t="s">
        <v>154</v>
      </c>
      <c r="P57" s="18" t="s">
        <v>154</v>
      </c>
      <c r="Q57" s="17" t="s">
        <v>154</v>
      </c>
      <c r="R57" s="18" t="s">
        <v>154</v>
      </c>
      <c r="S57" s="17" t="s">
        <v>154</v>
      </c>
      <c r="T57" s="18" t="s">
        <v>154</v>
      </c>
    </row>
    <row r="58" spans="1:20" x14ac:dyDescent="0.25">
      <c r="A58" s="11" t="s">
        <v>191</v>
      </c>
      <c r="B58" s="17" t="s">
        <v>154</v>
      </c>
      <c r="C58" s="17" t="s">
        <v>154</v>
      </c>
      <c r="D58" s="18" t="s">
        <v>154</v>
      </c>
      <c r="E58" s="17" t="s">
        <v>154</v>
      </c>
      <c r="F58" s="18" t="s">
        <v>154</v>
      </c>
      <c r="G58" s="17" t="s">
        <v>154</v>
      </c>
      <c r="H58" s="18" t="s">
        <v>154</v>
      </c>
      <c r="I58" s="17" t="s">
        <v>154</v>
      </c>
      <c r="J58" s="18" t="s">
        <v>154</v>
      </c>
      <c r="K58" s="17" t="s">
        <v>154</v>
      </c>
      <c r="L58" s="18" t="s">
        <v>154</v>
      </c>
      <c r="M58" s="17" t="s">
        <v>154</v>
      </c>
      <c r="N58" s="18" t="s">
        <v>154</v>
      </c>
      <c r="O58" s="17" t="s">
        <v>154</v>
      </c>
      <c r="P58" s="18" t="s">
        <v>154</v>
      </c>
      <c r="Q58" s="17" t="s">
        <v>154</v>
      </c>
      <c r="R58" s="18" t="s">
        <v>154</v>
      </c>
      <c r="S58" s="17" t="s">
        <v>154</v>
      </c>
      <c r="T58" s="18" t="s">
        <v>154</v>
      </c>
    </row>
    <row r="59" spans="1:20" x14ac:dyDescent="0.25">
      <c r="A59" s="11" t="s">
        <v>192</v>
      </c>
      <c r="B59" s="17" t="s">
        <v>154</v>
      </c>
      <c r="C59" s="17" t="s">
        <v>154</v>
      </c>
      <c r="D59" s="18" t="s">
        <v>154</v>
      </c>
      <c r="E59" s="17" t="s">
        <v>154</v>
      </c>
      <c r="F59" s="18" t="s">
        <v>154</v>
      </c>
      <c r="G59" s="17" t="s">
        <v>154</v>
      </c>
      <c r="H59" s="18" t="s">
        <v>154</v>
      </c>
      <c r="I59" s="17" t="s">
        <v>154</v>
      </c>
      <c r="J59" s="18" t="s">
        <v>154</v>
      </c>
      <c r="K59" s="17" t="s">
        <v>154</v>
      </c>
      <c r="L59" s="18" t="s">
        <v>154</v>
      </c>
      <c r="M59" s="17" t="s">
        <v>154</v>
      </c>
      <c r="N59" s="18" t="s">
        <v>154</v>
      </c>
      <c r="O59" s="17" t="s">
        <v>154</v>
      </c>
      <c r="P59" s="18" t="s">
        <v>154</v>
      </c>
      <c r="Q59" s="17" t="s">
        <v>154</v>
      </c>
      <c r="R59" s="18" t="s">
        <v>154</v>
      </c>
      <c r="S59" s="17" t="s">
        <v>154</v>
      </c>
      <c r="T59" s="18" t="s">
        <v>154</v>
      </c>
    </row>
    <row r="60" spans="1:20" x14ac:dyDescent="0.25">
      <c r="A60" s="11" t="s">
        <v>193</v>
      </c>
      <c r="B60" s="17" t="s">
        <v>154</v>
      </c>
      <c r="C60" s="17" t="s">
        <v>154</v>
      </c>
      <c r="D60" s="18" t="s">
        <v>154</v>
      </c>
      <c r="E60" s="17" t="s">
        <v>154</v>
      </c>
      <c r="F60" s="18" t="s">
        <v>154</v>
      </c>
      <c r="G60" s="17" t="s">
        <v>154</v>
      </c>
      <c r="H60" s="18" t="s">
        <v>154</v>
      </c>
      <c r="I60" s="17" t="s">
        <v>154</v>
      </c>
      <c r="J60" s="18" t="s">
        <v>154</v>
      </c>
      <c r="K60" s="17" t="s">
        <v>154</v>
      </c>
      <c r="L60" s="18" t="s">
        <v>154</v>
      </c>
      <c r="M60" s="17" t="s">
        <v>154</v>
      </c>
      <c r="N60" s="18" t="s">
        <v>154</v>
      </c>
      <c r="O60" s="17" t="s">
        <v>154</v>
      </c>
      <c r="P60" s="18" t="s">
        <v>154</v>
      </c>
      <c r="Q60" s="17" t="s">
        <v>154</v>
      </c>
      <c r="R60" s="18" t="s">
        <v>154</v>
      </c>
      <c r="S60" s="17" t="s">
        <v>154</v>
      </c>
      <c r="T60" s="18" t="s">
        <v>154</v>
      </c>
    </row>
    <row r="61" spans="1:20" x14ac:dyDescent="0.25">
      <c r="A61" s="11" t="s">
        <v>194</v>
      </c>
      <c r="B61" s="13">
        <v>6525</v>
      </c>
      <c r="C61" s="14">
        <f>(5511/B61*100)</f>
        <v>84.459770114942529</v>
      </c>
      <c r="D61" s="15">
        <v>1014</v>
      </c>
      <c r="E61" s="14">
        <v>50.175817410000001</v>
      </c>
      <c r="F61" s="16">
        <v>1.73180238</v>
      </c>
      <c r="G61" s="14">
        <v>20.731311699999999</v>
      </c>
      <c r="H61" s="16">
        <v>1.2203700500000001</v>
      </c>
      <c r="I61" s="14">
        <v>29.09287089</v>
      </c>
      <c r="J61" s="16">
        <v>1.8064923100000001</v>
      </c>
      <c r="K61" s="14" t="s">
        <v>139</v>
      </c>
      <c r="L61" s="16" t="s">
        <v>139</v>
      </c>
      <c r="M61" s="14">
        <v>0</v>
      </c>
      <c r="N61" s="16">
        <v>0</v>
      </c>
      <c r="O61" s="14">
        <v>0</v>
      </c>
      <c r="P61" s="16">
        <v>0</v>
      </c>
      <c r="Q61" s="14">
        <v>0</v>
      </c>
      <c r="R61" s="16">
        <v>0</v>
      </c>
      <c r="S61" s="14">
        <v>0</v>
      </c>
      <c r="T61" s="16">
        <v>0</v>
      </c>
    </row>
    <row r="62" spans="1:20" x14ac:dyDescent="0.25">
      <c r="A62" s="11" t="s">
        <v>195</v>
      </c>
      <c r="B62" s="13">
        <v>4476</v>
      </c>
      <c r="C62" s="14">
        <f>(3770/B62*100)</f>
        <v>84.226988382484365</v>
      </c>
      <c r="D62" s="15">
        <v>706</v>
      </c>
      <c r="E62" s="14">
        <v>33.899244230000001</v>
      </c>
      <c r="F62" s="16">
        <v>1.8706375200000001</v>
      </c>
      <c r="G62" s="14">
        <v>23.52008786</v>
      </c>
      <c r="H62" s="16">
        <v>1.4854765400000001</v>
      </c>
      <c r="I62" s="14">
        <v>42.580667910000003</v>
      </c>
      <c r="J62" s="16">
        <v>1.74439962</v>
      </c>
      <c r="K62" s="14" t="s">
        <v>139</v>
      </c>
      <c r="L62" s="16" t="s">
        <v>139</v>
      </c>
      <c r="M62" s="14">
        <v>0</v>
      </c>
      <c r="N62" s="16">
        <v>0</v>
      </c>
      <c r="O62" s="14">
        <v>0</v>
      </c>
      <c r="P62" s="16">
        <v>0</v>
      </c>
      <c r="Q62" s="14">
        <v>0</v>
      </c>
      <c r="R62" s="16">
        <v>0</v>
      </c>
      <c r="S62" s="14">
        <v>0</v>
      </c>
      <c r="T62" s="16">
        <v>0</v>
      </c>
    </row>
    <row r="63" spans="1:20" x14ac:dyDescent="0.25">
      <c r="A63" s="11" t="s">
        <v>196</v>
      </c>
      <c r="B63" s="17" t="s">
        <v>154</v>
      </c>
      <c r="C63" s="17" t="s">
        <v>154</v>
      </c>
      <c r="D63" s="18" t="s">
        <v>154</v>
      </c>
      <c r="E63" s="17" t="s">
        <v>154</v>
      </c>
      <c r="F63" s="18" t="s">
        <v>154</v>
      </c>
      <c r="G63" s="17" t="s">
        <v>154</v>
      </c>
      <c r="H63" s="18" t="s">
        <v>154</v>
      </c>
      <c r="I63" s="17" t="s">
        <v>154</v>
      </c>
      <c r="J63" s="18" t="s">
        <v>154</v>
      </c>
      <c r="K63" s="17" t="s">
        <v>154</v>
      </c>
      <c r="L63" s="18" t="s">
        <v>154</v>
      </c>
      <c r="M63" s="17" t="s">
        <v>154</v>
      </c>
      <c r="N63" s="18" t="s">
        <v>154</v>
      </c>
      <c r="O63" s="17" t="s">
        <v>154</v>
      </c>
      <c r="P63" s="18" t="s">
        <v>154</v>
      </c>
      <c r="Q63" s="17" t="s">
        <v>154</v>
      </c>
      <c r="R63" s="18" t="s">
        <v>154</v>
      </c>
      <c r="S63" s="17" t="s">
        <v>154</v>
      </c>
      <c r="T63" s="18" t="s">
        <v>154</v>
      </c>
    </row>
    <row r="64" spans="1:20" x14ac:dyDescent="0.25">
      <c r="A64" s="11" t="s">
        <v>197</v>
      </c>
      <c r="B64" s="17" t="s">
        <v>154</v>
      </c>
      <c r="C64" s="17" t="s">
        <v>154</v>
      </c>
      <c r="D64" s="18" t="s">
        <v>154</v>
      </c>
      <c r="E64" s="17" t="s">
        <v>154</v>
      </c>
      <c r="F64" s="18" t="s">
        <v>154</v>
      </c>
      <c r="G64" s="17" t="s">
        <v>154</v>
      </c>
      <c r="H64" s="18" t="s">
        <v>154</v>
      </c>
      <c r="I64" s="17" t="s">
        <v>154</v>
      </c>
      <c r="J64" s="18" t="s">
        <v>154</v>
      </c>
      <c r="K64" s="17" t="s">
        <v>154</v>
      </c>
      <c r="L64" s="18" t="s">
        <v>154</v>
      </c>
      <c r="M64" s="17" t="s">
        <v>154</v>
      </c>
      <c r="N64" s="18" t="s">
        <v>154</v>
      </c>
      <c r="O64" s="17" t="s">
        <v>154</v>
      </c>
      <c r="P64" s="18" t="s">
        <v>154</v>
      </c>
      <c r="Q64" s="17" t="s">
        <v>154</v>
      </c>
      <c r="R64" s="18" t="s">
        <v>154</v>
      </c>
      <c r="S64" s="17" t="s">
        <v>154</v>
      </c>
      <c r="T64" s="18" t="s">
        <v>154</v>
      </c>
    </row>
    <row r="65" spans="1:20" x14ac:dyDescent="0.25">
      <c r="A65" s="11" t="s">
        <v>198</v>
      </c>
      <c r="B65" s="17" t="s">
        <v>154</v>
      </c>
      <c r="C65" s="17" t="s">
        <v>154</v>
      </c>
      <c r="D65" s="18" t="s">
        <v>154</v>
      </c>
      <c r="E65" s="17" t="s">
        <v>154</v>
      </c>
      <c r="F65" s="18" t="s">
        <v>154</v>
      </c>
      <c r="G65" s="17" t="s">
        <v>154</v>
      </c>
      <c r="H65" s="18" t="s">
        <v>154</v>
      </c>
      <c r="I65" s="17" t="s">
        <v>154</v>
      </c>
      <c r="J65" s="18" t="s">
        <v>154</v>
      </c>
      <c r="K65" s="17" t="s">
        <v>154</v>
      </c>
      <c r="L65" s="18" t="s">
        <v>154</v>
      </c>
      <c r="M65" s="17" t="s">
        <v>154</v>
      </c>
      <c r="N65" s="18" t="s">
        <v>154</v>
      </c>
      <c r="O65" s="17" t="s">
        <v>154</v>
      </c>
      <c r="P65" s="18" t="s">
        <v>154</v>
      </c>
      <c r="Q65" s="17" t="s">
        <v>154</v>
      </c>
      <c r="R65" s="18" t="s">
        <v>154</v>
      </c>
      <c r="S65" s="17" t="s">
        <v>154</v>
      </c>
      <c r="T65" s="18" t="s">
        <v>154</v>
      </c>
    </row>
    <row r="66" spans="1:20" x14ac:dyDescent="0.25">
      <c r="A66" s="11" t="s">
        <v>199</v>
      </c>
      <c r="B66" s="13">
        <v>5665</v>
      </c>
      <c r="C66" s="14">
        <f>(4814/B66*100)</f>
        <v>84.977934686672555</v>
      </c>
      <c r="D66" s="15">
        <v>851</v>
      </c>
      <c r="E66" s="14">
        <v>53.996376650000002</v>
      </c>
      <c r="F66" s="16">
        <v>1.64451342</v>
      </c>
      <c r="G66" s="14">
        <v>26.44236407</v>
      </c>
      <c r="H66" s="16">
        <v>1.39202446</v>
      </c>
      <c r="I66" s="14">
        <v>19.561259280000002</v>
      </c>
      <c r="J66" s="16">
        <v>1.3577565599999999</v>
      </c>
      <c r="K66" s="14" t="s">
        <v>139</v>
      </c>
      <c r="L66" s="16" t="s">
        <v>139</v>
      </c>
      <c r="M66" s="14">
        <v>0</v>
      </c>
      <c r="N66" s="16">
        <v>0</v>
      </c>
      <c r="O66" s="14">
        <v>0</v>
      </c>
      <c r="P66" s="16">
        <v>0</v>
      </c>
      <c r="Q66" s="14">
        <v>0</v>
      </c>
      <c r="R66" s="16">
        <v>0</v>
      </c>
      <c r="S66" s="14">
        <v>0</v>
      </c>
      <c r="T66" s="16">
        <v>0</v>
      </c>
    </row>
    <row r="67" spans="1:20" x14ac:dyDescent="0.25">
      <c r="A67" s="11" t="s">
        <v>200</v>
      </c>
      <c r="B67" s="13">
        <v>6971</v>
      </c>
      <c r="C67" s="14">
        <f>(6133/B67*100)</f>
        <v>87.978769186630331</v>
      </c>
      <c r="D67" s="15">
        <v>838</v>
      </c>
      <c r="E67" s="14">
        <v>50.658624430000003</v>
      </c>
      <c r="F67" s="16">
        <v>1.72339753</v>
      </c>
      <c r="G67" s="14">
        <v>30.528353679999999</v>
      </c>
      <c r="H67" s="16">
        <v>1.8409418099999999</v>
      </c>
      <c r="I67" s="14">
        <v>18.813021880000001</v>
      </c>
      <c r="J67" s="16">
        <v>1.5186726399999999</v>
      </c>
      <c r="K67" s="14" t="s">
        <v>139</v>
      </c>
      <c r="L67" s="16" t="s">
        <v>139</v>
      </c>
      <c r="M67" s="14">
        <v>0</v>
      </c>
      <c r="N67" s="16">
        <v>0</v>
      </c>
      <c r="O67" s="14">
        <v>0</v>
      </c>
      <c r="P67" s="16">
        <v>0</v>
      </c>
      <c r="Q67" s="14">
        <v>0</v>
      </c>
      <c r="R67" s="16">
        <v>0</v>
      </c>
      <c r="S67" s="14">
        <v>0</v>
      </c>
      <c r="T67" s="16">
        <v>0</v>
      </c>
    </row>
    <row r="68" spans="1:20" x14ac:dyDescent="0.25">
      <c r="A68" s="11" t="s">
        <v>201</v>
      </c>
      <c r="B68" s="17" t="s">
        <v>154</v>
      </c>
      <c r="C68" s="17" t="s">
        <v>154</v>
      </c>
      <c r="D68" s="18" t="s">
        <v>154</v>
      </c>
      <c r="E68" s="17" t="s">
        <v>154</v>
      </c>
      <c r="F68" s="18" t="s">
        <v>154</v>
      </c>
      <c r="G68" s="17" t="s">
        <v>154</v>
      </c>
      <c r="H68" s="18" t="s">
        <v>154</v>
      </c>
      <c r="I68" s="17" t="s">
        <v>154</v>
      </c>
      <c r="J68" s="18" t="s">
        <v>154</v>
      </c>
      <c r="K68" s="17" t="s">
        <v>154</v>
      </c>
      <c r="L68" s="18" t="s">
        <v>154</v>
      </c>
      <c r="M68" s="17" t="s">
        <v>154</v>
      </c>
      <c r="N68" s="18" t="s">
        <v>154</v>
      </c>
      <c r="O68" s="17" t="s">
        <v>154</v>
      </c>
      <c r="P68" s="18" t="s">
        <v>154</v>
      </c>
      <c r="Q68" s="17" t="s">
        <v>154</v>
      </c>
      <c r="R68" s="18" t="s">
        <v>154</v>
      </c>
      <c r="S68" s="17" t="s">
        <v>154</v>
      </c>
      <c r="T68" s="18" t="s">
        <v>154</v>
      </c>
    </row>
    <row r="69" spans="1:20" x14ac:dyDescent="0.25">
      <c r="A69" s="11" t="s">
        <v>202</v>
      </c>
      <c r="B69" s="17" t="s">
        <v>154</v>
      </c>
      <c r="C69" s="17" t="s">
        <v>154</v>
      </c>
      <c r="D69" s="18" t="s">
        <v>154</v>
      </c>
      <c r="E69" s="17" t="s">
        <v>154</v>
      </c>
      <c r="F69" s="18" t="s">
        <v>154</v>
      </c>
      <c r="G69" s="17" t="s">
        <v>154</v>
      </c>
      <c r="H69" s="18" t="s">
        <v>154</v>
      </c>
      <c r="I69" s="17" t="s">
        <v>154</v>
      </c>
      <c r="J69" s="18" t="s">
        <v>154</v>
      </c>
      <c r="K69" s="17" t="s">
        <v>154</v>
      </c>
      <c r="L69" s="18" t="s">
        <v>154</v>
      </c>
      <c r="M69" s="17" t="s">
        <v>154</v>
      </c>
      <c r="N69" s="18" t="s">
        <v>154</v>
      </c>
      <c r="O69" s="17" t="s">
        <v>154</v>
      </c>
      <c r="P69" s="18" t="s">
        <v>154</v>
      </c>
      <c r="Q69" s="17" t="s">
        <v>154</v>
      </c>
      <c r="R69" s="18" t="s">
        <v>154</v>
      </c>
      <c r="S69" s="17" t="s">
        <v>154</v>
      </c>
      <c r="T69" s="18" t="s">
        <v>154</v>
      </c>
    </row>
    <row r="70" spans="1:20" x14ac:dyDescent="0.25">
      <c r="A70" s="11" t="s">
        <v>203</v>
      </c>
      <c r="B70" s="13">
        <v>6036</v>
      </c>
      <c r="C70" s="14">
        <f>(5107/B70*100)</f>
        <v>84.609012591119949</v>
      </c>
      <c r="D70" s="15">
        <v>929</v>
      </c>
      <c r="E70" s="14">
        <v>52.980193900000003</v>
      </c>
      <c r="F70" s="16">
        <v>1.75943136</v>
      </c>
      <c r="G70" s="14">
        <v>22.672228929999999</v>
      </c>
      <c r="H70" s="16">
        <v>1.5248343</v>
      </c>
      <c r="I70" s="14">
        <v>24.347577170000001</v>
      </c>
      <c r="J70" s="16">
        <v>1.4317550100000001</v>
      </c>
      <c r="K70" s="14" t="s">
        <v>139</v>
      </c>
      <c r="L70" s="16" t="s">
        <v>139</v>
      </c>
      <c r="M70" s="14">
        <v>0</v>
      </c>
      <c r="N70" s="16">
        <v>0</v>
      </c>
      <c r="O70" s="14">
        <v>0</v>
      </c>
      <c r="P70" s="16">
        <v>0</v>
      </c>
      <c r="Q70" s="14">
        <v>0</v>
      </c>
      <c r="R70" s="16">
        <v>0</v>
      </c>
      <c r="S70" s="14">
        <v>0</v>
      </c>
      <c r="T70" s="16">
        <v>0</v>
      </c>
    </row>
    <row r="71" spans="1:20" x14ac:dyDescent="0.25">
      <c r="A71" s="11" t="s">
        <v>204</v>
      </c>
      <c r="B71" s="17" t="s">
        <v>154</v>
      </c>
      <c r="C71" s="17" t="s">
        <v>154</v>
      </c>
      <c r="D71" s="18" t="s">
        <v>154</v>
      </c>
      <c r="E71" s="17" t="s">
        <v>154</v>
      </c>
      <c r="F71" s="18" t="s">
        <v>154</v>
      </c>
      <c r="G71" s="17" t="s">
        <v>154</v>
      </c>
      <c r="H71" s="18" t="s">
        <v>154</v>
      </c>
      <c r="I71" s="17" t="s">
        <v>154</v>
      </c>
      <c r="J71" s="18" t="s">
        <v>154</v>
      </c>
      <c r="K71" s="17" t="s">
        <v>154</v>
      </c>
      <c r="L71" s="18" t="s">
        <v>154</v>
      </c>
      <c r="M71" s="17" t="s">
        <v>154</v>
      </c>
      <c r="N71" s="18" t="s">
        <v>154</v>
      </c>
      <c r="O71" s="17" t="s">
        <v>154</v>
      </c>
      <c r="P71" s="18" t="s">
        <v>154</v>
      </c>
      <c r="Q71" s="17" t="s">
        <v>154</v>
      </c>
      <c r="R71" s="18" t="s">
        <v>154</v>
      </c>
      <c r="S71" s="17" t="s">
        <v>154</v>
      </c>
      <c r="T71" s="18" t="s">
        <v>154</v>
      </c>
    </row>
    <row r="72" spans="1:20" x14ac:dyDescent="0.25">
      <c r="A72" s="11" t="s">
        <v>205</v>
      </c>
      <c r="B72" s="13">
        <v>7708</v>
      </c>
      <c r="C72" s="14">
        <f>(6384/B72*100)</f>
        <v>82.823040996367411</v>
      </c>
      <c r="D72" s="15">
        <v>1324</v>
      </c>
      <c r="E72" s="14">
        <v>31.663148039999999</v>
      </c>
      <c r="F72" s="16">
        <v>1.30888307</v>
      </c>
      <c r="G72" s="14">
        <v>43.676209460000003</v>
      </c>
      <c r="H72" s="16">
        <v>1.47348082</v>
      </c>
      <c r="I72" s="14">
        <v>24.660642509999999</v>
      </c>
      <c r="J72" s="16">
        <v>1.2428286399999999</v>
      </c>
      <c r="K72" s="14" t="s">
        <v>139</v>
      </c>
      <c r="L72" s="16" t="s">
        <v>139</v>
      </c>
      <c r="M72" s="14">
        <v>0</v>
      </c>
      <c r="N72" s="16">
        <v>0</v>
      </c>
      <c r="O72" s="14">
        <v>0</v>
      </c>
      <c r="P72" s="16">
        <v>0</v>
      </c>
      <c r="Q72" s="14">
        <v>0</v>
      </c>
      <c r="R72" s="16">
        <v>0</v>
      </c>
      <c r="S72" s="14">
        <v>0</v>
      </c>
      <c r="T72" s="16">
        <v>0</v>
      </c>
    </row>
    <row r="73" spans="1:20" x14ac:dyDescent="0.25">
      <c r="A73" s="11" t="s">
        <v>206</v>
      </c>
      <c r="B73" s="13">
        <v>8249</v>
      </c>
      <c r="C73" s="14">
        <f>(7078/B73*100)</f>
        <v>85.804339919990298</v>
      </c>
      <c r="D73" s="15">
        <v>1171</v>
      </c>
      <c r="E73" s="14">
        <v>63.487179210000001</v>
      </c>
      <c r="F73" s="16">
        <v>2.2576310999999998</v>
      </c>
      <c r="G73" s="14">
        <v>18.442126139999999</v>
      </c>
      <c r="H73" s="16">
        <v>1.60147018</v>
      </c>
      <c r="I73" s="14">
        <v>18.07069465</v>
      </c>
      <c r="J73" s="16">
        <v>1.74128672</v>
      </c>
      <c r="K73" s="14" t="s">
        <v>139</v>
      </c>
      <c r="L73" s="16" t="s">
        <v>139</v>
      </c>
      <c r="M73" s="14">
        <v>0</v>
      </c>
      <c r="N73" s="16">
        <v>0</v>
      </c>
      <c r="O73" s="14">
        <v>0</v>
      </c>
      <c r="P73" s="16">
        <v>0</v>
      </c>
      <c r="Q73" s="14">
        <v>0</v>
      </c>
      <c r="R73" s="16">
        <v>0</v>
      </c>
      <c r="S73" s="14">
        <v>0</v>
      </c>
      <c r="T73" s="16">
        <v>0</v>
      </c>
    </row>
    <row r="74" spans="1:20" x14ac:dyDescent="0.25">
      <c r="A74" s="11" t="s">
        <v>207</v>
      </c>
      <c r="B74" s="17" t="s">
        <v>154</v>
      </c>
      <c r="C74" s="17" t="s">
        <v>154</v>
      </c>
      <c r="D74" s="18" t="s">
        <v>154</v>
      </c>
      <c r="E74" s="17" t="s">
        <v>154</v>
      </c>
      <c r="F74" s="18" t="s">
        <v>154</v>
      </c>
      <c r="G74" s="17" t="s">
        <v>154</v>
      </c>
      <c r="H74" s="18" t="s">
        <v>154</v>
      </c>
      <c r="I74" s="17" t="s">
        <v>154</v>
      </c>
      <c r="J74" s="18" t="s">
        <v>154</v>
      </c>
      <c r="K74" s="17" t="s">
        <v>154</v>
      </c>
      <c r="L74" s="18" t="s">
        <v>154</v>
      </c>
      <c r="M74" s="17" t="s">
        <v>154</v>
      </c>
      <c r="N74" s="18" t="s">
        <v>154</v>
      </c>
      <c r="O74" s="17" t="s">
        <v>154</v>
      </c>
      <c r="P74" s="18" t="s">
        <v>154</v>
      </c>
      <c r="Q74" s="17" t="s">
        <v>154</v>
      </c>
      <c r="R74" s="18" t="s">
        <v>154</v>
      </c>
      <c r="S74" s="17" t="s">
        <v>154</v>
      </c>
      <c r="T74" s="18" t="s">
        <v>154</v>
      </c>
    </row>
    <row r="75" spans="1:20" x14ac:dyDescent="0.25">
      <c r="A75" s="11" t="s">
        <v>208</v>
      </c>
      <c r="B75" s="13">
        <v>5375</v>
      </c>
      <c r="C75" s="14">
        <f>(4632/B75*100)</f>
        <v>86.17674418604652</v>
      </c>
      <c r="D75" s="15">
        <v>743</v>
      </c>
      <c r="E75" s="14">
        <v>70.2913961</v>
      </c>
      <c r="F75" s="16">
        <v>1.6472765199999999</v>
      </c>
      <c r="G75" s="14">
        <v>17.408083479999998</v>
      </c>
      <c r="H75" s="16">
        <v>1.3229432699999999</v>
      </c>
      <c r="I75" s="14">
        <v>12.30052042</v>
      </c>
      <c r="J75" s="16">
        <v>1.1208603399999999</v>
      </c>
      <c r="K75" s="14" t="s">
        <v>139</v>
      </c>
      <c r="L75" s="16" t="s">
        <v>139</v>
      </c>
      <c r="M75" s="14">
        <v>0</v>
      </c>
      <c r="N75" s="16">
        <v>0</v>
      </c>
      <c r="O75" s="14">
        <v>0</v>
      </c>
      <c r="P75" s="16">
        <v>0</v>
      </c>
      <c r="Q75" s="14">
        <v>0</v>
      </c>
      <c r="R75" s="16">
        <v>0</v>
      </c>
      <c r="S75" s="14">
        <v>0</v>
      </c>
      <c r="T75" s="16">
        <v>0</v>
      </c>
    </row>
    <row r="76" spans="1:20" x14ac:dyDescent="0.25">
      <c r="A76" s="11" t="s">
        <v>209</v>
      </c>
      <c r="B76" s="13">
        <v>14167</v>
      </c>
      <c r="C76" s="14">
        <f>(11816/B76*100)</f>
        <v>83.4050963506741</v>
      </c>
      <c r="D76" s="15">
        <v>2351</v>
      </c>
      <c r="E76" s="14">
        <v>55.969543969999997</v>
      </c>
      <c r="F76" s="16">
        <v>1.2301761499999999</v>
      </c>
      <c r="G76" s="14">
        <v>25.295238739999999</v>
      </c>
      <c r="H76" s="16">
        <v>1.1231248199999999</v>
      </c>
      <c r="I76" s="14">
        <v>18.735217290000001</v>
      </c>
      <c r="J76" s="16">
        <v>1.1178343799999999</v>
      </c>
      <c r="K76" s="14" t="s">
        <v>139</v>
      </c>
      <c r="L76" s="16" t="s">
        <v>139</v>
      </c>
      <c r="M76" s="14">
        <v>0</v>
      </c>
      <c r="N76" s="16">
        <v>0</v>
      </c>
      <c r="O76" s="14">
        <v>0</v>
      </c>
      <c r="P76" s="16">
        <v>0</v>
      </c>
      <c r="Q76" s="14">
        <v>0</v>
      </c>
      <c r="R76" s="16">
        <v>0</v>
      </c>
      <c r="S76" s="14">
        <v>0</v>
      </c>
      <c r="T76" s="16">
        <v>0</v>
      </c>
    </row>
    <row r="77" spans="1:20" x14ac:dyDescent="0.25">
      <c r="A77" s="11" t="s">
        <v>210</v>
      </c>
      <c r="B77" s="13">
        <v>6062</v>
      </c>
      <c r="C77" s="14">
        <f>(5215/B77*100)</f>
        <v>86.027713625866056</v>
      </c>
      <c r="D77" s="15">
        <v>847</v>
      </c>
      <c r="E77" s="14">
        <v>52.662704490000003</v>
      </c>
      <c r="F77" s="16">
        <v>1.95379166</v>
      </c>
      <c r="G77" s="14">
        <v>27.45765437</v>
      </c>
      <c r="H77" s="16">
        <v>1.5114391199999999</v>
      </c>
      <c r="I77" s="14">
        <v>19.87964114</v>
      </c>
      <c r="J77" s="16">
        <v>1.4089390100000001</v>
      </c>
      <c r="K77" s="14" t="s">
        <v>139</v>
      </c>
      <c r="L77" s="16" t="s">
        <v>139</v>
      </c>
      <c r="M77" s="14">
        <v>0</v>
      </c>
      <c r="N77" s="16">
        <v>0</v>
      </c>
      <c r="O77" s="14">
        <v>0</v>
      </c>
      <c r="P77" s="16">
        <v>0</v>
      </c>
      <c r="Q77" s="14">
        <v>0</v>
      </c>
      <c r="R77" s="16">
        <v>0</v>
      </c>
      <c r="S77" s="14">
        <v>0</v>
      </c>
      <c r="T77" s="16">
        <v>0</v>
      </c>
    </row>
    <row r="78" spans="1:20" x14ac:dyDescent="0.25">
      <c r="A78" s="11" t="s">
        <v>211</v>
      </c>
      <c r="B78" s="17" t="s">
        <v>154</v>
      </c>
      <c r="C78" s="17" t="s">
        <v>154</v>
      </c>
      <c r="D78" s="18" t="s">
        <v>154</v>
      </c>
      <c r="E78" s="17" t="s">
        <v>154</v>
      </c>
      <c r="F78" s="18" t="s">
        <v>154</v>
      </c>
      <c r="G78" s="17" t="s">
        <v>154</v>
      </c>
      <c r="H78" s="18" t="s">
        <v>154</v>
      </c>
      <c r="I78" s="17" t="s">
        <v>154</v>
      </c>
      <c r="J78" s="18" t="s">
        <v>154</v>
      </c>
      <c r="K78" s="17" t="s">
        <v>154</v>
      </c>
      <c r="L78" s="18" t="s">
        <v>154</v>
      </c>
      <c r="M78" s="17" t="s">
        <v>154</v>
      </c>
      <c r="N78" s="18" t="s">
        <v>154</v>
      </c>
      <c r="O78" s="17" t="s">
        <v>154</v>
      </c>
      <c r="P78" s="18" t="s">
        <v>154</v>
      </c>
      <c r="Q78" s="17" t="s">
        <v>154</v>
      </c>
      <c r="R78" s="18" t="s">
        <v>154</v>
      </c>
      <c r="S78" s="17" t="s">
        <v>154</v>
      </c>
      <c r="T78" s="18" t="s">
        <v>154</v>
      </c>
    </row>
    <row r="79" spans="1:20" ht="24.95" customHeight="1" x14ac:dyDescent="0.25">
      <c r="A79" s="11" t="s">
        <v>212</v>
      </c>
      <c r="B79" s="17" t="s">
        <v>154</v>
      </c>
      <c r="C79" s="17" t="s">
        <v>154</v>
      </c>
      <c r="D79" s="18" t="s">
        <v>154</v>
      </c>
      <c r="E79" s="17" t="s">
        <v>154</v>
      </c>
      <c r="F79" s="18" t="s">
        <v>154</v>
      </c>
      <c r="G79" s="17" t="s">
        <v>154</v>
      </c>
      <c r="H79" s="18" t="s">
        <v>154</v>
      </c>
      <c r="I79" s="17" t="s">
        <v>154</v>
      </c>
      <c r="J79" s="18" t="s">
        <v>154</v>
      </c>
      <c r="K79" s="17" t="s">
        <v>154</v>
      </c>
      <c r="L79" s="18" t="s">
        <v>154</v>
      </c>
      <c r="M79" s="17" t="s">
        <v>154</v>
      </c>
      <c r="N79" s="18" t="s">
        <v>154</v>
      </c>
      <c r="O79" s="17" t="s">
        <v>154</v>
      </c>
      <c r="P79" s="18" t="s">
        <v>154</v>
      </c>
      <c r="Q79" s="17" t="s">
        <v>154</v>
      </c>
      <c r="R79" s="18" t="s">
        <v>154</v>
      </c>
      <c r="S79" s="17" t="s">
        <v>154</v>
      </c>
      <c r="T79" s="18" t="s">
        <v>154</v>
      </c>
    </row>
    <row r="80" spans="1:20" x14ac:dyDescent="0.25">
      <c r="A80" s="11" t="s">
        <v>213</v>
      </c>
      <c r="B80" s="17" t="s">
        <v>154</v>
      </c>
      <c r="C80" s="17" t="s">
        <v>154</v>
      </c>
      <c r="D80" s="18" t="s">
        <v>154</v>
      </c>
      <c r="E80" s="17" t="s">
        <v>154</v>
      </c>
      <c r="F80" s="18" t="s">
        <v>154</v>
      </c>
      <c r="G80" s="17" t="s">
        <v>154</v>
      </c>
      <c r="H80" s="18" t="s">
        <v>154</v>
      </c>
      <c r="I80" s="17" t="s">
        <v>154</v>
      </c>
      <c r="J80" s="18" t="s">
        <v>154</v>
      </c>
      <c r="K80" s="17" t="s">
        <v>154</v>
      </c>
      <c r="L80" s="18" t="s">
        <v>154</v>
      </c>
      <c r="M80" s="17" t="s">
        <v>154</v>
      </c>
      <c r="N80" s="18" t="s">
        <v>154</v>
      </c>
      <c r="O80" s="17" t="s">
        <v>154</v>
      </c>
      <c r="P80" s="18" t="s">
        <v>154</v>
      </c>
      <c r="Q80" s="17" t="s">
        <v>154</v>
      </c>
      <c r="R80" s="18" t="s">
        <v>154</v>
      </c>
      <c r="S80" s="17" t="s">
        <v>154</v>
      </c>
      <c r="T80" s="18" t="s">
        <v>154</v>
      </c>
    </row>
    <row r="81" spans="1:20" x14ac:dyDescent="0.25">
      <c r="A81" s="19" t="s">
        <v>214</v>
      </c>
      <c r="B81" s="13">
        <v>8861</v>
      </c>
      <c r="C81" s="14">
        <f>(7414/B81*100)</f>
        <v>83.670014671030358</v>
      </c>
      <c r="D81" s="15">
        <v>1447</v>
      </c>
      <c r="E81" s="14">
        <v>48.81742071</v>
      </c>
      <c r="F81" s="16">
        <v>1.5578417499999999</v>
      </c>
      <c r="G81" s="14">
        <v>28.25988774</v>
      </c>
      <c r="H81" s="16">
        <v>1.38639968</v>
      </c>
      <c r="I81" s="14">
        <v>22.92269155</v>
      </c>
      <c r="J81" s="16">
        <v>1.3001277899999999</v>
      </c>
      <c r="K81" s="14" t="s">
        <v>139</v>
      </c>
      <c r="L81" s="16" t="s">
        <v>139</v>
      </c>
      <c r="M81" s="14">
        <v>0</v>
      </c>
      <c r="N81" s="16">
        <v>0</v>
      </c>
      <c r="O81" s="14">
        <v>0</v>
      </c>
      <c r="P81" s="16">
        <v>0</v>
      </c>
      <c r="Q81" s="14">
        <v>0</v>
      </c>
      <c r="R81" s="16">
        <v>0</v>
      </c>
      <c r="S81" s="14">
        <v>0</v>
      </c>
      <c r="T81" s="16">
        <v>0</v>
      </c>
    </row>
    <row r="82" spans="1:20" x14ac:dyDescent="0.25">
      <c r="A82" s="20"/>
      <c r="B82" s="20" t="s">
        <v>215</v>
      </c>
      <c r="C82" s="20" t="s">
        <v>215</v>
      </c>
      <c r="D82" s="20" t="s">
        <v>215</v>
      </c>
      <c r="E82" s="20" t="s">
        <v>215</v>
      </c>
      <c r="F82" s="20" t="s">
        <v>215</v>
      </c>
      <c r="G82" s="20" t="s">
        <v>215</v>
      </c>
      <c r="H82" s="20" t="s">
        <v>215</v>
      </c>
      <c r="I82" s="20" t="s">
        <v>215</v>
      </c>
      <c r="J82" s="20" t="s">
        <v>215</v>
      </c>
      <c r="K82" s="20" t="s">
        <v>215</v>
      </c>
      <c r="L82" s="20" t="s">
        <v>215</v>
      </c>
      <c r="M82" s="20" t="s">
        <v>215</v>
      </c>
      <c r="N82" s="20" t="s">
        <v>215</v>
      </c>
      <c r="O82" s="20" t="s">
        <v>215</v>
      </c>
      <c r="P82" s="20" t="s">
        <v>215</v>
      </c>
      <c r="Q82" s="20" t="s">
        <v>215</v>
      </c>
      <c r="R82" s="20" t="s">
        <v>215</v>
      </c>
      <c r="S82" s="20" t="s">
        <v>215</v>
      </c>
      <c r="T82" s="20" t="s">
        <v>215</v>
      </c>
    </row>
    <row r="83" spans="1:20" x14ac:dyDescent="0.25">
      <c r="A83" s="3" t="s">
        <v>216</v>
      </c>
    </row>
    <row r="84" spans="1:20" x14ac:dyDescent="0.25">
      <c r="A84" s="22" t="s">
        <v>217</v>
      </c>
      <c r="B84" s="23"/>
      <c r="C84" s="23"/>
      <c r="D84" s="23"/>
      <c r="E84" s="23"/>
      <c r="F84" s="23"/>
      <c r="G84" s="23"/>
      <c r="H84" s="23"/>
      <c r="I84" s="23"/>
      <c r="J84" s="23"/>
      <c r="K84" s="23"/>
      <c r="L84" s="23"/>
      <c r="M84" s="23"/>
      <c r="N84" s="23"/>
      <c r="O84" s="23"/>
      <c r="P84" s="23"/>
      <c r="Q84" s="23"/>
      <c r="R84" s="23"/>
      <c r="S84" s="23"/>
      <c r="T84" s="23"/>
    </row>
    <row r="85" spans="1:20" x14ac:dyDescent="0.25">
      <c r="A85" s="22" t="s">
        <v>218</v>
      </c>
      <c r="B85" s="23"/>
      <c r="C85" s="23"/>
      <c r="D85" s="23"/>
      <c r="E85" s="23"/>
      <c r="F85" s="23"/>
      <c r="G85" s="23"/>
      <c r="H85" s="23"/>
      <c r="I85" s="23"/>
      <c r="J85" s="23"/>
      <c r="K85" s="23"/>
      <c r="L85" s="23"/>
      <c r="M85" s="23"/>
      <c r="N85" s="23"/>
      <c r="O85" s="23"/>
      <c r="P85" s="23"/>
      <c r="Q85" s="23"/>
      <c r="R85" s="23"/>
      <c r="S85" s="23"/>
      <c r="T85" s="23"/>
    </row>
    <row r="86" spans="1:20" ht="30" customHeight="1" x14ac:dyDescent="0.25">
      <c r="A86" s="22" t="s">
        <v>219</v>
      </c>
      <c r="B86" s="23"/>
      <c r="C86" s="23"/>
      <c r="D86" s="23"/>
      <c r="E86" s="23"/>
      <c r="F86" s="23"/>
      <c r="G86" s="23"/>
      <c r="H86" s="23"/>
      <c r="I86" s="23"/>
      <c r="J86" s="23"/>
      <c r="K86" s="23"/>
      <c r="L86" s="23"/>
      <c r="M86" s="23"/>
      <c r="N86" s="23"/>
      <c r="O86" s="23"/>
      <c r="P86" s="23"/>
      <c r="Q86" s="23"/>
      <c r="R86" s="23"/>
      <c r="S86" s="23"/>
      <c r="T86" s="23"/>
    </row>
    <row r="87" spans="1:20" ht="30" customHeight="1" x14ac:dyDescent="0.25">
      <c r="A87" s="22" t="s">
        <v>215</v>
      </c>
      <c r="B87" s="23"/>
      <c r="C87" s="23"/>
      <c r="D87" s="23"/>
      <c r="E87" s="23"/>
      <c r="F87" s="23"/>
      <c r="G87" s="23"/>
      <c r="H87" s="23"/>
      <c r="I87" s="23"/>
      <c r="J87" s="23"/>
      <c r="K87" s="23"/>
      <c r="L87" s="23"/>
      <c r="M87" s="23"/>
      <c r="N87" s="23"/>
      <c r="O87" s="23"/>
      <c r="P87" s="23"/>
      <c r="Q87" s="23"/>
      <c r="R87" s="23"/>
      <c r="S87" s="23"/>
      <c r="T87" s="23"/>
    </row>
    <row r="88" spans="1:20" ht="30" customHeight="1" x14ac:dyDescent="0.25">
      <c r="A88" s="22" t="s">
        <v>220</v>
      </c>
      <c r="B88" s="23"/>
      <c r="C88" s="23"/>
      <c r="D88" s="23"/>
      <c r="E88" s="23"/>
      <c r="F88" s="23"/>
      <c r="G88" s="23"/>
      <c r="H88" s="23"/>
      <c r="I88" s="23"/>
      <c r="J88" s="23"/>
      <c r="K88" s="23"/>
      <c r="L88" s="23"/>
      <c r="M88" s="23"/>
      <c r="N88" s="23"/>
      <c r="O88" s="23"/>
      <c r="P88" s="23"/>
      <c r="Q88" s="23"/>
      <c r="R88" s="23"/>
      <c r="S88" s="23"/>
      <c r="T88" s="23"/>
    </row>
    <row r="89" spans="1:20" ht="30" customHeight="1" x14ac:dyDescent="0.25">
      <c r="A89" s="22" t="s">
        <v>221</v>
      </c>
      <c r="B89" s="23"/>
      <c r="C89" s="23"/>
      <c r="D89" s="23"/>
      <c r="E89" s="23"/>
      <c r="F89" s="23"/>
      <c r="G89" s="23"/>
      <c r="H89" s="23"/>
      <c r="I89" s="23"/>
      <c r="J89" s="23"/>
      <c r="K89" s="23"/>
      <c r="L89" s="23"/>
      <c r="M89" s="23"/>
      <c r="N89" s="23"/>
      <c r="O89" s="23"/>
      <c r="P89" s="23"/>
      <c r="Q89" s="23"/>
      <c r="R89" s="23"/>
      <c r="S89" s="23"/>
      <c r="T89" s="23"/>
    </row>
    <row r="90" spans="1:20" ht="30" customHeight="1" x14ac:dyDescent="0.25">
      <c r="A90" s="22" t="s">
        <v>222</v>
      </c>
      <c r="B90" s="23"/>
      <c r="C90" s="23"/>
      <c r="D90" s="23"/>
      <c r="E90" s="23"/>
      <c r="F90" s="23"/>
      <c r="G90" s="23"/>
      <c r="H90" s="23"/>
      <c r="I90" s="23"/>
      <c r="J90" s="23"/>
      <c r="K90" s="23"/>
      <c r="L90" s="23"/>
      <c r="M90" s="23"/>
      <c r="N90" s="23"/>
      <c r="O90" s="23"/>
      <c r="P90" s="23"/>
      <c r="Q90" s="23"/>
      <c r="R90" s="23"/>
      <c r="S90" s="23"/>
      <c r="T90" s="23"/>
    </row>
    <row r="91" spans="1:20" ht="30" customHeight="1" x14ac:dyDescent="0.25">
      <c r="A91" s="22" t="s">
        <v>223</v>
      </c>
      <c r="B91" s="23"/>
      <c r="C91" s="23"/>
      <c r="D91" s="23"/>
      <c r="E91" s="23"/>
      <c r="F91" s="23"/>
      <c r="G91" s="23"/>
      <c r="H91" s="23"/>
      <c r="I91" s="23"/>
      <c r="J91" s="23"/>
      <c r="K91" s="23"/>
      <c r="L91" s="23"/>
      <c r="M91" s="23"/>
      <c r="N91" s="23"/>
      <c r="O91" s="23"/>
      <c r="P91" s="23"/>
      <c r="Q91" s="23"/>
      <c r="R91" s="23"/>
      <c r="S91" s="23"/>
      <c r="T91" s="23"/>
    </row>
    <row r="92" spans="1:20" ht="30" customHeight="1" x14ac:dyDescent="0.25">
      <c r="A92" s="22" t="s">
        <v>224</v>
      </c>
      <c r="B92" s="23"/>
      <c r="C92" s="23"/>
      <c r="D92" s="23"/>
      <c r="E92" s="23"/>
      <c r="F92" s="23"/>
      <c r="G92" s="23"/>
      <c r="H92" s="23"/>
      <c r="I92" s="23"/>
      <c r="J92" s="23"/>
      <c r="K92" s="23"/>
      <c r="L92" s="23"/>
      <c r="M92" s="23"/>
      <c r="N92" s="23"/>
      <c r="O92" s="23"/>
      <c r="P92" s="23"/>
      <c r="Q92" s="23"/>
      <c r="R92" s="23"/>
      <c r="S92" s="23"/>
      <c r="T92" s="23"/>
    </row>
    <row r="93" spans="1:20" ht="30" customHeight="1" x14ac:dyDescent="0.25">
      <c r="A93" s="22" t="s">
        <v>225</v>
      </c>
      <c r="B93" s="23"/>
      <c r="C93" s="23"/>
      <c r="D93" s="23"/>
      <c r="E93" s="23"/>
      <c r="F93" s="23"/>
      <c r="G93" s="23"/>
      <c r="H93" s="23"/>
      <c r="I93" s="23"/>
      <c r="J93" s="23"/>
      <c r="K93" s="23"/>
      <c r="L93" s="23"/>
      <c r="M93" s="23"/>
      <c r="N93" s="23"/>
      <c r="O93" s="23"/>
      <c r="P93" s="23"/>
      <c r="Q93" s="23"/>
      <c r="R93" s="23"/>
      <c r="S93" s="23"/>
      <c r="T93" s="23"/>
    </row>
    <row r="94" spans="1:20" ht="30" customHeight="1" x14ac:dyDescent="0.25">
      <c r="A94" s="22" t="s">
        <v>226</v>
      </c>
      <c r="B94" s="23"/>
      <c r="C94" s="23"/>
      <c r="D94" s="23"/>
      <c r="E94" s="23"/>
      <c r="F94" s="23"/>
      <c r="G94" s="23"/>
      <c r="H94" s="23"/>
      <c r="I94" s="23"/>
      <c r="J94" s="23"/>
      <c r="K94" s="23"/>
      <c r="L94" s="23"/>
      <c r="M94" s="23"/>
      <c r="N94" s="23"/>
      <c r="O94" s="23"/>
      <c r="P94" s="23"/>
      <c r="Q94" s="23"/>
      <c r="R94" s="23"/>
      <c r="S94" s="23"/>
      <c r="T94" s="23"/>
    </row>
    <row r="95" spans="1:20" ht="30" customHeight="1" x14ac:dyDescent="0.25">
      <c r="A95" s="22" t="s">
        <v>227</v>
      </c>
      <c r="B95" s="23"/>
      <c r="C95" s="23"/>
      <c r="D95" s="23"/>
      <c r="E95" s="23"/>
      <c r="F95" s="23"/>
      <c r="G95" s="23"/>
      <c r="H95" s="23"/>
      <c r="I95" s="23"/>
      <c r="J95" s="23"/>
      <c r="K95" s="23"/>
      <c r="L95" s="23"/>
      <c r="M95" s="23"/>
      <c r="N95" s="23"/>
      <c r="O95" s="23"/>
      <c r="P95" s="23"/>
      <c r="Q95" s="23"/>
      <c r="R95" s="23"/>
      <c r="S95" s="23"/>
      <c r="T95" s="23"/>
    </row>
    <row r="96" spans="1:20" ht="30" customHeight="1" x14ac:dyDescent="0.25">
      <c r="A96" s="22" t="s">
        <v>228</v>
      </c>
      <c r="B96" s="23"/>
      <c r="C96" s="23"/>
      <c r="D96" s="23"/>
      <c r="E96" s="23"/>
      <c r="F96" s="23"/>
      <c r="G96" s="23"/>
      <c r="H96" s="23"/>
      <c r="I96" s="23"/>
      <c r="J96" s="23"/>
      <c r="K96" s="23"/>
      <c r="L96" s="23"/>
      <c r="M96" s="23"/>
      <c r="N96" s="23"/>
      <c r="O96" s="23"/>
      <c r="P96" s="23"/>
      <c r="Q96" s="23"/>
      <c r="R96" s="23"/>
      <c r="S96" s="23"/>
      <c r="T96" s="23"/>
    </row>
  </sheetData>
  <mergeCells count="23">
    <mergeCell ref="O4:P4"/>
    <mergeCell ref="Q4:R4"/>
    <mergeCell ref="S4:T4"/>
    <mergeCell ref="A1:T1"/>
    <mergeCell ref="A2:T2"/>
    <mergeCell ref="E4:F4"/>
    <mergeCell ref="G4:H4"/>
    <mergeCell ref="I4:J4"/>
    <mergeCell ref="K4:L4"/>
    <mergeCell ref="M4:N4"/>
    <mergeCell ref="A84:T84"/>
    <mergeCell ref="A85:T85"/>
    <mergeCell ref="A86:T86"/>
    <mergeCell ref="A87:T87"/>
    <mergeCell ref="A88:T88"/>
    <mergeCell ref="A94:T94"/>
    <mergeCell ref="A95:T95"/>
    <mergeCell ref="A96:T96"/>
    <mergeCell ref="A89:T89"/>
    <mergeCell ref="A90:T90"/>
    <mergeCell ref="A91:T91"/>
    <mergeCell ref="A92:T92"/>
    <mergeCell ref="A93:T93"/>
  </mergeCells>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122</vt:i4>
      </vt:variant>
    </vt:vector>
  </HeadingPairs>
  <TitlesOfParts>
    <vt:vector size="122" baseType="lpstr">
      <vt:lpstr>Table of Contents</vt:lpstr>
      <vt:lpstr>CC104101</vt:lpstr>
      <vt:lpstr>CC104102</vt:lpstr>
      <vt:lpstr>CC104103</vt:lpstr>
      <vt:lpstr>CC104104</vt:lpstr>
      <vt:lpstr>CC104105</vt:lpstr>
      <vt:lpstr>CC104106</vt:lpstr>
      <vt:lpstr>CC104107</vt:lpstr>
      <vt:lpstr>CC104201</vt:lpstr>
      <vt:lpstr>CC104202</vt:lpstr>
      <vt:lpstr>CC104203</vt:lpstr>
      <vt:lpstr>CC104204</vt:lpstr>
      <vt:lpstr>CC104205</vt:lpstr>
      <vt:lpstr>CC104206</vt:lpstr>
      <vt:lpstr>CC104301C</vt:lpstr>
      <vt:lpstr>CC104303</vt:lpstr>
      <vt:lpstr>CC104305</vt:lpstr>
      <vt:lpstr>CC104306</vt:lpstr>
      <vt:lpstr>CC106101</vt:lpstr>
      <vt:lpstr>CC106102</vt:lpstr>
      <vt:lpstr>CC106103</vt:lpstr>
      <vt:lpstr>CC106104</vt:lpstr>
      <vt:lpstr>CC106105</vt:lpstr>
      <vt:lpstr>CC106106</vt:lpstr>
      <vt:lpstr>CC106107C</vt:lpstr>
      <vt:lpstr>CC106201</vt:lpstr>
      <vt:lpstr>CC106202</vt:lpstr>
      <vt:lpstr>CC106203</vt:lpstr>
      <vt:lpstr>CC106204</vt:lpstr>
      <vt:lpstr>CC106205</vt:lpstr>
      <vt:lpstr>CC106206</vt:lpstr>
      <vt:lpstr>CC106207</vt:lpstr>
      <vt:lpstr>CC106208</vt:lpstr>
      <vt:lpstr>CC106209</vt:lpstr>
      <vt:lpstr>CC106301</vt:lpstr>
      <vt:lpstr>CC106302</vt:lpstr>
      <vt:lpstr>CC106303</vt:lpstr>
      <vt:lpstr>CC106304</vt:lpstr>
      <vt:lpstr>CC106305</vt:lpstr>
      <vt:lpstr>CC106306</vt:lpstr>
      <vt:lpstr>CC106307</vt:lpstr>
      <vt:lpstr>CC102101</vt:lpstr>
      <vt:lpstr>CC102102C</vt:lpstr>
      <vt:lpstr>CC102201</vt:lpstr>
      <vt:lpstr>CC102202</vt:lpstr>
      <vt:lpstr>CC102203</vt:lpstr>
      <vt:lpstr>CC102204</vt:lpstr>
      <vt:lpstr>CC102205</vt:lpstr>
      <vt:lpstr>CC102206</vt:lpstr>
      <vt:lpstr>CC102207</vt:lpstr>
      <vt:lpstr>CC102208</vt:lpstr>
      <vt:lpstr>CC102209C</vt:lpstr>
      <vt:lpstr>CC102212</vt:lpstr>
      <vt:lpstr>CC102213</vt:lpstr>
      <vt:lpstr>CC103101</vt:lpstr>
      <vt:lpstr>CC103102</vt:lpstr>
      <vt:lpstr>CC103103</vt:lpstr>
      <vt:lpstr>CC103104</vt:lpstr>
      <vt:lpstr>CC103105</vt:lpstr>
      <vt:lpstr>CC103106</vt:lpstr>
      <vt:lpstr>CC103107</vt:lpstr>
      <vt:lpstr>CC103108C</vt:lpstr>
      <vt:lpstr>CC103201</vt:lpstr>
      <vt:lpstr>CC103202</vt:lpstr>
      <vt:lpstr>CC103203</vt:lpstr>
      <vt:lpstr>CC103204</vt:lpstr>
      <vt:lpstr>CC103205</vt:lpstr>
      <vt:lpstr>CC103206</vt:lpstr>
      <vt:lpstr>CC103207</vt:lpstr>
      <vt:lpstr>CC103209</vt:lpstr>
      <vt:lpstr>CC103210</vt:lpstr>
      <vt:lpstr>CC103211</vt:lpstr>
      <vt:lpstr>CC103301</vt:lpstr>
      <vt:lpstr>CC103302</vt:lpstr>
      <vt:lpstr>CC103303</vt:lpstr>
      <vt:lpstr>CC103304</vt:lpstr>
      <vt:lpstr>CC103305</vt:lpstr>
      <vt:lpstr>CC103306</vt:lpstr>
      <vt:lpstr>CC103307</vt:lpstr>
      <vt:lpstr>CC103308</vt:lpstr>
      <vt:lpstr>CC103309</vt:lpstr>
      <vt:lpstr>CC100101</vt:lpstr>
      <vt:lpstr>CC100102</vt:lpstr>
      <vt:lpstr>CC100103</vt:lpstr>
      <vt:lpstr>CC100104</vt:lpstr>
      <vt:lpstr>CC100105</vt:lpstr>
      <vt:lpstr>CC100201</vt:lpstr>
      <vt:lpstr>CC100202</vt:lpstr>
      <vt:lpstr>CC100203</vt:lpstr>
      <vt:lpstr>CC100301</vt:lpstr>
      <vt:lpstr>CC100302</vt:lpstr>
      <vt:lpstr>CC100401</vt:lpstr>
      <vt:lpstr>CC100402</vt:lpstr>
      <vt:lpstr>CC105101</vt:lpstr>
      <vt:lpstr>CC105102</vt:lpstr>
      <vt:lpstr>CC105103C</vt:lpstr>
      <vt:lpstr>CC105105C</vt:lpstr>
      <vt:lpstr>CC105108C</vt:lpstr>
      <vt:lpstr>CC105201C</vt:lpstr>
      <vt:lpstr>CC105203C</vt:lpstr>
      <vt:lpstr>CC105205</vt:lpstr>
      <vt:lpstr>CC105206</vt:lpstr>
      <vt:lpstr>CC105207</vt:lpstr>
      <vt:lpstr>CC105208C</vt:lpstr>
      <vt:lpstr>CC105211</vt:lpstr>
      <vt:lpstr>CC105212C</vt:lpstr>
      <vt:lpstr>CC105214</vt:lpstr>
      <vt:lpstr>CC105301</vt:lpstr>
      <vt:lpstr>CC105302</vt:lpstr>
      <vt:lpstr>CC105303</vt:lpstr>
      <vt:lpstr>CC105304C</vt:lpstr>
      <vt:lpstr>CC105306</vt:lpstr>
      <vt:lpstr>CC105307</vt:lpstr>
      <vt:lpstr>CC105308C</vt:lpstr>
      <vt:lpstr>CC105401</vt:lpstr>
      <vt:lpstr>CC105402</vt:lpstr>
      <vt:lpstr>CC105403</vt:lpstr>
      <vt:lpstr>CC105404</vt:lpstr>
      <vt:lpstr>CC105405</vt:lpstr>
      <vt:lpstr>CC105406</vt:lpstr>
      <vt:lpstr>CC105407</vt:lpstr>
      <vt:lpstr>CC105408C</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openpyxl</dc:creator>
  <cp:keywords/>
  <dc:description/>
  <cp:lastModifiedBy>GUILLOU Helene</cp:lastModifiedBy>
  <cp:revision/>
  <dcterms:created xsi:type="dcterms:W3CDTF">2017-01-11T12:18:40Z</dcterms:created>
  <dcterms:modified xsi:type="dcterms:W3CDTF">2017-11-23T15:16:24Z</dcterms:modified>
  <cp:category/>
  <dc:identifier/>
  <cp:contentStatus/>
  <dc:language/>
  <cp:version/>
</cp:coreProperties>
</file>